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xl/workbook.xml" ContentType="application/vnd.openxmlformats-officedocument.spreadsheetml.sheet.main+xml"/>
  <Override PartName="/xl/worksheets/sheet6.xml" ContentType="application/vnd.openxmlformats-officedocument.spreadsheetml.workshee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4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worksheets/sheet1.xml" ContentType="application/vnd.openxmlformats-officedocument.spreadsheetml.worksheet+xml"/>
  <Override PartName="/xl/charts/chart2.xml" ContentType="application/vnd.openxmlformats-officedocument.drawingml.char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10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9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ustomProperty7.bin" ContentType="application/vnd.openxmlformats-officedocument.spreadsheetml.customProperty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alcChain.xml" ContentType="application/vnd.openxmlformats-officedocument.spreadsheetml.calcChain+xml"/>
  <Override PartName="/xl/customProperty24.bin" ContentType="application/vnd.openxmlformats-officedocument.spreadsheetml.customProperty"/>
  <Override PartName="/xl/comments15.xml" ContentType="application/vnd.openxmlformats-officedocument.spreadsheetml.comments+xml"/>
  <Override PartName="/xl/customProperty23.bin" ContentType="application/vnd.openxmlformats-officedocument.spreadsheetml.customProperty"/>
  <Override PartName="/customXml/itemProps4.xml" ContentType="application/vnd.openxmlformats-officedocument.customXmlProperties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Property2.bin" ContentType="application/vnd.openxmlformats-officedocument.spreadsheetml.customProperty"/>
  <Override PartName="/xl/customProperty22.bin" ContentType="application/vnd.openxmlformats-officedocument.spreadsheetml.customProperty"/>
  <Override PartName="/xl/comments9.xml" ContentType="application/vnd.openxmlformats-officedocument.spreadsheetml.comments+xml"/>
  <Override PartName="/xl/comments3.xml" ContentType="application/vnd.openxmlformats-officedocument.spreadsheetml.comments+xml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ustomProperty5.bin" ContentType="application/vnd.openxmlformats-officedocument.spreadsheetml.customProperty"/>
  <Override PartName="/xl/customProperty13.bin" ContentType="application/vnd.openxmlformats-officedocument.spreadsheetml.customProperty"/>
  <Override PartName="/xl/comments8.xml" ContentType="application/vnd.openxmlformats-officedocument.spreadsheetml.comments+xml"/>
  <Override PartName="/xl/customProperty10.bin" ContentType="application/vnd.openxmlformats-officedocument.spreadsheetml.customProperty"/>
  <Override PartName="/xl/customProperty8.bin" ContentType="application/vnd.openxmlformats-officedocument.spreadsheetml.customProperty"/>
  <Override PartName="/xl/comments5.xml" ContentType="application/vnd.openxmlformats-officedocument.spreadsheetml.comments+xml"/>
  <Override PartName="/xl/comments4.xml" ContentType="application/vnd.openxmlformats-officedocument.spreadsheetml.comments+xml"/>
  <Override PartName="/xl/comments6.xml" ContentType="application/vnd.openxmlformats-officedocument.spreadsheetml.comments+xml"/>
  <Override PartName="/xl/customProperty9.bin" ContentType="application/vnd.openxmlformats-officedocument.spreadsheetml.customProperty"/>
  <Override PartName="/xl/customProperty6.bin" ContentType="application/vnd.openxmlformats-officedocument.spreadsheetml.customProperty"/>
  <Override PartName="/xl/comments7.xml" ContentType="application/vnd.openxmlformats-officedocument.spreadsheetml.comments+xml"/>
  <Override PartName="/xl/customProperty14.bin" ContentType="application/vnd.openxmlformats-officedocument.spreadsheetml.customProperty"/>
  <Override PartName="/xl/customProperty18.bin" ContentType="application/vnd.openxmlformats-officedocument.spreadsheetml.customProperty"/>
  <Override PartName="/xl/customProperty3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xl/comments1.xml" ContentType="application/vnd.openxmlformats-officedocument.spreadsheetml.comments+xml"/>
  <Override PartName="/xl/customProperty4.bin" ContentType="application/vnd.openxmlformats-officedocument.spreadsheetml.customProperty"/>
  <Override PartName="/xl/comments2.xml" ContentType="application/vnd.openxmlformats-officedocument.spreadsheetml.comments+xml"/>
  <Override PartName="/xl/customProperty15.bin" ContentType="application/vnd.openxmlformats-officedocument.spreadsheetml.customProperty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ustomProperty16.bin" ContentType="application/vnd.openxmlformats-officedocument.spreadsheetml.customProperty"/>
  <Override PartName="/xl/comments14.xml" ContentType="application/vnd.openxmlformats-officedocument.spreadsheetml.comments+xml"/>
  <Override PartName="/xl/customProperty17.bin" ContentType="application/vnd.openxmlformats-officedocument.spreadsheetml.customProperty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H:\2018\March 2018\March 21\170932\"/>
    </mc:Choice>
  </mc:AlternateContent>
  <bookViews>
    <workbookView xWindow="-180" yWindow="-30" windowWidth="9720" windowHeight="7005" tabRatio="772" firstSheet="2" activeTab="15"/>
  </bookViews>
  <sheets>
    <sheet name="PGA Graphs 2012-13" sheetId="13" state="hidden" r:id="rId1"/>
    <sheet name="JE" sheetId="18" state="hidden" r:id="rId2"/>
    <sheet name="Jan" sheetId="5" r:id="rId3"/>
    <sheet name="Feb" sheetId="19" r:id="rId4"/>
    <sheet name="Mar" sheetId="21" state="hidden" r:id="rId5"/>
    <sheet name="Apr" sheetId="20" state="hidden" r:id="rId6"/>
    <sheet name="May" sheetId="23" state="hidden" r:id="rId7"/>
    <sheet name="Jun" sheetId="22" state="hidden" r:id="rId8"/>
    <sheet name="Jul" sheetId="24" state="hidden" r:id="rId9"/>
    <sheet name="Aug" sheetId="25" state="hidden" r:id="rId10"/>
    <sheet name="Sep" sheetId="26" state="hidden" r:id="rId11"/>
    <sheet name="Oct" sheetId="27" state="hidden" r:id="rId12"/>
    <sheet name="Nov" sheetId="28" state="hidden" r:id="rId13"/>
    <sheet name="Dec" sheetId="29" state="hidden" r:id="rId14"/>
    <sheet name="WA - Def-Amtz (current)" sheetId="16" r:id="rId15"/>
    <sheet name="WA - Def-Amtz (Jan)" sheetId="33" r:id="rId16"/>
    <sheet name="PGA Graphs 2013-14" sheetId="30" state="hidden" r:id="rId17"/>
    <sheet name="ID Amort 191015" sheetId="14" state="hidden" r:id="rId18"/>
    <sheet name="ID Amort 191000" sheetId="7" state="hidden" r:id="rId19"/>
    <sheet name="WA Def 191010" sheetId="3" state="hidden" r:id="rId20"/>
    <sheet name="ID Def 191010" sheetId="6" state="hidden" r:id="rId21"/>
    <sheet name="ID Holdback 191015" sheetId="12" state="hidden" r:id="rId22"/>
    <sheet name="Amortization of JP Deferral" sheetId="9" state="hidden" r:id="rId23"/>
    <sheet name="WA Amort 191000" sheetId="10" state="hidden" r:id="rId24"/>
  </sheets>
  <definedNames>
    <definedName name="_xlnm.Print_Area" localSheetId="22">'Amortization of JP Deferral'!$A$1:$J$197</definedName>
    <definedName name="_xlnm.Print_Area" localSheetId="5">Apr!$A$1:$M$68</definedName>
    <definedName name="_xlnm.Print_Area" localSheetId="9">Aug!$A$1:$M$68</definedName>
    <definedName name="_xlnm.Print_Area" localSheetId="13">Dec!$A$1:$M$68</definedName>
    <definedName name="_xlnm.Print_Area" localSheetId="3">Feb!$A$1:$M$68</definedName>
    <definedName name="_xlnm.Print_Area" localSheetId="18">'ID Amort 191000'!$A$1:$J$300</definedName>
    <definedName name="_xlnm.Print_Area" localSheetId="17">'ID Amort 191015'!$A$1:$J$63</definedName>
    <definedName name="_xlnm.Print_Area" localSheetId="20">'ID Def 191010'!$A$1:$T$180</definedName>
    <definedName name="_xlnm.Print_Area" localSheetId="21">'ID Holdback 191015'!$A$1:$T$104</definedName>
    <definedName name="_xlnm.Print_Area" localSheetId="2">Jan!$A$1:$M$68</definedName>
    <definedName name="_xlnm.Print_Area" localSheetId="1">JE!$A$1:$M$32</definedName>
    <definedName name="_xlnm.Print_Area" localSheetId="8">Jul!$A$1:$M$68</definedName>
    <definedName name="_xlnm.Print_Area" localSheetId="7">Jun!$A$1:$M$68</definedName>
    <definedName name="_xlnm.Print_Area" localSheetId="4">Mar!$A$1:$M$68</definedName>
    <definedName name="_xlnm.Print_Area" localSheetId="6">May!$A$1:$M$68</definedName>
    <definedName name="_xlnm.Print_Area" localSheetId="12">Nov!$A$1:$M$68</definedName>
    <definedName name="_xlnm.Print_Area" localSheetId="11">Oct!$A$1:$M$68</definedName>
    <definedName name="_xlnm.Print_Area" localSheetId="0">'PGA Graphs 2012-13'!$P$2:$X$53</definedName>
    <definedName name="_xlnm.Print_Area" localSheetId="16">'PGA Graphs 2013-14'!$A$1:$N$66</definedName>
    <definedName name="_xlnm.Print_Area" localSheetId="10">Sep!$A$1:$M$68</definedName>
    <definedName name="_xlnm.Print_Area" localSheetId="14">'WA - Def-Amtz (current)'!$A$1:$AK$78</definedName>
    <definedName name="_xlnm.Print_Area" localSheetId="15">'WA - Def-Amtz (Jan)'!$A$1:$AJ$84</definedName>
    <definedName name="_xlnm.Print_Area" localSheetId="23">'WA Amort 191000'!$A$1:$J$310</definedName>
    <definedName name="_xlnm.Print_Area" localSheetId="19">'WA Def 191010'!$A$1:$R$143</definedName>
    <definedName name="_xlnm.Print_Titles" localSheetId="5">Apr!$1:$2</definedName>
    <definedName name="_xlnm.Print_Titles" localSheetId="9">Aug!$1:$2</definedName>
    <definedName name="_xlnm.Print_Titles" localSheetId="13">Dec!$1:$2</definedName>
    <definedName name="_xlnm.Print_Titles" localSheetId="3">Feb!$1:$2</definedName>
    <definedName name="_xlnm.Print_Titles" localSheetId="20">'ID Def 191010'!$1:$7</definedName>
    <definedName name="_xlnm.Print_Titles" localSheetId="21">'ID Holdback 191015'!$1:$7</definedName>
    <definedName name="_xlnm.Print_Titles" localSheetId="2">Jan!$1:$2</definedName>
    <definedName name="_xlnm.Print_Titles" localSheetId="8">Jul!$1:$2</definedName>
    <definedName name="_xlnm.Print_Titles" localSheetId="7">Jun!$1:$2</definedName>
    <definedName name="_xlnm.Print_Titles" localSheetId="4">Mar!$1:$2</definedName>
    <definedName name="_xlnm.Print_Titles" localSheetId="6">May!$1:$2</definedName>
    <definedName name="_xlnm.Print_Titles" localSheetId="12">Nov!$1:$2</definedName>
    <definedName name="_xlnm.Print_Titles" localSheetId="11">Oct!$1:$2</definedName>
    <definedName name="_xlnm.Print_Titles" localSheetId="10">Sep!$1:$2</definedName>
    <definedName name="_xlnm.Print_Titles" localSheetId="19">'WA Def 191010'!$1:$5</definedName>
  </definedNames>
  <calcPr calcId="152511"/>
</workbook>
</file>

<file path=xl/calcChain.xml><?xml version="1.0" encoding="utf-8"?>
<calcChain xmlns="http://schemas.openxmlformats.org/spreadsheetml/2006/main">
  <c r="R25" i="16" l="1"/>
  <c r="R39" i="16" l="1"/>
  <c r="C19" i="19" l="1"/>
  <c r="C5" i="19"/>
  <c r="C9" i="19"/>
  <c r="C15" i="19"/>
  <c r="C12" i="19"/>
  <c r="C18" i="19"/>
  <c r="C6" i="19"/>
  <c r="C10" i="19"/>
  <c r="C21" i="19"/>
  <c r="C54" i="19"/>
  <c r="AD19" i="16" l="1"/>
  <c r="S23" i="16" l="1"/>
  <c r="T23" i="16"/>
  <c r="U23" i="16"/>
  <c r="V23" i="16"/>
  <c r="W23" i="16"/>
  <c r="X23" i="16"/>
  <c r="Y23" i="16"/>
  <c r="Z23" i="16"/>
  <c r="AA23" i="16"/>
  <c r="AB23" i="16"/>
  <c r="AC23" i="16"/>
  <c r="AD23" i="16"/>
  <c r="C23" i="16" l="1"/>
  <c r="D23" i="16"/>
  <c r="AD42" i="16" l="1"/>
  <c r="AD50" i="16" l="1"/>
  <c r="AD51" i="16"/>
  <c r="AD52" i="16"/>
  <c r="AD53" i="16"/>
  <c r="AD54" i="16"/>
  <c r="AD55" i="16"/>
  <c r="AD56" i="16"/>
  <c r="AD57" i="16"/>
  <c r="AD49" i="16"/>
  <c r="AD20" i="16"/>
  <c r="AD21" i="16"/>
  <c r="AD22" i="16"/>
  <c r="AD24" i="16"/>
  <c r="AC50" i="16"/>
  <c r="AC51" i="16"/>
  <c r="AC52" i="16"/>
  <c r="AC53" i="16"/>
  <c r="AC54" i="16"/>
  <c r="AC55" i="16"/>
  <c r="AC56" i="16"/>
  <c r="AC57" i="16"/>
  <c r="AC49" i="16"/>
  <c r="AD18" i="16"/>
  <c r="AC18" i="16"/>
  <c r="AC20" i="16"/>
  <c r="AC21" i="16"/>
  <c r="AC22" i="16"/>
  <c r="AC24" i="16"/>
  <c r="AC19" i="16"/>
  <c r="AC39" i="16" s="1"/>
  <c r="AC72" i="16"/>
  <c r="AC61" i="16"/>
  <c r="AC48" i="16"/>
  <c r="AC37" i="16"/>
  <c r="AC36" i="16"/>
  <c r="AC28" i="16"/>
  <c r="Q81" i="33"/>
  <c r="Q80" i="33"/>
  <c r="F79" i="33"/>
  <c r="F82" i="33" s="1"/>
  <c r="D79" i="33"/>
  <c r="AC78" i="33"/>
  <c r="Q78" i="33"/>
  <c r="R78" i="33" s="1"/>
  <c r="S78" i="33" s="1"/>
  <c r="T78" i="33" s="1"/>
  <c r="U78" i="33" s="1"/>
  <c r="V78" i="33" s="1"/>
  <c r="W78" i="33" s="1"/>
  <c r="X78" i="33" s="1"/>
  <c r="Y78" i="33" s="1"/>
  <c r="Z78" i="33" s="1"/>
  <c r="AA78" i="33" s="1"/>
  <c r="AB78" i="33" s="1"/>
  <c r="F78" i="33"/>
  <c r="G78" i="33" s="1"/>
  <c r="H78" i="33" s="1"/>
  <c r="I78" i="33" s="1"/>
  <c r="J78" i="33" s="1"/>
  <c r="K78" i="33" s="1"/>
  <c r="L78" i="33" s="1"/>
  <c r="M78" i="33" s="1"/>
  <c r="N78" i="33" s="1"/>
  <c r="O78" i="33" s="1"/>
  <c r="P78" i="33" s="1"/>
  <c r="AJ77" i="33"/>
  <c r="AE75" i="33"/>
  <c r="AC67" i="33"/>
  <c r="Q67" i="33"/>
  <c r="R67" i="33" s="1"/>
  <c r="S67" i="33" s="1"/>
  <c r="T67" i="33" s="1"/>
  <c r="U67" i="33" s="1"/>
  <c r="V67" i="33" s="1"/>
  <c r="W67" i="33" s="1"/>
  <c r="X67" i="33" s="1"/>
  <c r="Y67" i="33" s="1"/>
  <c r="Z67" i="33" s="1"/>
  <c r="AA67" i="33" s="1"/>
  <c r="AB67" i="33" s="1"/>
  <c r="F67" i="33"/>
  <c r="G67" i="33" s="1"/>
  <c r="H67" i="33" s="1"/>
  <c r="I67" i="33" s="1"/>
  <c r="J67" i="33" s="1"/>
  <c r="K67" i="33" s="1"/>
  <c r="L67" i="33" s="1"/>
  <c r="M67" i="33" s="1"/>
  <c r="N67" i="33" s="1"/>
  <c r="O67" i="33" s="1"/>
  <c r="P67" i="33" s="1"/>
  <c r="D65" i="33"/>
  <c r="C65" i="33"/>
  <c r="Q64" i="33"/>
  <c r="P64" i="33"/>
  <c r="O64" i="33"/>
  <c r="N64" i="33"/>
  <c r="M64" i="33"/>
  <c r="L64" i="33"/>
  <c r="K64" i="33"/>
  <c r="J64" i="33"/>
  <c r="I64" i="33"/>
  <c r="H64" i="33"/>
  <c r="G64" i="33"/>
  <c r="F64" i="33"/>
  <c r="AC63" i="33"/>
  <c r="AB63" i="33"/>
  <c r="AA63" i="33"/>
  <c r="Z63" i="33"/>
  <c r="Y63" i="33"/>
  <c r="X63" i="33"/>
  <c r="W63" i="33"/>
  <c r="V63" i="33"/>
  <c r="U63" i="33"/>
  <c r="T63" i="33"/>
  <c r="S63" i="33"/>
  <c r="R63" i="33"/>
  <c r="D63" i="33" s="1"/>
  <c r="AC62" i="33"/>
  <c r="AB62" i="33"/>
  <c r="AA62" i="33"/>
  <c r="Z62" i="33"/>
  <c r="Y62" i="33"/>
  <c r="X62" i="33"/>
  <c r="W62" i="33"/>
  <c r="V62" i="33"/>
  <c r="U62" i="33"/>
  <c r="T62" i="33"/>
  <c r="S62" i="33"/>
  <c r="R62" i="33"/>
  <c r="AC61" i="33"/>
  <c r="AB61" i="33"/>
  <c r="AA61" i="33"/>
  <c r="Z61" i="33"/>
  <c r="Y61" i="33"/>
  <c r="X61" i="33"/>
  <c r="W61" i="33"/>
  <c r="V61" i="33"/>
  <c r="U61" i="33"/>
  <c r="T61" i="33"/>
  <c r="S61" i="33"/>
  <c r="R61" i="33"/>
  <c r="C61" i="33" s="1"/>
  <c r="AC60" i="33"/>
  <c r="AB60" i="33"/>
  <c r="AA60" i="33"/>
  <c r="Z60" i="33"/>
  <c r="Y60" i="33"/>
  <c r="X60" i="33"/>
  <c r="W60" i="33"/>
  <c r="V60" i="33"/>
  <c r="U60" i="33"/>
  <c r="T60" i="33"/>
  <c r="S60" i="33"/>
  <c r="R60" i="33"/>
  <c r="AC59" i="33"/>
  <c r="AB59" i="33"/>
  <c r="AA59" i="33"/>
  <c r="Z59" i="33"/>
  <c r="Y59" i="33"/>
  <c r="X59" i="33"/>
  <c r="W59" i="33"/>
  <c r="V59" i="33"/>
  <c r="U59" i="33"/>
  <c r="T59" i="33"/>
  <c r="S59" i="33"/>
  <c r="R59" i="33"/>
  <c r="D59" i="33" s="1"/>
  <c r="AC58" i="33"/>
  <c r="AB58" i="33"/>
  <c r="AA58" i="33"/>
  <c r="Z58" i="33"/>
  <c r="Y58" i="33"/>
  <c r="X58" i="33"/>
  <c r="W58" i="33"/>
  <c r="V58" i="33"/>
  <c r="U58" i="33"/>
  <c r="T58" i="33"/>
  <c r="S58" i="33"/>
  <c r="R58" i="33"/>
  <c r="AC57" i="33"/>
  <c r="AB57" i="33"/>
  <c r="AA57" i="33"/>
  <c r="Z57" i="33"/>
  <c r="Y57" i="33"/>
  <c r="X57" i="33"/>
  <c r="W57" i="33"/>
  <c r="V57" i="33"/>
  <c r="U57" i="33"/>
  <c r="T57" i="33"/>
  <c r="S57" i="33"/>
  <c r="R57" i="33"/>
  <c r="AC56" i="33"/>
  <c r="AB56" i="33"/>
  <c r="AA56" i="33"/>
  <c r="Z56" i="33"/>
  <c r="Y56" i="33"/>
  <c r="X56" i="33"/>
  <c r="W56" i="33"/>
  <c r="V56" i="33"/>
  <c r="U56" i="33"/>
  <c r="T56" i="33"/>
  <c r="S56" i="33"/>
  <c r="R56" i="33"/>
  <c r="AC55" i="33"/>
  <c r="AC64" i="33" s="1"/>
  <c r="AB55" i="33"/>
  <c r="AA55" i="33"/>
  <c r="AA64" i="33" s="1"/>
  <c r="Z55" i="33"/>
  <c r="Z80" i="33" s="1"/>
  <c r="Y55" i="33"/>
  <c r="Y80" i="33" s="1"/>
  <c r="X55" i="33"/>
  <c r="W55" i="33"/>
  <c r="W80" i="33" s="1"/>
  <c r="V55" i="33"/>
  <c r="U55" i="33"/>
  <c r="U80" i="33" s="1"/>
  <c r="T55" i="33"/>
  <c r="S55" i="33"/>
  <c r="S80" i="33" s="1"/>
  <c r="R55" i="33"/>
  <c r="C55" i="33" s="1"/>
  <c r="AC54" i="33"/>
  <c r="Q54" i="33"/>
  <c r="R54" i="33" s="1"/>
  <c r="S54" i="33" s="1"/>
  <c r="T54" i="33" s="1"/>
  <c r="U54" i="33" s="1"/>
  <c r="V54" i="33" s="1"/>
  <c r="W54" i="33" s="1"/>
  <c r="X54" i="33" s="1"/>
  <c r="Y54" i="33" s="1"/>
  <c r="Z54" i="33" s="1"/>
  <c r="AA54" i="33" s="1"/>
  <c r="AB54" i="33" s="1"/>
  <c r="F54" i="33"/>
  <c r="G54" i="33" s="1"/>
  <c r="H54" i="33" s="1"/>
  <c r="I54" i="33" s="1"/>
  <c r="J54" i="33" s="1"/>
  <c r="K54" i="33" s="1"/>
  <c r="L54" i="33" s="1"/>
  <c r="M54" i="33" s="1"/>
  <c r="N54" i="33" s="1"/>
  <c r="O54" i="33" s="1"/>
  <c r="P54" i="33" s="1"/>
  <c r="D48" i="33"/>
  <c r="C48" i="33"/>
  <c r="D47" i="33"/>
  <c r="C47" i="33"/>
  <c r="AI46" i="33"/>
  <c r="AH46" i="33"/>
  <c r="AG46" i="33"/>
  <c r="AF46" i="33"/>
  <c r="AE46" i="33"/>
  <c r="AI50" i="33" s="1"/>
  <c r="AH45" i="33"/>
  <c r="AG45" i="33"/>
  <c r="AF45" i="33"/>
  <c r="Q45" i="33"/>
  <c r="P45" i="33"/>
  <c r="F44" i="33"/>
  <c r="F49" i="33" s="1"/>
  <c r="D44" i="33"/>
  <c r="AC43" i="33"/>
  <c r="AC42" i="33"/>
  <c r="Q42" i="33"/>
  <c r="R42" i="33" s="1"/>
  <c r="S42" i="33" s="1"/>
  <c r="T42" i="33" s="1"/>
  <c r="U42" i="33" s="1"/>
  <c r="V42" i="33" s="1"/>
  <c r="W42" i="33" s="1"/>
  <c r="X42" i="33" s="1"/>
  <c r="Y42" i="33" s="1"/>
  <c r="Z42" i="33" s="1"/>
  <c r="AA42" i="33" s="1"/>
  <c r="AB42" i="33" s="1"/>
  <c r="F42" i="33"/>
  <c r="G42" i="33" s="1"/>
  <c r="H42" i="33" s="1"/>
  <c r="AE40" i="33"/>
  <c r="AC31" i="33"/>
  <c r="Q31" i="33"/>
  <c r="R31" i="33" s="1"/>
  <c r="S31" i="33" s="1"/>
  <c r="T31" i="33" s="1"/>
  <c r="U31" i="33" s="1"/>
  <c r="V31" i="33" s="1"/>
  <c r="W31" i="33" s="1"/>
  <c r="X31" i="33" s="1"/>
  <c r="Y31" i="33" s="1"/>
  <c r="Z31" i="33" s="1"/>
  <c r="AA31" i="33" s="1"/>
  <c r="AB31" i="33" s="1"/>
  <c r="F31" i="33"/>
  <c r="G31" i="33" s="1"/>
  <c r="H31" i="33" s="1"/>
  <c r="I31" i="33" s="1"/>
  <c r="J31" i="33" s="1"/>
  <c r="K31" i="33" s="1"/>
  <c r="L31" i="33" s="1"/>
  <c r="M31" i="33" s="1"/>
  <c r="N31" i="33" s="1"/>
  <c r="O31" i="33" s="1"/>
  <c r="P31" i="33" s="1"/>
  <c r="D29" i="33"/>
  <c r="C29" i="33"/>
  <c r="Q28" i="33"/>
  <c r="P28" i="33"/>
  <c r="O28" i="33"/>
  <c r="N28" i="33"/>
  <c r="M28" i="33"/>
  <c r="L28" i="33"/>
  <c r="K28" i="33"/>
  <c r="J28" i="33"/>
  <c r="I28" i="33"/>
  <c r="H28" i="33"/>
  <c r="G28" i="33"/>
  <c r="F28" i="33"/>
  <c r="AC27" i="33"/>
  <c r="AB27" i="33"/>
  <c r="AA27" i="33"/>
  <c r="Z27" i="33"/>
  <c r="Y27" i="33"/>
  <c r="X27" i="33"/>
  <c r="W27" i="33"/>
  <c r="V27" i="33"/>
  <c r="U27" i="33"/>
  <c r="T27" i="33"/>
  <c r="S27" i="33"/>
  <c r="R27" i="33"/>
  <c r="D26" i="33"/>
  <c r="C26" i="33"/>
  <c r="AC25" i="33"/>
  <c r="AB25" i="33"/>
  <c r="AA25" i="33"/>
  <c r="Z25" i="33"/>
  <c r="Y25" i="33"/>
  <c r="X25" i="33"/>
  <c r="W25" i="33"/>
  <c r="V25" i="33"/>
  <c r="U25" i="33"/>
  <c r="T25" i="33"/>
  <c r="S25" i="33"/>
  <c r="R25" i="33"/>
  <c r="D24" i="33"/>
  <c r="C24" i="33"/>
  <c r="AC23" i="33"/>
  <c r="AB23" i="33"/>
  <c r="AA23" i="33"/>
  <c r="Z23" i="33"/>
  <c r="Y23" i="33"/>
  <c r="X23" i="33"/>
  <c r="W23" i="33"/>
  <c r="V23" i="33"/>
  <c r="U23" i="33"/>
  <c r="T23" i="33"/>
  <c r="S23" i="33"/>
  <c r="R23" i="33"/>
  <c r="Z22" i="33"/>
  <c r="Y22" i="33"/>
  <c r="AC21" i="33"/>
  <c r="AB21" i="33"/>
  <c r="AA21" i="33"/>
  <c r="Z21" i="33"/>
  <c r="Y21" i="33"/>
  <c r="X21" i="33"/>
  <c r="W21" i="33"/>
  <c r="V21" i="33"/>
  <c r="U21" i="33"/>
  <c r="T21" i="33"/>
  <c r="S21" i="33"/>
  <c r="R21" i="33"/>
  <c r="D21" i="33"/>
  <c r="AC20" i="33"/>
  <c r="AB20" i="33"/>
  <c r="AA20" i="33"/>
  <c r="Z20" i="33"/>
  <c r="Y20" i="33"/>
  <c r="X20" i="33"/>
  <c r="W20" i="33"/>
  <c r="V20" i="33"/>
  <c r="U20" i="33"/>
  <c r="T20" i="33"/>
  <c r="S20" i="33"/>
  <c r="R20" i="33"/>
  <c r="AC19" i="33"/>
  <c r="AB19" i="33"/>
  <c r="AB28" i="33" s="1"/>
  <c r="AA19" i="33"/>
  <c r="AA28" i="33" s="1"/>
  <c r="Z19" i="33"/>
  <c r="Y19" i="33"/>
  <c r="X19" i="33"/>
  <c r="X45" i="33" s="1"/>
  <c r="W19" i="33"/>
  <c r="V19" i="33"/>
  <c r="U19" i="33"/>
  <c r="T19" i="33"/>
  <c r="S19" i="33"/>
  <c r="R19" i="33"/>
  <c r="Q18" i="33"/>
  <c r="R18" i="33" s="1"/>
  <c r="S18" i="33" s="1"/>
  <c r="T18" i="33" s="1"/>
  <c r="U18" i="33" s="1"/>
  <c r="V18" i="33" s="1"/>
  <c r="W18" i="33" s="1"/>
  <c r="X18" i="33" s="1"/>
  <c r="Y18" i="33" s="1"/>
  <c r="Z18" i="33" s="1"/>
  <c r="AA18" i="33" s="1"/>
  <c r="AB18" i="33" s="1"/>
  <c r="AC18" i="33" s="1"/>
  <c r="F18" i="33"/>
  <c r="G18" i="33" s="1"/>
  <c r="H18" i="33" s="1"/>
  <c r="I18" i="33" s="1"/>
  <c r="J18" i="33" s="1"/>
  <c r="K18" i="33" s="1"/>
  <c r="L18" i="33" s="1"/>
  <c r="M18" i="33" s="1"/>
  <c r="N18" i="33" s="1"/>
  <c r="O18" i="33" s="1"/>
  <c r="P18" i="33" s="1"/>
  <c r="D12" i="33"/>
  <c r="C12" i="33"/>
  <c r="AH10" i="33"/>
  <c r="AG10" i="33"/>
  <c r="AF10" i="33"/>
  <c r="AE10" i="33"/>
  <c r="AA10" i="33"/>
  <c r="AA9" i="33"/>
  <c r="D9" i="33" s="1"/>
  <c r="C9" i="33"/>
  <c r="D7" i="33"/>
  <c r="C7" i="33"/>
  <c r="D6" i="33"/>
  <c r="C6" i="33"/>
  <c r="F5" i="33"/>
  <c r="F13" i="33" s="1"/>
  <c r="G5" i="33" s="1"/>
  <c r="G13" i="33" s="1"/>
  <c r="D5" i="33"/>
  <c r="R3" i="33"/>
  <c r="S3" i="33" s="1"/>
  <c r="T3" i="33" s="1"/>
  <c r="U3" i="33" s="1"/>
  <c r="V3" i="33" s="1"/>
  <c r="W3" i="33" s="1"/>
  <c r="X3" i="33" s="1"/>
  <c r="Y3" i="33" s="1"/>
  <c r="Z3" i="33" s="1"/>
  <c r="AA3" i="33" s="1"/>
  <c r="AB3" i="33" s="1"/>
  <c r="F3" i="33"/>
  <c r="C44" i="19"/>
  <c r="AD39" i="16" l="1"/>
  <c r="R45" i="33"/>
  <c r="C59" i="33"/>
  <c r="C63" i="33"/>
  <c r="D19" i="33"/>
  <c r="C21" i="33"/>
  <c r="Y28" i="33"/>
  <c r="Z45" i="33"/>
  <c r="C56" i="33"/>
  <c r="C60" i="33"/>
  <c r="AD58" i="16"/>
  <c r="AC25" i="16"/>
  <c r="AD25" i="16"/>
  <c r="AC58" i="16"/>
  <c r="I42" i="33"/>
  <c r="H5" i="33"/>
  <c r="H13" i="33" s="1"/>
  <c r="G44" i="33"/>
  <c r="G49" i="33" s="1"/>
  <c r="C19" i="33"/>
  <c r="D22" i="33"/>
  <c r="C22" i="33"/>
  <c r="D25" i="33"/>
  <c r="C25" i="33"/>
  <c r="T28" i="33"/>
  <c r="T45" i="33"/>
  <c r="V80" i="33"/>
  <c r="V64" i="33"/>
  <c r="AJ76" i="33"/>
  <c r="U45" i="33"/>
  <c r="Y45" i="33"/>
  <c r="AC45" i="33"/>
  <c r="U28" i="33"/>
  <c r="AC28" i="33"/>
  <c r="C57" i="33"/>
  <c r="D58" i="33"/>
  <c r="C58" i="33"/>
  <c r="D62" i="33"/>
  <c r="C62" i="33"/>
  <c r="D10" i="33"/>
  <c r="C10" i="33"/>
  <c r="D55" i="33"/>
  <c r="R80" i="33"/>
  <c r="Z64" i="33"/>
  <c r="R64" i="33"/>
  <c r="G79" i="33"/>
  <c r="G82" i="33" s="1"/>
  <c r="G3" i="33"/>
  <c r="R28" i="33"/>
  <c r="V45" i="33"/>
  <c r="Z28" i="33"/>
  <c r="D20" i="33"/>
  <c r="C20" i="33"/>
  <c r="D23" i="33"/>
  <c r="C23" i="33"/>
  <c r="D27" i="33"/>
  <c r="C27" i="33"/>
  <c r="X28" i="33"/>
  <c r="D81" i="33"/>
  <c r="C81" i="33"/>
  <c r="V28" i="33"/>
  <c r="D56" i="33"/>
  <c r="D60" i="33"/>
  <c r="S45" i="33"/>
  <c r="W45" i="33"/>
  <c r="D45" i="33" s="1"/>
  <c r="S28" i="33"/>
  <c r="W28" i="33"/>
  <c r="T80" i="33"/>
  <c r="T64" i="33"/>
  <c r="X80" i="33"/>
  <c r="X64" i="33"/>
  <c r="AB64" i="33"/>
  <c r="D57" i="33"/>
  <c r="D61" i="33"/>
  <c r="AI78" i="33"/>
  <c r="AJ79" i="33" s="1"/>
  <c r="S64" i="33"/>
  <c r="W64" i="33"/>
  <c r="AI77" i="33"/>
  <c r="U64" i="33"/>
  <c r="Y64" i="33"/>
  <c r="Q39" i="16"/>
  <c r="AJ80" i="33" l="1"/>
  <c r="C64" i="33"/>
  <c r="C80" i="33"/>
  <c r="C82" i="33" s="1"/>
  <c r="C45" i="33"/>
  <c r="D28" i="33"/>
  <c r="H79" i="33"/>
  <c r="H82" i="33" s="1"/>
  <c r="D80" i="33"/>
  <c r="D82" i="33" s="1"/>
  <c r="C28" i="33"/>
  <c r="H3" i="33"/>
  <c r="D64" i="33"/>
  <c r="H44" i="33"/>
  <c r="H49" i="33" s="1"/>
  <c r="J42" i="33"/>
  <c r="I5" i="33"/>
  <c r="I13" i="33" s="1"/>
  <c r="C54" i="5"/>
  <c r="J5" i="33" l="1"/>
  <c r="J13" i="33" s="1"/>
  <c r="K42" i="33"/>
  <c r="I44" i="33"/>
  <c r="I49" i="33" s="1"/>
  <c r="I3" i="33"/>
  <c r="I79" i="33"/>
  <c r="I82" i="33" s="1"/>
  <c r="C19" i="5"/>
  <c r="C5" i="5"/>
  <c r="C9" i="5"/>
  <c r="C15" i="5"/>
  <c r="C12" i="5"/>
  <c r="C18" i="5"/>
  <c r="C6" i="5"/>
  <c r="C21" i="5"/>
  <c r="AC44" i="16"/>
  <c r="AC14" i="16"/>
  <c r="AC77" i="16"/>
  <c r="AC83" i="33"/>
  <c r="Y83" i="33"/>
  <c r="U83" i="33"/>
  <c r="Q83" i="33"/>
  <c r="M83" i="33"/>
  <c r="I83" i="33"/>
  <c r="D83" i="33"/>
  <c r="AL77" i="33"/>
  <c r="AA50" i="33"/>
  <c r="W50" i="33"/>
  <c r="S50" i="33"/>
  <c r="G50" i="33"/>
  <c r="AB83" i="33"/>
  <c r="X83" i="33"/>
  <c r="T83" i="33"/>
  <c r="P83" i="33"/>
  <c r="L83" i="33"/>
  <c r="H83" i="33"/>
  <c r="AA83" i="33"/>
  <c r="W83" i="33"/>
  <c r="S83" i="33"/>
  <c r="O83" i="33"/>
  <c r="K83" i="33"/>
  <c r="G83" i="33"/>
  <c r="AL78" i="33"/>
  <c r="AC50" i="33"/>
  <c r="Y50" i="33"/>
  <c r="U50" i="33"/>
  <c r="Q50" i="33"/>
  <c r="D50" i="33"/>
  <c r="AL44" i="33"/>
  <c r="R83" i="33"/>
  <c r="Z50" i="33"/>
  <c r="R50" i="33"/>
  <c r="AL43" i="33"/>
  <c r="AC14" i="33"/>
  <c r="Y14" i="33"/>
  <c r="U14" i="33"/>
  <c r="Q14" i="33"/>
  <c r="D14" i="33"/>
  <c r="N83" i="33"/>
  <c r="X50" i="33"/>
  <c r="H50" i="33"/>
  <c r="AL46" i="33"/>
  <c r="AL41" i="33"/>
  <c r="AB14" i="33"/>
  <c r="X14" i="33"/>
  <c r="T14" i="33"/>
  <c r="AL10" i="33"/>
  <c r="J83" i="33"/>
  <c r="V50" i="33"/>
  <c r="F50" i="33"/>
  <c r="AA14" i="33"/>
  <c r="S14" i="33"/>
  <c r="AL6" i="33"/>
  <c r="AL5" i="33"/>
  <c r="Z83" i="33"/>
  <c r="AL7" i="33"/>
  <c r="V83" i="33"/>
  <c r="AL8" i="33"/>
  <c r="F83" i="33"/>
  <c r="AL76" i="33"/>
  <c r="T50" i="33"/>
  <c r="AL45" i="33"/>
  <c r="Z14" i="33"/>
  <c r="R14" i="33"/>
  <c r="W14" i="33"/>
  <c r="AL79" i="33"/>
  <c r="AB50" i="33"/>
  <c r="AL42" i="33"/>
  <c r="V14" i="33"/>
  <c r="F14" i="33"/>
  <c r="AL9" i="33"/>
  <c r="I50" i="33"/>
  <c r="G14" i="33"/>
  <c r="H14" i="33"/>
  <c r="J50" i="33"/>
  <c r="K50" i="33"/>
  <c r="I14" i="33"/>
  <c r="H15" i="33" l="1"/>
  <c r="G15" i="33"/>
  <c r="F15" i="33"/>
  <c r="F84" i="33"/>
  <c r="F51" i="33"/>
  <c r="H51" i="33"/>
  <c r="G84" i="33"/>
  <c r="H84" i="33"/>
  <c r="G51" i="33"/>
  <c r="I15" i="33"/>
  <c r="K5" i="33"/>
  <c r="K13" i="33" s="1"/>
  <c r="I84" i="33"/>
  <c r="J79" i="33"/>
  <c r="J82" i="33" s="1"/>
  <c r="J3" i="33"/>
  <c r="I51" i="33"/>
  <c r="J44" i="33"/>
  <c r="J49" i="33" s="1"/>
  <c r="L42" i="33"/>
  <c r="C53" i="5"/>
  <c r="J14" i="33"/>
  <c r="L50" i="33"/>
  <c r="J15" i="33" l="1"/>
  <c r="M42" i="33"/>
  <c r="L5" i="33"/>
  <c r="L13" i="33" s="1"/>
  <c r="J51" i="33"/>
  <c r="K44" i="33"/>
  <c r="K49" i="33" s="1"/>
  <c r="K3" i="33"/>
  <c r="J84" i="33"/>
  <c r="K79" i="33"/>
  <c r="K82" i="33" s="1"/>
  <c r="C44" i="5"/>
  <c r="M50" i="33"/>
  <c r="K14" i="33"/>
  <c r="K15" i="33" l="1"/>
  <c r="L3" i="33"/>
  <c r="K84" i="33"/>
  <c r="L79" i="33"/>
  <c r="L82" i="33" s="1"/>
  <c r="K51" i="33"/>
  <c r="L44" i="33"/>
  <c r="L49" i="33" s="1"/>
  <c r="M5" i="33"/>
  <c r="M13" i="33" s="1"/>
  <c r="N42" i="33"/>
  <c r="AD37" i="16"/>
  <c r="N50" i="33"/>
  <c r="L14" i="33"/>
  <c r="L15" i="33" l="1"/>
  <c r="L84" i="33"/>
  <c r="M79" i="33"/>
  <c r="M82" i="33" s="1"/>
  <c r="M3" i="33"/>
  <c r="N5" i="33"/>
  <c r="N13" i="33" s="1"/>
  <c r="O42" i="33"/>
  <c r="M44" i="33"/>
  <c r="M49" i="33" s="1"/>
  <c r="L51" i="33"/>
  <c r="AF34" i="16"/>
  <c r="AA9" i="16"/>
  <c r="O50" i="33"/>
  <c r="M14" i="33"/>
  <c r="M15" i="33" l="1"/>
  <c r="N3" i="33"/>
  <c r="P42" i="33"/>
  <c r="M84" i="33"/>
  <c r="N79" i="33"/>
  <c r="N82" i="33" s="1"/>
  <c r="O5" i="33"/>
  <c r="M51" i="33"/>
  <c r="N44" i="33"/>
  <c r="N49" i="33" s="1"/>
  <c r="C6" i="16"/>
  <c r="D6" i="16"/>
  <c r="AD72" i="16"/>
  <c r="AD61" i="16"/>
  <c r="AD48" i="16"/>
  <c r="AD36" i="16"/>
  <c r="AD28" i="16"/>
  <c r="N14" i="33"/>
  <c r="P50" i="33"/>
  <c r="AD44" i="16"/>
  <c r="AD77" i="16"/>
  <c r="AD14" i="16"/>
  <c r="N15" i="33" l="1"/>
  <c r="AI45" i="33"/>
  <c r="AJ46" i="33" s="1"/>
  <c r="AJ44" i="33"/>
  <c r="AI44" i="33"/>
  <c r="O8" i="33"/>
  <c r="N51" i="33"/>
  <c r="O44" i="33"/>
  <c r="N84" i="33"/>
  <c r="O79" i="33"/>
  <c r="O82" i="33" s="1"/>
  <c r="O3" i="33"/>
  <c r="D73" i="16"/>
  <c r="D59" i="16"/>
  <c r="D42" i="16"/>
  <c r="D41" i="16"/>
  <c r="D38" i="16"/>
  <c r="D26" i="16"/>
  <c r="D12" i="16"/>
  <c r="D5" i="16"/>
  <c r="Q72" i="16"/>
  <c r="R72" i="16" s="1"/>
  <c r="Q61" i="16"/>
  <c r="R61" i="16" s="1"/>
  <c r="C59" i="16"/>
  <c r="Q48" i="16"/>
  <c r="R48" i="16" s="1"/>
  <c r="O14" i="33"/>
  <c r="O84" i="33" l="1"/>
  <c r="P79" i="33"/>
  <c r="P82" i="33" s="1"/>
  <c r="O13" i="33"/>
  <c r="P3" i="33"/>
  <c r="O46" i="33"/>
  <c r="C42" i="16"/>
  <c r="C41" i="16"/>
  <c r="Q36" i="16"/>
  <c r="R36" i="16" s="1"/>
  <c r="Q28" i="16"/>
  <c r="R28" i="16" s="1"/>
  <c r="C26" i="16"/>
  <c r="Q18" i="16"/>
  <c r="R18" i="16" s="1"/>
  <c r="P14" i="33"/>
  <c r="Q44" i="16"/>
  <c r="Q14" i="16"/>
  <c r="P5" i="33" l="1"/>
  <c r="P13" i="33" s="1"/>
  <c r="O15" i="33"/>
  <c r="O49" i="33"/>
  <c r="AI9" i="33"/>
  <c r="AJ10" i="33" s="1"/>
  <c r="P84" i="33"/>
  <c r="Q79" i="33"/>
  <c r="Q82" i="33" s="1"/>
  <c r="C12" i="16"/>
  <c r="R3" i="16"/>
  <c r="Q77" i="16"/>
  <c r="Q84" i="33" l="1"/>
  <c r="R79" i="33"/>
  <c r="R82" i="33" s="1"/>
  <c r="O51" i="33"/>
  <c r="P44" i="33"/>
  <c r="P15" i="33"/>
  <c r="Q5" i="33"/>
  <c r="F3" i="16"/>
  <c r="F18" i="16"/>
  <c r="G18" i="16" s="1"/>
  <c r="H18" i="16" s="1"/>
  <c r="I18" i="16" s="1"/>
  <c r="J18" i="16" s="1"/>
  <c r="K18" i="16" s="1"/>
  <c r="L18" i="16" s="1"/>
  <c r="M18" i="16" s="1"/>
  <c r="N18" i="16" s="1"/>
  <c r="O18" i="16" s="1"/>
  <c r="P18" i="16" s="1"/>
  <c r="F25" i="16"/>
  <c r="G25" i="16"/>
  <c r="H25" i="16"/>
  <c r="I25" i="16"/>
  <c r="J25" i="16"/>
  <c r="K25" i="16"/>
  <c r="L25" i="16"/>
  <c r="M25" i="16"/>
  <c r="N25" i="16"/>
  <c r="O25" i="16"/>
  <c r="P25" i="16"/>
  <c r="F28" i="16"/>
  <c r="G28" i="16" s="1"/>
  <c r="H28" i="16" s="1"/>
  <c r="I28" i="16" s="1"/>
  <c r="J28" i="16" s="1"/>
  <c r="K28" i="16" s="1"/>
  <c r="L28" i="16" s="1"/>
  <c r="M28" i="16" s="1"/>
  <c r="N28" i="16" s="1"/>
  <c r="O28" i="16" s="1"/>
  <c r="P28" i="16" s="1"/>
  <c r="F36" i="16"/>
  <c r="P39" i="16"/>
  <c r="F48" i="16"/>
  <c r="G48" i="16" s="1"/>
  <c r="H48" i="16" s="1"/>
  <c r="I48" i="16" s="1"/>
  <c r="J48" i="16" s="1"/>
  <c r="K48" i="16" s="1"/>
  <c r="L48" i="16" s="1"/>
  <c r="M48" i="16" s="1"/>
  <c r="N48" i="16" s="1"/>
  <c r="O48" i="16" s="1"/>
  <c r="P48" i="16" s="1"/>
  <c r="F58" i="16"/>
  <c r="G58" i="16"/>
  <c r="H58" i="16"/>
  <c r="I58" i="16"/>
  <c r="J58" i="16"/>
  <c r="K58" i="16"/>
  <c r="L58" i="16"/>
  <c r="M58" i="16"/>
  <c r="N58" i="16"/>
  <c r="O58" i="16"/>
  <c r="P58" i="16"/>
  <c r="F61" i="16"/>
  <c r="G61" i="16" s="1"/>
  <c r="H61" i="16" s="1"/>
  <c r="I61" i="16" s="1"/>
  <c r="J61" i="16" s="1"/>
  <c r="K61" i="16" s="1"/>
  <c r="L61" i="16" s="1"/>
  <c r="M61" i="16" s="1"/>
  <c r="N61" i="16" s="1"/>
  <c r="O61" i="16" s="1"/>
  <c r="P61" i="16" s="1"/>
  <c r="F72" i="16"/>
  <c r="G72" i="16" s="1"/>
  <c r="H72" i="16" s="1"/>
  <c r="I72" i="16" s="1"/>
  <c r="J72" i="16" s="1"/>
  <c r="K72" i="16" s="1"/>
  <c r="L72" i="16" s="1"/>
  <c r="M72" i="16" s="1"/>
  <c r="N72" i="16" s="1"/>
  <c r="O72" i="16" s="1"/>
  <c r="P72" i="16" s="1"/>
  <c r="F14" i="16"/>
  <c r="I77" i="16"/>
  <c r="M77" i="16"/>
  <c r="F44" i="16"/>
  <c r="F77" i="16"/>
  <c r="J77" i="16"/>
  <c r="N77" i="16"/>
  <c r="G77" i="16"/>
  <c r="O77" i="16"/>
  <c r="H77" i="16"/>
  <c r="P77" i="16"/>
  <c r="K77" i="16"/>
  <c r="L77" i="16"/>
  <c r="P46" i="33" l="1"/>
  <c r="P49" i="33" s="1"/>
  <c r="Q8" i="33"/>
  <c r="R84" i="33"/>
  <c r="S79" i="33"/>
  <c r="S82" i="33" s="1"/>
  <c r="G36" i="16"/>
  <c r="G3" i="16"/>
  <c r="G44" i="16"/>
  <c r="G14" i="16"/>
  <c r="P51" i="33" l="1"/>
  <c r="Q44" i="33"/>
  <c r="Q13" i="33"/>
  <c r="S84" i="33"/>
  <c r="T79" i="33"/>
  <c r="T82" i="33" s="1"/>
  <c r="H3" i="16"/>
  <c r="H36" i="16"/>
  <c r="H14" i="16"/>
  <c r="H44" i="16"/>
  <c r="T84" i="33" l="1"/>
  <c r="U79" i="33"/>
  <c r="U82" i="33" s="1"/>
  <c r="Q15" i="33"/>
  <c r="R5" i="33"/>
  <c r="Q46" i="33"/>
  <c r="I36" i="16"/>
  <c r="I3" i="16"/>
  <c r="F73" i="16"/>
  <c r="F76" i="16" s="1"/>
  <c r="F38" i="16"/>
  <c r="F43" i="16" s="1"/>
  <c r="I44" i="16"/>
  <c r="I14" i="16"/>
  <c r="R8" i="33" l="1"/>
  <c r="U84" i="33"/>
  <c r="V79" i="33"/>
  <c r="V82" i="33" s="1"/>
  <c r="Q49" i="33"/>
  <c r="J3" i="16"/>
  <c r="J36" i="16"/>
  <c r="F45" i="16"/>
  <c r="G38" i="16"/>
  <c r="G43" i="16" s="1"/>
  <c r="F78" i="16"/>
  <c r="G73" i="16"/>
  <c r="G76" i="16" s="1"/>
  <c r="J14" i="16"/>
  <c r="J44" i="16"/>
  <c r="Q51" i="33" l="1"/>
  <c r="R44" i="33"/>
  <c r="V84" i="33"/>
  <c r="W79" i="33"/>
  <c r="W82" i="33" s="1"/>
  <c r="R13" i="33"/>
  <c r="K36" i="16"/>
  <c r="K3" i="16"/>
  <c r="H73" i="16"/>
  <c r="H76" i="16" s="1"/>
  <c r="G78" i="16"/>
  <c r="H38" i="16"/>
  <c r="H43" i="16" s="1"/>
  <c r="G45" i="16"/>
  <c r="F5" i="16"/>
  <c r="F13" i="16" s="1"/>
  <c r="K44" i="16"/>
  <c r="K14" i="16"/>
  <c r="R15" i="33" l="1"/>
  <c r="S5" i="33"/>
  <c r="W84" i="33"/>
  <c r="X79" i="33"/>
  <c r="X82" i="33" s="1"/>
  <c r="R46" i="33"/>
  <c r="L3" i="16"/>
  <c r="L36" i="16"/>
  <c r="I38" i="16"/>
  <c r="I43" i="16" s="1"/>
  <c r="H45" i="16"/>
  <c r="F15" i="16"/>
  <c r="G5" i="16"/>
  <c r="G13" i="16" s="1"/>
  <c r="I73" i="16"/>
  <c r="I76" i="16" s="1"/>
  <c r="H78" i="16"/>
  <c r="L14" i="16"/>
  <c r="L44" i="16"/>
  <c r="X84" i="33" l="1"/>
  <c r="Y79" i="33"/>
  <c r="Y82" i="33" s="1"/>
  <c r="R49" i="33"/>
  <c r="S8" i="33"/>
  <c r="S13" i="33" s="1"/>
  <c r="M36" i="16"/>
  <c r="M3" i="16"/>
  <c r="J73" i="16"/>
  <c r="J76" i="16" s="1"/>
  <c r="I78" i="16"/>
  <c r="G15" i="16"/>
  <c r="H5" i="16"/>
  <c r="H13" i="16" s="1"/>
  <c r="I45" i="16"/>
  <c r="J38" i="16"/>
  <c r="J43" i="16" s="1"/>
  <c r="M44" i="16"/>
  <c r="M14" i="16"/>
  <c r="S15" i="33" l="1"/>
  <c r="T5" i="33"/>
  <c r="S44" i="33"/>
  <c r="R51" i="33"/>
  <c r="Y84" i="33"/>
  <c r="Z79" i="33"/>
  <c r="Z82" i="33" s="1"/>
  <c r="N3" i="16"/>
  <c r="N36" i="16"/>
  <c r="I5" i="16"/>
  <c r="I13" i="16" s="1"/>
  <c r="H15" i="16"/>
  <c r="J45" i="16"/>
  <c r="K38" i="16"/>
  <c r="J78" i="16"/>
  <c r="K73" i="16"/>
  <c r="C44" i="29"/>
  <c r="C8" i="29"/>
  <c r="C21" i="29"/>
  <c r="C5" i="29"/>
  <c r="C9" i="29"/>
  <c r="C15" i="29"/>
  <c r="C12" i="29"/>
  <c r="C18" i="29"/>
  <c r="C6" i="29"/>
  <c r="C54" i="29"/>
  <c r="N14" i="16"/>
  <c r="N44" i="16"/>
  <c r="Z84" i="33" l="1"/>
  <c r="AA79" i="33"/>
  <c r="AA82" i="33" s="1"/>
  <c r="S46" i="33"/>
  <c r="S49" i="33" s="1"/>
  <c r="T8" i="33"/>
  <c r="O36" i="16"/>
  <c r="O3" i="16"/>
  <c r="C33" i="29"/>
  <c r="K76" i="16"/>
  <c r="K78" i="16" s="1"/>
  <c r="K43" i="16"/>
  <c r="K45" i="16" s="1"/>
  <c r="J5" i="16"/>
  <c r="J13" i="16" s="1"/>
  <c r="I15" i="16"/>
  <c r="K40" i="29"/>
  <c r="K39" i="29"/>
  <c r="K38" i="29"/>
  <c r="K37" i="29"/>
  <c r="K36" i="29"/>
  <c r="G44" i="29"/>
  <c r="G43" i="29"/>
  <c r="G42" i="29"/>
  <c r="G41" i="29"/>
  <c r="G40" i="29"/>
  <c r="G39" i="29"/>
  <c r="G38" i="29"/>
  <c r="G37" i="29"/>
  <c r="G44" i="28"/>
  <c r="G43" i="28"/>
  <c r="G42" i="28"/>
  <c r="G41" i="28"/>
  <c r="G40" i="28"/>
  <c r="G39" i="28"/>
  <c r="G38" i="28"/>
  <c r="G37" i="28"/>
  <c r="AB19" i="16"/>
  <c r="AB20" i="16"/>
  <c r="O44" i="16"/>
  <c r="O14" i="16"/>
  <c r="S51" i="33" l="1"/>
  <c r="T44" i="33"/>
  <c r="AA84" i="33"/>
  <c r="AB79" i="33"/>
  <c r="AB82" i="33" s="1"/>
  <c r="T13" i="33"/>
  <c r="P3" i="16"/>
  <c r="P36" i="16"/>
  <c r="L73" i="16"/>
  <c r="L76" i="16" s="1"/>
  <c r="M73" i="16" s="1"/>
  <c r="M76" i="16" s="1"/>
  <c r="L38" i="16"/>
  <c r="L43" i="16" s="1"/>
  <c r="M38" i="16" s="1"/>
  <c r="M43" i="16" s="1"/>
  <c r="J15" i="16"/>
  <c r="K5" i="16"/>
  <c r="P14" i="16"/>
  <c r="P44" i="16"/>
  <c r="AB84" i="33" l="1"/>
  <c r="AC79" i="33"/>
  <c r="AC82" i="33" s="1"/>
  <c r="AC84" i="33" s="1"/>
  <c r="T46" i="33"/>
  <c r="T49" i="33" s="1"/>
  <c r="T15" i="33"/>
  <c r="U5" i="33"/>
  <c r="L78" i="16"/>
  <c r="L45" i="16"/>
  <c r="K13" i="16"/>
  <c r="K15" i="16" s="1"/>
  <c r="N73" i="16"/>
  <c r="N76" i="16" s="1"/>
  <c r="M78" i="16"/>
  <c r="N38" i="16"/>
  <c r="N43" i="16" s="1"/>
  <c r="M45" i="16"/>
  <c r="T51" i="33" l="1"/>
  <c r="U44" i="33"/>
  <c r="U8" i="33"/>
  <c r="L5" i="16"/>
  <c r="L13" i="16" s="1"/>
  <c r="L15" i="16" s="1"/>
  <c r="N78" i="16"/>
  <c r="O73" i="16"/>
  <c r="O76" i="16" s="1"/>
  <c r="N45" i="16"/>
  <c r="O38" i="16"/>
  <c r="C6" i="28"/>
  <c r="C4" i="28"/>
  <c r="M5" i="16" l="1"/>
  <c r="M13" i="16" s="1"/>
  <c r="N5" i="16" s="1"/>
  <c r="N13" i="16" s="1"/>
  <c r="U13" i="33"/>
  <c r="U46" i="33"/>
  <c r="U49" i="33" s="1"/>
  <c r="O40" i="16"/>
  <c r="O78" i="16"/>
  <c r="P73" i="16"/>
  <c r="P76" i="16" s="1"/>
  <c r="P78" i="16" s="1"/>
  <c r="C54" i="28"/>
  <c r="M15" i="16" l="1"/>
  <c r="U51" i="33"/>
  <c r="V44" i="33"/>
  <c r="U15" i="33"/>
  <c r="V5" i="33"/>
  <c r="O43" i="16"/>
  <c r="O45" i="16" s="1"/>
  <c r="O5" i="16"/>
  <c r="N15" i="16"/>
  <c r="AA20" i="16"/>
  <c r="AA21" i="16"/>
  <c r="AA22" i="16"/>
  <c r="AA24" i="16"/>
  <c r="AA19" i="16"/>
  <c r="Z20" i="16"/>
  <c r="Z21" i="16"/>
  <c r="Z22" i="16"/>
  <c r="Z24" i="16"/>
  <c r="Z19" i="16"/>
  <c r="Z39" i="16" l="1"/>
  <c r="V8" i="33"/>
  <c r="AA11" i="33" s="1"/>
  <c r="V46" i="33"/>
  <c r="V49" i="33" s="1"/>
  <c r="P38" i="16"/>
  <c r="P40" i="16" s="1"/>
  <c r="O8" i="16"/>
  <c r="Z25" i="16"/>
  <c r="C19" i="28"/>
  <c r="C5" i="28"/>
  <c r="C9" i="28"/>
  <c r="C15" i="28"/>
  <c r="C12" i="28"/>
  <c r="C18" i="28"/>
  <c r="C21" i="28"/>
  <c r="V51" i="33" l="1"/>
  <c r="W44" i="33"/>
  <c r="C11" i="33"/>
  <c r="D11" i="33"/>
  <c r="V13" i="33"/>
  <c r="O13" i="16"/>
  <c r="O15" i="16" s="1"/>
  <c r="P43" i="16"/>
  <c r="P45" i="16" s="1"/>
  <c r="C33" i="28"/>
  <c r="W46" i="33" l="1"/>
  <c r="W49" i="33"/>
  <c r="W5" i="33"/>
  <c r="V15" i="33"/>
  <c r="P5" i="16"/>
  <c r="P13" i="16" s="1"/>
  <c r="P15" i="16" s="1"/>
  <c r="C44" i="28"/>
  <c r="W8" i="33" l="1"/>
  <c r="W13" i="33"/>
  <c r="W51" i="33"/>
  <c r="X44" i="33"/>
  <c r="C41" i="28"/>
  <c r="X46" i="33" l="1"/>
  <c r="X49" i="33"/>
  <c r="X5" i="33"/>
  <c r="W15" i="33"/>
  <c r="AM72" i="16"/>
  <c r="AM73" i="16"/>
  <c r="X8" i="33" l="1"/>
  <c r="X13" i="33"/>
  <c r="X51" i="33"/>
  <c r="Y44" i="33"/>
  <c r="Y46" i="33" l="1"/>
  <c r="Y49" i="33" s="1"/>
  <c r="X15" i="33"/>
  <c r="Y5" i="33"/>
  <c r="AK71" i="16"/>
  <c r="AM71" i="16"/>
  <c r="Y51" i="33" l="1"/>
  <c r="Z44" i="33"/>
  <c r="Y8" i="33"/>
  <c r="Y13" i="33" s="1"/>
  <c r="Z49" i="16"/>
  <c r="Y15" i="33" l="1"/>
  <c r="Z5" i="33"/>
  <c r="Z46" i="33"/>
  <c r="Z49" i="33" s="1"/>
  <c r="C5" i="27"/>
  <c r="C9" i="27"/>
  <c r="C15" i="27"/>
  <c r="C12" i="27"/>
  <c r="C18" i="27"/>
  <c r="C6" i="27"/>
  <c r="C21" i="27"/>
  <c r="AA44" i="33" l="1"/>
  <c r="Z51" i="33"/>
  <c r="Z8" i="33"/>
  <c r="Z13" i="33" s="1"/>
  <c r="C44" i="27"/>
  <c r="Z15" i="33" l="1"/>
  <c r="AA5" i="33"/>
  <c r="AA46" i="33"/>
  <c r="AA49" i="33" s="1"/>
  <c r="Y20" i="16"/>
  <c r="Y21" i="16"/>
  <c r="Y22" i="16"/>
  <c r="Y24" i="16"/>
  <c r="Y19" i="16"/>
  <c r="AA51" i="33" l="1"/>
  <c r="AB44" i="33"/>
  <c r="AA8" i="33"/>
  <c r="AA13" i="33" s="1"/>
  <c r="Y25" i="16"/>
  <c r="C5" i="26"/>
  <c r="C9" i="26"/>
  <c r="C15" i="26"/>
  <c r="C12" i="26"/>
  <c r="C18" i="26"/>
  <c r="C6" i="26"/>
  <c r="C21" i="26"/>
  <c r="AA15" i="33" l="1"/>
  <c r="AB5" i="33"/>
  <c r="AB46" i="33"/>
  <c r="AB8" i="33" l="1"/>
  <c r="D46" i="33"/>
  <c r="D49" i="33" s="1"/>
  <c r="C46" i="33"/>
  <c r="C49" i="33" s="1"/>
  <c r="AB49" i="33"/>
  <c r="K38" i="25"/>
  <c r="D8" i="33" l="1"/>
  <c r="D13" i="33" s="1"/>
  <c r="C8" i="33"/>
  <c r="C13" i="33" s="1"/>
  <c r="AC44" i="33"/>
  <c r="AB51" i="33"/>
  <c r="AI49" i="33" s="1"/>
  <c r="AJ50" i="33" s="1"/>
  <c r="AB13" i="33"/>
  <c r="K36" i="25"/>
  <c r="AC46" i="33" l="1"/>
  <c r="AB15" i="33"/>
  <c r="AC5" i="33"/>
  <c r="C18" i="25"/>
  <c r="C6" i="25"/>
  <c r="C19" i="25"/>
  <c r="C5" i="25"/>
  <c r="AI43" i="33" l="1"/>
  <c r="AI42" i="33"/>
  <c r="AJ43" i="33"/>
  <c r="AJ41" i="33"/>
  <c r="AC49" i="33"/>
  <c r="AC51" i="33" s="1"/>
  <c r="C33" i="25"/>
  <c r="C15" i="25"/>
  <c r="C12" i="25"/>
  <c r="C4" i="25"/>
  <c r="C21" i="25"/>
  <c r="C54" i="25"/>
  <c r="AJ47" i="33" l="1"/>
  <c r="C53" i="25"/>
  <c r="C44" i="25" l="1"/>
  <c r="G44" i="24" l="1"/>
  <c r="G43" i="24"/>
  <c r="G42" i="24"/>
  <c r="G41" i="24"/>
  <c r="G40" i="24"/>
  <c r="G39" i="24"/>
  <c r="G38" i="24"/>
  <c r="G37" i="24"/>
  <c r="C19" i="24" l="1"/>
  <c r="C5" i="24"/>
  <c r="C9" i="24"/>
  <c r="C15" i="24"/>
  <c r="C12" i="24"/>
  <c r="C18" i="24"/>
  <c r="C6" i="24"/>
  <c r="C4" i="24"/>
  <c r="C10" i="24"/>
  <c r="C8" i="24"/>
  <c r="C21" i="24"/>
  <c r="C44" i="24" l="1"/>
  <c r="AM9" i="16"/>
  <c r="AM6" i="16"/>
  <c r="AM36" i="16"/>
  <c r="AM70" i="16"/>
  <c r="AM8" i="16"/>
  <c r="AM38" i="16"/>
  <c r="AM7" i="16"/>
  <c r="AM35" i="16"/>
  <c r="AM37" i="16"/>
  <c r="AM5" i="16"/>
  <c r="C54" i="22" l="1"/>
  <c r="C44" i="22"/>
  <c r="C43" i="22"/>
  <c r="C31" i="22"/>
  <c r="C6" i="22"/>
  <c r="C5" i="22"/>
  <c r="C9" i="22"/>
  <c r="C15" i="22"/>
  <c r="C12" i="22"/>
  <c r="C18" i="22"/>
  <c r="C4" i="22"/>
  <c r="C10" i="22"/>
  <c r="C8" i="22"/>
  <c r="C21" i="22"/>
  <c r="C54" i="23" l="1"/>
  <c r="C9" i="23" l="1"/>
  <c r="C33" i="23" s="1"/>
  <c r="C15" i="23"/>
  <c r="C12" i="23"/>
  <c r="C18" i="23"/>
  <c r="C21" i="23"/>
  <c r="C6" i="23"/>
  <c r="C41" i="23" l="1"/>
  <c r="C39" i="23"/>
  <c r="C53" i="23"/>
  <c r="C44" i="23"/>
  <c r="C43" i="23" l="1"/>
  <c r="C53" i="20" l="1"/>
  <c r="C6" i="20"/>
  <c r="C19" i="20"/>
  <c r="C5" i="20"/>
  <c r="C9" i="20"/>
  <c r="C15" i="20"/>
  <c r="C12" i="20"/>
  <c r="C18" i="20"/>
  <c r="C21" i="20"/>
  <c r="C4" i="20"/>
  <c r="C10" i="20"/>
  <c r="C33" i="20" l="1"/>
  <c r="C52" i="20" s="1"/>
  <c r="C44" i="20"/>
  <c r="C37" i="21" l="1"/>
  <c r="C43" i="21" s="1"/>
  <c r="C53" i="21"/>
  <c r="C15" i="21" l="1"/>
  <c r="C6" i="21"/>
  <c r="C4" i="21"/>
  <c r="C10" i="21"/>
  <c r="C8" i="21"/>
  <c r="C19" i="21"/>
  <c r="C5" i="21"/>
  <c r="C9" i="21"/>
  <c r="C12" i="21"/>
  <c r="C18" i="21"/>
  <c r="C21" i="21"/>
  <c r="C33" i="21" l="1"/>
  <c r="C52" i="21" s="1"/>
  <c r="C44" i="21"/>
  <c r="C31" i="21"/>
  <c r="C55" i="21" l="1"/>
  <c r="H9" i="21" s="1"/>
  <c r="H11" i="19" l="1"/>
  <c r="H10" i="19"/>
  <c r="K10" i="19" s="1"/>
  <c r="C43" i="19"/>
  <c r="C33" i="19" l="1"/>
  <c r="C52" i="19" l="1"/>
  <c r="C56" i="19" s="1"/>
  <c r="Q75" i="16"/>
  <c r="C59" i="19" l="1"/>
  <c r="H9" i="19"/>
  <c r="D75" i="16"/>
  <c r="C75" i="16"/>
  <c r="G32" i="5"/>
  <c r="C33" i="5" l="1"/>
  <c r="C52" i="5" s="1"/>
  <c r="AA57" i="16" l="1"/>
  <c r="Z57" i="16"/>
  <c r="Y57" i="16"/>
  <c r="X57" i="16"/>
  <c r="W57" i="16"/>
  <c r="V57" i="16"/>
  <c r="U57" i="16"/>
  <c r="AA56" i="16"/>
  <c r="Z56" i="16"/>
  <c r="Y56" i="16"/>
  <c r="X56" i="16"/>
  <c r="W56" i="16"/>
  <c r="V56" i="16"/>
  <c r="U56" i="16"/>
  <c r="AB55" i="16"/>
  <c r="AA55" i="16"/>
  <c r="Z55" i="16"/>
  <c r="Y55" i="16"/>
  <c r="X55" i="16"/>
  <c r="W55" i="16"/>
  <c r="V55" i="16"/>
  <c r="U55" i="16"/>
  <c r="AA54" i="16"/>
  <c r="Z54" i="16"/>
  <c r="Y54" i="16"/>
  <c r="X54" i="16"/>
  <c r="W54" i="16"/>
  <c r="V54" i="16"/>
  <c r="U54" i="16"/>
  <c r="AA53" i="16"/>
  <c r="Z53" i="16"/>
  <c r="Y53" i="16"/>
  <c r="X53" i="16"/>
  <c r="W53" i="16"/>
  <c r="V53" i="16"/>
  <c r="U53" i="16"/>
  <c r="AA52" i="16"/>
  <c r="Z52" i="16"/>
  <c r="Y52" i="16"/>
  <c r="X52" i="16"/>
  <c r="W52" i="16"/>
  <c r="V52" i="16"/>
  <c r="U52" i="16"/>
  <c r="AA51" i="16"/>
  <c r="Z51" i="16"/>
  <c r="Y51" i="16"/>
  <c r="X51" i="16"/>
  <c r="W51" i="16"/>
  <c r="V51" i="16"/>
  <c r="U51" i="16"/>
  <c r="AA50" i="16"/>
  <c r="Z50" i="16"/>
  <c r="Y50" i="16"/>
  <c r="X50" i="16"/>
  <c r="W50" i="16"/>
  <c r="V50" i="16"/>
  <c r="U50" i="16"/>
  <c r="AA49" i="16"/>
  <c r="Y49" i="16"/>
  <c r="X49" i="16"/>
  <c r="W49" i="16"/>
  <c r="V49" i="16"/>
  <c r="U49" i="16"/>
  <c r="AB49" i="16"/>
  <c r="AB50" i="16"/>
  <c r="AB51" i="16"/>
  <c r="AB52" i="16"/>
  <c r="AB53" i="16"/>
  <c r="AB54" i="16"/>
  <c r="AB56" i="16"/>
  <c r="AB57" i="16"/>
  <c r="S72" i="16"/>
  <c r="T72" i="16" s="1"/>
  <c r="U72" i="16" s="1"/>
  <c r="V72" i="16" s="1"/>
  <c r="W72" i="16" s="1"/>
  <c r="S48" i="16"/>
  <c r="T48" i="16" s="1"/>
  <c r="U48" i="16" s="1"/>
  <c r="V48" i="16" s="1"/>
  <c r="W48" i="16" s="1"/>
  <c r="X48" i="16" s="1"/>
  <c r="Y48" i="16" s="1"/>
  <c r="Z48" i="16" s="1"/>
  <c r="AA48" i="16" s="1"/>
  <c r="AB48" i="16" s="1"/>
  <c r="S36" i="16"/>
  <c r="S28" i="16"/>
  <c r="T28" i="16" s="1"/>
  <c r="U28" i="16" s="1"/>
  <c r="V28" i="16" s="1"/>
  <c r="W28" i="16" s="1"/>
  <c r="X28" i="16" s="1"/>
  <c r="Y28" i="16" s="1"/>
  <c r="Z28" i="16" s="1"/>
  <c r="AA28" i="16" s="1"/>
  <c r="AB28" i="16" s="1"/>
  <c r="S61" i="16"/>
  <c r="T61" i="16" s="1"/>
  <c r="U61" i="16" s="1"/>
  <c r="V61" i="16" s="1"/>
  <c r="W61" i="16" s="1"/>
  <c r="X61" i="16" s="1"/>
  <c r="Y61" i="16" s="1"/>
  <c r="Z61" i="16" s="1"/>
  <c r="AA61" i="16" s="1"/>
  <c r="AB61" i="16" s="1"/>
  <c r="T57" i="16"/>
  <c r="S57" i="16"/>
  <c r="R57" i="16"/>
  <c r="T56" i="16"/>
  <c r="S56" i="16"/>
  <c r="R56" i="16"/>
  <c r="T55" i="16"/>
  <c r="S55" i="16"/>
  <c r="R55" i="16"/>
  <c r="T54" i="16"/>
  <c r="S54" i="16"/>
  <c r="R54" i="16"/>
  <c r="T53" i="16"/>
  <c r="S53" i="16"/>
  <c r="R53" i="16"/>
  <c r="T52" i="16"/>
  <c r="S52" i="16"/>
  <c r="R52" i="16"/>
  <c r="T51" i="16"/>
  <c r="S51" i="16"/>
  <c r="R51" i="16"/>
  <c r="T50" i="16"/>
  <c r="S50" i="16"/>
  <c r="R50" i="16"/>
  <c r="T49" i="16"/>
  <c r="S49" i="16"/>
  <c r="R49" i="16"/>
  <c r="AB24" i="16"/>
  <c r="X24" i="16"/>
  <c r="W24" i="16"/>
  <c r="V24" i="16"/>
  <c r="U24" i="16"/>
  <c r="T24" i="16"/>
  <c r="S24" i="16"/>
  <c r="AB22" i="16"/>
  <c r="X22" i="16"/>
  <c r="W22" i="16"/>
  <c r="V22" i="16"/>
  <c r="U22" i="16"/>
  <c r="T22" i="16"/>
  <c r="S22" i="16"/>
  <c r="AB21" i="16"/>
  <c r="X21" i="16"/>
  <c r="W21" i="16"/>
  <c r="V21" i="16"/>
  <c r="U21" i="16"/>
  <c r="T21" i="16"/>
  <c r="S21" i="16"/>
  <c r="Y39" i="16"/>
  <c r="X20" i="16"/>
  <c r="W20" i="16"/>
  <c r="V20" i="16"/>
  <c r="U20" i="16"/>
  <c r="T20" i="16"/>
  <c r="S20" i="16"/>
  <c r="AA25" i="16"/>
  <c r="X19" i="16"/>
  <c r="W19" i="16"/>
  <c r="V19" i="16"/>
  <c r="U19" i="16"/>
  <c r="T19" i="16"/>
  <c r="S19" i="16"/>
  <c r="S18" i="16"/>
  <c r="T18" i="16" s="1"/>
  <c r="U18" i="16" s="1"/>
  <c r="V18" i="16" s="1"/>
  <c r="W18" i="16" s="1"/>
  <c r="X18" i="16" s="1"/>
  <c r="Y18" i="16" s="1"/>
  <c r="Z18" i="16" s="1"/>
  <c r="AA18" i="16" s="1"/>
  <c r="AB18" i="16" s="1"/>
  <c r="S3" i="16"/>
  <c r="T3" i="16" s="1"/>
  <c r="U3" i="16" s="1"/>
  <c r="V3" i="16" s="1"/>
  <c r="R74" i="16" l="1"/>
  <c r="S74" i="16"/>
  <c r="Z74" i="16"/>
  <c r="D19" i="16"/>
  <c r="C19" i="16"/>
  <c r="Q25" i="16"/>
  <c r="D20" i="16"/>
  <c r="C20" i="16"/>
  <c r="D24" i="16"/>
  <c r="C24" i="16"/>
  <c r="D21" i="16"/>
  <c r="C21" i="16"/>
  <c r="D49" i="16"/>
  <c r="Q58" i="16"/>
  <c r="C49" i="16"/>
  <c r="Q74" i="16"/>
  <c r="C50" i="16"/>
  <c r="D50" i="16"/>
  <c r="C51" i="16"/>
  <c r="D51" i="16"/>
  <c r="D52" i="16"/>
  <c r="C52" i="16"/>
  <c r="D53" i="16"/>
  <c r="C53" i="16"/>
  <c r="C54" i="16"/>
  <c r="D54" i="16"/>
  <c r="C55" i="16"/>
  <c r="D55" i="16"/>
  <c r="D56" i="16"/>
  <c r="C56" i="16"/>
  <c r="D57" i="16"/>
  <c r="C57" i="16"/>
  <c r="D22" i="16"/>
  <c r="C22" i="16"/>
  <c r="T74" i="16"/>
  <c r="T39" i="16"/>
  <c r="X39" i="16"/>
  <c r="U39" i="16"/>
  <c r="AB25" i="16"/>
  <c r="S39" i="16"/>
  <c r="W39" i="16"/>
  <c r="V74" i="16"/>
  <c r="W74" i="16"/>
  <c r="X72" i="16"/>
  <c r="W3" i="16"/>
  <c r="V25" i="16"/>
  <c r="V39" i="16"/>
  <c r="U25" i="16"/>
  <c r="T36" i="16"/>
  <c r="R58" i="16"/>
  <c r="S58" i="16"/>
  <c r="AB58" i="16"/>
  <c r="U58" i="16"/>
  <c r="U74" i="16"/>
  <c r="AA58" i="16"/>
  <c r="V58" i="16"/>
  <c r="Y74" i="16"/>
  <c r="X74" i="16"/>
  <c r="Y58" i="16"/>
  <c r="Z58" i="16"/>
  <c r="W25" i="16"/>
  <c r="X25" i="16"/>
  <c r="W58" i="16"/>
  <c r="S25" i="16"/>
  <c r="T25" i="16"/>
  <c r="T58" i="16"/>
  <c r="X58" i="16"/>
  <c r="S77" i="16"/>
  <c r="R44" i="16"/>
  <c r="W77" i="16"/>
  <c r="V77" i="16"/>
  <c r="R14" i="16"/>
  <c r="R77" i="16"/>
  <c r="U14" i="16"/>
  <c r="T14" i="16"/>
  <c r="U77" i="16"/>
  <c r="X77" i="16"/>
  <c r="T44" i="16"/>
  <c r="T77" i="16"/>
  <c r="S14" i="16"/>
  <c r="V14" i="16"/>
  <c r="W14" i="16"/>
  <c r="S44" i="16"/>
  <c r="D74" i="16" l="1"/>
  <c r="C74" i="16"/>
  <c r="C76" i="16" s="1"/>
  <c r="D25" i="16"/>
  <c r="C39" i="16"/>
  <c r="D39" i="16"/>
  <c r="D58" i="16"/>
  <c r="C25" i="16"/>
  <c r="C58" i="16"/>
  <c r="Y72" i="16"/>
  <c r="X3" i="16"/>
  <c r="U36" i="16"/>
  <c r="X14" i="16"/>
  <c r="Y77" i="16"/>
  <c r="U44" i="16"/>
  <c r="Z72" i="16" l="1"/>
  <c r="Y3" i="16"/>
  <c r="V36" i="16"/>
  <c r="V44" i="16"/>
  <c r="Y14" i="16"/>
  <c r="Z77" i="16"/>
  <c r="AA72" i="16" l="1"/>
  <c r="Z3" i="16"/>
  <c r="W36" i="16"/>
  <c r="AA77" i="16"/>
  <c r="W44" i="16"/>
  <c r="Z14" i="16"/>
  <c r="AB72" i="16" l="1"/>
  <c r="AA3" i="16"/>
  <c r="X36" i="16"/>
  <c r="AB77" i="16"/>
  <c r="D77" i="16"/>
  <c r="X44" i="16"/>
  <c r="AA14" i="16"/>
  <c r="AB3" i="16" l="1"/>
  <c r="Y36" i="16"/>
  <c r="C52" i="29"/>
  <c r="D14" i="16"/>
  <c r="Y44" i="16"/>
  <c r="AB14" i="16"/>
  <c r="AJ9" i="16" l="1"/>
  <c r="AK10" i="16" s="1"/>
  <c r="Z36" i="16"/>
  <c r="Z44" i="16"/>
  <c r="AA36" i="16" l="1"/>
  <c r="AA44" i="16"/>
  <c r="AB36" i="16" l="1"/>
  <c r="AK39" i="16" s="1"/>
  <c r="K38" i="28"/>
  <c r="AB44" i="16"/>
  <c r="D44" i="16"/>
  <c r="AY39" i="16" l="1"/>
  <c r="AJ40" i="16"/>
  <c r="AY40" i="16" s="1"/>
  <c r="AJ38" i="16"/>
  <c r="AK38" i="16"/>
  <c r="M43" i="28" l="1"/>
  <c r="I45" i="28"/>
  <c r="H53" i="28" s="1"/>
  <c r="I32" i="28"/>
  <c r="N43" i="28" l="1"/>
  <c r="K36" i="27"/>
  <c r="G37" i="26" l="1"/>
  <c r="C43" i="26"/>
  <c r="C11" i="26"/>
  <c r="C20" i="26" l="1"/>
  <c r="C7" i="26"/>
  <c r="C33" i="26"/>
  <c r="C52" i="26" s="1"/>
  <c r="C56" i="26" s="1"/>
  <c r="C59" i="26" s="1"/>
  <c r="C52" i="25" l="1"/>
  <c r="C33" i="24" l="1"/>
  <c r="C52" i="24" s="1"/>
  <c r="K36" i="22"/>
  <c r="I23" i="22" l="1"/>
  <c r="C33" i="22" l="1"/>
  <c r="C52" i="22" s="1"/>
  <c r="C56" i="22" s="1"/>
  <c r="H9" i="22" s="1"/>
  <c r="C59" i="22" l="1"/>
  <c r="C8" i="23" l="1"/>
  <c r="I24" i="20" l="1"/>
  <c r="G38" i="26" l="1"/>
  <c r="G38" i="25"/>
  <c r="G38" i="22"/>
  <c r="G38" i="23"/>
  <c r="G38" i="20"/>
  <c r="I38" i="20" s="1"/>
  <c r="G38" i="21"/>
  <c r="G29" i="18" l="1"/>
  <c r="H29" i="18"/>
  <c r="I29" i="18"/>
  <c r="K29" i="18"/>
  <c r="L29" i="18"/>
  <c r="M29" i="18"/>
  <c r="G30" i="18"/>
  <c r="H30" i="18"/>
  <c r="I30" i="18"/>
  <c r="K30" i="18"/>
  <c r="L30" i="18"/>
  <c r="M30" i="18"/>
  <c r="I38" i="26" l="1"/>
  <c r="I24" i="26"/>
  <c r="I38" i="25"/>
  <c r="I24" i="25"/>
  <c r="I38" i="24"/>
  <c r="I24" i="24"/>
  <c r="I25" i="24"/>
  <c r="I38" i="22"/>
  <c r="I24" i="22"/>
  <c r="I25" i="22"/>
  <c r="I38" i="23"/>
  <c r="I24" i="23"/>
  <c r="I38" i="21"/>
  <c r="I24" i="21"/>
  <c r="I38" i="5"/>
  <c r="I24" i="5"/>
  <c r="M27" i="29" l="1"/>
  <c r="C52" i="28" l="1"/>
  <c r="G38" i="27" l="1"/>
  <c r="I38" i="27" l="1"/>
  <c r="I24" i="27"/>
  <c r="AH39" i="16" l="1"/>
  <c r="AI39" i="16"/>
  <c r="AH40" i="16"/>
  <c r="AI40" i="16"/>
  <c r="AG40" i="16"/>
  <c r="AG39" i="16"/>
  <c r="AF40" i="16"/>
  <c r="AM40" i="16"/>
  <c r="AM39" i="16"/>
  <c r="AI10" i="16" l="1"/>
  <c r="AH10" i="16"/>
  <c r="AG10" i="16"/>
  <c r="AF10" i="16"/>
  <c r="AM10" i="16"/>
  <c r="C33" i="27" l="1"/>
  <c r="C52" i="27" s="1"/>
  <c r="B12" i="30" l="1"/>
  <c r="B9" i="30"/>
  <c r="C129" i="3"/>
  <c r="C162" i="6"/>
  <c r="B13" i="30" l="1"/>
  <c r="B11" i="30"/>
  <c r="B10" i="30"/>
  <c r="B8" i="30"/>
  <c r="B16" i="30"/>
  <c r="B7" i="30"/>
  <c r="C4" i="30"/>
  <c r="C16" i="30" s="1"/>
  <c r="D4" i="30" l="1"/>
  <c r="C7" i="30"/>
  <c r="D16" i="30" l="1"/>
  <c r="D7" i="30"/>
  <c r="E4" i="30"/>
  <c r="E16" i="30" s="1"/>
  <c r="F4" i="30" l="1"/>
  <c r="F16" i="30" s="1"/>
  <c r="E7" i="30"/>
  <c r="F7" i="30" l="1"/>
  <c r="G4" i="30"/>
  <c r="G16" i="30" l="1"/>
  <c r="G7" i="30"/>
  <c r="H4" i="30"/>
  <c r="H16" i="30" l="1"/>
  <c r="H7" i="30"/>
  <c r="I4" i="30"/>
  <c r="I16" i="30" l="1"/>
  <c r="I7" i="30"/>
  <c r="J4" i="30"/>
  <c r="J16" i="30" l="1"/>
  <c r="J7" i="30"/>
  <c r="K4" i="30"/>
  <c r="K16" i="30" l="1"/>
  <c r="K7" i="30"/>
  <c r="L4" i="30"/>
  <c r="L16" i="30" l="1"/>
  <c r="L7" i="30"/>
  <c r="M4" i="30"/>
  <c r="M16" i="30" l="1"/>
  <c r="M7" i="30"/>
  <c r="N4" i="30"/>
  <c r="N7" i="30" s="1"/>
  <c r="N16" i="30" l="1"/>
  <c r="G32" i="21" l="1"/>
  <c r="C1" i="19" l="1"/>
  <c r="C1" i="21" s="1"/>
  <c r="AF69" i="16"/>
  <c r="AJ72" i="16" s="1"/>
  <c r="C43" i="29"/>
  <c r="C56" i="29" s="1"/>
  <c r="C27" i="29"/>
  <c r="C22" i="29"/>
  <c r="C20" i="29"/>
  <c r="C17" i="29"/>
  <c r="C14" i="29"/>
  <c r="C11" i="29"/>
  <c r="C7" i="29"/>
  <c r="C43" i="28"/>
  <c r="C27" i="28"/>
  <c r="C22" i="28"/>
  <c r="C20" i="28"/>
  <c r="C17" i="28"/>
  <c r="C14" i="28"/>
  <c r="C11" i="28"/>
  <c r="C7" i="28"/>
  <c r="C43" i="27"/>
  <c r="C56" i="27" s="1"/>
  <c r="H9" i="27" s="1"/>
  <c r="C27" i="27"/>
  <c r="C22" i="27"/>
  <c r="C20" i="27"/>
  <c r="C17" i="27"/>
  <c r="C14" i="27"/>
  <c r="C11" i="27"/>
  <c r="C7" i="27"/>
  <c r="C27" i="26"/>
  <c r="C22" i="26"/>
  <c r="C17" i="26"/>
  <c r="C14" i="26"/>
  <c r="C43" i="25"/>
  <c r="C56" i="25" s="1"/>
  <c r="C27" i="25"/>
  <c r="C22" i="25"/>
  <c r="C20" i="25"/>
  <c r="C17" i="25"/>
  <c r="C14" i="25"/>
  <c r="C11" i="25"/>
  <c r="C7" i="25"/>
  <c r="C43" i="24"/>
  <c r="C56" i="24" s="1"/>
  <c r="H9" i="24" s="1"/>
  <c r="C27" i="24"/>
  <c r="C22" i="24"/>
  <c r="C20" i="24"/>
  <c r="C17" i="24"/>
  <c r="C14" i="24"/>
  <c r="C11" i="24"/>
  <c r="C7" i="24"/>
  <c r="C27" i="22"/>
  <c r="C22" i="22"/>
  <c r="C20" i="22"/>
  <c r="C17" i="22"/>
  <c r="C14" i="22"/>
  <c r="C11" i="22"/>
  <c r="C7" i="22"/>
  <c r="C30" i="22" s="1"/>
  <c r="C32" i="22" s="1"/>
  <c r="C34" i="22" s="1"/>
  <c r="C52" i="23"/>
  <c r="C56" i="23" s="1"/>
  <c r="C27" i="23"/>
  <c r="C22" i="23"/>
  <c r="C20" i="23"/>
  <c r="C17" i="23"/>
  <c r="C14" i="23"/>
  <c r="C11" i="23"/>
  <c r="C7" i="23"/>
  <c r="C30" i="23" s="1"/>
  <c r="C32" i="23" s="1"/>
  <c r="C34" i="23" s="1"/>
  <c r="H7" i="23" s="1"/>
  <c r="I7" i="23" s="1"/>
  <c r="I14" i="23" s="1"/>
  <c r="I52" i="23" s="1"/>
  <c r="C43" i="20"/>
  <c r="C27" i="20"/>
  <c r="C22" i="20"/>
  <c r="C20" i="20"/>
  <c r="C17" i="20"/>
  <c r="C14" i="20"/>
  <c r="C11" i="20"/>
  <c r="C7" i="20"/>
  <c r="C27" i="21"/>
  <c r="C22" i="21"/>
  <c r="C20" i="21"/>
  <c r="C17" i="21"/>
  <c r="C14" i="21"/>
  <c r="C11" i="21"/>
  <c r="C7" i="21"/>
  <c r="C14" i="19"/>
  <c r="C1485" i="29"/>
  <c r="G32" i="29"/>
  <c r="G34" i="29" s="1"/>
  <c r="K28" i="29"/>
  <c r="K30" i="29" s="1"/>
  <c r="H11" i="29"/>
  <c r="L11" i="29" s="1"/>
  <c r="H10" i="29"/>
  <c r="K10" i="29" s="1"/>
  <c r="C1485" i="28"/>
  <c r="K40" i="28"/>
  <c r="K39" i="28"/>
  <c r="K37" i="28"/>
  <c r="K36" i="28"/>
  <c r="G32" i="28"/>
  <c r="G34" i="28" s="1"/>
  <c r="K28" i="28"/>
  <c r="M27" i="28"/>
  <c r="M28" i="28" s="1"/>
  <c r="N28" i="28" s="1"/>
  <c r="H11" i="28"/>
  <c r="L11" i="28" s="1"/>
  <c r="H10" i="28"/>
  <c r="K10" i="28" s="1"/>
  <c r="C1485" i="27"/>
  <c r="M42" i="27"/>
  <c r="G44" i="27"/>
  <c r="I44" i="27" s="1"/>
  <c r="M41" i="27"/>
  <c r="G43" i="27"/>
  <c r="I43" i="27" s="1"/>
  <c r="K40" i="27"/>
  <c r="M40" i="27" s="1"/>
  <c r="G42" i="27"/>
  <c r="I42" i="27" s="1"/>
  <c r="K39" i="27"/>
  <c r="G41" i="27"/>
  <c r="I41" i="27" s="1"/>
  <c r="K38" i="27"/>
  <c r="G40" i="27"/>
  <c r="I40" i="27" s="1"/>
  <c r="K37" i="27"/>
  <c r="G39" i="27"/>
  <c r="I39" i="27" s="1"/>
  <c r="G37" i="27"/>
  <c r="I37" i="27" s="1"/>
  <c r="G32" i="27"/>
  <c r="G34" i="27" s="1"/>
  <c r="I31" i="27"/>
  <c r="I30" i="27"/>
  <c r="K28" i="27"/>
  <c r="K30" i="27" s="1"/>
  <c r="I29" i="27"/>
  <c r="M27" i="27"/>
  <c r="I28" i="27"/>
  <c r="M26" i="27"/>
  <c r="I27" i="27"/>
  <c r="M25" i="27"/>
  <c r="I26" i="27"/>
  <c r="M24" i="27"/>
  <c r="I25" i="27"/>
  <c r="M23" i="27"/>
  <c r="I23" i="27"/>
  <c r="H11" i="27"/>
  <c r="L11" i="27" s="1"/>
  <c r="H10" i="27"/>
  <c r="K10" i="27" s="1"/>
  <c r="C1485" i="26"/>
  <c r="M42" i="26"/>
  <c r="G44" i="26"/>
  <c r="I44" i="26" s="1"/>
  <c r="M41" i="26"/>
  <c r="G43" i="26"/>
  <c r="I43" i="26" s="1"/>
  <c r="K40" i="26"/>
  <c r="M40" i="26" s="1"/>
  <c r="G42" i="26"/>
  <c r="I42" i="26" s="1"/>
  <c r="K39" i="26"/>
  <c r="G41" i="26"/>
  <c r="I41" i="26" s="1"/>
  <c r="K38" i="26"/>
  <c r="G40" i="26"/>
  <c r="I40" i="26" s="1"/>
  <c r="K37" i="26"/>
  <c r="G39" i="26"/>
  <c r="I39" i="26" s="1"/>
  <c r="K36" i="26"/>
  <c r="G32" i="26"/>
  <c r="I31" i="26"/>
  <c r="I30" i="26"/>
  <c r="K28" i="26"/>
  <c r="K30" i="26" s="1"/>
  <c r="I29" i="26"/>
  <c r="M27" i="26"/>
  <c r="I28" i="26"/>
  <c r="M26" i="26"/>
  <c r="I27" i="26"/>
  <c r="M25" i="26"/>
  <c r="I26" i="26"/>
  <c r="M24" i="26"/>
  <c r="I25" i="26"/>
  <c r="M23" i="26"/>
  <c r="I23" i="26"/>
  <c r="H11" i="26"/>
  <c r="L11" i="26" s="1"/>
  <c r="H10" i="26"/>
  <c r="K10" i="26" s="1"/>
  <c r="C1485" i="25"/>
  <c r="M42" i="25"/>
  <c r="G44" i="25"/>
  <c r="I44" i="25" s="1"/>
  <c r="M41" i="25"/>
  <c r="G43" i="25"/>
  <c r="I43" i="25" s="1"/>
  <c r="K40" i="25"/>
  <c r="M40" i="25" s="1"/>
  <c r="G42" i="25"/>
  <c r="I42" i="25" s="1"/>
  <c r="K39" i="25"/>
  <c r="G41" i="25"/>
  <c r="I41" i="25" s="1"/>
  <c r="G40" i="25"/>
  <c r="I40" i="25" s="1"/>
  <c r="K37" i="25"/>
  <c r="G39" i="25"/>
  <c r="I39" i="25" s="1"/>
  <c r="G37" i="25"/>
  <c r="G32" i="25"/>
  <c r="I31" i="25"/>
  <c r="I30" i="25"/>
  <c r="K28" i="25"/>
  <c r="K30" i="25" s="1"/>
  <c r="I29" i="25"/>
  <c r="M27" i="25"/>
  <c r="I28" i="25"/>
  <c r="M26" i="25"/>
  <c r="I27" i="25"/>
  <c r="M25" i="25"/>
  <c r="I26" i="25"/>
  <c r="M24" i="25"/>
  <c r="I25" i="25"/>
  <c r="M23" i="25"/>
  <c r="I23" i="25"/>
  <c r="H11" i="25"/>
  <c r="L11" i="25" s="1"/>
  <c r="H10" i="25"/>
  <c r="K10" i="25" s="1"/>
  <c r="C1485" i="24"/>
  <c r="M42" i="24"/>
  <c r="I44" i="24"/>
  <c r="M41" i="24"/>
  <c r="I43" i="24"/>
  <c r="K40" i="24"/>
  <c r="M40" i="24" s="1"/>
  <c r="I42" i="24"/>
  <c r="K39" i="24"/>
  <c r="I41" i="24"/>
  <c r="K38" i="24"/>
  <c r="I40" i="24"/>
  <c r="K37" i="24"/>
  <c r="I39" i="24"/>
  <c r="K36" i="24"/>
  <c r="I37" i="24"/>
  <c r="G32" i="24"/>
  <c r="I31" i="24"/>
  <c r="I30" i="24"/>
  <c r="K28" i="24"/>
  <c r="K30" i="24" s="1"/>
  <c r="I29" i="24"/>
  <c r="M27" i="24"/>
  <c r="I28" i="24"/>
  <c r="M26" i="24"/>
  <c r="I27" i="24"/>
  <c r="M25" i="24"/>
  <c r="I26" i="24"/>
  <c r="M24" i="24"/>
  <c r="M23" i="24"/>
  <c r="I23" i="24"/>
  <c r="H11" i="24"/>
  <c r="L11" i="24" s="1"/>
  <c r="H10" i="24"/>
  <c r="K10" i="24" s="1"/>
  <c r="C1485" i="23"/>
  <c r="M42" i="23"/>
  <c r="G44" i="23"/>
  <c r="I44" i="23" s="1"/>
  <c r="M41" i="23"/>
  <c r="G43" i="23"/>
  <c r="I43" i="23" s="1"/>
  <c r="K40" i="23"/>
  <c r="M40" i="23" s="1"/>
  <c r="G42" i="23"/>
  <c r="I42" i="23" s="1"/>
  <c r="K39" i="23"/>
  <c r="G41" i="23"/>
  <c r="I41" i="23" s="1"/>
  <c r="K38" i="23"/>
  <c r="G40" i="23"/>
  <c r="I40" i="23" s="1"/>
  <c r="K37" i="23"/>
  <c r="G39" i="23"/>
  <c r="I39" i="23" s="1"/>
  <c r="K36" i="23"/>
  <c r="G37" i="23"/>
  <c r="G32" i="23"/>
  <c r="I31" i="23"/>
  <c r="I30" i="23"/>
  <c r="K28" i="23"/>
  <c r="K30" i="23" s="1"/>
  <c r="I29" i="23"/>
  <c r="M27" i="23"/>
  <c r="I28" i="23"/>
  <c r="M26" i="23"/>
  <c r="I27" i="23"/>
  <c r="M25" i="23"/>
  <c r="I26" i="23"/>
  <c r="M24" i="23"/>
  <c r="I25" i="23"/>
  <c r="M23" i="23"/>
  <c r="I23" i="23"/>
  <c r="H11" i="23"/>
  <c r="L11" i="23" s="1"/>
  <c r="H10" i="23"/>
  <c r="K10" i="23" s="1"/>
  <c r="C1485" i="22"/>
  <c r="M42" i="22"/>
  <c r="G44" i="22"/>
  <c r="M41" i="22"/>
  <c r="G43" i="22"/>
  <c r="I43" i="22" s="1"/>
  <c r="K40" i="22"/>
  <c r="G42" i="22"/>
  <c r="I42" i="22" s="1"/>
  <c r="K39" i="22"/>
  <c r="G41" i="22"/>
  <c r="I41" i="22" s="1"/>
  <c r="K38" i="22"/>
  <c r="G40" i="22"/>
  <c r="I40" i="22" s="1"/>
  <c r="K37" i="22"/>
  <c r="G39" i="22"/>
  <c r="I39" i="22" s="1"/>
  <c r="G37" i="22"/>
  <c r="I37" i="22" s="1"/>
  <c r="G32" i="22"/>
  <c r="I31" i="22"/>
  <c r="I30" i="22"/>
  <c r="K28" i="22"/>
  <c r="K30" i="22" s="1"/>
  <c r="I29" i="22"/>
  <c r="M27" i="22"/>
  <c r="I28" i="22"/>
  <c r="M26" i="22"/>
  <c r="I27" i="22"/>
  <c r="M25" i="22"/>
  <c r="I26" i="22"/>
  <c r="M24" i="22"/>
  <c r="M23" i="22"/>
  <c r="H11" i="22"/>
  <c r="L11" i="22" s="1"/>
  <c r="H10" i="22"/>
  <c r="K10" i="22" s="1"/>
  <c r="C1484" i="21"/>
  <c r="M42" i="21"/>
  <c r="G44" i="21"/>
  <c r="I44" i="21" s="1"/>
  <c r="M41" i="21"/>
  <c r="G43" i="21"/>
  <c r="I43" i="21" s="1"/>
  <c r="K40" i="21"/>
  <c r="M40" i="21" s="1"/>
  <c r="G42" i="21"/>
  <c r="I42" i="21" s="1"/>
  <c r="K39" i="21"/>
  <c r="G41" i="21"/>
  <c r="I41" i="21" s="1"/>
  <c r="K38" i="21"/>
  <c r="G40" i="21"/>
  <c r="I40" i="21" s="1"/>
  <c r="K37" i="21"/>
  <c r="G39" i="21"/>
  <c r="I39" i="21" s="1"/>
  <c r="K36" i="21"/>
  <c r="G37" i="21"/>
  <c r="G34" i="21"/>
  <c r="I31" i="21"/>
  <c r="I30" i="21"/>
  <c r="K28" i="21"/>
  <c r="K30" i="21" s="1"/>
  <c r="I29" i="21"/>
  <c r="M27" i="21"/>
  <c r="I28" i="21"/>
  <c r="M26" i="21"/>
  <c r="I27" i="21"/>
  <c r="M25" i="21"/>
  <c r="I26" i="21"/>
  <c r="M24" i="21"/>
  <c r="I25" i="21"/>
  <c r="M23" i="21"/>
  <c r="I23" i="21"/>
  <c r="H11" i="21"/>
  <c r="L11" i="21" s="1"/>
  <c r="H10" i="21"/>
  <c r="K10" i="21" s="1"/>
  <c r="C1484" i="20"/>
  <c r="M42" i="20"/>
  <c r="G44" i="20"/>
  <c r="M41" i="20"/>
  <c r="G43" i="20"/>
  <c r="I43" i="20" s="1"/>
  <c r="K40" i="20"/>
  <c r="M40" i="20" s="1"/>
  <c r="G42" i="20"/>
  <c r="I42" i="20" s="1"/>
  <c r="K39" i="20"/>
  <c r="G41" i="20"/>
  <c r="I41" i="20" s="1"/>
  <c r="K38" i="20"/>
  <c r="G40" i="20"/>
  <c r="I40" i="20" s="1"/>
  <c r="K37" i="20"/>
  <c r="G39" i="20"/>
  <c r="I39" i="20" s="1"/>
  <c r="K36" i="20"/>
  <c r="G37" i="20"/>
  <c r="I37" i="20" s="1"/>
  <c r="G32" i="20"/>
  <c r="I31" i="20"/>
  <c r="I30" i="20"/>
  <c r="K28" i="20"/>
  <c r="K30" i="20" s="1"/>
  <c r="I29" i="20"/>
  <c r="M27" i="20"/>
  <c r="I28" i="20"/>
  <c r="M26" i="20"/>
  <c r="I27" i="20"/>
  <c r="M25" i="20"/>
  <c r="I26" i="20"/>
  <c r="M24" i="20"/>
  <c r="I25" i="20"/>
  <c r="M23" i="20"/>
  <c r="I23" i="20"/>
  <c r="H11" i="20"/>
  <c r="L11" i="20" s="1"/>
  <c r="H10" i="20"/>
  <c r="K10" i="20" s="1"/>
  <c r="C1485" i="19"/>
  <c r="M42" i="19"/>
  <c r="M41" i="19"/>
  <c r="K40" i="19"/>
  <c r="M40" i="19" s="1"/>
  <c r="K39" i="19"/>
  <c r="K38" i="19"/>
  <c r="K37" i="19"/>
  <c r="K36" i="19"/>
  <c r="G32" i="19"/>
  <c r="K28" i="19"/>
  <c r="K30" i="19" s="1"/>
  <c r="M27" i="19"/>
  <c r="C27" i="19"/>
  <c r="M26" i="19"/>
  <c r="C22" i="19"/>
  <c r="C20" i="19"/>
  <c r="C17" i="19"/>
  <c r="L11" i="19"/>
  <c r="C11" i="19"/>
  <c r="C7" i="19"/>
  <c r="AK73" i="16" l="1"/>
  <c r="AJ71" i="16"/>
  <c r="C30" i="28"/>
  <c r="C32" i="28" s="1"/>
  <c r="C34" i="28" s="1"/>
  <c r="H7" i="28" s="1"/>
  <c r="C56" i="28"/>
  <c r="AK70" i="16"/>
  <c r="C30" i="25"/>
  <c r="C32" i="25" s="1"/>
  <c r="C30" i="24"/>
  <c r="C32" i="24" s="1"/>
  <c r="C34" i="24" s="1"/>
  <c r="H7" i="24" s="1"/>
  <c r="H7" i="22"/>
  <c r="C61" i="22"/>
  <c r="H9" i="23"/>
  <c r="C30" i="21"/>
  <c r="C32" i="21" s="1"/>
  <c r="C34" i="21" s="1"/>
  <c r="H7" i="21" s="1"/>
  <c r="C30" i="19"/>
  <c r="C32" i="19" s="1"/>
  <c r="C34" i="19" s="1"/>
  <c r="H7" i="19" s="1"/>
  <c r="C30" i="27"/>
  <c r="C32" i="27" s="1"/>
  <c r="C34" i="27" s="1"/>
  <c r="H7" i="27" s="1"/>
  <c r="C30" i="26"/>
  <c r="C32" i="26" s="1"/>
  <c r="M39" i="26"/>
  <c r="M39" i="25"/>
  <c r="M40" i="22"/>
  <c r="C55" i="20"/>
  <c r="C58" i="20" s="1"/>
  <c r="G34" i="26"/>
  <c r="G34" i="25"/>
  <c r="G34" i="24"/>
  <c r="G34" i="22"/>
  <c r="G34" i="23"/>
  <c r="G34" i="20"/>
  <c r="G34" i="19"/>
  <c r="M39" i="27"/>
  <c r="M37" i="26"/>
  <c r="M36" i="26"/>
  <c r="M38" i="26"/>
  <c r="M37" i="25"/>
  <c r="M38" i="25"/>
  <c r="M37" i="24"/>
  <c r="M39" i="24"/>
  <c r="M38" i="24"/>
  <c r="M37" i="22"/>
  <c r="M38" i="22"/>
  <c r="M39" i="22"/>
  <c r="M38" i="23"/>
  <c r="M37" i="23"/>
  <c r="M39" i="23"/>
  <c r="M38" i="20"/>
  <c r="M37" i="20"/>
  <c r="M39" i="20"/>
  <c r="M39" i="21"/>
  <c r="M37" i="21"/>
  <c r="M38" i="21"/>
  <c r="M39" i="19"/>
  <c r="K30" i="28"/>
  <c r="F1" i="19"/>
  <c r="C58" i="21"/>
  <c r="G45" i="26"/>
  <c r="C1" i="20"/>
  <c r="F1" i="20" s="1"/>
  <c r="F1" i="21"/>
  <c r="M37" i="27"/>
  <c r="I32" i="26"/>
  <c r="I33" i="26" s="1"/>
  <c r="C30" i="29"/>
  <c r="C32" i="29" s="1"/>
  <c r="C59" i="24"/>
  <c r="M28" i="27"/>
  <c r="M29" i="27" s="1"/>
  <c r="G45" i="28"/>
  <c r="G47" i="28" s="1"/>
  <c r="G45" i="29"/>
  <c r="G47" i="29" s="1"/>
  <c r="C59" i="25"/>
  <c r="C59" i="29"/>
  <c r="M28" i="23"/>
  <c r="K53" i="23" s="1"/>
  <c r="I20" i="30" s="1"/>
  <c r="M28" i="24"/>
  <c r="K53" i="24" s="1"/>
  <c r="K20" i="30" s="1"/>
  <c r="K43" i="27"/>
  <c r="M28" i="19"/>
  <c r="K53" i="19" s="1"/>
  <c r="F20" i="30" s="1"/>
  <c r="K43" i="19"/>
  <c r="K45" i="19" s="1"/>
  <c r="K43" i="20"/>
  <c r="K45" i="20" s="1"/>
  <c r="I32" i="21"/>
  <c r="I32" i="22"/>
  <c r="I33" i="22" s="1"/>
  <c r="I32" i="23"/>
  <c r="I33" i="23" s="1"/>
  <c r="K43" i="23"/>
  <c r="K47" i="23" s="1"/>
  <c r="K43" i="24"/>
  <c r="K47" i="24" s="1"/>
  <c r="M28" i="26"/>
  <c r="K53" i="26" s="1"/>
  <c r="M20" i="30" s="1"/>
  <c r="G45" i="27"/>
  <c r="M28" i="29"/>
  <c r="M29" i="29" s="1"/>
  <c r="I32" i="19"/>
  <c r="G45" i="21"/>
  <c r="G45" i="23"/>
  <c r="G47" i="23" s="1"/>
  <c r="K43" i="29"/>
  <c r="K45" i="29" s="1"/>
  <c r="C30" i="20"/>
  <c r="I45" i="29"/>
  <c r="H53" i="29" s="1"/>
  <c r="I32" i="29"/>
  <c r="K43" i="28"/>
  <c r="I53" i="28"/>
  <c r="M38" i="27"/>
  <c r="M36" i="27"/>
  <c r="I32" i="27"/>
  <c r="I53" i="27" s="1"/>
  <c r="I45" i="27"/>
  <c r="H53" i="27" s="1"/>
  <c r="I37" i="26"/>
  <c r="I45" i="26" s="1"/>
  <c r="H53" i="26" s="1"/>
  <c r="M28" i="25"/>
  <c r="M29" i="25" s="1"/>
  <c r="K43" i="25"/>
  <c r="K47" i="25" s="1"/>
  <c r="I32" i="25"/>
  <c r="I53" i="25" s="1"/>
  <c r="G45" i="25"/>
  <c r="I37" i="25"/>
  <c r="I45" i="25" s="1"/>
  <c r="H53" i="25" s="1"/>
  <c r="I32" i="24"/>
  <c r="I33" i="24" s="1"/>
  <c r="M28" i="22"/>
  <c r="K53" i="22" s="1"/>
  <c r="J20" i="30" s="1"/>
  <c r="K43" i="22"/>
  <c r="K47" i="22" s="1"/>
  <c r="G45" i="22"/>
  <c r="G47" i="22" s="1"/>
  <c r="I37" i="23"/>
  <c r="I45" i="23" s="1"/>
  <c r="M28" i="20"/>
  <c r="M29" i="20" s="1"/>
  <c r="I32" i="20"/>
  <c r="I53" i="20" s="1"/>
  <c r="G45" i="20"/>
  <c r="M28" i="21"/>
  <c r="K43" i="21"/>
  <c r="K47" i="21" s="1"/>
  <c r="I37" i="21"/>
  <c r="I45" i="21" s="1"/>
  <c r="H53" i="21" s="1"/>
  <c r="I45" i="19"/>
  <c r="H53" i="19" s="1"/>
  <c r="I45" i="24"/>
  <c r="M36" i="25"/>
  <c r="M43" i="29"/>
  <c r="M36" i="24"/>
  <c r="G45" i="24"/>
  <c r="K43" i="26"/>
  <c r="K47" i="26" s="1"/>
  <c r="I44" i="22"/>
  <c r="I45" i="22" s="1"/>
  <c r="H53" i="22" s="1"/>
  <c r="M36" i="23"/>
  <c r="M36" i="22"/>
  <c r="I44" i="20"/>
  <c r="I45" i="20" s="1"/>
  <c r="M36" i="21"/>
  <c r="M36" i="20"/>
  <c r="G45" i="19"/>
  <c r="K45" i="28" l="1"/>
  <c r="M44" i="28"/>
  <c r="C59" i="28"/>
  <c r="H9" i="28"/>
  <c r="C60" i="21"/>
  <c r="K5" i="26"/>
  <c r="G47" i="26"/>
  <c r="L5" i="26"/>
  <c r="G47" i="20"/>
  <c r="K5" i="20"/>
  <c r="L5" i="20" s="1"/>
  <c r="C32" i="20"/>
  <c r="C34" i="20" s="1"/>
  <c r="M29" i="21"/>
  <c r="K53" i="21"/>
  <c r="G47" i="21"/>
  <c r="K5" i="21"/>
  <c r="K9" i="21" s="1"/>
  <c r="I53" i="21"/>
  <c r="G11" i="30" s="1"/>
  <c r="I53" i="19"/>
  <c r="F11" i="30" s="1"/>
  <c r="K5" i="19"/>
  <c r="K9" i="19" s="1"/>
  <c r="C61" i="19"/>
  <c r="C63" i="19" s="1"/>
  <c r="I53" i="29"/>
  <c r="I33" i="29"/>
  <c r="I46" i="29"/>
  <c r="C34" i="29"/>
  <c r="J7" i="28"/>
  <c r="J14" i="28" s="1"/>
  <c r="K52" i="28" s="1"/>
  <c r="C61" i="28"/>
  <c r="C63" i="28" s="1"/>
  <c r="G47" i="27"/>
  <c r="K5" i="27"/>
  <c r="L5" i="27" s="1"/>
  <c r="C34" i="26"/>
  <c r="C34" i="25"/>
  <c r="C61" i="25" s="1"/>
  <c r="K5" i="25"/>
  <c r="L5" i="25" s="1"/>
  <c r="G47" i="25"/>
  <c r="C61" i="24"/>
  <c r="K45" i="27"/>
  <c r="M43" i="26"/>
  <c r="J53" i="26" s="1"/>
  <c r="M17" i="30" s="1"/>
  <c r="M43" i="25"/>
  <c r="J53" i="25" s="1"/>
  <c r="L17" i="30" s="1"/>
  <c r="F8" i="30"/>
  <c r="M43" i="22"/>
  <c r="M44" i="22" s="1"/>
  <c r="M43" i="24"/>
  <c r="M44" i="24" s="1"/>
  <c r="M43" i="20"/>
  <c r="M44" i="20" s="1"/>
  <c r="M43" i="21"/>
  <c r="M43" i="23"/>
  <c r="M43" i="19"/>
  <c r="M44" i="19" s="1"/>
  <c r="K53" i="28"/>
  <c r="M29" i="28"/>
  <c r="J7" i="27"/>
  <c r="J14" i="27" s="1"/>
  <c r="C59" i="27"/>
  <c r="C1" i="23"/>
  <c r="F1" i="23" s="1"/>
  <c r="C59" i="23"/>
  <c r="M29" i="22"/>
  <c r="K53" i="27"/>
  <c r="N20" i="30" s="1"/>
  <c r="I33" i="19"/>
  <c r="K53" i="29"/>
  <c r="I46" i="26"/>
  <c r="I33" i="27"/>
  <c r="K53" i="20"/>
  <c r="H20" i="30" s="1"/>
  <c r="I53" i="22"/>
  <c r="K53" i="25"/>
  <c r="L20" i="30" s="1"/>
  <c r="M29" i="19"/>
  <c r="K5" i="29"/>
  <c r="L5" i="29" s="1"/>
  <c r="M29" i="26"/>
  <c r="M29" i="23"/>
  <c r="I33" i="28"/>
  <c r="I33" i="21"/>
  <c r="I46" i="21"/>
  <c r="K5" i="28"/>
  <c r="L5" i="28" s="1"/>
  <c r="I33" i="20"/>
  <c r="K5" i="23"/>
  <c r="L5" i="23" s="1"/>
  <c r="I53" i="26"/>
  <c r="J61" i="26" s="1"/>
  <c r="C63" i="22"/>
  <c r="G20" i="30"/>
  <c r="I33" i="25"/>
  <c r="I7" i="22"/>
  <c r="I53" i="23"/>
  <c r="M29" i="24"/>
  <c r="M43" i="27"/>
  <c r="I46" i="27"/>
  <c r="I53" i="24"/>
  <c r="K5" i="22"/>
  <c r="K9" i="22" s="1"/>
  <c r="J53" i="28"/>
  <c r="H9" i="26"/>
  <c r="H9" i="25"/>
  <c r="M44" i="29"/>
  <c r="J53" i="29"/>
  <c r="I46" i="28"/>
  <c r="I46" i="25"/>
  <c r="I46" i="24"/>
  <c r="H53" i="24"/>
  <c r="G47" i="24"/>
  <c r="K5" i="24"/>
  <c r="H9" i="29"/>
  <c r="H12" i="29" s="1"/>
  <c r="I46" i="22"/>
  <c r="J7" i="23"/>
  <c r="H53" i="23"/>
  <c r="I46" i="23"/>
  <c r="I46" i="20"/>
  <c r="H53" i="20"/>
  <c r="H9" i="20"/>
  <c r="G47" i="19"/>
  <c r="J7" i="19"/>
  <c r="I7" i="19"/>
  <c r="I14" i="19" s="1"/>
  <c r="I52" i="19" s="1"/>
  <c r="H12" i="19"/>
  <c r="I46" i="19"/>
  <c r="C61" i="29" l="1"/>
  <c r="H7" i="29"/>
  <c r="C61" i="26"/>
  <c r="C63" i="26" s="1"/>
  <c r="I7" i="28"/>
  <c r="I14" i="28" s="1"/>
  <c r="I52" i="28" s="1"/>
  <c r="I55" i="28" s="1"/>
  <c r="J61" i="25"/>
  <c r="L5" i="19"/>
  <c r="L9" i="19" s="1"/>
  <c r="L12" i="19" s="1"/>
  <c r="L5" i="24"/>
  <c r="L9" i="24" s="1"/>
  <c r="L12" i="24" s="1"/>
  <c r="K9" i="24"/>
  <c r="K12" i="24" s="1"/>
  <c r="H52" i="24" s="1"/>
  <c r="L5" i="22"/>
  <c r="L9" i="22" s="1"/>
  <c r="L12" i="22" s="1"/>
  <c r="L14" i="22" s="1"/>
  <c r="J19" i="30" s="1"/>
  <c r="K12" i="22"/>
  <c r="J53" i="23"/>
  <c r="I17" i="30" s="1"/>
  <c r="H7" i="20"/>
  <c r="J7" i="20" s="1"/>
  <c r="J14" i="20" s="1"/>
  <c r="C60" i="20"/>
  <c r="C62" i="20" s="1"/>
  <c r="L5" i="21"/>
  <c r="L9" i="21" s="1"/>
  <c r="L12" i="21" s="1"/>
  <c r="M44" i="21"/>
  <c r="J53" i="21"/>
  <c r="G17" i="30" s="1"/>
  <c r="J53" i="19"/>
  <c r="L53" i="19" s="1"/>
  <c r="C63" i="29"/>
  <c r="C61" i="27"/>
  <c r="C63" i="27" s="1"/>
  <c r="H7" i="26"/>
  <c r="J7" i="26" s="1"/>
  <c r="J14" i="26" s="1"/>
  <c r="H7" i="25"/>
  <c r="C63" i="25"/>
  <c r="L53" i="26"/>
  <c r="C63" i="24"/>
  <c r="M44" i="25"/>
  <c r="L53" i="25"/>
  <c r="J7" i="22"/>
  <c r="J14" i="22" s="1"/>
  <c r="I14" i="22"/>
  <c r="I52" i="22" s="1"/>
  <c r="I55" i="22" s="1"/>
  <c r="H12" i="22"/>
  <c r="H14" i="22" s="1"/>
  <c r="H15" i="22" s="1"/>
  <c r="L53" i="28"/>
  <c r="C61" i="23"/>
  <c r="C63" i="23" s="1"/>
  <c r="M44" i="26"/>
  <c r="J53" i="24"/>
  <c r="K17" i="30" s="1"/>
  <c r="J53" i="22"/>
  <c r="J17" i="30" s="1"/>
  <c r="M44" i="23"/>
  <c r="L53" i="29"/>
  <c r="K55" i="28"/>
  <c r="J53" i="20"/>
  <c r="H17" i="30" s="1"/>
  <c r="I7" i="27"/>
  <c r="N22" i="30"/>
  <c r="K52" i="27"/>
  <c r="K55" i="27" s="1"/>
  <c r="K52" i="20"/>
  <c r="K55" i="20" s="1"/>
  <c r="H22" i="30"/>
  <c r="G8" i="30"/>
  <c r="K8" i="30"/>
  <c r="J8" i="30"/>
  <c r="N8" i="30"/>
  <c r="I8" i="30"/>
  <c r="M8" i="30"/>
  <c r="H8" i="30"/>
  <c r="L8" i="30"/>
  <c r="I55" i="23"/>
  <c r="C1" i="22"/>
  <c r="C1" i="24" s="1"/>
  <c r="C1" i="25" s="1"/>
  <c r="C1" i="26" s="1"/>
  <c r="I7" i="20"/>
  <c r="I14" i="20" s="1"/>
  <c r="I52" i="20" s="1"/>
  <c r="I55" i="20" s="1"/>
  <c r="I55" i="19"/>
  <c r="AD7" i="16" s="1"/>
  <c r="F13" i="30"/>
  <c r="M44" i="27"/>
  <c r="J53" i="27"/>
  <c r="N17" i="30" s="1"/>
  <c r="J61" i="29"/>
  <c r="K12" i="19"/>
  <c r="H52" i="19" s="1"/>
  <c r="K9" i="26"/>
  <c r="K12" i="26" s="1"/>
  <c r="H12" i="26"/>
  <c r="L9" i="26"/>
  <c r="L12" i="26" s="1"/>
  <c r="H12" i="28"/>
  <c r="L9" i="28"/>
  <c r="L12" i="28" s="1"/>
  <c r="K9" i="28"/>
  <c r="K12" i="28" s="1"/>
  <c r="H52" i="28" s="1"/>
  <c r="H12" i="24"/>
  <c r="K9" i="27"/>
  <c r="K12" i="27" s="1"/>
  <c r="H52" i="27" s="1"/>
  <c r="H12" i="27"/>
  <c r="H14" i="27" s="1"/>
  <c r="L9" i="27"/>
  <c r="L12" i="27" s="1"/>
  <c r="K9" i="29"/>
  <c r="K12" i="29" s="1"/>
  <c r="H52" i="29" s="1"/>
  <c r="L9" i="29"/>
  <c r="L12" i="29" s="1"/>
  <c r="J61" i="28"/>
  <c r="K9" i="25"/>
  <c r="K12" i="25" s="1"/>
  <c r="H12" i="25"/>
  <c r="L9" i="25"/>
  <c r="L12" i="25" s="1"/>
  <c r="K9" i="23"/>
  <c r="K12" i="23" s="1"/>
  <c r="H12" i="23"/>
  <c r="H14" i="23" s="1"/>
  <c r="L9" i="23"/>
  <c r="L12" i="23" s="1"/>
  <c r="J52" i="23" s="1"/>
  <c r="J15" i="23"/>
  <c r="J14" i="23"/>
  <c r="H12" i="20"/>
  <c r="L9" i="20"/>
  <c r="L12" i="20" s="1"/>
  <c r="K9" i="20"/>
  <c r="K12" i="20" s="1"/>
  <c r="H52" i="20" s="1"/>
  <c r="K12" i="21"/>
  <c r="H12" i="21"/>
  <c r="H14" i="21" s="1"/>
  <c r="J15" i="19"/>
  <c r="J14" i="19"/>
  <c r="H14" i="19"/>
  <c r="H15" i="19" s="1"/>
  <c r="H14" i="25" l="1"/>
  <c r="H15" i="25" s="1"/>
  <c r="J15" i="28"/>
  <c r="I14" i="27"/>
  <c r="I52" i="27" s="1"/>
  <c r="I55" i="27" s="1"/>
  <c r="J61" i="20"/>
  <c r="I7" i="26"/>
  <c r="J15" i="26" s="1"/>
  <c r="H14" i="26"/>
  <c r="H15" i="26" s="1"/>
  <c r="J61" i="23"/>
  <c r="L53" i="23"/>
  <c r="J61" i="24"/>
  <c r="H52" i="22"/>
  <c r="H55" i="22" s="1"/>
  <c r="J61" i="22"/>
  <c r="C62" i="21"/>
  <c r="H15" i="21"/>
  <c r="I7" i="21"/>
  <c r="I14" i="21" s="1"/>
  <c r="I52" i="21" s="1"/>
  <c r="J7" i="21"/>
  <c r="J52" i="19"/>
  <c r="J55" i="19" s="1"/>
  <c r="L14" i="19"/>
  <c r="F19" i="30" s="1"/>
  <c r="F17" i="30"/>
  <c r="J61" i="19"/>
  <c r="I7" i="29"/>
  <c r="I14" i="29" s="1"/>
  <c r="I52" i="29" s="1"/>
  <c r="I55" i="29" s="1"/>
  <c r="J7" i="29"/>
  <c r="I7" i="25"/>
  <c r="I14" i="25" s="1"/>
  <c r="I52" i="25" s="1"/>
  <c r="I55" i="25" s="1"/>
  <c r="J7" i="25"/>
  <c r="J15" i="22"/>
  <c r="J7" i="24"/>
  <c r="I7" i="24"/>
  <c r="I14" i="24" s="1"/>
  <c r="I52" i="24" s="1"/>
  <c r="I55" i="24" s="1"/>
  <c r="L53" i="27"/>
  <c r="L53" i="24"/>
  <c r="L53" i="22"/>
  <c r="K14" i="22"/>
  <c r="L15" i="22" s="1"/>
  <c r="L53" i="20"/>
  <c r="L53" i="21"/>
  <c r="J61" i="21"/>
  <c r="J15" i="27"/>
  <c r="K52" i="26"/>
  <c r="K55" i="26" s="1"/>
  <c r="M22" i="30"/>
  <c r="K52" i="23"/>
  <c r="I22" i="30"/>
  <c r="F1" i="22"/>
  <c r="J52" i="22"/>
  <c r="J55" i="22" s="1"/>
  <c r="J15" i="20"/>
  <c r="K52" i="19"/>
  <c r="K55" i="19" s="1"/>
  <c r="F22" i="30"/>
  <c r="K14" i="19"/>
  <c r="H14" i="29"/>
  <c r="H15" i="29" s="1"/>
  <c r="H52" i="26"/>
  <c r="K14" i="26"/>
  <c r="J52" i="29"/>
  <c r="J55" i="29" s="1"/>
  <c r="L14" i="29"/>
  <c r="K14" i="27"/>
  <c r="K14" i="28"/>
  <c r="J52" i="25"/>
  <c r="J55" i="25" s="1"/>
  <c r="L14" i="25"/>
  <c r="L19" i="30" s="1"/>
  <c r="K14" i="25"/>
  <c r="H52" i="25"/>
  <c r="H15" i="27"/>
  <c r="H14" i="24"/>
  <c r="H15" i="24" s="1"/>
  <c r="J52" i="26"/>
  <c r="J55" i="26" s="1"/>
  <c r="L14" i="26"/>
  <c r="M19" i="30" s="1"/>
  <c r="K14" i="24"/>
  <c r="J52" i="28"/>
  <c r="J55" i="28" s="1"/>
  <c r="L14" i="28"/>
  <c r="K14" i="29"/>
  <c r="J52" i="27"/>
  <c r="J55" i="27" s="1"/>
  <c r="L14" i="27"/>
  <c r="J52" i="24"/>
  <c r="J55" i="24" s="1"/>
  <c r="L14" i="24"/>
  <c r="K19" i="30" s="1"/>
  <c r="H14" i="28"/>
  <c r="H15" i="28" s="1"/>
  <c r="K14" i="23"/>
  <c r="H52" i="23"/>
  <c r="H55" i="23" s="1"/>
  <c r="H15" i="23"/>
  <c r="J55" i="23"/>
  <c r="L14" i="23"/>
  <c r="I19" i="30" s="1"/>
  <c r="H14" i="20"/>
  <c r="H15" i="20" s="1"/>
  <c r="J52" i="21"/>
  <c r="J55" i="21" s="1"/>
  <c r="L14" i="21"/>
  <c r="G19" i="30" s="1"/>
  <c r="J52" i="20"/>
  <c r="J55" i="20" s="1"/>
  <c r="L14" i="20"/>
  <c r="H19" i="30" s="1"/>
  <c r="K14" i="20"/>
  <c r="K14" i="21"/>
  <c r="G10" i="30" s="1"/>
  <c r="H52" i="21"/>
  <c r="H55" i="21" s="1"/>
  <c r="I14" i="26" l="1"/>
  <c r="I52" i="26" s="1"/>
  <c r="I55" i="26" s="1"/>
  <c r="I56" i="23"/>
  <c r="J15" i="21"/>
  <c r="J14" i="21"/>
  <c r="G13" i="30"/>
  <c r="I55" i="21"/>
  <c r="J15" i="29"/>
  <c r="J14" i="29"/>
  <c r="K52" i="29" s="1"/>
  <c r="K55" i="29" s="1"/>
  <c r="H55" i="25"/>
  <c r="J15" i="25"/>
  <c r="J14" i="25"/>
  <c r="J14" i="24"/>
  <c r="J15" i="24"/>
  <c r="L52" i="23"/>
  <c r="L54" i="23" s="1"/>
  <c r="L52" i="27"/>
  <c r="L54" i="27" s="1"/>
  <c r="I56" i="22"/>
  <c r="K55" i="23"/>
  <c r="H55" i="20"/>
  <c r="L52" i="20"/>
  <c r="L54" i="20" s="1"/>
  <c r="L52" i="19"/>
  <c r="L54" i="19" s="1"/>
  <c r="L52" i="28"/>
  <c r="L54" i="28" s="1"/>
  <c r="H55" i="26"/>
  <c r="H55" i="24"/>
  <c r="H55" i="19"/>
  <c r="H55" i="29"/>
  <c r="H55" i="28"/>
  <c r="H55" i="27"/>
  <c r="L15" i="27"/>
  <c r="N19" i="30"/>
  <c r="K56" i="27"/>
  <c r="K52" i="22"/>
  <c r="K55" i="22" s="1"/>
  <c r="J22" i="30"/>
  <c r="L15" i="19"/>
  <c r="F10" i="30"/>
  <c r="K56" i="19"/>
  <c r="L15" i="26"/>
  <c r="L15" i="29"/>
  <c r="L15" i="28"/>
  <c r="K56" i="28"/>
  <c r="K56" i="26"/>
  <c r="L15" i="25"/>
  <c r="L15" i="24"/>
  <c r="L15" i="23"/>
  <c r="L15" i="20"/>
  <c r="K56" i="20"/>
  <c r="L15" i="21"/>
  <c r="I31" i="5"/>
  <c r="I30" i="5"/>
  <c r="I29" i="5"/>
  <c r="I28" i="5"/>
  <c r="I27" i="5"/>
  <c r="I26" i="5"/>
  <c r="I25" i="5"/>
  <c r="I23" i="5"/>
  <c r="AD6" i="16" l="1"/>
  <c r="AJ8" i="16" s="1"/>
  <c r="L52" i="26"/>
  <c r="L54" i="26" s="1"/>
  <c r="K56" i="23"/>
  <c r="G59" i="23" s="1"/>
  <c r="K52" i="21"/>
  <c r="G22" i="30"/>
  <c r="K56" i="29"/>
  <c r="L52" i="29"/>
  <c r="L54" i="29" s="1"/>
  <c r="I56" i="25"/>
  <c r="K52" i="25"/>
  <c r="L22" i="30"/>
  <c r="L55" i="22"/>
  <c r="K52" i="24"/>
  <c r="K22" i="30"/>
  <c r="L55" i="27"/>
  <c r="L55" i="26"/>
  <c r="L52" i="22"/>
  <c r="L54" i="22" s="1"/>
  <c r="L55" i="23"/>
  <c r="L55" i="20"/>
  <c r="L56" i="20" s="1"/>
  <c r="L55" i="19"/>
  <c r="L56" i="19" s="1"/>
  <c r="L55" i="28"/>
  <c r="I56" i="19"/>
  <c r="G59" i="19" s="1"/>
  <c r="L55" i="29"/>
  <c r="I56" i="27"/>
  <c r="K56" i="22"/>
  <c r="I56" i="29"/>
  <c r="I56" i="26"/>
  <c r="G59" i="26" s="1"/>
  <c r="I56" i="24"/>
  <c r="I56" i="28"/>
  <c r="I56" i="20"/>
  <c r="G59" i="20" s="1"/>
  <c r="I56" i="21"/>
  <c r="K55" i="21" l="1"/>
  <c r="L52" i="21"/>
  <c r="L54" i="21" s="1"/>
  <c r="G59" i="29"/>
  <c r="L56" i="22"/>
  <c r="K55" i="25"/>
  <c r="L52" i="25"/>
  <c r="L54" i="25" s="1"/>
  <c r="K55" i="24"/>
  <c r="L52" i="24"/>
  <c r="L54" i="24" s="1"/>
  <c r="L56" i="26"/>
  <c r="L56" i="23"/>
  <c r="L56" i="27"/>
  <c r="G59" i="22"/>
  <c r="L56" i="29"/>
  <c r="L56" i="28"/>
  <c r="K56" i="21" l="1"/>
  <c r="G59" i="21" s="1"/>
  <c r="L55" i="21"/>
  <c r="L56" i="21" s="1"/>
  <c r="K56" i="25"/>
  <c r="G59" i="25" s="1"/>
  <c r="L55" i="25"/>
  <c r="L56" i="25" s="1"/>
  <c r="K56" i="24"/>
  <c r="G59" i="24" s="1"/>
  <c r="L55" i="24"/>
  <c r="L56" i="24" s="1"/>
  <c r="L26" i="18"/>
  <c r="L18" i="18"/>
  <c r="L14" i="18"/>
  <c r="L6" i="18"/>
  <c r="L3" i="18"/>
  <c r="K25" i="18"/>
  <c r="K17" i="18"/>
  <c r="K13" i="18"/>
  <c r="M28" i="18"/>
  <c r="M27" i="18"/>
  <c r="M26" i="18"/>
  <c r="M25" i="18"/>
  <c r="M20" i="18"/>
  <c r="M19" i="18"/>
  <c r="M18" i="18"/>
  <c r="M17" i="18"/>
  <c r="M16" i="18"/>
  <c r="M15" i="18"/>
  <c r="M14" i="18"/>
  <c r="M13" i="18"/>
  <c r="K2" i="18"/>
  <c r="I28" i="18"/>
  <c r="I27" i="18"/>
  <c r="I26" i="18"/>
  <c r="I25" i="18"/>
  <c r="I20" i="18"/>
  <c r="I19" i="18"/>
  <c r="I18" i="18"/>
  <c r="I17" i="18"/>
  <c r="I16" i="18"/>
  <c r="I15" i="18"/>
  <c r="I14" i="18"/>
  <c r="I13" i="18"/>
  <c r="H28" i="18"/>
  <c r="H27" i="18"/>
  <c r="H26" i="18"/>
  <c r="H25" i="18"/>
  <c r="H20" i="18"/>
  <c r="H19" i="18"/>
  <c r="H18" i="18"/>
  <c r="H17" i="18"/>
  <c r="H16" i="18"/>
  <c r="H15" i="18"/>
  <c r="H14" i="18"/>
  <c r="H13" i="18"/>
  <c r="M10" i="18"/>
  <c r="M9" i="18"/>
  <c r="M8" i="18"/>
  <c r="M7" i="18"/>
  <c r="M6" i="18"/>
  <c r="M5" i="18"/>
  <c r="M4" i="18"/>
  <c r="M3" i="18"/>
  <c r="M2" i="18"/>
  <c r="I10" i="18"/>
  <c r="I9" i="18"/>
  <c r="I8" i="18"/>
  <c r="I7" i="18"/>
  <c r="I6" i="18"/>
  <c r="I5" i="18"/>
  <c r="I4" i="18"/>
  <c r="I3" i="18"/>
  <c r="I2" i="18"/>
  <c r="H10" i="18"/>
  <c r="H9" i="18"/>
  <c r="H8" i="18"/>
  <c r="H7" i="18"/>
  <c r="H6" i="18"/>
  <c r="H5" i="18"/>
  <c r="H4" i="18"/>
  <c r="H3" i="18"/>
  <c r="H2" i="18"/>
  <c r="G2" i="18"/>
  <c r="G3" i="18"/>
  <c r="G4" i="18"/>
  <c r="G5" i="18"/>
  <c r="G6" i="18"/>
  <c r="G7" i="18"/>
  <c r="G8" i="18"/>
  <c r="G9" i="18"/>
  <c r="G10" i="18"/>
  <c r="G13" i="18"/>
  <c r="G14" i="18"/>
  <c r="G15" i="18"/>
  <c r="G16" i="18"/>
  <c r="G17" i="18"/>
  <c r="G18" i="18"/>
  <c r="G19" i="18"/>
  <c r="G20" i="18"/>
  <c r="G26" i="18"/>
  <c r="G27" i="18"/>
  <c r="G28" i="18"/>
  <c r="G25" i="18"/>
  <c r="F260" i="7" l="1"/>
  <c r="F282" i="10" l="1"/>
  <c r="C238" i="10"/>
  <c r="C127" i="3" l="1"/>
  <c r="C160" i="6"/>
  <c r="N15" i="13"/>
  <c r="N14" i="13"/>
  <c r="N16" i="13" l="1"/>
  <c r="Q141" i="3" l="1"/>
  <c r="R140" i="3"/>
  <c r="R133" i="3"/>
  <c r="R132" i="3"/>
  <c r="S178" i="6"/>
  <c r="T177" i="6"/>
  <c r="S176" i="6"/>
  <c r="T173" i="6"/>
  <c r="T168" i="6"/>
  <c r="T167" i="6"/>
  <c r="T170" i="6" l="1"/>
  <c r="E293" i="7" l="1"/>
  <c r="E292" i="7"/>
  <c r="E290" i="7"/>
  <c r="E289" i="7"/>
  <c r="E288" i="7"/>
  <c r="E55" i="14"/>
  <c r="E53" i="14"/>
  <c r="E52" i="14"/>
  <c r="M42" i="5"/>
  <c r="M41" i="5"/>
  <c r="M27" i="5"/>
  <c r="M26" i="5"/>
  <c r="M25" i="5"/>
  <c r="M24" i="5"/>
  <c r="M23" i="5"/>
  <c r="L10" i="18" l="1"/>
  <c r="L9" i="18"/>
  <c r="K10" i="18"/>
  <c r="C291" i="7"/>
  <c r="E291" i="7" s="1"/>
  <c r="C287" i="7"/>
  <c r="E287" i="7" s="1"/>
  <c r="C286" i="7"/>
  <c r="A46" i="14"/>
  <c r="C54" i="14"/>
  <c r="E54" i="14" s="1"/>
  <c r="C157" i="6"/>
  <c r="C156" i="6"/>
  <c r="C192" i="9"/>
  <c r="C191" i="9"/>
  <c r="C190" i="9"/>
  <c r="C189" i="9"/>
  <c r="I188" i="9"/>
  <c r="J189" i="9" s="1"/>
  <c r="C188" i="9"/>
  <c r="C187" i="9"/>
  <c r="C186" i="9"/>
  <c r="C185" i="9"/>
  <c r="A290" i="10"/>
  <c r="G293" i="10" s="1"/>
  <c r="E303" i="10"/>
  <c r="E305" i="10" s="1"/>
  <c r="C299" i="10"/>
  <c r="C297" i="10"/>
  <c r="C295" i="10"/>
  <c r="C294" i="10"/>
  <c r="C293" i="10"/>
  <c r="C292" i="10"/>
  <c r="C124" i="3"/>
  <c r="C123" i="3"/>
  <c r="Q130" i="3" s="1"/>
  <c r="C122" i="3"/>
  <c r="C121" i="3"/>
  <c r="K9" i="18" l="1"/>
  <c r="AK74" i="16"/>
  <c r="C295" i="7"/>
  <c r="C297" i="7" s="1"/>
  <c r="E286" i="7"/>
  <c r="E295" i="7" s="1"/>
  <c r="C303" i="10"/>
  <c r="C305" i="10" s="1"/>
  <c r="C193" i="9"/>
  <c r="C195" i="9" s="1"/>
  <c r="G49" i="14"/>
  <c r="D61" i="14"/>
  <c r="J190" i="9"/>
  <c r="D308" i="10"/>
  <c r="I297" i="10"/>
  <c r="J297" i="10"/>
  <c r="E39" i="14" l="1"/>
  <c r="A266" i="7"/>
  <c r="A284" i="7" s="1"/>
  <c r="A112" i="3"/>
  <c r="A120" i="3" s="1"/>
  <c r="A167" i="9"/>
  <c r="A183" i="9" s="1"/>
  <c r="G186" i="9" s="1"/>
  <c r="A126" i="3" l="1"/>
  <c r="D299" i="7"/>
  <c r="G287" i="7"/>
  <c r="D281" i="7"/>
  <c r="E277" i="7"/>
  <c r="G269" i="7"/>
  <c r="C277" i="7"/>
  <c r="C279" i="7" s="1"/>
  <c r="G170" i="9"/>
  <c r="I172" i="9"/>
  <c r="D287" i="10"/>
  <c r="G272" i="10"/>
  <c r="A118" i="3"/>
  <c r="C116" i="3"/>
  <c r="C115" i="3"/>
  <c r="C114" i="3"/>
  <c r="C113" i="3"/>
  <c r="J173" i="9" l="1"/>
  <c r="J174" i="9" s="1"/>
  <c r="C177" i="9"/>
  <c r="C179" i="9" s="1"/>
  <c r="E282" i="10"/>
  <c r="E284" i="10" s="1"/>
  <c r="C282" i="10"/>
  <c r="C284" i="10" s="1"/>
  <c r="E40" i="14"/>
  <c r="D43" i="14"/>
  <c r="C39" i="14"/>
  <c r="C41" i="14" s="1"/>
  <c r="G31" i="14"/>
  <c r="C147" i="6"/>
  <c r="I276" i="10" l="1"/>
  <c r="J276" i="10"/>
  <c r="C148" i="6" l="1"/>
  <c r="C138" i="6"/>
  <c r="A107" i="3"/>
  <c r="C105" i="3"/>
  <c r="C104" i="3"/>
  <c r="C103" i="3"/>
  <c r="C102" i="3"/>
  <c r="D264" i="10"/>
  <c r="G249" i="10"/>
  <c r="G154" i="9"/>
  <c r="A141" i="6"/>
  <c r="A146" i="6" s="1"/>
  <c r="A150" i="6" s="1"/>
  <c r="A155" i="6" s="1"/>
  <c r="A159" i="6" s="1"/>
  <c r="C139" i="6"/>
  <c r="D263" i="7"/>
  <c r="G251" i="7"/>
  <c r="E21" i="14"/>
  <c r="P118" i="14"/>
  <c r="D25" i="14"/>
  <c r="C21" i="14"/>
  <c r="C23" i="14" s="1"/>
  <c r="G13" i="14"/>
  <c r="E259" i="10" l="1"/>
  <c r="E261" i="10" s="1"/>
  <c r="J253" i="10" s="1"/>
  <c r="E161" i="9"/>
  <c r="I156" i="9" s="1"/>
  <c r="C259" i="7"/>
  <c r="C261" i="7" s="1"/>
  <c r="C259" i="10"/>
  <c r="C261" i="10" s="1"/>
  <c r="C161" i="9"/>
  <c r="C163" i="9" s="1"/>
  <c r="E259" i="7"/>
  <c r="J157" i="9" l="1"/>
  <c r="J158" i="9" s="1"/>
  <c r="M13" i="13"/>
  <c r="D243" i="7"/>
  <c r="G231" i="7"/>
  <c r="A101" i="12"/>
  <c r="C99" i="12"/>
  <c r="C98" i="12"/>
  <c r="C97" i="12"/>
  <c r="T99" i="12" s="1"/>
  <c r="A128" i="6"/>
  <c r="C126" i="6"/>
  <c r="D68" i="9"/>
  <c r="D84" i="9" s="1"/>
  <c r="D100" i="9" s="1"/>
  <c r="D116" i="9" s="1"/>
  <c r="D132" i="9" s="1"/>
  <c r="D148" i="9" s="1"/>
  <c r="D164" i="9" s="1"/>
  <c r="D180" i="9" s="1"/>
  <c r="D196" i="9" s="1"/>
  <c r="G138" i="9"/>
  <c r="D243" i="10"/>
  <c r="G228" i="10"/>
  <c r="A99" i="3"/>
  <c r="C97" i="3"/>
  <c r="C96" i="3"/>
  <c r="C95" i="3"/>
  <c r="C94" i="3"/>
  <c r="S99" i="12" l="1"/>
  <c r="C239" i="7"/>
  <c r="C241" i="7" s="1"/>
  <c r="C145" i="9"/>
  <c r="C147" i="9" s="1"/>
  <c r="C240" i="10"/>
  <c r="E238" i="10"/>
  <c r="E240" i="10" s="1"/>
  <c r="E239" i="7"/>
  <c r="E145" i="9"/>
  <c r="I140" i="9" s="1"/>
  <c r="D225" i="7"/>
  <c r="G213" i="7"/>
  <c r="A93" i="12"/>
  <c r="C91" i="12"/>
  <c r="C90" i="12"/>
  <c r="C89" i="12"/>
  <c r="T91" i="12" s="1"/>
  <c r="A119" i="6"/>
  <c r="C117" i="6"/>
  <c r="G122" i="9"/>
  <c r="D222" i="10"/>
  <c r="G207" i="10"/>
  <c r="A91" i="3"/>
  <c r="C89" i="3"/>
  <c r="C88" i="3"/>
  <c r="C87" i="3"/>
  <c r="C86" i="3"/>
  <c r="S91" i="12" l="1"/>
  <c r="J235" i="7"/>
  <c r="J141" i="9"/>
  <c r="J142" i="9" s="1"/>
  <c r="J232" i="10"/>
  <c r="E129" i="9"/>
  <c r="I124" i="9" s="1"/>
  <c r="J125" i="9" s="1"/>
  <c r="J126" i="9" s="1"/>
  <c r="C221" i="7"/>
  <c r="C223" i="7" s="1"/>
  <c r="E221" i="7"/>
  <c r="C129" i="9"/>
  <c r="C131" i="9" s="1"/>
  <c r="E217" i="10"/>
  <c r="E219" i="10" s="1"/>
  <c r="C217" i="10"/>
  <c r="C219" i="10" s="1"/>
  <c r="D207" i="7"/>
  <c r="G195" i="7"/>
  <c r="A85" i="12"/>
  <c r="C83" i="12"/>
  <c r="C82" i="12"/>
  <c r="C81" i="12"/>
  <c r="A110" i="6"/>
  <c r="C108" i="6"/>
  <c r="G106" i="9"/>
  <c r="D201" i="10"/>
  <c r="G186" i="10"/>
  <c r="K13" i="13"/>
  <c r="A83" i="3"/>
  <c r="C81" i="3"/>
  <c r="C80" i="3"/>
  <c r="C79" i="3"/>
  <c r="C78" i="3"/>
  <c r="G159" i="7"/>
  <c r="D189" i="7"/>
  <c r="G177" i="7"/>
  <c r="A77" i="12"/>
  <c r="C75" i="12"/>
  <c r="C74" i="12"/>
  <c r="C73" i="12"/>
  <c r="T75" i="12" s="1"/>
  <c r="A101" i="6"/>
  <c r="C99" i="6"/>
  <c r="G90" i="9"/>
  <c r="G165" i="10"/>
  <c r="A75" i="3"/>
  <c r="C73" i="3"/>
  <c r="C72" i="3"/>
  <c r="C71" i="3"/>
  <c r="C70" i="3"/>
  <c r="J217" i="7" l="1"/>
  <c r="J211" i="10"/>
  <c r="E203" i="7"/>
  <c r="E196" i="10"/>
  <c r="E198" i="10" s="1"/>
  <c r="C203" i="7"/>
  <c r="C205" i="7" s="1"/>
  <c r="T83" i="12"/>
  <c r="S83" i="12"/>
  <c r="E113" i="9"/>
  <c r="I108" i="9" s="1"/>
  <c r="C113" i="9"/>
  <c r="C115" i="9" s="1"/>
  <c r="C196" i="10"/>
  <c r="C198" i="10" s="1"/>
  <c r="S75" i="12"/>
  <c r="E185" i="7"/>
  <c r="J181" i="7" s="1"/>
  <c r="E97" i="9"/>
  <c r="C185" i="7"/>
  <c r="C187" i="7" s="1"/>
  <c r="C97" i="9"/>
  <c r="C99" i="9" s="1"/>
  <c r="E175" i="10"/>
  <c r="E177" i="10" s="1"/>
  <c r="C175" i="10"/>
  <c r="C177" i="10" s="1"/>
  <c r="C20" i="5"/>
  <c r="C17" i="5"/>
  <c r="C14" i="5"/>
  <c r="C11" i="5"/>
  <c r="C7" i="5"/>
  <c r="D171" i="7"/>
  <c r="A69" i="12"/>
  <c r="C67" i="12"/>
  <c r="C66" i="12"/>
  <c r="C65" i="12"/>
  <c r="S67" i="12" s="1"/>
  <c r="A92" i="6"/>
  <c r="C90" i="6"/>
  <c r="G74" i="9"/>
  <c r="D159" i="10"/>
  <c r="G144" i="10"/>
  <c r="A67" i="3"/>
  <c r="C65" i="3"/>
  <c r="C64" i="3"/>
  <c r="C63" i="3"/>
  <c r="C62" i="3"/>
  <c r="J199" i="7" l="1"/>
  <c r="J190" i="10"/>
  <c r="J109" i="9"/>
  <c r="J110" i="9" s="1"/>
  <c r="I92" i="9"/>
  <c r="J93" i="9" s="1"/>
  <c r="J94" i="9" s="1"/>
  <c r="J169" i="10"/>
  <c r="T67" i="12"/>
  <c r="E167" i="7"/>
  <c r="J163" i="7" s="1"/>
  <c r="C167" i="7"/>
  <c r="C169" i="7" s="1"/>
  <c r="E81" i="9"/>
  <c r="I76" i="9" s="1"/>
  <c r="E154" i="10"/>
  <c r="E156" i="10" s="1"/>
  <c r="J148" i="10" s="1"/>
  <c r="C81" i="9"/>
  <c r="C83" i="9" s="1"/>
  <c r="C154" i="10"/>
  <c r="C156" i="10" s="1"/>
  <c r="D153" i="7"/>
  <c r="G141" i="7"/>
  <c r="A61" i="12"/>
  <c r="C59" i="12"/>
  <c r="C58" i="12"/>
  <c r="C57" i="12"/>
  <c r="T59" i="12" s="1"/>
  <c r="A83" i="6"/>
  <c r="C81" i="6"/>
  <c r="G58" i="9"/>
  <c r="D138" i="10"/>
  <c r="G123" i="10"/>
  <c r="A59" i="3"/>
  <c r="C57" i="3"/>
  <c r="C56" i="3"/>
  <c r="C55" i="3"/>
  <c r="C54" i="3"/>
  <c r="J77" i="9" l="1"/>
  <c r="J78" i="9" s="1"/>
  <c r="S59" i="12"/>
  <c r="C149" i="7"/>
  <c r="C151" i="7" s="1"/>
  <c r="E149" i="7"/>
  <c r="C65" i="9"/>
  <c r="C67" i="9" s="1"/>
  <c r="E133" i="10"/>
  <c r="E135" i="10" s="1"/>
  <c r="J127" i="10" s="1"/>
  <c r="E65" i="9"/>
  <c r="C133" i="10"/>
  <c r="C135" i="10" s="1"/>
  <c r="E131" i="7"/>
  <c r="J145" i="7" l="1"/>
  <c r="I60" i="9"/>
  <c r="J61" i="9" l="1"/>
  <c r="J62" i="9" s="1"/>
  <c r="D135" i="7"/>
  <c r="G123" i="7"/>
  <c r="A53" i="12"/>
  <c r="C51" i="12"/>
  <c r="C50" i="12"/>
  <c r="C49" i="12"/>
  <c r="S51" i="12" s="1"/>
  <c r="A74" i="6"/>
  <c r="C72" i="6"/>
  <c r="D52" i="9"/>
  <c r="G42" i="9"/>
  <c r="D117" i="10"/>
  <c r="G102" i="10"/>
  <c r="A51" i="3"/>
  <c r="C49" i="3"/>
  <c r="C48" i="3"/>
  <c r="C47" i="3"/>
  <c r="C46" i="3"/>
  <c r="C131" i="7" l="1"/>
  <c r="C133" i="7" s="1"/>
  <c r="C112" i="10"/>
  <c r="C114" i="10" s="1"/>
  <c r="E112" i="10"/>
  <c r="E114" i="10" s="1"/>
  <c r="T51" i="12"/>
  <c r="E49" i="9"/>
  <c r="I44" i="9" s="1"/>
  <c r="J45" i="9" s="1"/>
  <c r="J46" i="9" s="1"/>
  <c r="J127" i="7"/>
  <c r="C49" i="9"/>
  <c r="C51" i="9" s="1"/>
  <c r="F13" i="13"/>
  <c r="F7" i="13"/>
  <c r="R14" i="3"/>
  <c r="J106" i="10" l="1"/>
  <c r="D117" i="7" l="1"/>
  <c r="E112" i="7"/>
  <c r="E111" i="7"/>
  <c r="E110" i="7"/>
  <c r="E109" i="7"/>
  <c r="E108" i="7"/>
  <c r="E107" i="7"/>
  <c r="E106" i="7"/>
  <c r="G105" i="7"/>
  <c r="E105" i="7"/>
  <c r="A45" i="12"/>
  <c r="C43" i="12"/>
  <c r="C42" i="12"/>
  <c r="C41" i="12"/>
  <c r="A65" i="6"/>
  <c r="C63" i="6"/>
  <c r="D36" i="9"/>
  <c r="G26" i="9"/>
  <c r="D96" i="10"/>
  <c r="G81" i="10"/>
  <c r="C91" i="10"/>
  <c r="C93" i="10" s="1"/>
  <c r="A43" i="3"/>
  <c r="C41" i="3"/>
  <c r="C40" i="3"/>
  <c r="C39" i="3"/>
  <c r="C38" i="3"/>
  <c r="C44" i="12" l="1"/>
  <c r="T41" i="12" s="1"/>
  <c r="C113" i="7"/>
  <c r="C115" i="7" s="1"/>
  <c r="E104" i="7"/>
  <c r="E113" i="7" s="1"/>
  <c r="E33" i="9"/>
  <c r="T43" i="12"/>
  <c r="S43" i="12"/>
  <c r="C33" i="9"/>
  <c r="C35" i="9" s="1"/>
  <c r="E91" i="10"/>
  <c r="E93" i="10" s="1"/>
  <c r="E63" i="10"/>
  <c r="E65" i="10"/>
  <c r="E67" i="10"/>
  <c r="E68" i="10"/>
  <c r="A37" i="12"/>
  <c r="C35" i="12"/>
  <c r="C34" i="12"/>
  <c r="C33" i="12"/>
  <c r="S41" i="12" l="1"/>
  <c r="T44" i="12"/>
  <c r="S45" i="12"/>
  <c r="I28" i="9"/>
  <c r="J29" i="9" s="1"/>
  <c r="J109" i="7"/>
  <c r="J85" i="10"/>
  <c r="T35" i="12"/>
  <c r="S35" i="12"/>
  <c r="D20" i="9"/>
  <c r="E16" i="9"/>
  <c r="E15" i="9"/>
  <c r="E14" i="9"/>
  <c r="E13" i="9"/>
  <c r="E12" i="9"/>
  <c r="E11" i="9"/>
  <c r="G10" i="9"/>
  <c r="E10" i="9"/>
  <c r="E9" i="9"/>
  <c r="D99" i="7"/>
  <c r="E94" i="7"/>
  <c r="E93" i="7"/>
  <c r="E92" i="7"/>
  <c r="E91" i="7"/>
  <c r="E90" i="7"/>
  <c r="E89" i="7"/>
  <c r="E88" i="7"/>
  <c r="G87" i="7"/>
  <c r="E87" i="7"/>
  <c r="E86" i="7"/>
  <c r="A56" i="6"/>
  <c r="C54" i="6"/>
  <c r="D75" i="10"/>
  <c r="E66" i="10"/>
  <c r="E64" i="10"/>
  <c r="E62" i="10"/>
  <c r="E61" i="10"/>
  <c r="G60" i="10"/>
  <c r="E60" i="10"/>
  <c r="E59" i="10"/>
  <c r="C11" i="3"/>
  <c r="A35" i="3"/>
  <c r="C33" i="3"/>
  <c r="C32" i="3"/>
  <c r="C31" i="3"/>
  <c r="C30" i="3"/>
  <c r="J30" i="9" l="1"/>
  <c r="E70" i="10"/>
  <c r="E17" i="9"/>
  <c r="E20" i="9" s="1"/>
  <c r="E36" i="9" s="1"/>
  <c r="E52" i="9" s="1"/>
  <c r="E68" i="9" s="1"/>
  <c r="E84" i="9" s="1"/>
  <c r="E100" i="9" s="1"/>
  <c r="E116" i="9" s="1"/>
  <c r="E132" i="9" s="1"/>
  <c r="E148" i="9" s="1"/>
  <c r="E164" i="9" s="1"/>
  <c r="E180" i="9" s="1"/>
  <c r="E196" i="9" s="1"/>
  <c r="E95" i="7"/>
  <c r="J91" i="7" s="1"/>
  <c r="C17" i="9"/>
  <c r="C19" i="9" s="1"/>
  <c r="C95" i="7"/>
  <c r="C97" i="7" s="1"/>
  <c r="C70" i="10"/>
  <c r="C72" i="10" s="1"/>
  <c r="E70" i="7"/>
  <c r="E71" i="7"/>
  <c r="E72" i="7"/>
  <c r="E73" i="7"/>
  <c r="E74" i="7"/>
  <c r="E75" i="7"/>
  <c r="E76" i="7"/>
  <c r="H196" i="9"/>
  <c r="I12" i="9" l="1"/>
  <c r="E26" i="10"/>
  <c r="E28" i="10" s="1"/>
  <c r="A30" i="12"/>
  <c r="C28" i="12"/>
  <c r="C27" i="12"/>
  <c r="C26" i="12"/>
  <c r="D54" i="10"/>
  <c r="E47" i="10"/>
  <c r="E46" i="10"/>
  <c r="E45" i="10"/>
  <c r="E44" i="10"/>
  <c r="E43" i="10"/>
  <c r="E42" i="10"/>
  <c r="E40" i="10"/>
  <c r="G39" i="10"/>
  <c r="A27" i="3"/>
  <c r="C25" i="3"/>
  <c r="C24" i="3"/>
  <c r="C23" i="3"/>
  <c r="C22" i="3"/>
  <c r="D81" i="7"/>
  <c r="G69" i="7"/>
  <c r="E69" i="7"/>
  <c r="G51" i="7"/>
  <c r="D63" i="7"/>
  <c r="E60" i="7"/>
  <c r="E57" i="7"/>
  <c r="E56" i="7"/>
  <c r="E55" i="7"/>
  <c r="E54" i="7"/>
  <c r="E53" i="7"/>
  <c r="E52" i="7"/>
  <c r="J13" i="9" l="1"/>
  <c r="J14" i="9" s="1"/>
  <c r="E59" i="7"/>
  <c r="J55" i="7" s="1"/>
  <c r="E49" i="10"/>
  <c r="C77" i="7"/>
  <c r="C79" i="7" s="1"/>
  <c r="E68" i="7"/>
  <c r="E77" i="7" s="1"/>
  <c r="J73" i="7" s="1"/>
  <c r="C59" i="7"/>
  <c r="C61" i="7" s="1"/>
  <c r="C49" i="10"/>
  <c r="C51" i="10" s="1"/>
  <c r="T28" i="12"/>
  <c r="S28" i="12"/>
  <c r="A47" i="6"/>
  <c r="C45" i="6"/>
  <c r="N38" i="6"/>
  <c r="N47" i="6" s="1"/>
  <c r="N56" i="6" s="1"/>
  <c r="N65" i="6" s="1"/>
  <c r="N74" i="6" s="1"/>
  <c r="N83" i="6" s="1"/>
  <c r="N92" i="6" s="1"/>
  <c r="N101" i="6" s="1"/>
  <c r="N110" i="6" s="1"/>
  <c r="N119" i="6" s="1"/>
  <c r="N128" i="6" s="1"/>
  <c r="M38" i="6"/>
  <c r="M47" i="6" s="1"/>
  <c r="M56" i="6" s="1"/>
  <c r="M65" i="6" s="1"/>
  <c r="M74" i="6" s="1"/>
  <c r="M83" i="6" s="1"/>
  <c r="M92" i="6" s="1"/>
  <c r="M101" i="6" s="1"/>
  <c r="M110" i="6" s="1"/>
  <c r="M119" i="6" s="1"/>
  <c r="M128" i="6" s="1"/>
  <c r="A38" i="6"/>
  <c r="C36" i="6"/>
  <c r="C13" i="13"/>
  <c r="L13" i="13"/>
  <c r="J13" i="13"/>
  <c r="I13" i="13"/>
  <c r="H13" i="13"/>
  <c r="G13" i="13"/>
  <c r="E13" i="13"/>
  <c r="D13" i="13"/>
  <c r="B13" i="13"/>
  <c r="N7" i="13"/>
  <c r="M7" i="13"/>
  <c r="L7" i="13"/>
  <c r="K7" i="13"/>
  <c r="J7" i="13"/>
  <c r="I7" i="13"/>
  <c r="H7" i="13"/>
  <c r="G7" i="13"/>
  <c r="E7" i="13"/>
  <c r="D7" i="13"/>
  <c r="C7" i="13"/>
  <c r="B7" i="13"/>
  <c r="M132" i="6" l="1"/>
  <c r="M141" i="6" s="1"/>
  <c r="M150" i="6" s="1"/>
  <c r="M159" i="6" s="1"/>
  <c r="M161" i="6" s="1"/>
  <c r="N132" i="6"/>
  <c r="N141" i="6" s="1"/>
  <c r="N150" i="6" s="1"/>
  <c r="N159" i="6" s="1"/>
  <c r="N161" i="6" s="1"/>
  <c r="G61" i="7"/>
  <c r="E62" i="7"/>
  <c r="J54" i="7" s="1"/>
  <c r="I57" i="7" s="1"/>
  <c r="J58" i="7" l="1"/>
  <c r="A23" i="12" l="1"/>
  <c r="C21" i="12"/>
  <c r="C20" i="12"/>
  <c r="C19" i="12"/>
  <c r="A29" i="6"/>
  <c r="C27" i="6"/>
  <c r="D31" i="10"/>
  <c r="G16" i="10"/>
  <c r="A19" i="3"/>
  <c r="C17" i="3"/>
  <c r="C16" i="3"/>
  <c r="C15" i="3"/>
  <c r="C14" i="3"/>
  <c r="T14" i="12"/>
  <c r="S14" i="12"/>
  <c r="N16" i="12"/>
  <c r="N23" i="12" s="1"/>
  <c r="N30" i="12" s="1"/>
  <c r="N37" i="12" s="1"/>
  <c r="N45" i="12" s="1"/>
  <c r="N53" i="12" s="1"/>
  <c r="N61" i="12" s="1"/>
  <c r="N69" i="12" s="1"/>
  <c r="N77" i="12" s="1"/>
  <c r="N85" i="12" s="1"/>
  <c r="N93" i="12" s="1"/>
  <c r="N101" i="12" s="1"/>
  <c r="M16" i="12"/>
  <c r="M23" i="12" s="1"/>
  <c r="M30" i="12" s="1"/>
  <c r="M37" i="12" s="1"/>
  <c r="M45" i="12" s="1"/>
  <c r="M53" i="12" s="1"/>
  <c r="M61" i="12" s="1"/>
  <c r="M69" i="12" s="1"/>
  <c r="M77" i="12" s="1"/>
  <c r="M85" i="12" s="1"/>
  <c r="M93" i="12" s="1"/>
  <c r="M101" i="12" s="1"/>
  <c r="L16" i="12"/>
  <c r="L23" i="12" s="1"/>
  <c r="L30" i="12" s="1"/>
  <c r="L37" i="12" s="1"/>
  <c r="L45" i="12" s="1"/>
  <c r="L53" i="12" s="1"/>
  <c r="L61" i="12" s="1"/>
  <c r="L69" i="12" s="1"/>
  <c r="L77" i="12" s="1"/>
  <c r="L85" i="12" s="1"/>
  <c r="L93" i="12" s="1"/>
  <c r="L101" i="12" s="1"/>
  <c r="K16" i="12"/>
  <c r="K23" i="12" s="1"/>
  <c r="K30" i="12" s="1"/>
  <c r="K37" i="12" s="1"/>
  <c r="K45" i="12" s="1"/>
  <c r="K53" i="12" s="1"/>
  <c r="K61" i="12" s="1"/>
  <c r="K69" i="12" s="1"/>
  <c r="K77" i="12" s="1"/>
  <c r="K85" i="12" s="1"/>
  <c r="K93" i="12" s="1"/>
  <c r="K101" i="12" s="1"/>
  <c r="J16" i="12"/>
  <c r="J23" i="12" s="1"/>
  <c r="J30" i="12" s="1"/>
  <c r="J37" i="12" s="1"/>
  <c r="J45" i="12" s="1"/>
  <c r="J53" i="12" s="1"/>
  <c r="J61" i="12" s="1"/>
  <c r="J69" i="12" s="1"/>
  <c r="J77" i="12" s="1"/>
  <c r="J85" i="12" s="1"/>
  <c r="J93" i="12" s="1"/>
  <c r="J101" i="12" s="1"/>
  <c r="I16" i="12"/>
  <c r="I23" i="12" s="1"/>
  <c r="I30" i="12" s="1"/>
  <c r="I37" i="12" s="1"/>
  <c r="I45" i="12" s="1"/>
  <c r="I53" i="12" s="1"/>
  <c r="I61" i="12" s="1"/>
  <c r="I69" i="12" s="1"/>
  <c r="I77" i="12" s="1"/>
  <c r="I85" i="12" s="1"/>
  <c r="I93" i="12" s="1"/>
  <c r="I101" i="12" s="1"/>
  <c r="G16" i="12"/>
  <c r="G23" i="12" s="1"/>
  <c r="G30" i="12" s="1"/>
  <c r="G37" i="12" s="1"/>
  <c r="G45" i="12" s="1"/>
  <c r="G53" i="12" s="1"/>
  <c r="G61" i="12" s="1"/>
  <c r="G69" i="12" s="1"/>
  <c r="G77" i="12" s="1"/>
  <c r="G85" i="12" s="1"/>
  <c r="G93" i="12" s="1"/>
  <c r="G101" i="12" s="1"/>
  <c r="F16" i="12"/>
  <c r="F23" i="12" s="1"/>
  <c r="F30" i="12" s="1"/>
  <c r="F37" i="12" s="1"/>
  <c r="F45" i="12" s="1"/>
  <c r="F53" i="12" s="1"/>
  <c r="F61" i="12" s="1"/>
  <c r="F69" i="12" s="1"/>
  <c r="F77" i="12" s="1"/>
  <c r="F85" i="12" s="1"/>
  <c r="F93" i="12" s="1"/>
  <c r="F101" i="12" s="1"/>
  <c r="C17" i="6"/>
  <c r="T17" i="6"/>
  <c r="C26" i="10" l="1"/>
  <c r="C28" i="10" s="1"/>
  <c r="T21" i="12"/>
  <c r="S21" i="12"/>
  <c r="S16" i="12"/>
  <c r="T15" i="12"/>
  <c r="C16" i="12"/>
  <c r="T12" i="12"/>
  <c r="S12" i="12"/>
  <c r="H11" i="6"/>
  <c r="E11" i="6" s="1"/>
  <c r="H10" i="6"/>
  <c r="H22" i="12" l="1"/>
  <c r="C22" i="12" s="1"/>
  <c r="E10" i="6"/>
  <c r="E9" i="12" s="1"/>
  <c r="E16" i="12" s="1"/>
  <c r="H9" i="12"/>
  <c r="H16" i="12" s="1"/>
  <c r="D11" i="6"/>
  <c r="D10" i="6"/>
  <c r="D9" i="12" s="1"/>
  <c r="D16" i="12" s="1"/>
  <c r="E23" i="12" l="1"/>
  <c r="D23" i="12"/>
  <c r="S19" i="12"/>
  <c r="T19" i="12"/>
  <c r="T22" i="12"/>
  <c r="C23" i="12"/>
  <c r="S23" i="12"/>
  <c r="H23" i="12"/>
  <c r="D30" i="12" l="1"/>
  <c r="E30" i="12"/>
  <c r="H29" i="12"/>
  <c r="C29" i="12" s="1"/>
  <c r="A16" i="12"/>
  <c r="T18" i="6"/>
  <c r="E8" i="7"/>
  <c r="D37" i="12" l="1"/>
  <c r="E37" i="12"/>
  <c r="H30" i="12"/>
  <c r="S26" i="12"/>
  <c r="T26" i="12"/>
  <c r="S30" i="12"/>
  <c r="T29" i="12"/>
  <c r="C30" i="12"/>
  <c r="C1153" i="12"/>
  <c r="D27" i="7"/>
  <c r="G15" i="7"/>
  <c r="A20" i="6"/>
  <c r="C18" i="6"/>
  <c r="E45" i="12" l="1"/>
  <c r="E53" i="12" s="1"/>
  <c r="D45" i="12"/>
  <c r="D53" i="12" s="1"/>
  <c r="H36" i="12"/>
  <c r="C36" i="12" s="1"/>
  <c r="C37" i="12" s="1"/>
  <c r="C45" i="12" s="1"/>
  <c r="C23" i="7"/>
  <c r="C25" i="7" s="1"/>
  <c r="E23" i="7"/>
  <c r="J19" i="7" s="1"/>
  <c r="E61" i="12" l="1"/>
  <c r="E69" i="12" s="1"/>
  <c r="E77" i="12" s="1"/>
  <c r="E85" i="12" s="1"/>
  <c r="E93" i="12" s="1"/>
  <c r="E101" i="12" s="1"/>
  <c r="D61" i="12"/>
  <c r="D69" i="12" s="1"/>
  <c r="D77" i="12" s="1"/>
  <c r="D85" i="12" s="1"/>
  <c r="D93" i="12" s="1"/>
  <c r="D101" i="12" s="1"/>
  <c r="C52" i="12"/>
  <c r="H37" i="12"/>
  <c r="H45" i="12" s="1"/>
  <c r="T33" i="12"/>
  <c r="S33" i="12"/>
  <c r="S37" i="12"/>
  <c r="T36" i="12"/>
  <c r="L20" i="6"/>
  <c r="L29" i="6" s="1"/>
  <c r="L38" i="6" s="1"/>
  <c r="L47" i="6" s="1"/>
  <c r="L56" i="6" s="1"/>
  <c r="L65" i="6" s="1"/>
  <c r="L74" i="6" s="1"/>
  <c r="L83" i="6" s="1"/>
  <c r="L92" i="6" s="1"/>
  <c r="L101" i="6" s="1"/>
  <c r="L110" i="6" s="1"/>
  <c r="L119" i="6" s="1"/>
  <c r="K20" i="6"/>
  <c r="K29" i="6" s="1"/>
  <c r="K38" i="6" s="1"/>
  <c r="K47" i="6" s="1"/>
  <c r="K56" i="6" s="1"/>
  <c r="K65" i="6" s="1"/>
  <c r="K74" i="6" s="1"/>
  <c r="K83" i="6" s="1"/>
  <c r="K92" i="6" s="1"/>
  <c r="K101" i="6" s="1"/>
  <c r="K110" i="6" s="1"/>
  <c r="K119" i="6" s="1"/>
  <c r="J20" i="6"/>
  <c r="J29" i="6" s="1"/>
  <c r="J38" i="6" s="1"/>
  <c r="J47" i="6" s="1"/>
  <c r="J56" i="6" s="1"/>
  <c r="J65" i="6" s="1"/>
  <c r="J74" i="6" s="1"/>
  <c r="J83" i="6" s="1"/>
  <c r="J92" i="6" s="1"/>
  <c r="J101" i="6" s="1"/>
  <c r="J110" i="6" s="1"/>
  <c r="J119" i="6" s="1"/>
  <c r="I20" i="6"/>
  <c r="I29" i="6" s="1"/>
  <c r="I38" i="6" s="1"/>
  <c r="I47" i="6" s="1"/>
  <c r="I56" i="6" s="1"/>
  <c r="I65" i="6" s="1"/>
  <c r="I74" i="6" s="1"/>
  <c r="I83" i="6" s="1"/>
  <c r="I92" i="6" s="1"/>
  <c r="I101" i="6" s="1"/>
  <c r="I110" i="6" s="1"/>
  <c r="I119" i="6" s="1"/>
  <c r="K19" i="3"/>
  <c r="K27" i="3" s="1"/>
  <c r="K35" i="3" s="1"/>
  <c r="K43" i="3" s="1"/>
  <c r="K51" i="3" s="1"/>
  <c r="K59" i="3" s="1"/>
  <c r="K67" i="3" s="1"/>
  <c r="K75" i="3" s="1"/>
  <c r="K83" i="3" s="1"/>
  <c r="K91" i="3" s="1"/>
  <c r="K99" i="3" s="1"/>
  <c r="K107" i="3" s="1"/>
  <c r="K118" i="3" s="1"/>
  <c r="K126" i="3" s="1"/>
  <c r="J19" i="3"/>
  <c r="J27" i="3" s="1"/>
  <c r="J35" i="3" s="1"/>
  <c r="J43" i="3" s="1"/>
  <c r="J51" i="3" s="1"/>
  <c r="J59" i="3" s="1"/>
  <c r="J67" i="3" s="1"/>
  <c r="J75" i="3" s="1"/>
  <c r="J83" i="3" s="1"/>
  <c r="J91" i="3" s="1"/>
  <c r="J99" i="3" s="1"/>
  <c r="J107" i="3" s="1"/>
  <c r="J118" i="3" s="1"/>
  <c r="J126" i="3" s="1"/>
  <c r="I19" i="3"/>
  <c r="I27" i="3" s="1"/>
  <c r="I35" i="3" s="1"/>
  <c r="I43" i="3" s="1"/>
  <c r="I51" i="3" s="1"/>
  <c r="I59" i="3" s="1"/>
  <c r="I67" i="3" s="1"/>
  <c r="I75" i="3" s="1"/>
  <c r="I83" i="3" s="1"/>
  <c r="I91" i="3" s="1"/>
  <c r="I99" i="3" s="1"/>
  <c r="I107" i="3" s="1"/>
  <c r="I118" i="3" s="1"/>
  <c r="I126" i="3" s="1"/>
  <c r="H19" i="3"/>
  <c r="H27" i="3" s="1"/>
  <c r="H35" i="3" s="1"/>
  <c r="H43" i="3" s="1"/>
  <c r="H51" i="3" s="1"/>
  <c r="H59" i="3" s="1"/>
  <c r="H67" i="3" s="1"/>
  <c r="H75" i="3" s="1"/>
  <c r="H83" i="3" s="1"/>
  <c r="H91" i="3" s="1"/>
  <c r="H99" i="3" s="1"/>
  <c r="H107" i="3" s="1"/>
  <c r="H118" i="3" s="1"/>
  <c r="H126" i="3" s="1"/>
  <c r="G19" i="3"/>
  <c r="G27" i="3" s="1"/>
  <c r="G35" i="3" s="1"/>
  <c r="G43" i="3" s="1"/>
  <c r="G51" i="3" s="1"/>
  <c r="G59" i="3" s="1"/>
  <c r="G67" i="3" s="1"/>
  <c r="G75" i="3" s="1"/>
  <c r="G83" i="3" s="1"/>
  <c r="G91" i="3" s="1"/>
  <c r="G99" i="3" s="1"/>
  <c r="G107" i="3" s="1"/>
  <c r="G118" i="3" s="1"/>
  <c r="G126" i="3" s="1"/>
  <c r="Q73" i="16" l="1"/>
  <c r="Q76" i="16" s="1"/>
  <c r="L128" i="6"/>
  <c r="L132" i="6" s="1"/>
  <c r="K128" i="6"/>
  <c r="J128" i="6"/>
  <c r="J132" i="6" s="1"/>
  <c r="I128" i="6"/>
  <c r="S53" i="12"/>
  <c r="C53" i="12"/>
  <c r="T52" i="12"/>
  <c r="T49" i="12"/>
  <c r="S49" i="12"/>
  <c r="H53" i="12"/>
  <c r="L11" i="3"/>
  <c r="L19" i="3" s="1"/>
  <c r="L27" i="3" s="1"/>
  <c r="L35" i="3" s="1"/>
  <c r="L43" i="3" s="1"/>
  <c r="L51" i="3" s="1"/>
  <c r="L59" i="3" s="1"/>
  <c r="L67" i="3" s="1"/>
  <c r="L75" i="3" s="1"/>
  <c r="L83" i="3" s="1"/>
  <c r="L91" i="3" s="1"/>
  <c r="L99" i="3" s="1"/>
  <c r="L107" i="3" s="1"/>
  <c r="Q78" i="16" l="1"/>
  <c r="R73" i="16"/>
  <c r="D76" i="16"/>
  <c r="L110" i="3"/>
  <c r="L118" i="3" s="1"/>
  <c r="L126" i="3" s="1"/>
  <c r="L128" i="3" s="1"/>
  <c r="J141" i="6"/>
  <c r="L141" i="6"/>
  <c r="I132" i="6"/>
  <c r="I141" i="6" s="1"/>
  <c r="K132" i="6"/>
  <c r="C60" i="12"/>
  <c r="R76" i="16" l="1"/>
  <c r="R78" i="16" s="1"/>
  <c r="J150" i="6"/>
  <c r="J159" i="6" s="1"/>
  <c r="L150" i="6"/>
  <c r="L159" i="6" s="1"/>
  <c r="I150" i="6"/>
  <c r="I159" i="6" s="1"/>
  <c r="K141" i="6"/>
  <c r="S57" i="12"/>
  <c r="S61" i="12"/>
  <c r="T60" i="12"/>
  <c r="T57" i="12"/>
  <c r="C61" i="12"/>
  <c r="H61" i="12"/>
  <c r="K28" i="5"/>
  <c r="K30" i="5" s="1"/>
  <c r="C43" i="5"/>
  <c r="C56" i="5" s="1"/>
  <c r="C27" i="5"/>
  <c r="C22" i="5"/>
  <c r="C30" i="5" s="1"/>
  <c r="S73" i="16" l="1"/>
  <c r="S76" i="16" s="1"/>
  <c r="T73" i="16" s="1"/>
  <c r="T76" i="16" s="1"/>
  <c r="C32" i="5"/>
  <c r="C34" i="5" s="1"/>
  <c r="H7" i="5" s="1"/>
  <c r="K150" i="6"/>
  <c r="K159" i="6" s="1"/>
  <c r="C68" i="12"/>
  <c r="S78" i="16" l="1"/>
  <c r="J7" i="5"/>
  <c r="I7" i="5"/>
  <c r="I14" i="5" s="1"/>
  <c r="C59" i="5"/>
  <c r="C61" i="5" s="1"/>
  <c r="C63" i="5" s="1"/>
  <c r="H9" i="5"/>
  <c r="T78" i="16"/>
  <c r="U73" i="16"/>
  <c r="U76" i="16" s="1"/>
  <c r="S69" i="12"/>
  <c r="T68" i="12"/>
  <c r="T65" i="12"/>
  <c r="S65" i="12"/>
  <c r="C69" i="12"/>
  <c r="H69" i="12"/>
  <c r="U78" i="16" l="1"/>
  <c r="V73" i="16"/>
  <c r="V76" i="16" s="1"/>
  <c r="K8" i="18"/>
  <c r="L8" i="18"/>
  <c r="H76" i="12"/>
  <c r="C76" i="12" s="1"/>
  <c r="C77" i="12" s="1"/>
  <c r="E9" i="7"/>
  <c r="V78" i="16" l="1"/>
  <c r="W73" i="16"/>
  <c r="W76" i="16" s="1"/>
  <c r="W78" i="16" s="1"/>
  <c r="H84" i="12"/>
  <c r="C84" i="12" s="1"/>
  <c r="H77" i="12"/>
  <c r="T76" i="12"/>
  <c r="S77" i="12"/>
  <c r="T73" i="12"/>
  <c r="S73" i="12"/>
  <c r="E25" i="7"/>
  <c r="E26" i="7"/>
  <c r="I18" i="7" s="1"/>
  <c r="G25" i="7"/>
  <c r="X73" i="16" l="1"/>
  <c r="X76" i="16" s="1"/>
  <c r="S81" i="12"/>
  <c r="S85" i="12"/>
  <c r="T84" i="12"/>
  <c r="T81" i="12"/>
  <c r="C85" i="12"/>
  <c r="H85" i="12"/>
  <c r="E27" i="7"/>
  <c r="E61" i="7" s="1"/>
  <c r="E63" i="7" s="1"/>
  <c r="X78" i="16" l="1"/>
  <c r="Y73" i="16"/>
  <c r="Y76" i="16" s="1"/>
  <c r="Z73" i="16" s="1"/>
  <c r="C92" i="12"/>
  <c r="C93" i="12" s="1"/>
  <c r="E80" i="7"/>
  <c r="I72" i="7" s="1"/>
  <c r="E79" i="7"/>
  <c r="G79" i="7"/>
  <c r="I21" i="7"/>
  <c r="J22" i="7" s="1"/>
  <c r="Y78" i="16" l="1"/>
  <c r="Z76" i="16"/>
  <c r="H100" i="12"/>
  <c r="C100" i="12" s="1"/>
  <c r="T92" i="12"/>
  <c r="S93" i="12"/>
  <c r="T89" i="12"/>
  <c r="S89" i="12"/>
  <c r="H93" i="12"/>
  <c r="E81" i="7"/>
  <c r="Z78" i="16" l="1"/>
  <c r="AA73" i="16"/>
  <c r="AA76" i="16" s="1"/>
  <c r="AC73" i="16" s="1"/>
  <c r="AC76" i="16" s="1"/>
  <c r="AC78" i="16" s="1"/>
  <c r="T94" i="12"/>
  <c r="S97" i="12"/>
  <c r="C101" i="12"/>
  <c r="E7" i="14" s="1"/>
  <c r="E24" i="14" s="1"/>
  <c r="S101" i="12"/>
  <c r="T97" i="12"/>
  <c r="T100" i="12"/>
  <c r="H101" i="12"/>
  <c r="E98" i="7"/>
  <c r="I90" i="7" s="1"/>
  <c r="G97" i="7"/>
  <c r="E97" i="7"/>
  <c r="I75" i="7"/>
  <c r="J76" i="7" s="1"/>
  <c r="AB73" i="16" l="1"/>
  <c r="AB76" i="16" s="1"/>
  <c r="AA78" i="16"/>
  <c r="I16" i="14"/>
  <c r="J15" i="14"/>
  <c r="G23" i="14"/>
  <c r="E23" i="14"/>
  <c r="T102" i="12"/>
  <c r="E99" i="7"/>
  <c r="AB78" i="16" l="1"/>
  <c r="AD73" i="16"/>
  <c r="AD76" i="16" s="1"/>
  <c r="AD78" i="16" s="1"/>
  <c r="I17" i="14"/>
  <c r="J17" i="14"/>
  <c r="E25" i="14"/>
  <c r="G115" i="7"/>
  <c r="E116" i="7"/>
  <c r="I108" i="7" s="1"/>
  <c r="E115" i="7"/>
  <c r="I93" i="7"/>
  <c r="J94" i="7" s="1"/>
  <c r="C1485" i="5"/>
  <c r="C1010" i="3"/>
  <c r="C1066" i="6"/>
  <c r="E42" i="14" l="1"/>
  <c r="E41" i="14"/>
  <c r="I35" i="14" s="1"/>
  <c r="G41" i="14"/>
  <c r="J19" i="14"/>
  <c r="I19" i="14"/>
  <c r="E117" i="7"/>
  <c r="N12" i="6"/>
  <c r="N20" i="6" s="1"/>
  <c r="N29" i="6" s="1"/>
  <c r="M12" i="6"/>
  <c r="M20" i="6" s="1"/>
  <c r="M29" i="6" s="1"/>
  <c r="G42" i="14" l="1"/>
  <c r="I34" i="14"/>
  <c r="J33" i="14"/>
  <c r="E43" i="14"/>
  <c r="J35" i="14"/>
  <c r="J20" i="14"/>
  <c r="G133" i="7"/>
  <c r="E134" i="7"/>
  <c r="I126" i="7" s="1"/>
  <c r="I111" i="7"/>
  <c r="J112" i="7" s="1"/>
  <c r="E133" i="7"/>
  <c r="G12" i="6"/>
  <c r="F12" i="6"/>
  <c r="J37" i="14" l="1"/>
  <c r="I37" i="14"/>
  <c r="E135" i="7"/>
  <c r="G20" i="6"/>
  <c r="F20" i="6"/>
  <c r="P355" i="7"/>
  <c r="F1" i="5"/>
  <c r="J38" i="14" l="1"/>
  <c r="E152" i="7"/>
  <c r="I144" i="7" s="1"/>
  <c r="E151" i="7"/>
  <c r="G151" i="7"/>
  <c r="I129" i="7"/>
  <c r="J130" i="7" s="1"/>
  <c r="F29" i="6"/>
  <c r="F38" i="6"/>
  <c r="F47" i="6" s="1"/>
  <c r="F56" i="6" s="1"/>
  <c r="F65" i="6" s="1"/>
  <c r="F74" i="6" s="1"/>
  <c r="F83" i="6" s="1"/>
  <c r="F92" i="6" s="1"/>
  <c r="F101" i="6" s="1"/>
  <c r="G29" i="6"/>
  <c r="G38" i="6"/>
  <c r="G47" i="6" s="1"/>
  <c r="G56" i="6" s="1"/>
  <c r="G65" i="6" s="1"/>
  <c r="G74" i="6" s="1"/>
  <c r="G83" i="6" s="1"/>
  <c r="G92" i="6" s="1"/>
  <c r="G101" i="6" s="1"/>
  <c r="G110" i="6" s="1"/>
  <c r="G119" i="6" s="1"/>
  <c r="G128" i="6" s="1"/>
  <c r="G132" i="6" s="1"/>
  <c r="G141" i="6" s="1"/>
  <c r="G150" i="6" s="1"/>
  <c r="I44" i="5"/>
  <c r="G159" i="6" l="1"/>
  <c r="G161" i="6" s="1"/>
  <c r="F110" i="6"/>
  <c r="F119" i="6" s="1"/>
  <c r="F128" i="6" s="1"/>
  <c r="F132" i="6" s="1"/>
  <c r="F141" i="6" s="1"/>
  <c r="F150" i="6" s="1"/>
  <c r="E153" i="7"/>
  <c r="I43" i="5"/>
  <c r="I42" i="5"/>
  <c r="I40" i="5"/>
  <c r="F159" i="6" l="1"/>
  <c r="F161" i="6" s="1"/>
  <c r="E169" i="7"/>
  <c r="E170" i="7"/>
  <c r="I162" i="7" s="1"/>
  <c r="I147" i="7"/>
  <c r="J148" i="7" s="1"/>
  <c r="G169" i="7"/>
  <c r="I41" i="5"/>
  <c r="E171" i="7" l="1"/>
  <c r="I37" i="5"/>
  <c r="G34" i="5"/>
  <c r="I39" i="5"/>
  <c r="E188" i="7" l="1"/>
  <c r="I180" i="7" s="1"/>
  <c r="E187" i="7"/>
  <c r="I165" i="7"/>
  <c r="J166" i="7" s="1"/>
  <c r="G187" i="7"/>
  <c r="I45" i="5"/>
  <c r="H53" i="5" s="1"/>
  <c r="G45" i="5"/>
  <c r="I32" i="5"/>
  <c r="I53" i="5" s="1"/>
  <c r="E11" i="30" s="1"/>
  <c r="E8" i="30" l="1"/>
  <c r="E189" i="7"/>
  <c r="I33" i="5"/>
  <c r="I46" i="5"/>
  <c r="G47" i="5"/>
  <c r="E205" i="7" l="1"/>
  <c r="E206" i="7"/>
  <c r="I183" i="7"/>
  <c r="J184" i="7" s="1"/>
  <c r="G205" i="7"/>
  <c r="K39" i="5"/>
  <c r="C51" i="14" l="1"/>
  <c r="E51" i="14" s="1"/>
  <c r="M39" i="5"/>
  <c r="C50" i="14"/>
  <c r="E50" i="14" s="1"/>
  <c r="M38" i="5"/>
  <c r="E207" i="7"/>
  <c r="E223" i="7" s="1"/>
  <c r="I198" i="7"/>
  <c r="K40" i="5"/>
  <c r="M40" i="5" s="1"/>
  <c r="C49" i="14" l="1"/>
  <c r="E49" i="14" s="1"/>
  <c r="M37" i="5"/>
  <c r="G223" i="7"/>
  <c r="I201" i="7"/>
  <c r="J202" i="7" s="1"/>
  <c r="E224" i="7"/>
  <c r="I216" i="7" s="1"/>
  <c r="M28" i="5"/>
  <c r="M29" i="5" s="1"/>
  <c r="C48" i="14" l="1"/>
  <c r="M36" i="5"/>
  <c r="M43" i="5" s="1"/>
  <c r="J53" i="5" s="1"/>
  <c r="E225" i="7"/>
  <c r="K43" i="5"/>
  <c r="K5" i="5" s="1"/>
  <c r="K9" i="5" s="1"/>
  <c r="K53" i="5"/>
  <c r="E20" i="30" s="1"/>
  <c r="L53" i="5" l="1"/>
  <c r="E17" i="30"/>
  <c r="J61" i="5"/>
  <c r="I219" i="7"/>
  <c r="J220" i="7" s="1"/>
  <c r="C57" i="14"/>
  <c r="C59" i="14" s="1"/>
  <c r="E48" i="14"/>
  <c r="E57" i="14" s="1"/>
  <c r="E60" i="14" s="1"/>
  <c r="G241" i="7"/>
  <c r="E241" i="7"/>
  <c r="E242" i="7"/>
  <c r="I234" i="7" s="1"/>
  <c r="L5" i="5"/>
  <c r="M44" i="5"/>
  <c r="K45" i="5"/>
  <c r="L28" i="18" l="1"/>
  <c r="K28" i="18"/>
  <c r="G59" i="14"/>
  <c r="E59" i="14"/>
  <c r="E243" i="7"/>
  <c r="H11" i="5"/>
  <c r="L11" i="5" s="1"/>
  <c r="H10" i="5"/>
  <c r="K10" i="5" l="1"/>
  <c r="H12" i="5"/>
  <c r="H14" i="5" s="1"/>
  <c r="K20" i="18"/>
  <c r="L20" i="18"/>
  <c r="I53" i="14"/>
  <c r="E61" i="14"/>
  <c r="J53" i="14"/>
  <c r="I52" i="14"/>
  <c r="J51" i="14"/>
  <c r="I237" i="7"/>
  <c r="J238" i="7" s="1"/>
  <c r="G261" i="7"/>
  <c r="H61" i="14"/>
  <c r="I52" i="5" l="1"/>
  <c r="I55" i="5" s="1"/>
  <c r="AC7" i="33" s="1"/>
  <c r="E13" i="30"/>
  <c r="I55" i="14"/>
  <c r="J55" i="14"/>
  <c r="J14" i="5"/>
  <c r="E22" i="30" s="1"/>
  <c r="J56" i="14" l="1"/>
  <c r="E120" i="3"/>
  <c r="K52" i="5"/>
  <c r="K55" i="5" s="1"/>
  <c r="J15" i="5"/>
  <c r="D7" i="16" l="1"/>
  <c r="C7" i="16"/>
  <c r="AA10" i="16"/>
  <c r="E155" i="6"/>
  <c r="B9" i="13"/>
  <c r="E11" i="3"/>
  <c r="E19" i="3" s="1"/>
  <c r="K12" i="5"/>
  <c r="H52" i="5" s="1"/>
  <c r="L9" i="5"/>
  <c r="L12" i="5" s="1"/>
  <c r="J52" i="5" s="1"/>
  <c r="C10" i="16" l="1"/>
  <c r="D10" i="16"/>
  <c r="L52" i="5"/>
  <c r="H55" i="5"/>
  <c r="AC6" i="33" s="1"/>
  <c r="E27" i="3"/>
  <c r="D9" i="13" s="1"/>
  <c r="C9" i="13"/>
  <c r="L14" i="5"/>
  <c r="E19" i="30" s="1"/>
  <c r="J55" i="5"/>
  <c r="H15" i="5"/>
  <c r="K14" i="5"/>
  <c r="E10" i="30" s="1"/>
  <c r="AI8" i="33" l="1"/>
  <c r="AJ8" i="33"/>
  <c r="AC8" i="33"/>
  <c r="AJ7" i="33"/>
  <c r="AI7" i="33"/>
  <c r="AC13" i="33"/>
  <c r="AC15" i="33" s="1"/>
  <c r="AK8" i="16"/>
  <c r="L16" i="18"/>
  <c r="L55" i="5"/>
  <c r="D155" i="6"/>
  <c r="C155" i="6" s="1"/>
  <c r="E35" i="3"/>
  <c r="C124" i="6"/>
  <c r="S127" i="6" s="1"/>
  <c r="C106" i="6"/>
  <c r="T109" i="6" s="1"/>
  <c r="C115" i="6"/>
  <c r="C88" i="6"/>
  <c r="T91" i="6" s="1"/>
  <c r="C70" i="6"/>
  <c r="T73" i="6" s="1"/>
  <c r="C52" i="6"/>
  <c r="S55" i="6" s="1"/>
  <c r="C25" i="6"/>
  <c r="C16" i="6"/>
  <c r="K56" i="5"/>
  <c r="L15" i="5"/>
  <c r="L54" i="5"/>
  <c r="AJ5" i="33" l="1"/>
  <c r="AI6" i="33"/>
  <c r="AJ11" i="33" s="1"/>
  <c r="K16" i="18"/>
  <c r="K5" i="18"/>
  <c r="D120" i="3"/>
  <c r="C120" i="3" s="1"/>
  <c r="E43" i="3"/>
  <c r="E9" i="13"/>
  <c r="S158" i="6"/>
  <c r="T176" i="6" s="1"/>
  <c r="T158" i="6"/>
  <c r="T127" i="6"/>
  <c r="C146" i="6"/>
  <c r="S149" i="6" s="1"/>
  <c r="C101" i="3"/>
  <c r="R104" i="3" s="1"/>
  <c r="C137" i="6"/>
  <c r="S109" i="6"/>
  <c r="C85" i="3"/>
  <c r="Q88" i="3" s="1"/>
  <c r="C93" i="3"/>
  <c r="S118" i="6"/>
  <c r="T118" i="6"/>
  <c r="C77" i="3"/>
  <c r="S91" i="6"/>
  <c r="C97" i="6"/>
  <c r="S100" i="6" s="1"/>
  <c r="C61" i="3"/>
  <c r="R64" i="3" s="1"/>
  <c r="T55" i="6"/>
  <c r="S73" i="6"/>
  <c r="C53" i="3"/>
  <c r="C79" i="6"/>
  <c r="C45" i="3"/>
  <c r="C29" i="3"/>
  <c r="Q32" i="3" s="1"/>
  <c r="C61" i="6"/>
  <c r="C43" i="6"/>
  <c r="C13" i="3"/>
  <c r="C21" i="3"/>
  <c r="C34" i="6"/>
  <c r="S37" i="6" s="1"/>
  <c r="T19" i="6"/>
  <c r="S19" i="6"/>
  <c r="I56" i="5"/>
  <c r="G59" i="5" s="1"/>
  <c r="L56" i="5"/>
  <c r="C9" i="16" l="1"/>
  <c r="D9" i="16"/>
  <c r="L5" i="18"/>
  <c r="E51" i="3"/>
  <c r="F9" i="13"/>
  <c r="Q104" i="3"/>
  <c r="Q123" i="3"/>
  <c r="R139" i="3" s="1"/>
  <c r="R123" i="3"/>
  <c r="T149" i="6"/>
  <c r="C112" i="3"/>
  <c r="T140" i="6"/>
  <c r="S140" i="6"/>
  <c r="R88" i="3"/>
  <c r="R96" i="3"/>
  <c r="Q96" i="3"/>
  <c r="Q64" i="3"/>
  <c r="Q80" i="3"/>
  <c r="R80" i="3"/>
  <c r="T100" i="6"/>
  <c r="C69" i="3"/>
  <c r="R72" i="3" s="1"/>
  <c r="T82" i="6"/>
  <c r="S82" i="6"/>
  <c r="Q56" i="3"/>
  <c r="R56" i="3"/>
  <c r="R32" i="3"/>
  <c r="Q48" i="3"/>
  <c r="R48" i="3"/>
  <c r="C37" i="3"/>
  <c r="T64" i="6"/>
  <c r="S64" i="6"/>
  <c r="S46" i="6"/>
  <c r="T46" i="6"/>
  <c r="R24" i="3"/>
  <c r="Q24" i="3"/>
  <c r="R16" i="3"/>
  <c r="C37" i="6"/>
  <c r="T34" i="6" s="1"/>
  <c r="Q16" i="3"/>
  <c r="E59" i="3" l="1"/>
  <c r="G9" i="13"/>
  <c r="Q115" i="3"/>
  <c r="R115" i="3"/>
  <c r="Q72" i="3"/>
  <c r="R40" i="3"/>
  <c r="Q40" i="3"/>
  <c r="B8" i="13"/>
  <c r="B10" i="13" s="1"/>
  <c r="D11" i="3"/>
  <c r="D19" i="3" s="1"/>
  <c r="E67" i="3" l="1"/>
  <c r="H9" i="13"/>
  <c r="D27" i="3"/>
  <c r="C8" i="13"/>
  <c r="C10" i="13" s="1"/>
  <c r="E75" i="3" l="1"/>
  <c r="I9" i="13"/>
  <c r="D35" i="3"/>
  <c r="D8" i="13"/>
  <c r="D10" i="13" s="1"/>
  <c r="E12" i="6"/>
  <c r="E20" i="6" s="1"/>
  <c r="E109" i="3" l="1"/>
  <c r="E83" i="3"/>
  <c r="J9" i="13"/>
  <c r="D43" i="3"/>
  <c r="E8" i="13"/>
  <c r="E10" i="13" s="1"/>
  <c r="E38" i="6"/>
  <c r="E47" i="6" s="1"/>
  <c r="B15" i="13"/>
  <c r="E29" i="6"/>
  <c r="H61" i="20" l="1"/>
  <c r="I61" i="20"/>
  <c r="I61" i="21"/>
  <c r="H61" i="21"/>
  <c r="E91" i="3"/>
  <c r="K9" i="13"/>
  <c r="C15" i="13"/>
  <c r="D51" i="3"/>
  <c r="F8" i="13"/>
  <c r="F10" i="13" s="1"/>
  <c r="E56" i="6"/>
  <c r="D15" i="13"/>
  <c r="F11" i="3"/>
  <c r="D12" i="6"/>
  <c r="D20" i="6" s="1"/>
  <c r="Q38" i="16" l="1"/>
  <c r="Q40" i="16" s="1"/>
  <c r="D59" i="3"/>
  <c r="G8" i="13"/>
  <c r="G10" i="13" s="1"/>
  <c r="E99" i="3"/>
  <c r="L9" i="13"/>
  <c r="E15" i="13"/>
  <c r="E65" i="6"/>
  <c r="E74" i="6" s="1"/>
  <c r="D38" i="6"/>
  <c r="D47" i="6" s="1"/>
  <c r="B14" i="13"/>
  <c r="B16" i="13" s="1"/>
  <c r="D29" i="6"/>
  <c r="Q43" i="16" l="1"/>
  <c r="H61" i="23"/>
  <c r="I61" i="23"/>
  <c r="D67" i="3"/>
  <c r="H8" i="13"/>
  <c r="H10" i="13" s="1"/>
  <c r="N8" i="13"/>
  <c r="E107" i="3"/>
  <c r="M9" i="13"/>
  <c r="G15" i="13"/>
  <c r="E83" i="6"/>
  <c r="E92" i="6" s="1"/>
  <c r="E101" i="6" s="1"/>
  <c r="E131" i="6" s="1"/>
  <c r="F15" i="13"/>
  <c r="C14" i="13"/>
  <c r="C16" i="13" s="1"/>
  <c r="D56" i="6"/>
  <c r="D14" i="13"/>
  <c r="D16" i="13" s="1"/>
  <c r="E9" i="10"/>
  <c r="F19" i="3"/>
  <c r="Q45" i="16" l="1"/>
  <c r="R38" i="16"/>
  <c r="R40" i="16" s="1"/>
  <c r="H61" i="22"/>
  <c r="I61" i="22"/>
  <c r="E110" i="3"/>
  <c r="E118" i="3" s="1"/>
  <c r="D75" i="3"/>
  <c r="I8" i="13"/>
  <c r="I10" i="13" s="1"/>
  <c r="E110" i="6"/>
  <c r="I15" i="13"/>
  <c r="J15" i="13"/>
  <c r="H15" i="13"/>
  <c r="E14" i="13"/>
  <c r="E16" i="13" s="1"/>
  <c r="D65" i="6"/>
  <c r="D74" i="6" s="1"/>
  <c r="E10" i="10"/>
  <c r="E30" i="10" s="1"/>
  <c r="C18" i="3"/>
  <c r="C19" i="3" s="1"/>
  <c r="E126" i="3" l="1"/>
  <c r="E128" i="3" s="1"/>
  <c r="D109" i="3"/>
  <c r="D83" i="3"/>
  <c r="J8" i="13"/>
  <c r="J10" i="13" s="1"/>
  <c r="K15" i="13"/>
  <c r="E119" i="6"/>
  <c r="G14" i="13"/>
  <c r="G16" i="13" s="1"/>
  <c r="D83" i="6"/>
  <c r="D92" i="6" s="1"/>
  <c r="D101" i="6" s="1"/>
  <c r="F14" i="13"/>
  <c r="F16" i="13" s="1"/>
  <c r="E29" i="10"/>
  <c r="G29" i="10"/>
  <c r="R17" i="3"/>
  <c r="R18" i="3"/>
  <c r="Q18" i="3"/>
  <c r="D91" i="3" l="1"/>
  <c r="K8" i="13"/>
  <c r="K10" i="13" s="1"/>
  <c r="D110" i="6"/>
  <c r="D119" i="6" s="1"/>
  <c r="D131" i="6"/>
  <c r="L15" i="13"/>
  <c r="E128" i="6"/>
  <c r="E132" i="6" s="1"/>
  <c r="E141" i="6" s="1"/>
  <c r="I14" i="13"/>
  <c r="I16" i="13" s="1"/>
  <c r="J14" i="13"/>
  <c r="J16" i="13" s="1"/>
  <c r="H14" i="13"/>
  <c r="H16" i="13" s="1"/>
  <c r="E31" i="10"/>
  <c r="E33" i="10" s="1"/>
  <c r="E50" i="10" s="1"/>
  <c r="E51" i="10" s="1"/>
  <c r="Q15" i="3"/>
  <c r="F27" i="3"/>
  <c r="R15" i="3"/>
  <c r="J23" i="10"/>
  <c r="R43" i="16" l="1"/>
  <c r="S38" i="16" s="1"/>
  <c r="K14" i="13"/>
  <c r="K16" i="13" s="1"/>
  <c r="E150" i="6"/>
  <c r="E159" i="6" s="1"/>
  <c r="E161" i="6" s="1"/>
  <c r="D99" i="3"/>
  <c r="L8" i="13"/>
  <c r="L10" i="13" s="1"/>
  <c r="M15" i="13"/>
  <c r="L14" i="13"/>
  <c r="L16" i="13" s="1"/>
  <c r="D128" i="6"/>
  <c r="D132" i="6" s="1"/>
  <c r="D141" i="6" s="1"/>
  <c r="E52" i="10"/>
  <c r="J43" i="10"/>
  <c r="R19" i="3"/>
  <c r="C26" i="3"/>
  <c r="C27" i="3" s="1"/>
  <c r="I61" i="24" l="1"/>
  <c r="H61" i="24"/>
  <c r="I61" i="25"/>
  <c r="H61" i="25"/>
  <c r="R45" i="16"/>
  <c r="S40" i="16"/>
  <c r="D150" i="6"/>
  <c r="D107" i="3"/>
  <c r="M8" i="13"/>
  <c r="M10" i="13" s="1"/>
  <c r="M14" i="13"/>
  <c r="M16" i="13" s="1"/>
  <c r="E53" i="10"/>
  <c r="I42" i="10" s="1"/>
  <c r="G52" i="10"/>
  <c r="F35" i="3"/>
  <c r="F43" i="3" s="1"/>
  <c r="Q23" i="3"/>
  <c r="Q26" i="3"/>
  <c r="R26" i="3"/>
  <c r="R25" i="3"/>
  <c r="S43" i="16" l="1"/>
  <c r="S45" i="16" s="1"/>
  <c r="D159" i="6"/>
  <c r="D161" i="6" s="1"/>
  <c r="D110" i="3"/>
  <c r="D118" i="3" s="1"/>
  <c r="E54" i="10"/>
  <c r="C34" i="3"/>
  <c r="C35" i="3" s="1"/>
  <c r="J41" i="10"/>
  <c r="R23" i="3"/>
  <c r="R27" i="3" s="1"/>
  <c r="H61" i="26" l="1"/>
  <c r="T38" i="16"/>
  <c r="D126" i="3"/>
  <c r="D128" i="3" s="1"/>
  <c r="I45" i="10"/>
  <c r="J46" i="10" s="1"/>
  <c r="E72" i="10"/>
  <c r="J64" i="10" s="1"/>
  <c r="R34" i="3"/>
  <c r="Q34" i="3"/>
  <c r="R33" i="3"/>
  <c r="T40" i="16" l="1"/>
  <c r="E73" i="10"/>
  <c r="E74" i="10"/>
  <c r="I63" i="10" s="1"/>
  <c r="C42" i="3"/>
  <c r="C43" i="3" s="1"/>
  <c r="F51" i="3" s="1"/>
  <c r="G73" i="10"/>
  <c r="Q31" i="3"/>
  <c r="R31" i="3"/>
  <c r="T43" i="16" l="1"/>
  <c r="T45" i="16" s="1"/>
  <c r="E75" i="10"/>
  <c r="I66" i="10" s="1"/>
  <c r="Q42" i="3"/>
  <c r="R42" i="3"/>
  <c r="R41" i="3"/>
  <c r="J62" i="10"/>
  <c r="R35" i="3"/>
  <c r="U38" i="16" l="1"/>
  <c r="U40" i="16" s="1"/>
  <c r="I61" i="26"/>
  <c r="E95" i="10"/>
  <c r="I84" i="10" s="1"/>
  <c r="E94" i="10"/>
  <c r="J67" i="10"/>
  <c r="C50" i="3"/>
  <c r="C51" i="3" s="1"/>
  <c r="F59" i="3" s="1"/>
  <c r="G94" i="10"/>
  <c r="R39" i="3"/>
  <c r="Q39" i="3"/>
  <c r="U43" i="16" l="1"/>
  <c r="V38" i="16" s="1"/>
  <c r="V40" i="16" s="1"/>
  <c r="E96" i="10"/>
  <c r="I87" i="10" s="1"/>
  <c r="R49" i="3"/>
  <c r="Q50" i="3"/>
  <c r="R50" i="3"/>
  <c r="R43" i="3"/>
  <c r="J83" i="10"/>
  <c r="H12" i="6"/>
  <c r="U45" i="16" l="1"/>
  <c r="V43" i="16"/>
  <c r="V45" i="16" s="1"/>
  <c r="G115" i="10"/>
  <c r="E116" i="10"/>
  <c r="J104" i="10" s="1"/>
  <c r="E115" i="10"/>
  <c r="C58" i="3"/>
  <c r="C59" i="3" s="1"/>
  <c r="R47" i="3"/>
  <c r="Q47" i="3"/>
  <c r="J88" i="10"/>
  <c r="H20" i="6"/>
  <c r="H38" i="6" s="1"/>
  <c r="W38" i="16" l="1"/>
  <c r="W40" i="16" s="1"/>
  <c r="F67" i="3"/>
  <c r="I105" i="10"/>
  <c r="E117" i="10"/>
  <c r="E137" i="10" s="1"/>
  <c r="R57" i="3"/>
  <c r="R58" i="3"/>
  <c r="Q58" i="3"/>
  <c r="R51" i="3"/>
  <c r="C19" i="6"/>
  <c r="W43" i="16" l="1"/>
  <c r="G136" i="10"/>
  <c r="C66" i="3"/>
  <c r="C67" i="3" s="1"/>
  <c r="F75" i="3" s="1"/>
  <c r="F109" i="3" s="1"/>
  <c r="C109" i="3" s="1"/>
  <c r="I108" i="10"/>
  <c r="J109" i="10" s="1"/>
  <c r="E136" i="10"/>
  <c r="E138" i="10" s="1"/>
  <c r="J125" i="10"/>
  <c r="I126" i="10"/>
  <c r="R55" i="3"/>
  <c r="Q55" i="3"/>
  <c r="S16" i="6"/>
  <c r="T20" i="6"/>
  <c r="S20" i="6"/>
  <c r="S21" i="6"/>
  <c r="W45" i="16" l="1"/>
  <c r="X38" i="16"/>
  <c r="X40" i="16" s="1"/>
  <c r="Q113" i="3"/>
  <c r="E265" i="10"/>
  <c r="G157" i="10"/>
  <c r="E157" i="10"/>
  <c r="E158" i="10"/>
  <c r="I129" i="10"/>
  <c r="J130" i="10" s="1"/>
  <c r="Q66" i="3"/>
  <c r="R66" i="3"/>
  <c r="R65" i="3"/>
  <c r="R59" i="3"/>
  <c r="C12" i="6"/>
  <c r="X43" i="16" l="1"/>
  <c r="Y38" i="16" s="1"/>
  <c r="Y40" i="16" s="1"/>
  <c r="C74" i="3"/>
  <c r="E159" i="10"/>
  <c r="E179" i="10" s="1"/>
  <c r="J146" i="10"/>
  <c r="I147" i="10"/>
  <c r="R63" i="3"/>
  <c r="Q63" i="3"/>
  <c r="C20" i="6"/>
  <c r="C38" i="6" s="1"/>
  <c r="X45" i="16" l="1"/>
  <c r="C75" i="3"/>
  <c r="R73" i="3"/>
  <c r="E178" i="10"/>
  <c r="I150" i="10"/>
  <c r="J151" i="10" s="1"/>
  <c r="G178" i="10"/>
  <c r="Q74" i="3"/>
  <c r="R74" i="3"/>
  <c r="R67" i="3"/>
  <c r="H46" i="6"/>
  <c r="H47" i="6" s="1"/>
  <c r="T16" i="6"/>
  <c r="T22" i="6" s="1"/>
  <c r="Y43" i="16" l="1"/>
  <c r="Z38" i="16" s="1"/>
  <c r="F83" i="3"/>
  <c r="E180" i="10"/>
  <c r="E199" i="10" s="1"/>
  <c r="I168" i="10"/>
  <c r="J167" i="10"/>
  <c r="R71" i="3"/>
  <c r="Q71" i="3"/>
  <c r="C46" i="6"/>
  <c r="C47" i="6" s="1"/>
  <c r="C28" i="6"/>
  <c r="S38" i="6" s="1"/>
  <c r="T40" i="6" s="1"/>
  <c r="H29" i="6"/>
  <c r="Y45" i="16" l="1"/>
  <c r="Z40" i="16"/>
  <c r="I171" i="10"/>
  <c r="J172" i="10" s="1"/>
  <c r="G199" i="10"/>
  <c r="E200" i="10"/>
  <c r="C82" i="3"/>
  <c r="C83" i="3" s="1"/>
  <c r="R75" i="3"/>
  <c r="H55" i="6"/>
  <c r="S47" i="6"/>
  <c r="T47" i="6"/>
  <c r="S48" i="6"/>
  <c r="C29" i="6"/>
  <c r="Z43" i="16" l="1"/>
  <c r="Z45" i="16" s="1"/>
  <c r="E201" i="10"/>
  <c r="E221" i="10" s="1"/>
  <c r="J188" i="10"/>
  <c r="I189" i="10"/>
  <c r="Q82" i="3"/>
  <c r="R82" i="3"/>
  <c r="R81" i="3"/>
  <c r="C55" i="6"/>
  <c r="H56" i="6"/>
  <c r="S43" i="6"/>
  <c r="T43" i="6"/>
  <c r="AA38" i="16" l="1"/>
  <c r="AA40" i="16" s="1"/>
  <c r="I192" i="10"/>
  <c r="J193" i="10" s="1"/>
  <c r="G220" i="10"/>
  <c r="E220" i="10"/>
  <c r="C90" i="3"/>
  <c r="F91" i="3"/>
  <c r="Q79" i="3"/>
  <c r="R79" i="3"/>
  <c r="C56" i="6"/>
  <c r="H64" i="6" s="1"/>
  <c r="H65" i="6" s="1"/>
  <c r="H74" i="6" s="1"/>
  <c r="S56" i="6"/>
  <c r="T56" i="6"/>
  <c r="S57" i="6"/>
  <c r="T49" i="6"/>
  <c r="T31" i="6"/>
  <c r="AA43" i="16" l="1"/>
  <c r="E222" i="10"/>
  <c r="E242" i="10" s="1"/>
  <c r="I210" i="10"/>
  <c r="J209" i="10"/>
  <c r="Q90" i="3"/>
  <c r="R90" i="3"/>
  <c r="R89" i="3"/>
  <c r="C91" i="3"/>
  <c r="R83" i="3"/>
  <c r="C64" i="6"/>
  <c r="C65" i="6" s="1"/>
  <c r="S52" i="6"/>
  <c r="T52" i="6"/>
  <c r="AA45" i="16" l="1"/>
  <c r="AB38" i="16"/>
  <c r="AB40" i="16" s="1"/>
  <c r="I213" i="10"/>
  <c r="J214" i="10" s="1"/>
  <c r="G241" i="10"/>
  <c r="E241" i="10"/>
  <c r="R87" i="3"/>
  <c r="Q87" i="3"/>
  <c r="T65" i="6"/>
  <c r="T66" i="6"/>
  <c r="S66" i="6"/>
  <c r="S65" i="6"/>
  <c r="C73" i="6"/>
  <c r="C74" i="6" s="1"/>
  <c r="S61" i="6"/>
  <c r="T61" i="6"/>
  <c r="T58" i="6"/>
  <c r="D40" i="16" l="1"/>
  <c r="D43" i="16" s="1"/>
  <c r="E243" i="10"/>
  <c r="E263" i="10" s="1"/>
  <c r="I231" i="10"/>
  <c r="J230" i="10"/>
  <c r="C98" i="3"/>
  <c r="F99" i="3"/>
  <c r="N9" i="13" s="1"/>
  <c r="N10" i="13" s="1"/>
  <c r="R91" i="3"/>
  <c r="T74" i="6"/>
  <c r="S75" i="6"/>
  <c r="T75" i="6"/>
  <c r="S74" i="6"/>
  <c r="T67" i="6"/>
  <c r="C40" i="16" l="1"/>
  <c r="C43" i="16" s="1"/>
  <c r="AB43" i="16"/>
  <c r="I234" i="10"/>
  <c r="J235" i="10" s="1"/>
  <c r="G262" i="10"/>
  <c r="E262" i="10"/>
  <c r="Q98" i="3"/>
  <c r="R98" i="3"/>
  <c r="R97" i="3"/>
  <c r="C99" i="3"/>
  <c r="C82" i="6"/>
  <c r="C83" i="6" s="1"/>
  <c r="H83" i="6"/>
  <c r="S70" i="6"/>
  <c r="T70" i="6"/>
  <c r="AB45" i="16" l="1"/>
  <c r="AC38" i="16"/>
  <c r="AC40" i="16" s="1"/>
  <c r="AC43" i="16" s="1"/>
  <c r="E264" i="10"/>
  <c r="J251" i="10"/>
  <c r="I252" i="10"/>
  <c r="R95" i="3"/>
  <c r="Q95" i="3"/>
  <c r="C91" i="6"/>
  <c r="C92" i="6" s="1"/>
  <c r="H100" i="6" s="1"/>
  <c r="S84" i="6"/>
  <c r="T83" i="6"/>
  <c r="S83" i="6"/>
  <c r="T84" i="6"/>
  <c r="T76" i="6"/>
  <c r="AC45" i="16" l="1"/>
  <c r="AD38" i="16"/>
  <c r="E266" i="10"/>
  <c r="G285" i="10" s="1"/>
  <c r="I255" i="10"/>
  <c r="J256" i="10" s="1"/>
  <c r="C106" i="3"/>
  <c r="F107" i="3"/>
  <c r="F110" i="3" s="1"/>
  <c r="F118" i="3" s="1"/>
  <c r="R99" i="3"/>
  <c r="C100" i="6"/>
  <c r="C101" i="6" s="1"/>
  <c r="H92" i="6"/>
  <c r="S88" i="6"/>
  <c r="T88" i="6"/>
  <c r="T92" i="6"/>
  <c r="S93" i="6"/>
  <c r="T93" i="6"/>
  <c r="S92" i="6"/>
  <c r="S79" i="6"/>
  <c r="T79" i="6"/>
  <c r="AD40" i="16" l="1"/>
  <c r="AJ36" i="16" s="1"/>
  <c r="AD43" i="16"/>
  <c r="AK35" i="16"/>
  <c r="AD45" i="16"/>
  <c r="AK37" i="16"/>
  <c r="L7" i="18" s="1"/>
  <c r="AJ37" i="16"/>
  <c r="K7" i="18" s="1"/>
  <c r="E286" i="10"/>
  <c r="I275" i="10" s="1"/>
  <c r="E285" i="10"/>
  <c r="Q106" i="3"/>
  <c r="R106" i="3"/>
  <c r="R105" i="3"/>
  <c r="C107" i="3"/>
  <c r="C110" i="3" s="1"/>
  <c r="C109" i="6"/>
  <c r="H101" i="6"/>
  <c r="H131" i="6" s="1"/>
  <c r="T101" i="6"/>
  <c r="S101" i="6"/>
  <c r="S102" i="6"/>
  <c r="T102" i="6"/>
  <c r="T94" i="6"/>
  <c r="T85" i="6"/>
  <c r="K6" i="18" l="1"/>
  <c r="AK41" i="16"/>
  <c r="E287" i="10"/>
  <c r="J274" i="10"/>
  <c r="C131" i="6"/>
  <c r="E244" i="7" s="1"/>
  <c r="E245" i="7" s="1"/>
  <c r="Q103" i="3"/>
  <c r="R103" i="3"/>
  <c r="C110" i="6"/>
  <c r="T106" i="6" s="1"/>
  <c r="T110" i="6"/>
  <c r="H110" i="6"/>
  <c r="S111" i="6"/>
  <c r="S97" i="6"/>
  <c r="T97" i="6"/>
  <c r="E261" i="7" l="1"/>
  <c r="I255" i="7" s="1"/>
  <c r="E262" i="7"/>
  <c r="E307" i="10"/>
  <c r="E306" i="10"/>
  <c r="I278" i="10"/>
  <c r="G306" i="10"/>
  <c r="J278" i="10"/>
  <c r="C117" i="3"/>
  <c r="S138" i="6"/>
  <c r="R107" i="3"/>
  <c r="C118" i="6"/>
  <c r="C119" i="6" s="1"/>
  <c r="S106" i="6"/>
  <c r="T103" i="6"/>
  <c r="J255" i="7" l="1"/>
  <c r="G279" i="7"/>
  <c r="J279" i="10"/>
  <c r="H261" i="7"/>
  <c r="I254" i="7"/>
  <c r="J253" i="7"/>
  <c r="E263" i="7"/>
  <c r="E280" i="7" s="1"/>
  <c r="I296" i="10"/>
  <c r="J295" i="10"/>
  <c r="E308" i="10"/>
  <c r="C118" i="3"/>
  <c r="F125" i="3" s="1"/>
  <c r="F126" i="3" s="1"/>
  <c r="F128" i="3" s="1"/>
  <c r="R116" i="3"/>
  <c r="R117" i="3"/>
  <c r="Q117" i="3"/>
  <c r="H127" i="6"/>
  <c r="C127" i="6" s="1"/>
  <c r="C128" i="6" s="1"/>
  <c r="C132" i="6" s="1"/>
  <c r="H119" i="6"/>
  <c r="S115" i="6"/>
  <c r="T115" i="6"/>
  <c r="T119" i="6"/>
  <c r="S120" i="6"/>
  <c r="T112" i="6"/>
  <c r="H308" i="10"/>
  <c r="H279" i="7" l="1"/>
  <c r="I257" i="7"/>
  <c r="I272" i="7"/>
  <c r="J271" i="7"/>
  <c r="J257" i="7"/>
  <c r="E279" i="7"/>
  <c r="G297" i="7" s="1"/>
  <c r="I299" i="10"/>
  <c r="J299" i="10"/>
  <c r="R114" i="3"/>
  <c r="Q114" i="3"/>
  <c r="T128" i="6"/>
  <c r="S129" i="6"/>
  <c r="H128" i="6"/>
  <c r="H132" i="6" s="1"/>
  <c r="T121" i="6"/>
  <c r="I273" i="7" l="1"/>
  <c r="J273" i="7"/>
  <c r="E281" i="7"/>
  <c r="E298" i="7" s="1"/>
  <c r="H297" i="7" s="1"/>
  <c r="J258" i="7"/>
  <c r="J300" i="10"/>
  <c r="C125" i="3"/>
  <c r="C126" i="3" s="1"/>
  <c r="C128" i="3" s="1"/>
  <c r="R118" i="3"/>
  <c r="H141" i="6"/>
  <c r="T124" i="6"/>
  <c r="S124" i="6"/>
  <c r="E297" i="7" l="1"/>
  <c r="J291" i="7" s="1"/>
  <c r="J275" i="7"/>
  <c r="I275" i="7"/>
  <c r="I290" i="7"/>
  <c r="J289" i="7"/>
  <c r="C130" i="3"/>
  <c r="R131" i="3"/>
  <c r="R122" i="3"/>
  <c r="Q138" i="3" s="1"/>
  <c r="Q125" i="3"/>
  <c r="R141" i="3" s="1"/>
  <c r="R124" i="3"/>
  <c r="R125" i="3"/>
  <c r="C140" i="6"/>
  <c r="T130" i="6"/>
  <c r="E299" i="7" l="1"/>
  <c r="J293" i="7" s="1"/>
  <c r="I291" i="7"/>
  <c r="J276" i="7"/>
  <c r="R134" i="3"/>
  <c r="R142" i="3"/>
  <c r="Q122" i="3"/>
  <c r="R126" i="3" s="1"/>
  <c r="C141" i="6"/>
  <c r="H150" i="6" s="1"/>
  <c r="T141" i="6"/>
  <c r="S142" i="6"/>
  <c r="I293" i="7" l="1"/>
  <c r="J294" i="7" s="1"/>
  <c r="T137" i="6"/>
  <c r="S137" i="6"/>
  <c r="H299" i="7"/>
  <c r="T143" i="6" l="1"/>
  <c r="C149" i="6"/>
  <c r="C150" i="6" l="1"/>
  <c r="H158" i="6" s="1"/>
  <c r="T150" i="6"/>
  <c r="S151" i="6"/>
  <c r="T146" i="6" l="1"/>
  <c r="S146" i="6"/>
  <c r="C158" i="6" l="1"/>
  <c r="C159" i="6" s="1"/>
  <c r="C161" i="6" s="1"/>
  <c r="C163" i="6" s="1"/>
  <c r="H159" i="6"/>
  <c r="H161" i="6" s="1"/>
  <c r="T152" i="6"/>
  <c r="S160" i="6" l="1"/>
  <c r="T178" i="6" s="1"/>
  <c r="T159" i="6"/>
  <c r="T155" i="6" l="1"/>
  <c r="S155" i="6"/>
  <c r="S173" i="6" l="1"/>
  <c r="T161" i="6"/>
  <c r="T179" i="6" l="1"/>
  <c r="L17" i="18" l="1"/>
  <c r="K19" i="18"/>
  <c r="L15" i="18" l="1"/>
  <c r="K15" i="18"/>
  <c r="K18" i="18"/>
  <c r="L19" i="18"/>
  <c r="L13" i="18" l="1"/>
  <c r="K14" i="18"/>
  <c r="F1" i="24" l="1"/>
  <c r="F1" i="26"/>
  <c r="Q5" i="16" l="1"/>
  <c r="F1" i="25"/>
  <c r="C1" i="27"/>
  <c r="Q8" i="16" l="1"/>
  <c r="Q13" i="16" s="1"/>
  <c r="F1" i="27"/>
  <c r="C1" i="28"/>
  <c r="Q15" i="16" l="1"/>
  <c r="R5" i="16"/>
  <c r="R8" i="16" s="1"/>
  <c r="C1" i="29"/>
  <c r="F1" i="29" s="1"/>
  <c r="F1" i="28"/>
  <c r="L25" i="18" l="1"/>
  <c r="L27" i="18"/>
  <c r="K27" i="18"/>
  <c r="R13" i="16"/>
  <c r="S5" i="16" s="1"/>
  <c r="S8" i="16" s="1"/>
  <c r="K26" i="18" l="1"/>
  <c r="R15" i="16"/>
  <c r="S13" i="16" l="1"/>
  <c r="T5" i="16" l="1"/>
  <c r="T8" i="16" s="1"/>
  <c r="S15" i="16"/>
  <c r="T13" i="16" l="1"/>
  <c r="T15" i="16" s="1"/>
  <c r="U5" i="16" l="1"/>
  <c r="U8" i="16" s="1"/>
  <c r="U13" i="16" l="1"/>
  <c r="V5" i="16" s="1"/>
  <c r="V8" i="16" s="1"/>
  <c r="AA11" i="16" s="1"/>
  <c r="D11" i="16" s="1"/>
  <c r="I62" i="21"/>
  <c r="U15" i="16" l="1"/>
  <c r="C11" i="16"/>
  <c r="V13" i="16" l="1"/>
  <c r="W5" i="16" l="1"/>
  <c r="V15" i="16"/>
  <c r="W8" i="16" l="1"/>
  <c r="W13" i="16" l="1"/>
  <c r="W15" i="16" s="1"/>
  <c r="X5" i="16" l="1"/>
  <c r="X8" i="16" s="1"/>
  <c r="X13" i="16" l="1"/>
  <c r="Y5" i="16" s="1"/>
  <c r="X15" i="16" l="1"/>
  <c r="Y8" i="16"/>
  <c r="Y13" i="16" l="1"/>
  <c r="Y15" i="16" s="1"/>
  <c r="Z5" i="16" l="1"/>
  <c r="Z8" i="16" s="1"/>
  <c r="I62" i="22"/>
  <c r="I62" i="26"/>
  <c r="I62" i="23"/>
  <c r="I62" i="24"/>
  <c r="I62" i="20"/>
  <c r="I62" i="25"/>
  <c r="Z13" i="16" l="1"/>
  <c r="AA5" i="16" s="1"/>
  <c r="AA8" i="16" s="1"/>
  <c r="Z15" i="16" l="1"/>
  <c r="AA13" i="16"/>
  <c r="AA15" i="16" l="1"/>
  <c r="AB5" i="16"/>
  <c r="AB8" i="16" l="1"/>
  <c r="D8" i="16" l="1"/>
  <c r="D13" i="16" s="1"/>
  <c r="C8" i="16"/>
  <c r="C13" i="16" s="1"/>
  <c r="AB13" i="16"/>
  <c r="AC5" i="16" s="1"/>
  <c r="AC8" i="16" s="1"/>
  <c r="AC13" i="16" s="1"/>
  <c r="AC15" i="16" l="1"/>
  <c r="AD5" i="16"/>
  <c r="AD8" i="16" s="1"/>
  <c r="AB15" i="16"/>
  <c r="AD13" i="16" l="1"/>
  <c r="AD15" i="16" s="1"/>
  <c r="AK5" i="16"/>
  <c r="AJ6" i="16"/>
  <c r="AK7" i="16"/>
  <c r="L4" i="18" s="1"/>
  <c r="AJ7" i="16"/>
  <c r="K4" i="18" s="1"/>
  <c r="I61" i="5" l="1"/>
  <c r="I61" i="19"/>
  <c r="H61" i="19"/>
  <c r="H61" i="5"/>
  <c r="H61" i="29"/>
  <c r="H61" i="28"/>
  <c r="H61" i="27"/>
  <c r="AK11" i="16"/>
  <c r="K3" i="18"/>
  <c r="K32" i="18" s="1"/>
  <c r="I61" i="29"/>
  <c r="I61" i="28"/>
  <c r="I61" i="27"/>
  <c r="L2" i="18"/>
  <c r="L32" i="18" s="1"/>
  <c r="I62" i="19" l="1"/>
  <c r="I62" i="5"/>
  <c r="I62" i="27"/>
  <c r="I62" i="28"/>
  <c r="I62" i="29"/>
</calcChain>
</file>

<file path=xl/comments1.xml><?xml version="1.0" encoding="utf-8"?>
<comments xmlns="http://schemas.openxmlformats.org/spreadsheetml/2006/main">
  <authors>
    <author>MGG9990</author>
    <author>Berg, Jenny</author>
  </authors>
  <commentList>
    <comment ref="I5" authorId="0" shapeId="0">
      <text>
        <r>
          <rPr>
            <sz val="8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  <comment ref="C30" authorId="1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adjust for penny rounding</t>
        </r>
      </text>
    </comment>
  </commentList>
</comments>
</file>

<file path=xl/comments10.xml><?xml version="1.0" encoding="utf-8"?>
<comments xmlns="http://schemas.openxmlformats.org/spreadsheetml/2006/main">
  <authors>
    <author>MGG9990</author>
    <author>Berg, Jenny</author>
  </authors>
  <commentList>
    <comment ref="I5" authorId="0" shapeId="0">
      <text>
        <r>
          <rPr>
            <sz val="8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  <comment ref="G52" authorId="1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Positive Amt = Net Expense
Negative Amt = Net Revenue</t>
        </r>
      </text>
    </comment>
    <comment ref="G53" authorId="1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Always Negative Amt = Revenue collected from borrowers based on current rates.</t>
        </r>
      </text>
    </comment>
  </commentList>
</comments>
</file>

<file path=xl/comments11.xml><?xml version="1.0" encoding="utf-8"?>
<comments xmlns="http://schemas.openxmlformats.org/spreadsheetml/2006/main">
  <authors>
    <author>MGG9990</author>
    <author>Berg, Jenny</author>
  </authors>
  <commentList>
    <comment ref="I5" authorId="0" shapeId="0">
      <text>
        <r>
          <rPr>
            <sz val="8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  <comment ref="M28" authorId="1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comes from ss we build -
H://Natural Gas Accounting/Gas Cost Data Bases/PGA Rate Changes/2016/11-2016 ID - PGA Rate Changes</t>
        </r>
      </text>
    </comment>
    <comment ref="I32" authorId="1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comes from ss we build -
H://Natural Gas Accounting/Gas Cost Data Bases/PGA Rate Changes/2016/11-2016 WA - PGA Rate Changes</t>
        </r>
      </text>
    </comment>
    <comment ref="M43" authorId="1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comes from ss we build -
H://Natural Gas Accounting/Gas Cost Data Bases/PGA Rate Changes/2016/11-2016 ID - PGA Rate Changes</t>
        </r>
      </text>
    </comment>
    <comment ref="I45" authorId="1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comes from ss we build -
H://Natural Gas Accounting/Gas Cost Data Bases/PGA Rate Changes/2016/11-2016 WA - PGA Rate Changes</t>
        </r>
      </text>
    </comment>
  </commentList>
</comments>
</file>

<file path=xl/comments12.xml><?xml version="1.0" encoding="utf-8"?>
<comments xmlns="http://schemas.openxmlformats.org/spreadsheetml/2006/main">
  <authors>
    <author>MGG9990</author>
  </authors>
  <commentList>
    <comment ref="I5" authorId="0" shapeId="0">
      <text>
        <r>
          <rPr>
            <sz val="8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</commentList>
</comments>
</file>

<file path=xl/comments13.xml><?xml version="1.0" encoding="utf-8"?>
<comments xmlns="http://schemas.openxmlformats.org/spreadsheetml/2006/main">
  <authors>
    <author>Berg, Jenny</author>
  </authors>
  <commentList>
    <comment ref="D3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Beginning 201701</t>
        </r>
      </text>
    </comment>
    <comment ref="O8" authorId="0" shapeId="0">
      <text>
        <r>
          <rPr>
            <b/>
            <sz val="9"/>
            <color indexed="81"/>
            <rFont val="Tahoma"/>
            <family val="2"/>
          </rPr>
          <t xml:space="preserve">MGG9990:
</t>
        </r>
        <r>
          <rPr>
            <sz val="9"/>
            <color indexed="81"/>
            <rFont val="Tahoma"/>
            <family val="2"/>
          </rPr>
          <t>Interest Calculation Includes Transfer in beginning balance</t>
        </r>
      </text>
    </comment>
    <comment ref="AA8" authorId="0" shapeId="0">
      <text>
        <r>
          <rPr>
            <b/>
            <sz val="9"/>
            <color indexed="81"/>
            <rFont val="Tahoma"/>
            <family val="2"/>
          </rPr>
          <t xml:space="preserve">MGG9990:
</t>
        </r>
        <r>
          <rPr>
            <sz val="9"/>
            <color indexed="81"/>
            <rFont val="Tahoma"/>
            <family val="2"/>
          </rPr>
          <t>Interest Calculation Includes Transfer in beginning balance</t>
        </r>
      </text>
    </comment>
    <comment ref="O12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"plug" to get to Ryan's balance of $14,182,183.96</t>
        </r>
      </text>
    </comment>
    <comment ref="AA12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Dec/Jan Rate Schedule 146 difference per Rates
Added in order to tie to Annette's balance of $14,771,212.55</t>
        </r>
      </text>
    </comment>
    <comment ref="J14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Ryan's balance = 
$14,182,183.96</t>
        </r>
      </text>
    </comment>
    <comment ref="V14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Annette's balance = $14,771,212.55.
Difference = $35.15 and noted under Misc Adjustments in November.</t>
        </r>
      </text>
    </comment>
    <comment ref="O39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Amortization of Commodity &amp; Demand…increases in '16 b/c of change in rate from .02571 to .09174</t>
        </r>
      </text>
    </comment>
    <comment ref="P39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Amortization of Commodity &amp; Demand</t>
        </r>
      </text>
    </comment>
    <comment ref="AA39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Amortization of Commodity &amp; Demand…</t>
        </r>
      </text>
    </comment>
    <comment ref="AB39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Amortization of Commodity &amp; Demand</t>
        </r>
      </text>
    </comment>
    <comment ref="AC39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Amortization of Commodity &amp; Demand</t>
        </r>
      </text>
    </comment>
    <comment ref="AD39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Amortization of Commodity &amp; Demand</t>
        </r>
      </text>
    </comment>
    <comment ref="O40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interest calculation</t>
        </r>
      </text>
    </comment>
    <comment ref="P40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interest calculation</t>
        </r>
      </text>
    </comment>
    <comment ref="AA40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interest calculation</t>
        </r>
      </text>
    </comment>
    <comment ref="AB40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interest calculation</t>
        </r>
      </text>
    </comment>
    <comment ref="AC40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add interest adjustment here after entry books.</t>
        </r>
      </text>
    </comment>
    <comment ref="AD40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add interest adjustment here after entry books.</t>
        </r>
      </text>
    </comment>
    <comment ref="O41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Ryan's balance </t>
        </r>
      </text>
    </comment>
    <comment ref="AA41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Annette's balance </t>
        </r>
      </text>
    </comment>
    <comment ref="O42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refund on "November 2016 Transfers" spreadsheet</t>
        </r>
      </text>
    </comment>
    <comment ref="AA42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refund on Temporary Refunds/Charges Rate Spreadsheet</t>
        </r>
      </text>
    </comment>
    <comment ref="AB42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moved from Nov column b/c actually booked in Dec and interest should reflect this.  The $459.10 is getting picked up in Jan'18.</t>
        </r>
      </text>
    </comment>
    <comment ref="AD42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to correct for $130,571.12 being too high - picked up wrong column on Annette's spreadsheet.</t>
        </r>
      </text>
    </comment>
    <comment ref="O74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JP Amortization</t>
        </r>
      </text>
    </comment>
    <comment ref="P74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JP Amortization</t>
        </r>
      </text>
    </comment>
    <comment ref="AA74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Add October unbilled reversal…and then move remaining balance to 426500-ZZ-ZZ</t>
        </r>
      </text>
    </comment>
    <comment ref="Q75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Correction to backwards sign on $298 last month...</t>
        </r>
      </text>
    </comment>
    <comment ref="AB76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No more entry</t>
        </r>
      </text>
    </comment>
    <comment ref="AC76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No more entry</t>
        </r>
      </text>
    </comment>
    <comment ref="AD76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No more entry</t>
        </r>
      </text>
    </comment>
    <comment ref="Z77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In November write off to 426500-ZZ-ZZ… </t>
        </r>
      </text>
    </comment>
  </commentList>
</comments>
</file>

<file path=xl/comments14.xml><?xml version="1.0" encoding="utf-8"?>
<comments xmlns="http://schemas.openxmlformats.org/spreadsheetml/2006/main">
  <authors>
    <author>Berg, Jenny</author>
  </authors>
  <commentList>
    <comment ref="D3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Beginning 201701</t>
        </r>
      </text>
    </comment>
    <comment ref="O8" authorId="0" shapeId="0">
      <text>
        <r>
          <rPr>
            <b/>
            <sz val="9"/>
            <color indexed="81"/>
            <rFont val="Tahoma"/>
            <family val="2"/>
          </rPr>
          <t xml:space="preserve">MGG9990:
</t>
        </r>
        <r>
          <rPr>
            <sz val="9"/>
            <color indexed="81"/>
            <rFont val="Tahoma"/>
            <family val="2"/>
          </rPr>
          <t>Interest Calculation Includes Transfer in beginning balance</t>
        </r>
      </text>
    </comment>
    <comment ref="AA8" authorId="0" shapeId="0">
      <text>
        <r>
          <rPr>
            <b/>
            <sz val="9"/>
            <color indexed="81"/>
            <rFont val="Tahoma"/>
            <family val="2"/>
          </rPr>
          <t xml:space="preserve">MGG9990:
</t>
        </r>
        <r>
          <rPr>
            <sz val="9"/>
            <color indexed="81"/>
            <rFont val="Tahoma"/>
            <family val="2"/>
          </rPr>
          <t>Interest Calculation Includes Transfer in beginning balance</t>
        </r>
      </text>
    </comment>
    <comment ref="O12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"plug" to get to Ryan's balance of $14,182,183.96</t>
        </r>
      </text>
    </comment>
    <comment ref="AA12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Dec/Jan Rate Schedule 146 difference per Rates
Added in order to tie to Annette's balance of $14,771,212.55</t>
        </r>
      </text>
    </comment>
    <comment ref="J14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Ryan's balance = 
$14,182,183.96</t>
        </r>
      </text>
    </comment>
    <comment ref="V14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Annette's balance = $14,771,212.55.
Difference = $35.15 and noted under Misc Adjustments in November.</t>
        </r>
      </text>
    </comment>
    <comment ref="B22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Captured annually; compiled from rates.  Booked in November - "November 2016 Transfers".  Includes 112 (if there were customers), 122 &amp; 132.
122 - St Lukes Hospital
122- State of Washington
122 - Spokane County Courthouse
132 - Spokane County Courthouse
132 - State of Washington</t>
        </r>
      </text>
    </comment>
    <comment ref="B24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Captured annually; compiled from rates.  Booked in November - "November 2016 Transfers".  Includes 112 (if there were customers), 122 &amp; 132.
122 - St Lukes Hospital
122- State of Washington
122 - Spokane County Courthouse
132 - Spokane County Courthouse
132 - State of Washington</t>
        </r>
      </text>
    </comment>
    <comment ref="B26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Captured annually; compiled from rates.  Booked in November - "November 2016 Transfers".  Includes 112 (if there were customers), 122 &amp; 132.
122 - St Lukes Hospital
122- State of Washington
122 - Spokane County Courthouse
132 - Spokane County Courthouse
132 - State of Washington</t>
        </r>
      </text>
    </comment>
    <comment ref="B35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Captured annually; compiled from rates.  Booked in November - "November 2016 Transfers".  Includes 112 (if there were customers), 122 &amp; 132.
122 - St Lukes Hospital
122- State of Washington
122 - Spokane County Courthouse
132 - Spokane County Courthouse
132 - State of Washington</t>
        </r>
      </text>
    </comment>
    <comment ref="B37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Captured annually; compiled from rates.  Booked in November - "November 2016 Transfers".  Includes 112 (if there were customers), 122 &amp; 132.
122 - St Lukes Hospital
122- State of Washington
122 - Spokane County Courthouse
132 - Spokane County Courthouse
132 - State of Washington</t>
        </r>
      </text>
    </comment>
    <comment ref="B39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Captured annually; compiled from rates.  Booked in November - "November 2016 Transfers".  Includes 112 (if there were customers), 122 &amp; 132.
122 - St Lukes Hospital
122- State of Washington
122 - Spokane County Courthouse
132 - Spokane County Courthouse
132 - State of Washington</t>
        </r>
      </text>
    </comment>
    <comment ref="O45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Amortization of Commodity &amp; Demand…increases in '16 b/c of change in rate from .02571 to .09174</t>
        </r>
      </text>
    </comment>
    <comment ref="P45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Amortization of Commodity &amp; Demand</t>
        </r>
      </text>
    </comment>
    <comment ref="AA45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Amortization of Commodity &amp; Demand…</t>
        </r>
      </text>
    </comment>
    <comment ref="AB45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Amortization of Commodity &amp; Demand</t>
        </r>
      </text>
    </comment>
    <comment ref="AC45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Amortization of Commodity &amp; Demand</t>
        </r>
      </text>
    </comment>
    <comment ref="O46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interest calculation</t>
        </r>
      </text>
    </comment>
    <comment ref="P46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interest calculation</t>
        </r>
      </text>
    </comment>
    <comment ref="AA46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interest calculation</t>
        </r>
      </text>
    </comment>
    <comment ref="AB46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interest calculation</t>
        </r>
      </text>
    </comment>
    <comment ref="AC46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add interest adjustment here after entry books.</t>
        </r>
      </text>
    </comment>
    <comment ref="O47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Ryan's balance </t>
        </r>
      </text>
    </comment>
    <comment ref="AA47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Annette's balance </t>
        </r>
      </text>
    </comment>
    <comment ref="O48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refund on "November 2016 Transfers" spreadsheet</t>
        </r>
      </text>
    </comment>
    <comment ref="AA48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refund on Temporary Refunds/Charges Rate Spreadsheet</t>
        </r>
      </text>
    </comment>
    <comment ref="AB48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moved from Nov column b/c actually booked in Dec and interest should reflect this.  The $459.10 is getting picked up in Jan'18.</t>
        </r>
      </text>
    </comment>
    <comment ref="O80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JP Amortization</t>
        </r>
      </text>
    </comment>
    <comment ref="P80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JP Amortization</t>
        </r>
      </text>
    </comment>
    <comment ref="AA80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Add October unbilled reversal…and then move remaining balance to 426500-ZZ-ZZ</t>
        </r>
      </text>
    </comment>
    <comment ref="Q81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Correction to backwards sign on $298 last month...</t>
        </r>
      </text>
    </comment>
    <comment ref="AB82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No more entry</t>
        </r>
      </text>
    </comment>
    <comment ref="AC82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No more entry</t>
        </r>
      </text>
    </comment>
    <comment ref="Z83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In November write off to 426500-ZZ-ZZ… </t>
        </r>
      </text>
    </comment>
  </commentList>
</comments>
</file>

<file path=xl/comments15.xml><?xml version="1.0" encoding="utf-8"?>
<comments xmlns="http://schemas.openxmlformats.org/spreadsheetml/2006/main">
  <authors>
    <author>CGroome</author>
  </authors>
  <commentList>
    <comment ref="E25" authorId="0" shapeId="0">
      <text>
        <r>
          <rPr>
            <b/>
            <sz val="8"/>
            <color indexed="81"/>
            <rFont val="Tahoma"/>
            <family val="2"/>
          </rPr>
          <t>CGroome:</t>
        </r>
        <r>
          <rPr>
            <sz val="8"/>
            <color indexed="81"/>
            <rFont val="Tahoma"/>
            <family val="2"/>
          </rPr>
          <t xml:space="preserve">
Once a year, Craig B. will supply $ (Large customer refund)</t>
        </r>
      </text>
    </comment>
    <comment ref="E48" authorId="0" shapeId="0">
      <text>
        <r>
          <rPr>
            <b/>
            <sz val="8"/>
            <color indexed="81"/>
            <rFont val="Tahoma"/>
            <family val="2"/>
          </rPr>
          <t>CGroome:</t>
        </r>
        <r>
          <rPr>
            <sz val="8"/>
            <color indexed="81"/>
            <rFont val="Tahoma"/>
            <family val="2"/>
          </rPr>
          <t xml:space="preserve">
Once a year, Craig B. will supply $ (Large customer refund)</t>
        </r>
      </text>
    </comment>
    <comment ref="E69" authorId="0" shapeId="0">
      <text>
        <r>
          <rPr>
            <b/>
            <sz val="8"/>
            <color indexed="81"/>
            <rFont val="Tahoma"/>
            <family val="2"/>
          </rPr>
          <t>CGroome:</t>
        </r>
        <r>
          <rPr>
            <sz val="8"/>
            <color indexed="81"/>
            <rFont val="Tahoma"/>
            <family val="2"/>
          </rPr>
          <t xml:space="preserve">
Once a year, Craig B. will supply $ (Large customer refund)</t>
        </r>
      </text>
    </comment>
    <comment ref="E90" authorId="0" shapeId="0">
      <text>
        <r>
          <rPr>
            <b/>
            <sz val="8"/>
            <color indexed="81"/>
            <rFont val="Tahoma"/>
            <family val="2"/>
          </rPr>
          <t>CGroome:</t>
        </r>
        <r>
          <rPr>
            <sz val="8"/>
            <color indexed="81"/>
            <rFont val="Tahoma"/>
            <family val="2"/>
          </rPr>
          <t xml:space="preserve">
Once a year, Craig B. will supply $ (Large customer refund)</t>
        </r>
      </text>
    </comment>
    <comment ref="E111" authorId="0" shapeId="0">
      <text>
        <r>
          <rPr>
            <b/>
            <sz val="8"/>
            <color indexed="81"/>
            <rFont val="Tahoma"/>
            <family val="2"/>
          </rPr>
          <t>CGroome:</t>
        </r>
        <r>
          <rPr>
            <sz val="8"/>
            <color indexed="81"/>
            <rFont val="Tahoma"/>
            <family val="2"/>
          </rPr>
          <t xml:space="preserve">
Once a year, Craig B. will supply $ (Large customer refund)</t>
        </r>
      </text>
    </comment>
    <comment ref="E132" authorId="0" shapeId="0">
      <text>
        <r>
          <rPr>
            <b/>
            <sz val="8"/>
            <color indexed="81"/>
            <rFont val="Tahoma"/>
            <family val="2"/>
          </rPr>
          <t>CGroome:</t>
        </r>
        <r>
          <rPr>
            <sz val="8"/>
            <color indexed="81"/>
            <rFont val="Tahoma"/>
            <family val="2"/>
          </rPr>
          <t xml:space="preserve">
Once a year, Craig B. will supply $ (Large customer refund)</t>
        </r>
      </text>
    </comment>
    <comment ref="E153" authorId="0" shapeId="0">
      <text>
        <r>
          <rPr>
            <b/>
            <sz val="8"/>
            <color indexed="81"/>
            <rFont val="Tahoma"/>
            <family val="2"/>
          </rPr>
          <t>CGroome:</t>
        </r>
        <r>
          <rPr>
            <sz val="8"/>
            <color indexed="81"/>
            <rFont val="Tahoma"/>
            <family val="2"/>
          </rPr>
          <t xml:space="preserve">
Once a year, Craig B. will supply $ (Large customer refund)</t>
        </r>
      </text>
    </comment>
    <comment ref="E174" authorId="0" shapeId="0">
      <text>
        <r>
          <rPr>
            <b/>
            <sz val="8"/>
            <color indexed="81"/>
            <rFont val="Tahoma"/>
            <family val="2"/>
          </rPr>
          <t>CGroome:</t>
        </r>
        <r>
          <rPr>
            <sz val="8"/>
            <color indexed="81"/>
            <rFont val="Tahoma"/>
            <family val="2"/>
          </rPr>
          <t xml:space="preserve">
Once a year, Craig B. will supply $ (Large customer refund)</t>
        </r>
      </text>
    </comment>
    <comment ref="E195" authorId="0" shapeId="0">
      <text>
        <r>
          <rPr>
            <b/>
            <sz val="8"/>
            <color indexed="81"/>
            <rFont val="Tahoma"/>
            <family val="2"/>
          </rPr>
          <t>CGroome:</t>
        </r>
        <r>
          <rPr>
            <sz val="8"/>
            <color indexed="81"/>
            <rFont val="Tahoma"/>
            <family val="2"/>
          </rPr>
          <t xml:space="preserve">
Once a year, Craig B. will supply $ (Large customer refund)</t>
        </r>
      </text>
    </comment>
    <comment ref="E216" authorId="0" shapeId="0">
      <text>
        <r>
          <rPr>
            <b/>
            <sz val="8"/>
            <color indexed="81"/>
            <rFont val="Tahoma"/>
            <family val="2"/>
          </rPr>
          <t>CGroome:</t>
        </r>
        <r>
          <rPr>
            <sz val="8"/>
            <color indexed="81"/>
            <rFont val="Tahoma"/>
            <family val="2"/>
          </rPr>
          <t xml:space="preserve">
Once a year, Craig B. will supply $ (Large customer refund)</t>
        </r>
      </text>
    </comment>
    <comment ref="E237" authorId="0" shapeId="0">
      <text>
        <r>
          <rPr>
            <b/>
            <sz val="8"/>
            <color indexed="81"/>
            <rFont val="Tahoma"/>
            <family val="2"/>
          </rPr>
          <t>CGroome:</t>
        </r>
        <r>
          <rPr>
            <sz val="8"/>
            <color indexed="81"/>
            <rFont val="Tahoma"/>
            <family val="2"/>
          </rPr>
          <t xml:space="preserve">
Once a year, Craig B. will supply $ (Large customer refund)</t>
        </r>
      </text>
    </comment>
    <comment ref="E258" authorId="0" shapeId="0">
      <text>
        <r>
          <rPr>
            <b/>
            <sz val="8"/>
            <color indexed="81"/>
            <rFont val="Tahoma"/>
            <family val="2"/>
          </rPr>
          <t>CGroome:</t>
        </r>
        <r>
          <rPr>
            <sz val="8"/>
            <color indexed="81"/>
            <rFont val="Tahoma"/>
            <family val="2"/>
          </rPr>
          <t xml:space="preserve">
Once a year, Craig B. will supply $ (Large customer refund)</t>
        </r>
      </text>
    </comment>
    <comment ref="E281" authorId="0" shapeId="0">
      <text>
        <r>
          <rPr>
            <b/>
            <sz val="8"/>
            <color indexed="81"/>
            <rFont val="Tahoma"/>
            <family val="2"/>
          </rPr>
          <t>CGroome:</t>
        </r>
        <r>
          <rPr>
            <sz val="8"/>
            <color indexed="81"/>
            <rFont val="Tahoma"/>
            <family val="2"/>
          </rPr>
          <t xml:space="preserve">
Once a year, Craig B. will supply $ (Large customer refund)</t>
        </r>
      </text>
    </comment>
    <comment ref="E302" authorId="0" shapeId="0">
      <text>
        <r>
          <rPr>
            <b/>
            <sz val="8"/>
            <color indexed="81"/>
            <rFont val="Tahoma"/>
            <family val="2"/>
          </rPr>
          <t>CGroome:</t>
        </r>
        <r>
          <rPr>
            <sz val="8"/>
            <color indexed="81"/>
            <rFont val="Tahoma"/>
            <family val="2"/>
          </rPr>
          <t xml:space="preserve">
Once a year, Craig B. will supply $ (Large customer refund)</t>
        </r>
      </text>
    </comment>
  </commentList>
</comments>
</file>

<file path=xl/comments2.xml><?xml version="1.0" encoding="utf-8"?>
<comments xmlns="http://schemas.openxmlformats.org/spreadsheetml/2006/main">
  <authors>
    <author>Berg, Jenny</author>
    <author>MGG9990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Transportation = amount of capacity in the pipeline.</t>
        </r>
      </text>
    </comment>
    <comment ref="I5" authorId="1" shapeId="0">
      <text>
        <r>
          <rPr>
            <sz val="8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</commentList>
</comments>
</file>

<file path=xl/comments3.xml><?xml version="1.0" encoding="utf-8"?>
<comments xmlns="http://schemas.openxmlformats.org/spreadsheetml/2006/main">
  <authors>
    <author>MGG9990</author>
  </authors>
  <commentList>
    <comment ref="I5" authorId="0" shapeId="0">
      <text>
        <r>
          <rPr>
            <sz val="8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</commentList>
</comments>
</file>

<file path=xl/comments4.xml><?xml version="1.0" encoding="utf-8"?>
<comments xmlns="http://schemas.openxmlformats.org/spreadsheetml/2006/main">
  <authors>
    <author>MGG9990</author>
  </authors>
  <commentList>
    <comment ref="I5" authorId="0" shapeId="0">
      <text>
        <r>
          <rPr>
            <sz val="8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</commentList>
</comments>
</file>

<file path=xl/comments5.xml><?xml version="1.0" encoding="utf-8"?>
<comments xmlns="http://schemas.openxmlformats.org/spreadsheetml/2006/main">
  <authors>
    <author>MGG9990</author>
    <author>Berg, Jenny</author>
  </authors>
  <commentList>
    <comment ref="I5" authorId="0" shapeId="0">
      <text>
        <r>
          <rPr>
            <sz val="8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  <comment ref="G52" authorId="1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Positive Amt = Net Expense
Negative Amt = Net Revenue</t>
        </r>
      </text>
    </comment>
    <comment ref="G53" authorId="1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Always Negative Amt = Revenue collected from borrowers based on current rates.</t>
        </r>
      </text>
    </comment>
  </commentList>
</comments>
</file>

<file path=xl/comments6.xml><?xml version="1.0" encoding="utf-8"?>
<comments xmlns="http://schemas.openxmlformats.org/spreadsheetml/2006/main">
  <authors>
    <author>MGG9990</author>
    <author>Berg, Jenny</author>
  </authors>
  <commentList>
    <comment ref="I5" authorId="0" shapeId="0">
      <text>
        <r>
          <rPr>
            <sz val="8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  <comment ref="G52" authorId="1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Positive Amt = Net Expense
Negative Amt = Net Revenue</t>
        </r>
      </text>
    </comment>
    <comment ref="G53" authorId="1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Always Negative Amt = Revenue collected from borrowers based on current rates.</t>
        </r>
      </text>
    </comment>
  </commentList>
</comments>
</file>

<file path=xl/comments7.xml><?xml version="1.0" encoding="utf-8"?>
<comments xmlns="http://schemas.openxmlformats.org/spreadsheetml/2006/main">
  <authors>
    <author>MGG9990</author>
  </authors>
  <commentList>
    <comment ref="I5" authorId="0" shapeId="0">
      <text>
        <r>
          <rPr>
            <sz val="8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</commentList>
</comments>
</file>

<file path=xl/comments8.xml><?xml version="1.0" encoding="utf-8"?>
<comments xmlns="http://schemas.openxmlformats.org/spreadsheetml/2006/main">
  <authors>
    <author>MGG9990</author>
    <author>Berg, Jenny</author>
  </authors>
  <commentList>
    <comment ref="I5" authorId="0" shapeId="0">
      <text>
        <r>
          <rPr>
            <sz val="8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  <comment ref="G52" authorId="1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Positive Amt = Net Expense
Negative Amt = Net Revenue</t>
        </r>
      </text>
    </comment>
    <comment ref="G53" authorId="1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Always Negative Amt = Revenue collected from borrowers based on current rates.</t>
        </r>
      </text>
    </comment>
  </commentList>
</comments>
</file>

<file path=xl/comments9.xml><?xml version="1.0" encoding="utf-8"?>
<comments xmlns="http://schemas.openxmlformats.org/spreadsheetml/2006/main">
  <authors>
    <author>MGG9990</author>
    <author>Berg, Jenny</author>
  </authors>
  <commentList>
    <comment ref="I5" authorId="0" shapeId="0">
      <text>
        <r>
          <rPr>
            <sz val="8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  <comment ref="H12" authorId="1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see if this amount is still a negative cost…like july and aug '17.</t>
        </r>
      </text>
    </comment>
    <comment ref="G52" authorId="1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Positive Amt = Net Expense
Negative Amt = Net Revenue</t>
        </r>
      </text>
    </comment>
    <comment ref="G53" authorId="1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Always Negative Amt = Revenue collected from borrowers based on current rates.</t>
        </r>
      </text>
    </comment>
  </commentList>
</comments>
</file>

<file path=xl/sharedStrings.xml><?xml version="1.0" encoding="utf-8"?>
<sst xmlns="http://schemas.openxmlformats.org/spreadsheetml/2006/main" count="5161" uniqueCount="323">
  <si>
    <t>State of Washington</t>
  </si>
  <si>
    <t>Balance</t>
  </si>
  <si>
    <t>Commodity</t>
  </si>
  <si>
    <t>Demand</t>
  </si>
  <si>
    <t>Interest</t>
  </si>
  <si>
    <t>NWP/PGT</t>
  </si>
  <si>
    <t>Capacity</t>
  </si>
  <si>
    <t>Deferral</t>
  </si>
  <si>
    <t>Refund</t>
  </si>
  <si>
    <t>Charges</t>
  </si>
  <si>
    <t>Tracker transfer</t>
  </si>
  <si>
    <t>Tracker Transfer</t>
  </si>
  <si>
    <t xml:space="preserve"> Interest</t>
  </si>
  <si>
    <t>Avista Corporation</t>
  </si>
  <si>
    <t>Misc</t>
  </si>
  <si>
    <t>Recap of Account 191010 GD WA</t>
  </si>
  <si>
    <t>Acct 191010</t>
  </si>
  <si>
    <t>191010 GD WA</t>
  </si>
  <si>
    <t>dr</t>
  </si>
  <si>
    <t>cr</t>
  </si>
  <si>
    <t>805120 GD WA</t>
  </si>
  <si>
    <t>Total</t>
  </si>
  <si>
    <t>Rates</t>
  </si>
  <si>
    <t>Amortization</t>
  </si>
  <si>
    <t>Schedule</t>
  </si>
  <si>
    <t>J0URNAL ENTRY</t>
  </si>
  <si>
    <t>805110 GD WA</t>
  </si>
  <si>
    <t>191000 GD WA</t>
  </si>
  <si>
    <t>Total Interest Income</t>
  </si>
  <si>
    <t xml:space="preserve">Total Interest Expense </t>
  </si>
  <si>
    <t>NWP Capacity Release</t>
  </si>
  <si>
    <t xml:space="preserve">NWP Variable </t>
  </si>
  <si>
    <t>System</t>
  </si>
  <si>
    <t>PGA</t>
  </si>
  <si>
    <t>Revenue</t>
  </si>
  <si>
    <t>Washington</t>
  </si>
  <si>
    <t>Rate</t>
  </si>
  <si>
    <t>Schedule 101</t>
  </si>
  <si>
    <t>Schedule 111</t>
  </si>
  <si>
    <t>Schedule 112</t>
  </si>
  <si>
    <t>Schedule 121</t>
  </si>
  <si>
    <t>Schedule 122</t>
  </si>
  <si>
    <t>Schedule 131</t>
  </si>
  <si>
    <t>Schedule 132</t>
  </si>
  <si>
    <t>Imbalance Cost Washington</t>
  </si>
  <si>
    <t>Imbalance Cost Idaho</t>
  </si>
  <si>
    <t>State of Idaho</t>
  </si>
  <si>
    <t>Analysis of Account 191010 GD ID</t>
  </si>
  <si>
    <t>Contract</t>
  </si>
  <si>
    <t>Cascade</t>
  </si>
  <si>
    <t>Off-Sys Sales</t>
  </si>
  <si>
    <t>Off-System Sales</t>
  </si>
  <si>
    <t>Admin &amp; Gen</t>
  </si>
  <si>
    <t>Marg-Commod</t>
  </si>
  <si>
    <t>Marg-Capacity</t>
  </si>
  <si>
    <t>Releases</t>
  </si>
  <si>
    <t>Ending Balance</t>
  </si>
  <si>
    <t xml:space="preserve">Interest </t>
  </si>
  <si>
    <t>191010 GD ID</t>
  </si>
  <si>
    <t>805120 GD ID</t>
  </si>
  <si>
    <t>805110 GD ID</t>
  </si>
  <si>
    <t>132J</t>
  </si>
  <si>
    <t>191000 GD ID</t>
  </si>
  <si>
    <t>Idaho</t>
  </si>
  <si>
    <t xml:space="preserve">Washington/Idaho Gas Costs </t>
  </si>
  <si>
    <t>Allocated to</t>
  </si>
  <si>
    <t xml:space="preserve">Commodity </t>
  </si>
  <si>
    <t xml:space="preserve">Allocated to </t>
  </si>
  <si>
    <t>Cost</t>
  </si>
  <si>
    <t xml:space="preserve">Total </t>
  </si>
  <si>
    <t xml:space="preserve">Idaho </t>
  </si>
  <si>
    <t>Amount to be Deferred</t>
  </si>
  <si>
    <t>Expense Calculation</t>
  </si>
  <si>
    <t>Deferral Calculation</t>
  </si>
  <si>
    <t>Schedule 146</t>
  </si>
  <si>
    <t>419600 GD WA</t>
  </si>
  <si>
    <t>431600 GD WA</t>
  </si>
  <si>
    <t>419600 GD ID</t>
  </si>
  <si>
    <t>431600 GD ID</t>
  </si>
  <si>
    <t>WA deferral</t>
  </si>
  <si>
    <t>Deferral exp</t>
  </si>
  <si>
    <t>ID deferral</t>
  </si>
  <si>
    <t>Interest Income</t>
  </si>
  <si>
    <t xml:space="preserve">Interest Expense </t>
  </si>
  <si>
    <t>Current Mo Deferrals</t>
  </si>
  <si>
    <t>Interest %</t>
  </si>
  <si>
    <t>Adjustments</t>
  </si>
  <si>
    <t>Subtotal</t>
  </si>
  <si>
    <t xml:space="preserve">NWP Fixed </t>
  </si>
  <si>
    <t>GTN Fixed</t>
  </si>
  <si>
    <t xml:space="preserve">GTN Variable </t>
  </si>
  <si>
    <t>GTN Capacity Release</t>
  </si>
  <si>
    <t>ANG Total</t>
  </si>
  <si>
    <t>WEI (Duke) Total</t>
  </si>
  <si>
    <t>Commodity Purchases (Natural Gas)</t>
  </si>
  <si>
    <t xml:space="preserve">Total Net Gas Costs </t>
  </si>
  <si>
    <t>Counterparty Invoice Total</t>
  </si>
  <si>
    <t>Total WA Amortization Expense</t>
  </si>
  <si>
    <t>WA Recoverable Gas Costs</t>
  </si>
  <si>
    <t>Total ID Amortization Expense</t>
  </si>
  <si>
    <t>ID Recoverable Gas Costs</t>
  </si>
  <si>
    <t>Volumes</t>
  </si>
  <si>
    <t>check</t>
  </si>
  <si>
    <t>Totals from above</t>
  </si>
  <si>
    <t xml:space="preserve"> Current Unrecovered PGA Deferred</t>
  </si>
  <si>
    <t>Large Customer</t>
  </si>
  <si>
    <t>WA CURR UNRECOV PGA DEFERRED</t>
  </si>
  <si>
    <t>ID CURR UNRECOV PGA DEFERRED</t>
  </si>
  <si>
    <t xml:space="preserve">Balance Sheet </t>
  </si>
  <si>
    <t>PGA Deferral Revenue from above</t>
  </si>
  <si>
    <r>
      <t>Demand (Transportation)</t>
    </r>
    <r>
      <rPr>
        <b/>
        <sz val="12"/>
        <color indexed="8"/>
        <rFont val="Arial"/>
        <family val="2"/>
      </rPr>
      <t xml:space="preserve"> Costs</t>
    </r>
  </si>
  <si>
    <r>
      <t>Total Demand</t>
    </r>
    <r>
      <rPr>
        <b/>
        <sz val="12"/>
        <color indexed="8"/>
        <rFont val="Arial"/>
        <family val="2"/>
      </rPr>
      <t xml:space="preserve"> Costs from Purchase Journals</t>
    </r>
  </si>
  <si>
    <t>WA/ID Buy/Sell Transportation Recovery</t>
  </si>
  <si>
    <t>less variable costs charged to Commodity</t>
  </si>
  <si>
    <t>Total Demand Costs to be Allocated</t>
  </si>
  <si>
    <t>804000 GD AN</t>
  </si>
  <si>
    <t xml:space="preserve">Total Demand Costs </t>
  </si>
  <si>
    <t>804001 GD AN</t>
  </si>
  <si>
    <t>plus variable costs from Demand</t>
  </si>
  <si>
    <t>Total Commodity Costs to be Allocated</t>
  </si>
  <si>
    <t>808100/808200 GD AN</t>
  </si>
  <si>
    <t>WA Imbalance</t>
  </si>
  <si>
    <t>ID Imbalance</t>
  </si>
  <si>
    <t>Total Commodity Costs from Purchase Journals</t>
  </si>
  <si>
    <t>WA/ID Off System Revenue</t>
  </si>
  <si>
    <t>Total Deferred Commodity Costs:</t>
  </si>
  <si>
    <t>DEMAND</t>
  </si>
  <si>
    <t xml:space="preserve">Total Demand </t>
  </si>
  <si>
    <t>COMMODITY</t>
  </si>
  <si>
    <t>Commodity Physical</t>
  </si>
  <si>
    <t>Broker Fees</t>
  </si>
  <si>
    <t>Financial Settlements</t>
  </si>
  <si>
    <t>804600 GD AN</t>
  </si>
  <si>
    <t>Total Commodity</t>
  </si>
  <si>
    <t>WASHINGTON</t>
  </si>
  <si>
    <t>IDAHO</t>
  </si>
  <si>
    <t>Total Deferral Expenses from above</t>
  </si>
  <si>
    <t>GST</t>
  </si>
  <si>
    <t>Total Commodity Costs before refund</t>
  </si>
  <si>
    <r>
      <t xml:space="preserve">Total Current Demand Costs </t>
    </r>
    <r>
      <rPr>
        <b/>
        <sz val="12"/>
        <rFont val="Arial"/>
        <family val="2"/>
      </rPr>
      <t>(excluding refund)</t>
    </r>
  </si>
  <si>
    <t>NWP Total (excluding Refund)</t>
  </si>
  <si>
    <t>WA 191000 Recoverable Gas Costs Amortized</t>
  </si>
  <si>
    <t>ID 191000 Recoverable Gas Costs Amortized</t>
  </si>
  <si>
    <t xml:space="preserve">Valley Hospital </t>
  </si>
  <si>
    <t>Terasen</t>
  </si>
  <si>
    <t xml:space="preserve">  Current Month Estimate</t>
  </si>
  <si>
    <t>Cochrane Credit</t>
  </si>
  <si>
    <t>811000 GD AN</t>
  </si>
  <si>
    <t>Misc Adjustment</t>
  </si>
  <si>
    <t>Questar</t>
  </si>
  <si>
    <t>Thermal Transport</t>
  </si>
  <si>
    <t>Spokane Rock Products</t>
  </si>
  <si>
    <t>804017 GD AN</t>
  </si>
  <si>
    <t>Foreign Exchange Hedge Activity</t>
  </si>
  <si>
    <t>Interest Revenue</t>
  </si>
  <si>
    <t>804010 GD AN</t>
  </si>
  <si>
    <t>Large Customer Refund</t>
  </si>
  <si>
    <t xml:space="preserve">Adjustments </t>
  </si>
  <si>
    <t>interest check</t>
  </si>
  <si>
    <t>Check</t>
  </si>
  <si>
    <t>From DJ 430</t>
  </si>
  <si>
    <t>Adj</t>
  </si>
  <si>
    <t>Def Rev Calc</t>
  </si>
  <si>
    <t>Spectra Westcoast Fixed</t>
  </si>
  <si>
    <t>Spectra Westcoast Variable</t>
  </si>
  <si>
    <t>Transcanada Foothills (BC System) Fixed</t>
  </si>
  <si>
    <t>Transcanada Foothills (BC System) Variable</t>
  </si>
  <si>
    <t>Intracompany Transportation Optimization</t>
  </si>
  <si>
    <t>FAFB Commodity for Anderson Elementary/Lignetics (semi-annual)</t>
  </si>
  <si>
    <t>WA/ID Gas Purchased from Interstate Asphalt (Annual)</t>
  </si>
  <si>
    <t>Analysis of Account 191000 GD ID</t>
  </si>
  <si>
    <t>Recovered PGA Deferred</t>
  </si>
  <si>
    <t>Analysis of Account 191000 GD WA</t>
  </si>
  <si>
    <t>WA Total</t>
  </si>
  <si>
    <t>ID Total</t>
  </si>
  <si>
    <t>Debits</t>
  </si>
  <si>
    <t>Credits</t>
  </si>
  <si>
    <t>Storage (Injections)/Withdrawals</t>
  </si>
  <si>
    <t>Interco Purchase from Thermal</t>
  </si>
  <si>
    <t>804730 GD AN</t>
  </si>
  <si>
    <t xml:space="preserve">NOVA Fixed charges </t>
  </si>
  <si>
    <t>(overcollected)/undercollected</t>
  </si>
  <si>
    <t>(rebate)/surcharge</t>
  </si>
  <si>
    <t>NOVA (AB System) Fixed</t>
  </si>
  <si>
    <t>NOVA (AB System) Variable</t>
  </si>
  <si>
    <t>NOVA Total</t>
  </si>
  <si>
    <t xml:space="preserve">Third party capacity release </t>
  </si>
  <si>
    <t>Manual Calc</t>
  </si>
  <si>
    <t>Other capacity release credit</t>
  </si>
  <si>
    <t>Other Pipeline Fixed charges</t>
  </si>
  <si>
    <t>495028 GD AN</t>
  </si>
  <si>
    <t>Avista Corp. - Resource Accounting</t>
  </si>
  <si>
    <t>Date of Graphs</t>
  </si>
  <si>
    <t>$ in Millions:  (+) Rebate; (-) Surcharge</t>
  </si>
  <si>
    <t>Washington Deferral</t>
  </si>
  <si>
    <t>WA 191025 WA GRC JACKSON PRAIRIE DEFERRAL</t>
  </si>
  <si>
    <t>WA GRC Jackson Prairie Deferral</t>
  </si>
  <si>
    <t>191025 GD WA</t>
  </si>
  <si>
    <t>Current Month Amortization</t>
  </si>
  <si>
    <t>Original</t>
  </si>
  <si>
    <t>Amortization of JP Deferral</t>
  </si>
  <si>
    <t>Analysis of Account 191015 GD ID</t>
  </si>
  <si>
    <t>ID Deferral Holdback</t>
  </si>
  <si>
    <t>Acct 191015</t>
  </si>
  <si>
    <t>Balance 10/1/12</t>
  </si>
  <si>
    <t>Tracker Transfer 191015</t>
  </si>
  <si>
    <t>Tracker Transfer 191000</t>
  </si>
  <si>
    <t>191015 GD ID</t>
  </si>
  <si>
    <t>Tracker Transfer 10/1/12</t>
  </si>
  <si>
    <t>ID Holdback</t>
  </si>
  <si>
    <t>Balance 11/1/12</t>
  </si>
  <si>
    <t>2012 Deferral Transfer</t>
  </si>
  <si>
    <t>Tracker Transfer 11/1/12</t>
  </si>
  <si>
    <t>CORRECTED</t>
  </si>
  <si>
    <t>J0URNAL ENTRY - ORIGINAL</t>
  </si>
  <si>
    <t>J0URNAL ENTRY CORRECTION - book 12/31</t>
  </si>
  <si>
    <t>ID CURR UNRECOV PGA DEFERRED - ORIGINALLY RECORDED</t>
  </si>
  <si>
    <t>ID CURR UNRECOV PGA DEFERRED Correcting Entry CORRECTING booked 12/31</t>
  </si>
  <si>
    <t>Correcting Adjustment for 12/2012</t>
  </si>
  <si>
    <t>11-30-2012 - Corrected</t>
  </si>
  <si>
    <t>M Checmical Accrual</t>
  </si>
  <si>
    <t>Idaho Deferral (With Holdback)</t>
  </si>
  <si>
    <t>Mizuho Broker Fees</t>
  </si>
  <si>
    <t>Balance 10/1/13</t>
  </si>
  <si>
    <t>SEE ID AMORT 191015 TAB FOR AMORTIZATION BEGINNING 10/1/2013</t>
  </si>
  <si>
    <t>10/1/2013 Tracker Transfer</t>
  </si>
  <si>
    <t>10/1/13 Balance</t>
  </si>
  <si>
    <t>10/1/2013 Balance</t>
  </si>
  <si>
    <t>805111 GD ID</t>
  </si>
  <si>
    <t>= Var = Correction of rate used 10/2013 close</t>
  </si>
  <si>
    <t>PGA Tracker Transfer</t>
  </si>
  <si>
    <t>Balance 11/1/2013</t>
  </si>
  <si>
    <t>2013 Deferral Transfer</t>
  </si>
  <si>
    <t>Adjusted 11/1/2013 Balance</t>
  </si>
  <si>
    <t>Demand Allocation Correction NSJ</t>
  </si>
  <si>
    <t>WA CURR UNRECOV PGA DEFERRED - CORRECTED</t>
  </si>
  <si>
    <t>WA CURR UNRECOV PGA DEFERRED - ORIGINALLY RECORDED IN DJ431</t>
  </si>
  <si>
    <t>WA CURR UNRECOV PGA DEFERRED - CORRECTING ENTRY</t>
  </si>
  <si>
    <t>ID CURR UNRECOV PGA DEFERRED - CORRECTED</t>
  </si>
  <si>
    <t>ID CURR UNRECOV PGA DEFERRED - ORIGINALLY RECORDED IN DJ431</t>
  </si>
  <si>
    <t>ID CURR UNRECOV PGA DEFERRED - CORRECTING ENTRY</t>
  </si>
  <si>
    <t>Adjusted Ending Balance</t>
  </si>
  <si>
    <t>GL Wand Check</t>
  </si>
  <si>
    <t>Variance</t>
  </si>
  <si>
    <t>GL CHECK</t>
  </si>
  <si>
    <t>O</t>
  </si>
  <si>
    <t>2012-2013 PGA Deferral Balances</t>
  </si>
  <si>
    <t>NSJ025</t>
  </si>
  <si>
    <t>YTD</t>
  </si>
  <si>
    <t>PGA YTD</t>
  </si>
  <si>
    <t>Beginning Balance</t>
  </si>
  <si>
    <t>Demand Deferral</t>
  </si>
  <si>
    <t>Month</t>
  </si>
  <si>
    <t>Interest Rate</t>
  </si>
  <si>
    <t>Interest (Rev/Expense)</t>
  </si>
  <si>
    <t>PGA Transfer</t>
  </si>
  <si>
    <t>GLW Check</t>
  </si>
  <si>
    <t>Cumulative
Balance</t>
  </si>
  <si>
    <t>Commodity Adjustment</t>
  </si>
  <si>
    <t>Demand Adjustment</t>
  </si>
  <si>
    <t>Interest Adjustment</t>
  </si>
  <si>
    <t>Blue Text = Drag Formula to next month and copy/paste value in prior month</t>
  </si>
  <si>
    <t>Washington Current Deferral</t>
  </si>
  <si>
    <t>Washington Amortization</t>
  </si>
  <si>
    <t>Calendar Sales Check</t>
  </si>
  <si>
    <t>*Misc Adjustments*</t>
  </si>
  <si>
    <t>Project or GL entry</t>
  </si>
  <si>
    <t>Project</t>
  </si>
  <si>
    <t>Task</t>
  </si>
  <si>
    <t>Expenditure Type</t>
  </si>
  <si>
    <t>Organization</t>
  </si>
  <si>
    <t>Company</t>
  </si>
  <si>
    <t>FERC</t>
  </si>
  <si>
    <t>Service Code</t>
  </si>
  <si>
    <t>Rate Making Jurisdiction</t>
  </si>
  <si>
    <t>Statistical Indicator</t>
  </si>
  <si>
    <t>Quantity</t>
  </si>
  <si>
    <t>Credit (GL Only entries)</t>
  </si>
  <si>
    <t>Comments</t>
  </si>
  <si>
    <t>G</t>
  </si>
  <si>
    <t>GD</t>
  </si>
  <si>
    <t>WA</t>
  </si>
  <si>
    <t>DL</t>
  </si>
  <si>
    <t>GL</t>
  </si>
  <si>
    <t>WA Deferral Interest Income</t>
  </si>
  <si>
    <t>WA Deferral Interest Expense</t>
  </si>
  <si>
    <t>WA Deferral</t>
  </si>
  <si>
    <t>WA Deferral Expense</t>
  </si>
  <si>
    <t>WA Amortization Interest Income</t>
  </si>
  <si>
    <t>WA Amortization Interest Expense</t>
  </si>
  <si>
    <t>WA Amortization</t>
  </si>
  <si>
    <t>WA Amortization Expense</t>
  </si>
  <si>
    <t>WA Amortization JP</t>
  </si>
  <si>
    <t>WA Amortization Expense JP</t>
  </si>
  <si>
    <t>JET Entry</t>
  </si>
  <si>
    <t>Update JE date to pull current month values</t>
  </si>
  <si>
    <t>483000/483600/483730</t>
  </si>
  <si>
    <t>Idaho PGA Costs</t>
  </si>
  <si>
    <t>Washington PGA Costs</t>
  </si>
  <si>
    <t>2013-2014 PGA Costs</t>
  </si>
  <si>
    <t>Actual</t>
  </si>
  <si>
    <t>PGA Rate</t>
  </si>
  <si>
    <t>PGA Budget</t>
  </si>
  <si>
    <t>Deferral Check</t>
  </si>
  <si>
    <t>M Chemical Accrual</t>
  </si>
  <si>
    <t>Schedule 102</t>
  </si>
  <si>
    <t>MAIN CALC</t>
  </si>
  <si>
    <t>Main Calc</t>
  </si>
  <si>
    <t>Wells Fargo Journal DJ 473</t>
  </si>
  <si>
    <t>Commodity Deferral</t>
  </si>
  <si>
    <t>Volume - Commodity &amp; Demand</t>
  </si>
  <si>
    <t>Volume - Demand only</t>
  </si>
  <si>
    <t>Deferred Exchange Revenue</t>
  </si>
  <si>
    <t>Other Capacity Release credit</t>
  </si>
  <si>
    <t>(   ) = Rebate</t>
  </si>
  <si>
    <t>Merchandise Processing Fee DJ 467</t>
  </si>
  <si>
    <t>804018 GD AN</t>
  </si>
  <si>
    <t>cost to allocate is negative…</t>
  </si>
  <si>
    <t>ZZ</t>
  </si>
  <si>
    <t>NO MORE ENTRY</t>
  </si>
  <si>
    <t>To Correct Interest on $131k</t>
  </si>
  <si>
    <t>n/a</t>
  </si>
  <si>
    <t>BOOKED IN DECEMBER 2017: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</si>
</sst>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yy"/>
    <numFmt numFmtId="165" formatCode="0.000%"/>
    <numFmt numFmtId="166" formatCode="0.0000%"/>
    <numFmt numFmtId="167" formatCode="_(* #,##0.000_);_(* \(#,##0.000\);_(* &quot;-&quot;??_);_(@_)"/>
    <numFmt numFmtId="168" formatCode="General_)"/>
    <numFmt numFmtId="169" formatCode="0_)"/>
    <numFmt numFmtId="170" formatCode="&quot;$&quot;#,##0.00000_);\(&quot;$&quot;#,##0.00000\)"/>
    <numFmt numFmtId="171" formatCode="#,##0.00000_);\(#,##0.00000\)"/>
    <numFmt numFmtId="172" formatCode="mm/dd/yy_)"/>
    <numFmt numFmtId="173" formatCode="mm/dd/yy"/>
    <numFmt numFmtId="174" formatCode="#,##0.0000_);\(#,##0.0000\)"/>
    <numFmt numFmtId="175" formatCode="[$-409]mmm/yy;@"/>
    <numFmt numFmtId="176" formatCode="#,##0.0000_);[Red]\(#,##0.0000\)"/>
    <numFmt numFmtId="177" formatCode="_(&quot;$&quot;* #,##0.00000_);_(&quot;$&quot;* \(#,##0.00000\);_(&quot;$&quot;* &quot;-&quot;??_);_(@_)"/>
    <numFmt numFmtId="178" formatCode="&quot;$&quot;#,##0.00000_);[Red]\(&quot;$&quot;#,##0.00000\)"/>
    <numFmt numFmtId="179" formatCode="&quot;$&quot;#,##0.0_);\(&quot;$&quot;#,##0.0\)"/>
    <numFmt numFmtId="180" formatCode="&quot;$&quot;#,##0\ ;\(&quot;$&quot;#,##0\)"/>
    <numFmt numFmtId="181" formatCode="_(* #,##0.00_);_(* \(#,##0.00\);_(* &quot;-&quot;_);_(@_)"/>
    <numFmt numFmtId="182" formatCode="00000000"/>
    <numFmt numFmtId="183" formatCode="000"/>
  </numFmts>
  <fonts count="54">
    <font>
      <sz val="10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sz val="10"/>
      <color indexed="12"/>
      <name val="Helv"/>
    </font>
    <font>
      <b/>
      <sz val="10"/>
      <name val="Helv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Helv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sz val="12"/>
      <color indexed="10"/>
      <name val="Arial"/>
      <family val="2"/>
    </font>
    <font>
      <i/>
      <sz val="12"/>
      <name val="Arial"/>
      <family val="2"/>
    </font>
    <font>
      <b/>
      <sz val="12"/>
      <color indexed="12"/>
      <name val="Arial"/>
      <family val="2"/>
    </font>
    <font>
      <sz val="10"/>
      <name val="Arial"/>
      <family val="2"/>
    </font>
    <font>
      <sz val="10"/>
      <name val="Helv"/>
    </font>
    <font>
      <sz val="12"/>
      <color indexed="12"/>
      <name val="Arial"/>
      <family val="2"/>
    </font>
    <font>
      <b/>
      <sz val="12"/>
      <color indexed="8"/>
      <name val="Arial"/>
      <family val="2"/>
    </font>
    <font>
      <b/>
      <sz val="12"/>
      <color indexed="14"/>
      <name val="Arial"/>
      <family val="2"/>
    </font>
    <font>
      <sz val="12"/>
      <color indexed="9"/>
      <name val="Arial"/>
      <family val="2"/>
    </font>
    <font>
      <b/>
      <sz val="12"/>
      <color indexed="17"/>
      <name val="Arial"/>
      <family val="2"/>
    </font>
    <font>
      <sz val="12"/>
      <color indexed="10"/>
      <name val="Times New Roman"/>
      <family val="1"/>
    </font>
    <font>
      <b/>
      <sz val="12"/>
      <color rgb="FF008000"/>
      <name val="Arial"/>
      <family val="2"/>
    </font>
    <font>
      <sz val="12"/>
      <color theme="0"/>
      <name val="Arial"/>
      <family val="2"/>
    </font>
    <font>
      <b/>
      <sz val="12"/>
      <color rgb="FF0000FF"/>
      <name val="Arial"/>
      <family val="2"/>
    </font>
    <font>
      <b/>
      <sz val="18"/>
      <name val="Helv"/>
    </font>
    <font>
      <b/>
      <sz val="16"/>
      <name val="Helv"/>
    </font>
    <font>
      <sz val="10"/>
      <color rgb="FF0000FF"/>
      <name val="Helv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12"/>
      <color rgb="FFFF0000"/>
      <name val="Arial"/>
      <family val="2"/>
    </font>
    <font>
      <b/>
      <sz val="11"/>
      <color theme="1"/>
      <name val="Calibri"/>
      <family val="2"/>
      <scheme val="minor"/>
    </font>
    <font>
      <i/>
      <sz val="12"/>
      <color rgb="FF0000FF"/>
      <name val="Helv"/>
    </font>
    <font>
      <sz val="12"/>
      <name val="Helv"/>
    </font>
    <font>
      <b/>
      <sz val="12"/>
      <name val="Helv"/>
    </font>
    <font>
      <sz val="12"/>
      <color rgb="FF0000FF"/>
      <name val="Helv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FF"/>
      <name val="Helv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0"/>
      <name val="Arial"/>
      <family val="2"/>
    </font>
    <font>
      <b/>
      <i/>
      <sz val="12"/>
      <name val="Helv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7">
    <xf numFmtId="39" fontId="0" fillId="0" borderId="0"/>
    <xf numFmtId="40" fontId="8" fillId="0" borderId="0" applyFont="0" applyFill="0" applyBorder="0" applyAlignment="0" applyProtection="0"/>
    <xf numFmtId="8" fontId="8" fillId="0" borderId="0" applyFont="0" applyFill="0" applyBorder="0" applyAlignment="0" applyProtection="0"/>
    <xf numFmtId="0" fontId="27" fillId="2" borderId="0"/>
    <xf numFmtId="9" fontId="8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4" fillId="0" borderId="0"/>
    <xf numFmtId="4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0" fillId="0" borderId="0" applyFont="0" applyFill="0" applyBorder="0" applyAlignment="0" applyProtection="0"/>
    <xf numFmtId="3" fontId="36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7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2" fontId="36" fillId="0" borderId="0" applyFont="0" applyFill="0" applyBorder="0" applyAlignment="0" applyProtection="0"/>
    <xf numFmtId="0" fontId="36" fillId="0" borderId="0"/>
    <xf numFmtId="0" fontId="37" fillId="0" borderId="0"/>
    <xf numFmtId="0" fontId="20" fillId="0" borderId="0"/>
    <xf numFmtId="0" fontId="20" fillId="0" borderId="0"/>
    <xf numFmtId="0" fontId="20" fillId="0" borderId="0"/>
    <xf numFmtId="0" fontId="7" fillId="0" borderId="0"/>
    <xf numFmtId="0" fontId="20" fillId="0" borderId="0"/>
    <xf numFmtId="9" fontId="20" fillId="0" borderId="0" applyFont="0" applyFill="0" applyBorder="0" applyAlignment="0" applyProtection="0"/>
    <xf numFmtId="10" fontId="3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8" fillId="0" borderId="0"/>
    <xf numFmtId="0" fontId="39" fillId="0" borderId="0"/>
    <xf numFmtId="0" fontId="8" fillId="0" borderId="0"/>
    <xf numFmtId="43" fontId="20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0" fillId="0" borderId="0"/>
    <xf numFmtId="0" fontId="40" fillId="0" borderId="0"/>
    <xf numFmtId="43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37" fillId="0" borderId="0"/>
    <xf numFmtId="9" fontId="3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44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42" fillId="0" borderId="29" applyNumberFormat="0" applyFill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0" fillId="0" borderId="0"/>
    <xf numFmtId="0" fontId="3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55">
    <xf numFmtId="39" fontId="0" fillId="0" borderId="0" xfId="0"/>
    <xf numFmtId="39" fontId="14" fillId="0" borderId="0" xfId="0" applyFont="1"/>
    <xf numFmtId="39" fontId="15" fillId="0" borderId="0" xfId="0" applyFont="1"/>
    <xf numFmtId="14" fontId="15" fillId="0" borderId="0" xfId="0" applyNumberFormat="1" applyFont="1"/>
    <xf numFmtId="43" fontId="16" fillId="0" borderId="0" xfId="0" applyNumberFormat="1" applyFont="1" applyFill="1"/>
    <xf numFmtId="39" fontId="14" fillId="0" borderId="0" xfId="0" applyFont="1" applyBorder="1"/>
    <xf numFmtId="39" fontId="14" fillId="0" borderId="0" xfId="0" applyFont="1" applyAlignment="1">
      <alignment horizontal="center"/>
    </xf>
    <xf numFmtId="39" fontId="14" fillId="0" borderId="0" xfId="0" applyFont="1" applyFill="1" applyBorder="1"/>
    <xf numFmtId="7" fontId="14" fillId="0" borderId="0" xfId="0" applyNumberFormat="1" applyFont="1" applyFill="1" applyBorder="1"/>
    <xf numFmtId="39" fontId="15" fillId="0" borderId="0" xfId="0" applyFont="1" applyAlignment="1">
      <alignment horizontal="right"/>
    </xf>
    <xf numFmtId="7" fontId="14" fillId="0" borderId="0" xfId="4" applyNumberFormat="1" applyFont="1" applyFill="1" applyBorder="1"/>
    <xf numFmtId="39" fontId="15" fillId="0" borderId="0" xfId="0" applyFont="1" applyFill="1" applyBorder="1"/>
    <xf numFmtId="39" fontId="15" fillId="0" borderId="0" xfId="0" applyFont="1" applyFill="1" applyBorder="1" applyAlignment="1">
      <alignment horizontal="center"/>
    </xf>
    <xf numFmtId="39" fontId="15" fillId="0" borderId="2" xfId="0" applyFont="1" applyFill="1" applyBorder="1" applyAlignment="1">
      <alignment horizontal="center"/>
    </xf>
    <xf numFmtId="39" fontId="16" fillId="0" borderId="4" xfId="0" applyFont="1" applyBorder="1"/>
    <xf numFmtId="39" fontId="14" fillId="0" borderId="0" xfId="0" applyFont="1" applyAlignment="1">
      <alignment horizontal="right"/>
    </xf>
    <xf numFmtId="39" fontId="15" fillId="0" borderId="0" xfId="0" applyFont="1" applyBorder="1"/>
    <xf numFmtId="37" fontId="15" fillId="0" borderId="0" xfId="0" applyNumberFormat="1" applyFont="1" applyAlignment="1">
      <alignment horizontal="center"/>
    </xf>
    <xf numFmtId="37" fontId="15" fillId="0" borderId="5" xfId="0" applyNumberFormat="1" applyFont="1" applyBorder="1" applyAlignment="1">
      <alignment horizontal="center"/>
    </xf>
    <xf numFmtId="39" fontId="9" fillId="0" borderId="0" xfId="0" applyFont="1" applyFill="1" applyBorder="1"/>
    <xf numFmtId="39" fontId="15" fillId="0" borderId="0" xfId="0" applyFont="1" applyAlignment="1">
      <alignment horizontal="left"/>
    </xf>
    <xf numFmtId="165" fontId="22" fillId="0" borderId="0" xfId="0" applyNumberFormat="1" applyFont="1" applyBorder="1" applyProtection="1"/>
    <xf numFmtId="39" fontId="14" fillId="0" borderId="0" xfId="0" applyFont="1" applyAlignment="1">
      <alignment horizontal="left"/>
    </xf>
    <xf numFmtId="165" fontId="17" fillId="0" borderId="0" xfId="0" applyNumberFormat="1" applyFont="1" applyProtection="1">
      <protection locked="0"/>
    </xf>
    <xf numFmtId="165" fontId="22" fillId="0" borderId="0" xfId="0" applyNumberFormat="1" applyFont="1" applyProtection="1">
      <protection locked="0"/>
    </xf>
    <xf numFmtId="165" fontId="14" fillId="0" borderId="0" xfId="0" applyNumberFormat="1" applyFont="1" applyProtection="1"/>
    <xf numFmtId="165" fontId="14" fillId="0" borderId="0" xfId="0" applyNumberFormat="1" applyFont="1" applyProtection="1">
      <protection locked="0"/>
    </xf>
    <xf numFmtId="170" fontId="14" fillId="0" borderId="0" xfId="0" applyNumberFormat="1" applyFont="1" applyProtection="1"/>
    <xf numFmtId="5" fontId="14" fillId="0" borderId="0" xfId="0" applyNumberFormat="1" applyFont="1" applyProtection="1"/>
    <xf numFmtId="17" fontId="15" fillId="0" borderId="17" xfId="0" applyNumberFormat="1" applyFont="1" applyBorder="1"/>
    <xf numFmtId="39" fontId="14" fillId="3" borderId="0" xfId="0" applyFont="1" applyFill="1"/>
    <xf numFmtId="5" fontId="15" fillId="0" borderId="0" xfId="0" applyNumberFormat="1" applyFont="1" applyFill="1" applyAlignment="1">
      <alignment horizontal="center"/>
    </xf>
    <xf numFmtId="5" fontId="14" fillId="0" borderId="0" xfId="0" applyNumberFormat="1" applyFont="1" applyFill="1"/>
    <xf numFmtId="17" fontId="15" fillId="3" borderId="0" xfId="0" applyNumberFormat="1" applyFont="1" applyFill="1"/>
    <xf numFmtId="5" fontId="15" fillId="3" borderId="0" xfId="0" applyNumberFormat="1" applyFont="1" applyFill="1" applyAlignment="1">
      <alignment horizontal="center"/>
    </xf>
    <xf numFmtId="5" fontId="14" fillId="3" borderId="0" xfId="0" applyNumberFormat="1" applyFont="1" applyFill="1"/>
    <xf numFmtId="7" fontId="14" fillId="3" borderId="0" xfId="0" applyNumberFormat="1" applyFont="1" applyFill="1"/>
    <xf numFmtId="7" fontId="14" fillId="3" borderId="0" xfId="0" applyNumberFormat="1" applyFont="1" applyFill="1" applyBorder="1"/>
    <xf numFmtId="39" fontId="14" fillId="0" borderId="0" xfId="0" applyFont="1" applyFill="1"/>
    <xf numFmtId="39" fontId="14" fillId="3" borderId="0" xfId="0" applyNumberFormat="1" applyFont="1" applyFill="1"/>
    <xf numFmtId="7" fontId="18" fillId="3" borderId="0" xfId="0" applyNumberFormat="1" applyFont="1" applyFill="1"/>
    <xf numFmtId="172" fontId="14" fillId="0" borderId="0" xfId="0" applyNumberFormat="1" applyFont="1" applyProtection="1"/>
    <xf numFmtId="39" fontId="14" fillId="0" borderId="0" xfId="0" applyNumberFormat="1" applyFont="1" applyProtection="1"/>
    <xf numFmtId="39" fontId="14" fillId="3" borderId="0" xfId="0" applyNumberFormat="1" applyFont="1" applyFill="1" applyBorder="1"/>
    <xf numFmtId="39" fontId="19" fillId="0" borderId="0" xfId="0" applyFont="1"/>
    <xf numFmtId="8" fontId="14" fillId="3" borderId="0" xfId="2" applyFont="1" applyFill="1" applyBorder="1"/>
    <xf numFmtId="39" fontId="14" fillId="0" borderId="9" xfId="0" applyFont="1" applyBorder="1"/>
    <xf numFmtId="39" fontId="14" fillId="0" borderId="16" xfId="0" applyFont="1" applyBorder="1"/>
    <xf numFmtId="43" fontId="14" fillId="0" borderId="0" xfId="0" applyNumberFormat="1" applyFont="1" applyFill="1" applyBorder="1"/>
    <xf numFmtId="39" fontId="14" fillId="0" borderId="9" xfId="0" applyFont="1" applyFill="1" applyBorder="1"/>
    <xf numFmtId="39" fontId="15" fillId="0" borderId="0" xfId="0" applyFont="1" applyFill="1"/>
    <xf numFmtId="164" fontId="15" fillId="0" borderId="0" xfId="0" applyNumberFormat="1" applyFont="1" applyAlignment="1">
      <alignment horizontal="left"/>
    </xf>
    <xf numFmtId="166" fontId="14" fillId="0" borderId="0" xfId="4" applyNumberFormat="1" applyFont="1"/>
    <xf numFmtId="164" fontId="14" fillId="0" borderId="0" xfId="0" applyNumberFormat="1" applyFont="1"/>
    <xf numFmtId="164" fontId="15" fillId="0" borderId="0" xfId="0" applyNumberFormat="1" applyFont="1" applyAlignment="1">
      <alignment horizontal="center"/>
    </xf>
    <xf numFmtId="39" fontId="15" fillId="0" borderId="0" xfId="0" applyFont="1" applyAlignment="1">
      <alignment horizontal="center"/>
    </xf>
    <xf numFmtId="39" fontId="15" fillId="0" borderId="0" xfId="0" applyFont="1" applyBorder="1" applyAlignment="1">
      <alignment horizontal="center"/>
    </xf>
    <xf numFmtId="166" fontId="15" fillId="0" borderId="0" xfId="4" applyNumberFormat="1" applyFont="1" applyFill="1"/>
    <xf numFmtId="164" fontId="19" fillId="0" borderId="0" xfId="0" applyNumberFormat="1" applyFont="1" applyFill="1" applyAlignment="1" applyProtection="1">
      <alignment horizontal="left"/>
      <protection locked="0"/>
    </xf>
    <xf numFmtId="39" fontId="15" fillId="0" borderId="0" xfId="0" applyFont="1" applyFill="1" applyAlignment="1">
      <alignment horizontal="left"/>
    </xf>
    <xf numFmtId="39" fontId="19" fillId="0" borderId="0" xfId="0" applyFont="1" applyFill="1" applyProtection="1">
      <protection locked="0"/>
    </xf>
    <xf numFmtId="164" fontId="15" fillId="0" borderId="0" xfId="0" applyNumberFormat="1" applyFont="1" applyFill="1"/>
    <xf numFmtId="164" fontId="15" fillId="0" borderId="0" xfId="0" applyNumberFormat="1" applyFont="1"/>
    <xf numFmtId="39" fontId="15" fillId="0" borderId="9" xfId="0" applyFont="1" applyBorder="1"/>
    <xf numFmtId="39" fontId="15" fillId="0" borderId="9" xfId="0" applyFont="1" applyFill="1" applyBorder="1"/>
    <xf numFmtId="39" fontId="14" fillId="0" borderId="0" xfId="0" applyFont="1" applyFill="1" applyBorder="1" applyAlignment="1">
      <alignment horizontal="right"/>
    </xf>
    <xf numFmtId="39" fontId="14" fillId="0" borderId="0" xfId="0" applyFont="1" applyFill="1" applyAlignment="1">
      <alignment horizontal="right"/>
    </xf>
    <xf numFmtId="39" fontId="14" fillId="0" borderId="0" xfId="0" applyFont="1" applyBorder="1" applyAlignment="1">
      <alignment horizontal="right"/>
    </xf>
    <xf numFmtId="8" fontId="15" fillId="0" borderId="0" xfId="2" applyFont="1" applyFill="1" applyBorder="1"/>
    <xf numFmtId="39" fontId="20" fillId="0" borderId="0" xfId="0" applyFont="1"/>
    <xf numFmtId="37" fontId="15" fillId="0" borderId="0" xfId="0" applyNumberFormat="1" applyFont="1" applyAlignment="1">
      <alignment horizontal="left"/>
    </xf>
    <xf numFmtId="37" fontId="15" fillId="0" borderId="0" xfId="0" applyNumberFormat="1" applyFont="1" applyBorder="1" applyAlignment="1">
      <alignment horizontal="center"/>
    </xf>
    <xf numFmtId="14" fontId="15" fillId="0" borderId="0" xfId="0" applyNumberFormat="1" applyFont="1" applyBorder="1" applyAlignment="1">
      <alignment horizontal="center"/>
    </xf>
    <xf numFmtId="39" fontId="15" fillId="0" borderId="18" xfId="0" applyFont="1" applyBorder="1" applyAlignment="1">
      <alignment horizontal="left"/>
    </xf>
    <xf numFmtId="39" fontId="14" fillId="0" borderId="19" xfId="0" applyFont="1" applyBorder="1" applyAlignment="1">
      <alignment horizontal="center"/>
    </xf>
    <xf numFmtId="39" fontId="15" fillId="0" borderId="19" xfId="0" applyFont="1" applyBorder="1" applyAlignment="1">
      <alignment horizontal="center"/>
    </xf>
    <xf numFmtId="173" fontId="19" fillId="0" borderId="19" xfId="0" applyNumberFormat="1" applyFont="1" applyFill="1" applyBorder="1" applyAlignment="1">
      <alignment horizontal="center"/>
    </xf>
    <xf numFmtId="43" fontId="15" fillId="0" borderId="8" xfId="0" applyNumberFormat="1" applyFont="1" applyBorder="1"/>
    <xf numFmtId="37" fontId="15" fillId="0" borderId="19" xfId="0" applyNumberFormat="1" applyFont="1" applyBorder="1" applyAlignment="1">
      <alignment horizontal="center"/>
    </xf>
    <xf numFmtId="39" fontId="15" fillId="0" borderId="19" xfId="0" applyFont="1" applyBorder="1"/>
    <xf numFmtId="14" fontId="15" fillId="0" borderId="19" xfId="0" applyNumberFormat="1" applyFont="1" applyBorder="1"/>
    <xf numFmtId="43" fontId="15" fillId="0" borderId="20" xfId="0" applyNumberFormat="1" applyFont="1" applyBorder="1"/>
    <xf numFmtId="39" fontId="15" fillId="0" borderId="0" xfId="0" applyNumberFormat="1" applyFont="1" applyAlignment="1">
      <alignment horizontal="left" vertical="top"/>
    </xf>
    <xf numFmtId="39" fontId="14" fillId="0" borderId="0" xfId="0" applyNumberFormat="1" applyFont="1" applyAlignment="1">
      <alignment horizontal="left" vertical="top"/>
    </xf>
    <xf numFmtId="39" fontId="14" fillId="0" borderId="0" xfId="0" applyNumberFormat="1" applyFont="1" applyAlignment="1">
      <alignment horizontal="center" vertical="top"/>
    </xf>
    <xf numFmtId="39" fontId="15" fillId="0" borderId="0" xfId="0" applyFont="1" applyFill="1" applyBorder="1" applyAlignment="1">
      <alignment horizontal="left"/>
    </xf>
    <xf numFmtId="39" fontId="14" fillId="0" borderId="0" xfId="0" applyFont="1" applyFill="1" applyBorder="1" applyAlignment="1">
      <alignment horizontal="center"/>
    </xf>
    <xf numFmtId="39" fontId="19" fillId="0" borderId="0" xfId="0" applyFont="1" applyFill="1"/>
    <xf numFmtId="39" fontId="21" fillId="0" borderId="0" xfId="0" applyFont="1" applyFill="1" applyBorder="1"/>
    <xf numFmtId="39" fontId="21" fillId="0" borderId="8" xfId="0" applyFont="1" applyFill="1" applyBorder="1"/>
    <xf numFmtId="14" fontId="15" fillId="0" borderId="0" xfId="0" applyNumberFormat="1" applyFont="1" applyFill="1"/>
    <xf numFmtId="164" fontId="13" fillId="0" borderId="0" xfId="0" quotePrefix="1" applyNumberFormat="1" applyFont="1" applyFill="1" applyBorder="1"/>
    <xf numFmtId="39" fontId="20" fillId="0" borderId="0" xfId="0" applyFont="1" applyFill="1" applyBorder="1"/>
    <xf numFmtId="39" fontId="21" fillId="0" borderId="11" xfId="0" applyFont="1" applyFill="1" applyBorder="1"/>
    <xf numFmtId="39" fontId="21" fillId="0" borderId="17" xfId="0" applyFont="1" applyFill="1" applyBorder="1"/>
    <xf numFmtId="37" fontId="15" fillId="0" borderId="0" xfId="0" applyNumberFormat="1" applyFont="1" applyFill="1" applyAlignment="1">
      <alignment horizontal="center"/>
    </xf>
    <xf numFmtId="174" fontId="14" fillId="0" borderId="0" xfId="0" applyNumberFormat="1" applyFont="1"/>
    <xf numFmtId="7" fontId="14" fillId="0" borderId="3" xfId="0" applyNumberFormat="1" applyFont="1" applyFill="1" applyBorder="1"/>
    <xf numFmtId="39" fontId="14" fillId="0" borderId="8" xfId="0" applyFont="1" applyFill="1" applyBorder="1"/>
    <xf numFmtId="9" fontId="19" fillId="0" borderId="0" xfId="4" applyFont="1" applyFill="1" applyAlignment="1">
      <alignment horizontal="center"/>
    </xf>
    <xf numFmtId="44" fontId="14" fillId="0" borderId="0" xfId="0" applyNumberFormat="1" applyFont="1" applyFill="1" applyBorder="1"/>
    <xf numFmtId="44" fontId="15" fillId="5" borderId="0" xfId="0" applyNumberFormat="1" applyFont="1" applyFill="1" applyBorder="1"/>
    <xf numFmtId="39" fontId="15" fillId="0" borderId="10" xfId="0" applyFont="1" applyFill="1" applyBorder="1"/>
    <xf numFmtId="164" fontId="15" fillId="0" borderId="0" xfId="0" applyNumberFormat="1" applyFont="1" applyFill="1" applyAlignment="1">
      <alignment horizontal="left"/>
    </xf>
    <xf numFmtId="164" fontId="15" fillId="0" borderId="0" xfId="0" applyNumberFormat="1" applyFont="1" applyFill="1" applyAlignment="1" applyProtection="1">
      <alignment horizontal="left"/>
      <protection locked="0"/>
    </xf>
    <xf numFmtId="39" fontId="16" fillId="0" borderId="0" xfId="0" applyFont="1" applyFill="1"/>
    <xf numFmtId="39" fontId="24" fillId="0" borderId="0" xfId="0" applyFont="1" applyFill="1" applyAlignment="1">
      <alignment horizontal="center"/>
    </xf>
    <xf numFmtId="43" fontId="14" fillId="0" borderId="6" xfId="0" applyNumberFormat="1" applyFont="1" applyFill="1" applyBorder="1"/>
    <xf numFmtId="7" fontId="14" fillId="0" borderId="2" xfId="0" applyNumberFormat="1" applyFont="1" applyFill="1" applyBorder="1"/>
    <xf numFmtId="167" fontId="14" fillId="0" borderId="8" xfId="0" applyNumberFormat="1" applyFont="1" applyFill="1" applyBorder="1"/>
    <xf numFmtId="43" fontId="14" fillId="0" borderId="5" xfId="0" applyNumberFormat="1" applyFont="1" applyFill="1" applyBorder="1"/>
    <xf numFmtId="39" fontId="21" fillId="0" borderId="6" xfId="0" applyFont="1" applyFill="1" applyBorder="1"/>
    <xf numFmtId="39" fontId="21" fillId="0" borderId="0" xfId="0" applyFont="1" applyFill="1" applyBorder="1" applyAlignment="1">
      <alignment horizontal="right"/>
    </xf>
    <xf numFmtId="39" fontId="15" fillId="0" borderId="1" xfId="0" applyFont="1" applyFill="1" applyBorder="1"/>
    <xf numFmtId="37" fontId="14" fillId="0" borderId="0" xfId="0" applyNumberFormat="1" applyFont="1" applyFill="1" applyBorder="1" applyProtection="1"/>
    <xf numFmtId="44" fontId="15" fillId="0" borderId="0" xfId="2" applyNumberFormat="1" applyFont="1" applyFill="1" applyBorder="1" applyProtection="1"/>
    <xf numFmtId="39" fontId="21" fillId="0" borderId="5" xfId="0" applyFont="1" applyFill="1" applyBorder="1" applyAlignment="1">
      <alignment horizontal="right"/>
    </xf>
    <xf numFmtId="39" fontId="21" fillId="0" borderId="3" xfId="0" applyFont="1" applyFill="1" applyBorder="1" applyAlignment="1">
      <alignment horizontal="right"/>
    </xf>
    <xf numFmtId="39" fontId="21" fillId="0" borderId="5" xfId="0" applyFont="1" applyFill="1" applyBorder="1"/>
    <xf numFmtId="7" fontId="15" fillId="0" borderId="9" xfId="0" applyNumberFormat="1" applyFont="1" applyFill="1" applyBorder="1"/>
    <xf numFmtId="39" fontId="25" fillId="5" borderId="0" xfId="0" applyFont="1" applyFill="1"/>
    <xf numFmtId="171" fontId="19" fillId="0" borderId="0" xfId="0" applyNumberFormat="1" applyFont="1" applyFill="1" applyAlignment="1">
      <alignment horizontal="right"/>
    </xf>
    <xf numFmtId="44" fontId="26" fillId="0" borderId="0" xfId="0" applyNumberFormat="1" applyFont="1" applyFill="1" applyBorder="1"/>
    <xf numFmtId="17" fontId="15" fillId="0" borderId="0" xfId="0" applyNumberFormat="1" applyFont="1" applyFill="1" applyBorder="1" applyAlignment="1">
      <alignment horizontal="left"/>
    </xf>
    <xf numFmtId="8" fontId="14" fillId="0" borderId="0" xfId="2" applyFont="1" applyFill="1"/>
    <xf numFmtId="44" fontId="15" fillId="3" borderId="23" xfId="0" applyNumberFormat="1" applyFont="1" applyFill="1" applyBorder="1"/>
    <xf numFmtId="39" fontId="15" fillId="0" borderId="14" xfId="0" applyFont="1" applyFill="1" applyBorder="1" applyAlignment="1">
      <alignment horizontal="center"/>
    </xf>
    <xf numFmtId="39" fontId="15" fillId="0" borderId="3" xfId="0" applyFont="1" applyFill="1" applyBorder="1" applyAlignment="1">
      <alignment horizontal="center"/>
    </xf>
    <xf numFmtId="39" fontId="15" fillId="0" borderId="6" xfId="0" applyFont="1" applyFill="1" applyBorder="1" applyAlignment="1">
      <alignment horizontal="center"/>
    </xf>
    <xf numFmtId="39" fontId="15" fillId="0" borderId="1" xfId="0" applyFont="1" applyFill="1" applyBorder="1" applyAlignment="1">
      <alignment horizontal="center"/>
    </xf>
    <xf numFmtId="39" fontId="15" fillId="0" borderId="4" xfId="0" applyFont="1" applyFill="1" applyBorder="1" applyAlignment="1">
      <alignment horizontal="center"/>
    </xf>
    <xf numFmtId="39" fontId="15" fillId="0" borderId="5" xfId="0" applyFont="1" applyFill="1" applyBorder="1" applyAlignment="1">
      <alignment horizontal="center"/>
    </xf>
    <xf numFmtId="44" fontId="15" fillId="0" borderId="15" xfId="2" applyNumberFormat="1" applyFont="1" applyFill="1" applyBorder="1" applyProtection="1"/>
    <xf numFmtId="10" fontId="15" fillId="0" borderId="0" xfId="4" applyNumberFormat="1" applyFont="1" applyFill="1"/>
    <xf numFmtId="10" fontId="26" fillId="0" borderId="0" xfId="4" applyNumberFormat="1" applyFont="1" applyFill="1"/>
    <xf numFmtId="44" fontId="14" fillId="4" borderId="0" xfId="0" applyNumberFormat="1" applyFont="1" applyFill="1" applyBorder="1"/>
    <xf numFmtId="171" fontId="19" fillId="0" borderId="0" xfId="0" applyNumberFormat="1" applyFont="1" applyFill="1"/>
    <xf numFmtId="37" fontId="15" fillId="0" borderId="0" xfId="0" applyNumberFormat="1" applyFont="1" applyFill="1" applyBorder="1" applyAlignment="1">
      <alignment horizontal="center"/>
    </xf>
    <xf numFmtId="14" fontId="15" fillId="0" borderId="0" xfId="0" applyNumberFormat="1" applyFont="1" applyFill="1" applyBorder="1"/>
    <xf numFmtId="39" fontId="15" fillId="0" borderId="4" xfId="0" applyFont="1" applyFill="1" applyBorder="1"/>
    <xf numFmtId="37" fontId="15" fillId="0" borderId="5" xfId="0" applyNumberFormat="1" applyFont="1" applyFill="1" applyBorder="1" applyAlignment="1">
      <alignment horizontal="center"/>
    </xf>
    <xf numFmtId="37" fontId="15" fillId="0" borderId="0" xfId="0" applyNumberFormat="1" applyFont="1" applyFill="1" applyAlignment="1">
      <alignment horizontal="left"/>
    </xf>
    <xf numFmtId="39" fontId="15" fillId="0" borderId="0" xfId="0" applyFont="1" applyFill="1" applyAlignment="1">
      <alignment horizontal="right"/>
    </xf>
    <xf numFmtId="17" fontId="14" fillId="0" borderId="0" xfId="0" applyNumberFormat="1" applyFont="1" applyFill="1" applyBorder="1"/>
    <xf numFmtId="0" fontId="14" fillId="0" borderId="0" xfId="0" applyNumberFormat="1" applyFont="1"/>
    <xf numFmtId="17" fontId="15" fillId="0" borderId="10" xfId="0" applyNumberFormat="1" applyFont="1" applyBorder="1"/>
    <xf numFmtId="17" fontId="15" fillId="0" borderId="5" xfId="0" applyNumberFormat="1" applyFont="1" applyFill="1" applyBorder="1" applyAlignment="1">
      <alignment horizontal="left"/>
    </xf>
    <xf numFmtId="39" fontId="14" fillId="0" borderId="5" xfId="0" applyFont="1" applyFill="1" applyBorder="1"/>
    <xf numFmtId="39" fontId="14" fillId="0" borderId="11" xfId="0" applyFont="1" applyFill="1" applyBorder="1"/>
    <xf numFmtId="39" fontId="15" fillId="0" borderId="12" xfId="0" applyFont="1" applyFill="1" applyBorder="1" applyAlignment="1">
      <alignment horizontal="center"/>
    </xf>
    <xf numFmtId="39" fontId="15" fillId="0" borderId="13" xfId="0" applyFont="1" applyFill="1" applyBorder="1" applyAlignment="1">
      <alignment horizontal="center"/>
    </xf>
    <xf numFmtId="39" fontId="14" fillId="0" borderId="1" xfId="0" applyFont="1" applyFill="1" applyBorder="1"/>
    <xf numFmtId="39" fontId="14" fillId="0" borderId="2" xfId="0" applyFont="1" applyFill="1" applyBorder="1"/>
    <xf numFmtId="39" fontId="14" fillId="0" borderId="7" xfId="0" applyFont="1" applyFill="1" applyBorder="1"/>
    <xf numFmtId="39" fontId="14" fillId="0" borderId="4" xfId="0" applyFont="1" applyFill="1" applyBorder="1"/>
    <xf numFmtId="39" fontId="22" fillId="0" borderId="0" xfId="0" applyFont="1" applyFill="1"/>
    <xf numFmtId="43" fontId="15" fillId="0" borderId="9" xfId="0" applyNumberFormat="1" applyFont="1" applyFill="1" applyBorder="1"/>
    <xf numFmtId="39" fontId="14" fillId="5" borderId="0" xfId="0" applyNumberFormat="1" applyFont="1" applyFill="1"/>
    <xf numFmtId="39" fontId="15" fillId="0" borderId="22" xfId="0" applyFont="1" applyFill="1" applyBorder="1"/>
    <xf numFmtId="37" fontId="14" fillId="0" borderId="22" xfId="0" applyNumberFormat="1" applyFont="1" applyFill="1" applyBorder="1"/>
    <xf numFmtId="44" fontId="15" fillId="0" borderId="22" xfId="0" applyNumberFormat="1" applyFont="1" applyFill="1" applyBorder="1"/>
    <xf numFmtId="39" fontId="15" fillId="6" borderId="0" xfId="0" applyFont="1" applyFill="1"/>
    <xf numFmtId="169" fontId="15" fillId="0" borderId="14" xfId="0" applyNumberFormat="1" applyFont="1" applyFill="1" applyBorder="1" applyAlignment="1" applyProtection="1">
      <alignment horizontal="center"/>
    </xf>
    <xf numFmtId="169" fontId="15" fillId="0" borderId="15" xfId="0" applyNumberFormat="1" applyFont="1" applyFill="1" applyBorder="1" applyAlignment="1" applyProtection="1">
      <alignment horizontal="center"/>
    </xf>
    <xf numFmtId="39" fontId="15" fillId="0" borderId="15" xfId="0" applyFont="1" applyFill="1" applyBorder="1" applyAlignment="1">
      <alignment horizontal="center"/>
    </xf>
    <xf numFmtId="39" fontId="15" fillId="0" borderId="16" xfId="0" applyFont="1" applyFill="1" applyBorder="1" applyAlignment="1">
      <alignment horizontal="center"/>
    </xf>
    <xf numFmtId="168" fontId="14" fillId="0" borderId="0" xfId="0" applyNumberFormat="1" applyFont="1" applyFill="1" applyAlignment="1" applyProtection="1">
      <alignment horizontal="left"/>
    </xf>
    <xf numFmtId="44" fontId="14" fillId="0" borderId="0" xfId="0" applyNumberFormat="1" applyFont="1" applyFill="1" applyProtection="1">
      <protection locked="0"/>
    </xf>
    <xf numFmtId="44" fontId="14" fillId="0" borderId="0" xfId="0" applyNumberFormat="1" applyFont="1" applyFill="1"/>
    <xf numFmtId="39" fontId="14" fillId="0" borderId="0" xfId="0" applyFont="1" applyFill="1" applyAlignment="1">
      <alignment horizontal="left"/>
    </xf>
    <xf numFmtId="44" fontId="14" fillId="0" borderId="9" xfId="0" applyNumberFormat="1" applyFont="1" applyFill="1" applyBorder="1" applyProtection="1">
      <protection locked="0"/>
    </xf>
    <xf numFmtId="39" fontId="17" fillId="0" borderId="0" xfId="0" applyFont="1" applyFill="1"/>
    <xf numFmtId="39" fontId="17" fillId="0" borderId="0" xfId="0" applyFont="1" applyFill="1" applyAlignment="1">
      <alignment horizontal="right"/>
    </xf>
    <xf numFmtId="44" fontId="17" fillId="0" borderId="0" xfId="0" applyNumberFormat="1" applyFont="1" applyFill="1" applyAlignment="1" applyProtection="1">
      <alignment horizontal="center"/>
    </xf>
    <xf numFmtId="44" fontId="14" fillId="0" borderId="0" xfId="0" applyNumberFormat="1" applyFont="1" applyFill="1" applyProtection="1"/>
    <xf numFmtId="168" fontId="15" fillId="0" borderId="0" xfId="0" applyNumberFormat="1" applyFont="1" applyFill="1" applyAlignment="1" applyProtection="1">
      <alignment horizontal="left"/>
    </xf>
    <xf numFmtId="44" fontId="15" fillId="0" borderId="22" xfId="0" applyNumberFormat="1" applyFont="1" applyFill="1" applyBorder="1" applyProtection="1">
      <protection locked="0"/>
    </xf>
    <xf numFmtId="49" fontId="14" fillId="0" borderId="0" xfId="0" applyNumberFormat="1" applyFont="1" applyFill="1" applyProtection="1"/>
    <xf numFmtId="176" fontId="17" fillId="0" borderId="0" xfId="1" applyNumberFormat="1" applyFont="1" applyFill="1"/>
    <xf numFmtId="7" fontId="17" fillId="0" borderId="0" xfId="0" applyNumberFormat="1" applyFont="1" applyFill="1" applyAlignment="1" applyProtection="1">
      <alignment horizontal="center"/>
    </xf>
    <xf numFmtId="7" fontId="14" fillId="0" borderId="0" xfId="0" applyNumberFormat="1" applyFont="1" applyFill="1" applyProtection="1"/>
    <xf numFmtId="37" fontId="14" fillId="0" borderId="22" xfId="0" applyNumberFormat="1" applyFont="1" applyFill="1" applyBorder="1" applyProtection="1"/>
    <xf numFmtId="171" fontId="22" fillId="0" borderId="0" xfId="0" applyNumberFormat="1" applyFont="1" applyFill="1" applyBorder="1" applyAlignment="1" applyProtection="1">
      <alignment horizontal="center"/>
      <protection locked="0"/>
    </xf>
    <xf numFmtId="7" fontId="17" fillId="0" borderId="0" xfId="0" applyNumberFormat="1" applyFont="1" applyFill="1" applyBorder="1" applyAlignment="1" applyProtection="1">
      <alignment horizontal="center"/>
    </xf>
    <xf numFmtId="39" fontId="15" fillId="0" borderId="7" xfId="0" applyFont="1" applyFill="1" applyBorder="1"/>
    <xf numFmtId="39" fontId="15" fillId="0" borderId="8" xfId="0" applyFont="1" applyFill="1" applyBorder="1" applyAlignment="1">
      <alignment horizontal="center"/>
    </xf>
    <xf numFmtId="39" fontId="14" fillId="0" borderId="7" xfId="0" applyFont="1" applyFill="1" applyBorder="1" applyAlignment="1">
      <alignment horizontal="left"/>
    </xf>
    <xf numFmtId="171" fontId="14" fillId="0" borderId="0" xfId="0" applyNumberFormat="1" applyFont="1" applyFill="1" applyBorder="1" applyAlignment="1" applyProtection="1">
      <alignment horizontal="left"/>
      <protection locked="0"/>
    </xf>
    <xf numFmtId="39" fontId="14" fillId="0" borderId="4" xfId="0" applyFont="1" applyFill="1" applyBorder="1" applyAlignment="1">
      <alignment horizontal="left"/>
    </xf>
    <xf numFmtId="171" fontId="14" fillId="0" borderId="5" xfId="0" applyNumberFormat="1" applyFont="1" applyFill="1" applyBorder="1" applyAlignment="1" applyProtection="1">
      <alignment horizontal="left"/>
      <protection locked="0"/>
    </xf>
    <xf numFmtId="8" fontId="15" fillId="0" borderId="8" xfId="2" applyFont="1" applyFill="1" applyBorder="1"/>
    <xf numFmtId="8" fontId="14" fillId="0" borderId="0" xfId="2" applyFont="1" applyFill="1" applyBorder="1"/>
    <xf numFmtId="8" fontId="14" fillId="0" borderId="7" xfId="2" applyFont="1" applyFill="1" applyBorder="1"/>
    <xf numFmtId="165" fontId="14" fillId="0" borderId="0" xfId="4" applyNumberFormat="1" applyFont="1" applyFill="1" applyBorder="1"/>
    <xf numFmtId="39" fontId="15" fillId="0" borderId="4" xfId="0" applyFont="1" applyFill="1" applyBorder="1" applyAlignment="1">
      <alignment horizontal="left"/>
    </xf>
    <xf numFmtId="39" fontId="15" fillId="0" borderId="16" xfId="0" applyFont="1" applyFill="1" applyBorder="1"/>
    <xf numFmtId="44" fontId="14" fillId="0" borderId="8" xfId="2" applyNumberFormat="1" applyFont="1" applyFill="1" applyBorder="1"/>
    <xf numFmtId="44" fontId="15" fillId="0" borderId="21" xfId="2" applyNumberFormat="1" applyFont="1" applyFill="1" applyBorder="1"/>
    <xf numFmtId="8" fontId="14" fillId="0" borderId="8" xfId="2" applyFont="1" applyFill="1" applyBorder="1"/>
    <xf numFmtId="39" fontId="15" fillId="0" borderId="7" xfId="0" applyFont="1" applyFill="1" applyBorder="1" applyAlignment="1">
      <alignment horizontal="right"/>
    </xf>
    <xf numFmtId="39" fontId="14" fillId="0" borderId="7" xfId="0" applyFont="1" applyFill="1" applyBorder="1" applyAlignment="1">
      <alignment horizontal="right"/>
    </xf>
    <xf numFmtId="39" fontId="15" fillId="0" borderId="15" xfId="0" applyFont="1" applyFill="1" applyBorder="1"/>
    <xf numFmtId="39" fontId="14" fillId="6" borderId="0" xfId="0" applyFont="1" applyFill="1"/>
    <xf numFmtId="39" fontId="15" fillId="6" borderId="9" xfId="0" applyFont="1" applyFill="1" applyBorder="1"/>
    <xf numFmtId="2" fontId="14" fillId="5" borderId="0" xfId="0" applyNumberFormat="1" applyFont="1" applyFill="1"/>
    <xf numFmtId="39" fontId="14" fillId="0" borderId="3" xfId="0" applyFont="1" applyFill="1" applyBorder="1"/>
    <xf numFmtId="37" fontId="28" fillId="0" borderId="0" xfId="0" applyNumberFormat="1" applyFont="1" applyFill="1" applyAlignment="1">
      <alignment horizontal="right"/>
    </xf>
    <xf numFmtId="44" fontId="15" fillId="0" borderId="0" xfId="0" applyNumberFormat="1" applyFont="1" applyFill="1"/>
    <xf numFmtId="0" fontId="14" fillId="0" borderId="0" xfId="0" applyNumberFormat="1" applyFont="1" applyFill="1" applyBorder="1"/>
    <xf numFmtId="0" fontId="14" fillId="0" borderId="9" xfId="0" applyNumberFormat="1" applyFont="1" applyFill="1" applyBorder="1"/>
    <xf numFmtId="0" fontId="14" fillId="0" borderId="0" xfId="0" applyNumberFormat="1" applyFont="1" applyFill="1" applyBorder="1" applyAlignment="1">
      <alignment horizontal="left"/>
    </xf>
    <xf numFmtId="0" fontId="14" fillId="0" borderId="0" xfId="0" applyNumberFormat="1" applyFont="1" applyFill="1"/>
    <xf numFmtId="44" fontId="15" fillId="0" borderId="7" xfId="2" applyNumberFormat="1" applyFont="1" applyFill="1" applyBorder="1" applyProtection="1"/>
    <xf numFmtId="44" fontId="14" fillId="4" borderId="24" xfId="0" applyNumberFormat="1" applyFont="1" applyFill="1" applyBorder="1"/>
    <xf numFmtId="39" fontId="14" fillId="0" borderId="25" xfId="0" applyFont="1" applyBorder="1"/>
    <xf numFmtId="177" fontId="14" fillId="0" borderId="6" xfId="0" applyNumberFormat="1" applyFont="1" applyFill="1" applyBorder="1" applyAlignment="1">
      <alignment horizontal="right"/>
    </xf>
    <xf numFmtId="177" fontId="14" fillId="0" borderId="8" xfId="0" applyNumberFormat="1" applyFont="1" applyFill="1" applyBorder="1"/>
    <xf numFmtId="178" fontId="14" fillId="0" borderId="6" xfId="2" applyNumberFormat="1" applyFont="1" applyFill="1" applyBorder="1"/>
    <xf numFmtId="39" fontId="14" fillId="0" borderId="0" xfId="0" applyFont="1" applyFill="1" applyBorder="1" applyAlignment="1">
      <alignment horizontal="center"/>
    </xf>
    <xf numFmtId="17" fontId="30" fillId="0" borderId="7" xfId="0" applyNumberFormat="1" applyFont="1" applyFill="1" applyBorder="1"/>
    <xf numFmtId="171" fontId="30" fillId="0" borderId="0" xfId="0" applyNumberFormat="1" applyFont="1" applyFill="1" applyAlignment="1">
      <alignment horizontal="right"/>
    </xf>
    <xf numFmtId="39" fontId="15" fillId="6" borderId="0" xfId="0" applyFont="1" applyFill="1" applyBorder="1"/>
    <xf numFmtId="7" fontId="14" fillId="0" borderId="8" xfId="4" applyNumberFormat="1" applyFont="1" applyFill="1" applyBorder="1"/>
    <xf numFmtId="7" fontId="14" fillId="0" borderId="8" xfId="0" applyNumberFormat="1" applyFont="1" applyFill="1" applyBorder="1"/>
    <xf numFmtId="37" fontId="30" fillId="0" borderId="0" xfId="0" applyNumberFormat="1" applyFont="1" applyFill="1"/>
    <xf numFmtId="10" fontId="30" fillId="0" borderId="0" xfId="0" applyNumberFormat="1" applyFont="1" applyFill="1" applyAlignment="1">
      <alignment horizontal="right"/>
    </xf>
    <xf numFmtId="8" fontId="30" fillId="0" borderId="9" xfId="2" applyFont="1" applyFill="1" applyBorder="1"/>
    <xf numFmtId="39" fontId="21" fillId="0" borderId="8" xfId="0" applyFont="1" applyFill="1" applyBorder="1" applyAlignment="1">
      <alignment horizontal="right"/>
    </xf>
    <xf numFmtId="39" fontId="14" fillId="0" borderId="17" xfId="0" applyFont="1" applyBorder="1"/>
    <xf numFmtId="39" fontId="14" fillId="0" borderId="0" xfId="0" applyFont="1" applyFill="1" applyBorder="1" applyAlignment="1">
      <alignment horizontal="center"/>
    </xf>
    <xf numFmtId="37" fontId="29" fillId="0" borderId="0" xfId="0" applyNumberFormat="1" applyFont="1" applyFill="1" applyBorder="1"/>
    <xf numFmtId="37" fontId="30" fillId="0" borderId="0" xfId="0" applyNumberFormat="1" applyFont="1" applyFill="1" applyBorder="1" applyProtection="1"/>
    <xf numFmtId="37" fontId="30" fillId="0" borderId="5" xfId="0" applyNumberFormat="1" applyFont="1" applyFill="1" applyBorder="1" applyProtection="1"/>
    <xf numFmtId="171" fontId="30" fillId="0" borderId="0" xfId="0" applyNumberFormat="1" applyFont="1" applyFill="1" applyBorder="1" applyAlignment="1" applyProtection="1">
      <alignment horizontal="center"/>
      <protection locked="0"/>
    </xf>
    <xf numFmtId="44" fontId="30" fillId="0" borderId="10" xfId="2" applyNumberFormat="1" applyFont="1" applyFill="1" applyBorder="1" applyProtection="1"/>
    <xf numFmtId="44" fontId="30" fillId="0" borderId="11" xfId="2" applyNumberFormat="1" applyFont="1" applyFill="1" applyBorder="1" applyProtection="1"/>
    <xf numFmtId="44" fontId="30" fillId="0" borderId="17" xfId="2" applyNumberFormat="1" applyFont="1" applyFill="1" applyBorder="1" applyProtection="1"/>
    <xf numFmtId="10" fontId="19" fillId="0" borderId="0" xfId="4" applyNumberFormat="1" applyFont="1" applyFill="1"/>
    <xf numFmtId="171" fontId="30" fillId="0" borderId="0" xfId="0" applyNumberFormat="1" applyFont="1" applyFill="1" applyAlignment="1">
      <alignment horizontal="center"/>
    </xf>
    <xf numFmtId="44" fontId="15" fillId="6" borderId="0" xfId="0" applyNumberFormat="1" applyFont="1" applyFill="1" applyBorder="1"/>
    <xf numFmtId="39" fontId="29" fillId="0" borderId="0" xfId="0" applyFont="1"/>
    <xf numFmtId="39" fontId="26" fillId="6" borderId="0" xfId="0" applyFont="1" applyFill="1" applyProtection="1">
      <protection locked="0"/>
    </xf>
    <xf numFmtId="39" fontId="19" fillId="6" borderId="0" xfId="0" applyFont="1" applyFill="1" applyProtection="1">
      <protection locked="0"/>
    </xf>
    <xf numFmtId="39" fontId="19" fillId="6" borderId="0" xfId="0" applyFont="1" applyFill="1"/>
    <xf numFmtId="39" fontId="28" fillId="6" borderId="0" xfId="0" applyNumberFormat="1" applyFont="1" applyFill="1" applyAlignment="1">
      <alignment horizontal="right"/>
    </xf>
    <xf numFmtId="39" fontId="26" fillId="6" borderId="0" xfId="0" applyFont="1" applyFill="1"/>
    <xf numFmtId="2" fontId="14" fillId="0" borderId="0" xfId="0" applyNumberFormat="1" applyFont="1" applyFill="1" applyBorder="1" applyAlignment="1">
      <alignment horizontal="right"/>
    </xf>
    <xf numFmtId="39" fontId="15" fillId="7" borderId="0" xfId="0" applyFont="1" applyFill="1"/>
    <xf numFmtId="39" fontId="26" fillId="7" borderId="0" xfId="0" applyFont="1" applyFill="1" applyProtection="1">
      <protection locked="0"/>
    </xf>
    <xf numFmtId="39" fontId="19" fillId="7" borderId="0" xfId="0" applyFont="1" applyFill="1" applyProtection="1">
      <protection locked="0"/>
    </xf>
    <xf numFmtId="39" fontId="19" fillId="7" borderId="0" xfId="0" applyFont="1" applyFill="1"/>
    <xf numFmtId="37" fontId="19" fillId="7" borderId="0" xfId="0" applyNumberFormat="1" applyFont="1" applyFill="1"/>
    <xf numFmtId="37" fontId="26" fillId="7" borderId="0" xfId="0" applyNumberFormat="1" applyFont="1" applyFill="1" applyBorder="1" applyAlignment="1" applyProtection="1">
      <alignment horizontal="center"/>
    </xf>
    <xf numFmtId="37" fontId="19" fillId="7" borderId="0" xfId="0" applyNumberFormat="1" applyFont="1" applyFill="1" applyAlignment="1">
      <alignment horizontal="right"/>
    </xf>
    <xf numFmtId="37" fontId="14" fillId="7" borderId="22" xfId="0" applyNumberFormat="1" applyFont="1" applyFill="1" applyBorder="1"/>
    <xf numFmtId="37" fontId="30" fillId="7" borderId="0" xfId="0" applyNumberFormat="1" applyFont="1" applyFill="1"/>
    <xf numFmtId="164" fontId="14" fillId="6" borderId="0" xfId="0" applyNumberFormat="1" applyFont="1" applyFill="1"/>
    <xf numFmtId="44" fontId="14" fillId="6" borderId="0" xfId="0" applyNumberFormat="1" applyFont="1" applyFill="1" applyBorder="1"/>
    <xf numFmtId="39" fontId="15" fillId="6" borderId="22" xfId="0" applyFont="1" applyFill="1" applyBorder="1"/>
    <xf numFmtId="39" fontId="15" fillId="6" borderId="0" xfId="0" applyFont="1" applyFill="1" applyAlignment="1">
      <alignment horizontal="right"/>
    </xf>
    <xf numFmtId="7" fontId="14" fillId="4" borderId="0" xfId="0" applyNumberFormat="1" applyFont="1" applyFill="1" applyBorder="1"/>
    <xf numFmtId="44" fontId="15" fillId="0" borderId="26" xfId="2" applyNumberFormat="1" applyFont="1" applyFill="1" applyBorder="1" applyProtection="1"/>
    <xf numFmtId="38" fontId="26" fillId="0" borderId="0" xfId="1" applyNumberFormat="1" applyFont="1" applyFill="1" applyBorder="1" applyProtection="1"/>
    <xf numFmtId="38" fontId="14" fillId="0" borderId="0" xfId="1" applyNumberFormat="1" applyFont="1" applyFill="1" applyBorder="1" applyProtection="1"/>
    <xf numFmtId="38" fontId="26" fillId="0" borderId="9" xfId="1" applyNumberFormat="1" applyFont="1" applyFill="1" applyBorder="1" applyProtection="1"/>
    <xf numFmtId="39" fontId="10" fillId="0" borderId="0" xfId="0" applyFont="1" applyFill="1" applyBorder="1"/>
    <xf numFmtId="175" fontId="33" fillId="8" borderId="0" xfId="0" applyNumberFormat="1" applyFont="1" applyFill="1"/>
    <xf numFmtId="39" fontId="10" fillId="0" borderId="0" xfId="0" applyFont="1"/>
    <xf numFmtId="39" fontId="0" fillId="0" borderId="27" xfId="0" applyBorder="1"/>
    <xf numFmtId="39" fontId="0" fillId="0" borderId="27" xfId="0" applyBorder="1" applyAlignment="1">
      <alignment horizontal="center"/>
    </xf>
    <xf numFmtId="179" fontId="0" fillId="0" borderId="0" xfId="1" applyNumberFormat="1" applyFont="1"/>
    <xf numFmtId="39" fontId="10" fillId="0" borderId="27" xfId="0" applyFont="1" applyBorder="1"/>
    <xf numFmtId="179" fontId="10" fillId="0" borderId="27" xfId="1" applyNumberFormat="1" applyFont="1" applyBorder="1"/>
    <xf numFmtId="38" fontId="14" fillId="0" borderId="0" xfId="1" applyNumberFormat="1" applyFont="1"/>
    <xf numFmtId="0" fontId="35" fillId="0" borderId="0" xfId="6" applyFont="1"/>
    <xf numFmtId="0" fontId="34" fillId="0" borderId="0" xfId="6"/>
    <xf numFmtId="37" fontId="15" fillId="0" borderId="0" xfId="6" applyNumberFormat="1" applyFont="1" applyFill="1" applyBorder="1" applyAlignment="1">
      <alignment horizontal="center"/>
    </xf>
    <xf numFmtId="39" fontId="15" fillId="0" borderId="0" xfId="6" applyNumberFormat="1" applyFont="1" applyFill="1" applyBorder="1" applyAlignment="1">
      <alignment horizontal="center"/>
    </xf>
    <xf numFmtId="14" fontId="15" fillId="0" borderId="0" xfId="6" applyNumberFormat="1" applyFont="1" applyFill="1" applyBorder="1"/>
    <xf numFmtId="43" fontId="15" fillId="0" borderId="8" xfId="6" applyNumberFormat="1" applyFont="1" applyBorder="1"/>
    <xf numFmtId="39" fontId="15" fillId="0" borderId="4" xfId="6" applyNumberFormat="1" applyFont="1" applyFill="1" applyBorder="1"/>
    <xf numFmtId="37" fontId="15" fillId="0" borderId="5" xfId="6" applyNumberFormat="1" applyFont="1" applyFill="1" applyBorder="1" applyAlignment="1">
      <alignment horizontal="center"/>
    </xf>
    <xf numFmtId="39" fontId="15" fillId="0" borderId="5" xfId="6" applyNumberFormat="1" applyFont="1" applyFill="1" applyBorder="1" applyAlignment="1">
      <alignment horizontal="center"/>
    </xf>
    <xf numFmtId="39" fontId="15" fillId="0" borderId="6" xfId="6" applyNumberFormat="1" applyFont="1" applyFill="1" applyBorder="1" applyAlignment="1">
      <alignment horizontal="center"/>
    </xf>
    <xf numFmtId="39" fontId="15" fillId="0" borderId="0" xfId="6" applyNumberFormat="1" applyFont="1" applyFill="1"/>
    <xf numFmtId="37" fontId="15" fillId="0" borderId="0" xfId="6" applyNumberFormat="1" applyFont="1" applyFill="1" applyAlignment="1">
      <alignment horizontal="center"/>
    </xf>
    <xf numFmtId="37" fontId="28" fillId="0" borderId="0" xfId="6" applyNumberFormat="1" applyFont="1" applyFill="1" applyAlignment="1">
      <alignment horizontal="right"/>
    </xf>
    <xf numFmtId="171" fontId="30" fillId="0" borderId="0" xfId="6" applyNumberFormat="1" applyFont="1" applyFill="1" applyBorder="1" applyAlignment="1" applyProtection="1">
      <alignment horizontal="center"/>
      <protection locked="0"/>
    </xf>
    <xf numFmtId="44" fontId="14" fillId="0" borderId="0" xfId="6" applyNumberFormat="1" applyFont="1" applyFill="1"/>
    <xf numFmtId="17" fontId="15" fillId="0" borderId="0" xfId="6" applyNumberFormat="1" applyFont="1" applyFill="1" applyBorder="1" applyAlignment="1">
      <alignment horizontal="left"/>
    </xf>
    <xf numFmtId="39" fontId="14" fillId="0" borderId="0" xfId="6" applyNumberFormat="1" applyFont="1" applyFill="1"/>
    <xf numFmtId="39" fontId="15" fillId="0" borderId="23" xfId="6" applyNumberFormat="1" applyFont="1" applyFill="1" applyBorder="1"/>
    <xf numFmtId="39" fontId="14" fillId="0" borderId="23" xfId="6" applyNumberFormat="1" applyFont="1" applyFill="1" applyBorder="1"/>
    <xf numFmtId="39" fontId="15" fillId="0" borderId="23" xfId="6" applyNumberFormat="1" applyFont="1" applyFill="1" applyBorder="1" applyAlignment="1">
      <alignment horizontal="center"/>
    </xf>
    <xf numFmtId="39" fontId="14" fillId="0" borderId="7" xfId="6" applyNumberFormat="1" applyFont="1" applyFill="1" applyBorder="1"/>
    <xf numFmtId="39" fontId="14" fillId="0" borderId="0" xfId="6" applyNumberFormat="1" applyFont="1" applyFill="1" applyBorder="1"/>
    <xf numFmtId="44" fontId="14" fillId="0" borderId="0" xfId="6" applyNumberFormat="1" applyFont="1" applyFill="1" applyBorder="1"/>
    <xf numFmtId="43" fontId="14" fillId="0" borderId="8" xfId="8" applyFont="1" applyFill="1" applyBorder="1"/>
    <xf numFmtId="39" fontId="14" fillId="0" borderId="4" xfId="6" applyNumberFormat="1" applyFont="1" applyFill="1" applyBorder="1"/>
    <xf numFmtId="39" fontId="14" fillId="0" borderId="5" xfId="6" applyNumberFormat="1" applyFont="1" applyFill="1" applyBorder="1"/>
    <xf numFmtId="43" fontId="14" fillId="0" borderId="5" xfId="6" applyNumberFormat="1" applyFont="1" applyFill="1" applyBorder="1"/>
    <xf numFmtId="43" fontId="14" fillId="0" borderId="6" xfId="6" applyNumberFormat="1" applyFont="1" applyFill="1" applyBorder="1"/>
    <xf numFmtId="44" fontId="14" fillId="4" borderId="0" xfId="6" applyNumberFormat="1" applyFont="1" applyFill="1" applyBorder="1"/>
    <xf numFmtId="44" fontId="14" fillId="0" borderId="9" xfId="6" applyNumberFormat="1" applyFont="1" applyFill="1" applyBorder="1"/>
    <xf numFmtId="37" fontId="14" fillId="0" borderId="22" xfId="6" applyNumberFormat="1" applyFont="1" applyFill="1" applyBorder="1"/>
    <xf numFmtId="39" fontId="15" fillId="0" borderId="0" xfId="6" applyNumberFormat="1" applyFont="1" applyFill="1" applyAlignment="1">
      <alignment horizontal="right"/>
    </xf>
    <xf numFmtId="44" fontId="15" fillId="0" borderId="0" xfId="6" applyNumberFormat="1" applyFont="1" applyFill="1"/>
    <xf numFmtId="37" fontId="29" fillId="0" borderId="0" xfId="6" applyNumberFormat="1" applyFont="1" applyFill="1" applyBorder="1"/>
    <xf numFmtId="14" fontId="15" fillId="0" borderId="0" xfId="6" applyNumberFormat="1" applyFont="1" applyFill="1"/>
    <xf numFmtId="43" fontId="15" fillId="0" borderId="0" xfId="6" applyNumberFormat="1" applyFont="1" applyFill="1" applyBorder="1"/>
    <xf numFmtId="37" fontId="30" fillId="9" borderId="0" xfId="6" applyNumberFormat="1" applyFont="1" applyFill="1"/>
    <xf numFmtId="44" fontId="15" fillId="7" borderId="0" xfId="0" applyNumberFormat="1" applyFont="1" applyFill="1" applyBorder="1"/>
    <xf numFmtId="44" fontId="26" fillId="7" borderId="0" xfId="0" applyNumberFormat="1" applyFont="1" applyFill="1" applyBorder="1"/>
    <xf numFmtId="44" fontId="26" fillId="7" borderId="9" xfId="0" applyNumberFormat="1" applyFont="1" applyFill="1" applyBorder="1"/>
    <xf numFmtId="8" fontId="26" fillId="7" borderId="0" xfId="0" applyNumberFormat="1" applyFont="1" applyFill="1" applyBorder="1"/>
    <xf numFmtId="8" fontId="26" fillId="7" borderId="9" xfId="0" applyNumberFormat="1" applyFont="1" applyFill="1" applyBorder="1"/>
    <xf numFmtId="39" fontId="15" fillId="7" borderId="0" xfId="0" applyFont="1" applyFill="1" applyBorder="1"/>
    <xf numFmtId="37" fontId="29" fillId="7" borderId="0" xfId="0" applyNumberFormat="1" applyFont="1" applyFill="1" applyBorder="1"/>
    <xf numFmtId="39" fontId="14" fillId="0" borderId="4" xfId="0" applyFont="1" applyBorder="1"/>
    <xf numFmtId="39" fontId="14" fillId="0" borderId="6" xfId="0" applyFont="1" applyBorder="1"/>
    <xf numFmtId="181" fontId="14" fillId="0" borderId="0" xfId="0" applyNumberFormat="1" applyFont="1"/>
    <xf numFmtId="181" fontId="15" fillId="0" borderId="20" xfId="0" applyNumberFormat="1" applyFont="1" applyBorder="1" applyAlignment="1">
      <alignment horizontal="center"/>
    </xf>
    <xf numFmtId="181" fontId="15" fillId="0" borderId="8" xfId="0" applyNumberFormat="1" applyFont="1" applyBorder="1" applyAlignment="1">
      <alignment horizontal="center"/>
    </xf>
    <xf numFmtId="181" fontId="15" fillId="0" borderId="6" xfId="0" applyNumberFormat="1" applyFont="1" applyFill="1" applyBorder="1" applyAlignment="1">
      <alignment horizontal="center"/>
    </xf>
    <xf numFmtId="181" fontId="14" fillId="0" borderId="0" xfId="0" applyNumberFormat="1" applyFont="1" applyFill="1"/>
    <xf numFmtId="181" fontId="30" fillId="0" borderId="9" xfId="0" applyNumberFormat="1" applyFont="1" applyFill="1" applyBorder="1"/>
    <xf numFmtId="181" fontId="15" fillId="0" borderId="0" xfId="0" applyNumberFormat="1" applyFont="1" applyFill="1"/>
    <xf numFmtId="181" fontId="14" fillId="0" borderId="9" xfId="0" applyNumberFormat="1" applyFont="1" applyFill="1" applyBorder="1"/>
    <xf numFmtId="181" fontId="15" fillId="0" borderId="9" xfId="0" applyNumberFormat="1" applyFont="1" applyFill="1" applyBorder="1"/>
    <xf numFmtId="181" fontId="15" fillId="0" borderId="22" xfId="0" applyNumberFormat="1" applyFont="1" applyFill="1" applyBorder="1"/>
    <xf numFmtId="7" fontId="14" fillId="6" borderId="0" xfId="0" applyNumberFormat="1" applyFont="1" applyFill="1" applyBorder="1"/>
    <xf numFmtId="39" fontId="14" fillId="0" borderId="0" xfId="0" applyFont="1"/>
    <xf numFmtId="39" fontId="14" fillId="0" borderId="11" xfId="0" applyFont="1" applyBorder="1"/>
    <xf numFmtId="39" fontId="14" fillId="0" borderId="0" xfId="0" applyFont="1" applyFill="1"/>
    <xf numFmtId="39" fontId="13" fillId="0" borderId="7" xfId="0" applyFont="1" applyFill="1" applyBorder="1"/>
    <xf numFmtId="39" fontId="20" fillId="0" borderId="0" xfId="0" applyFont="1" applyFill="1" applyBorder="1"/>
    <xf numFmtId="39" fontId="10" fillId="0" borderId="10" xfId="0" applyFont="1" applyFill="1" applyBorder="1"/>
    <xf numFmtId="39" fontId="20" fillId="0" borderId="8" xfId="0" applyFont="1" applyFill="1" applyBorder="1"/>
    <xf numFmtId="44" fontId="14" fillId="4" borderId="0" xfId="0" applyNumberFormat="1" applyFont="1" applyFill="1" applyBorder="1"/>
    <xf numFmtId="164" fontId="13" fillId="0" borderId="0" xfId="0" applyNumberFormat="1" applyFont="1" applyFill="1" applyBorder="1"/>
    <xf numFmtId="9" fontId="13" fillId="0" borderId="7" xfId="0" applyNumberFormat="1" applyFont="1" applyFill="1" applyBorder="1"/>
    <xf numFmtId="164" fontId="13" fillId="0" borderId="5" xfId="0" quotePrefix="1" applyNumberFormat="1" applyFont="1" applyFill="1" applyBorder="1"/>
    <xf numFmtId="39" fontId="20" fillId="0" borderId="7" xfId="0" applyFont="1" applyFill="1" applyBorder="1"/>
    <xf numFmtId="39" fontId="20" fillId="0" borderId="4" xfId="0" applyFont="1" applyFill="1" applyBorder="1"/>
    <xf numFmtId="39" fontId="13" fillId="0" borderId="0" xfId="0" applyFont="1" applyFill="1" applyBorder="1"/>
    <xf numFmtId="39" fontId="13" fillId="0" borderId="1" xfId="0" applyFont="1" applyFill="1" applyBorder="1"/>
    <xf numFmtId="164" fontId="13" fillId="0" borderId="2" xfId="0" applyNumberFormat="1" applyFont="1" applyFill="1" applyBorder="1"/>
    <xf numFmtId="39" fontId="0" fillId="0" borderId="7" xfId="0" applyFill="1" applyBorder="1"/>
    <xf numFmtId="164" fontId="0" fillId="0" borderId="0" xfId="0" applyNumberFormat="1" applyFill="1" applyBorder="1"/>
    <xf numFmtId="39" fontId="14" fillId="0" borderId="10" xfId="0" applyNumberFormat="1" applyFont="1" applyFill="1" applyBorder="1"/>
    <xf numFmtId="7" fontId="30" fillId="7" borderId="0" xfId="0" applyNumberFormat="1" applyFont="1" applyFill="1" applyBorder="1"/>
    <xf numFmtId="7" fontId="14" fillId="0" borderId="0" xfId="1" applyNumberFormat="1" applyFont="1"/>
    <xf numFmtId="39" fontId="26" fillId="7" borderId="0" xfId="0" applyFont="1" applyFill="1" applyBorder="1" applyProtection="1">
      <protection locked="0"/>
    </xf>
    <xf numFmtId="39" fontId="19" fillId="7" borderId="0" xfId="0" applyFont="1" applyFill="1" applyBorder="1" applyProtection="1">
      <protection locked="0"/>
    </xf>
    <xf numFmtId="39" fontId="19" fillId="7" borderId="0" xfId="0" applyFont="1" applyFill="1" applyBorder="1"/>
    <xf numFmtId="164" fontId="14" fillId="7" borderId="0" xfId="0" applyNumberFormat="1" applyFont="1" applyFill="1" applyBorder="1"/>
    <xf numFmtId="39" fontId="14" fillId="7" borderId="0" xfId="0" applyFont="1" applyFill="1" applyBorder="1"/>
    <xf numFmtId="39" fontId="10" fillId="7" borderId="0" xfId="0" applyFont="1" applyFill="1" applyBorder="1"/>
    <xf numFmtId="164" fontId="19" fillId="7" borderId="0" xfId="0" applyNumberFormat="1" applyFont="1" applyFill="1" applyBorder="1" applyAlignment="1" applyProtection="1">
      <alignment horizontal="left"/>
      <protection locked="0"/>
    </xf>
    <xf numFmtId="39" fontId="15" fillId="7" borderId="0" xfId="0" applyFont="1" applyFill="1" applyBorder="1" applyAlignment="1">
      <alignment horizontal="left"/>
    </xf>
    <xf numFmtId="39" fontId="24" fillId="7" borderId="0" xfId="0" applyFont="1" applyFill="1" applyBorder="1" applyAlignment="1">
      <alignment horizontal="center"/>
    </xf>
    <xf numFmtId="39" fontId="13" fillId="7" borderId="0" xfId="0" applyFont="1" applyFill="1" applyBorder="1"/>
    <xf numFmtId="164" fontId="13" fillId="7" borderId="0" xfId="0" applyNumberFormat="1" applyFont="1" applyFill="1" applyBorder="1"/>
    <xf numFmtId="39" fontId="21" fillId="7" borderId="0" xfId="0" applyFont="1" applyFill="1" applyBorder="1" applyAlignment="1">
      <alignment horizontal="right"/>
    </xf>
    <xf numFmtId="164" fontId="15" fillId="7" borderId="0" xfId="0" applyNumberFormat="1" applyFont="1" applyFill="1" applyBorder="1"/>
    <xf numFmtId="39" fontId="0" fillId="7" borderId="0" xfId="0" applyFill="1" applyBorder="1"/>
    <xf numFmtId="164" fontId="0" fillId="7" borderId="0" xfId="0" applyNumberFormat="1" applyFill="1" applyBorder="1"/>
    <xf numFmtId="39" fontId="16" fillId="7" borderId="0" xfId="0" applyFont="1" applyFill="1" applyBorder="1"/>
    <xf numFmtId="9" fontId="13" fillId="7" borderId="0" xfId="0" applyNumberFormat="1" applyFont="1" applyFill="1" applyBorder="1"/>
    <xf numFmtId="39" fontId="21" fillId="7" borderId="0" xfId="0" applyFont="1" applyFill="1" applyBorder="1"/>
    <xf numFmtId="9" fontId="19" fillId="7" borderId="0" xfId="4" applyFont="1" applyFill="1" applyBorder="1" applyAlignment="1">
      <alignment horizontal="center"/>
    </xf>
    <xf numFmtId="39" fontId="20" fillId="7" borderId="0" xfId="0" applyFont="1" applyFill="1" applyBorder="1"/>
    <xf numFmtId="164" fontId="15" fillId="7" borderId="0" xfId="0" applyNumberFormat="1" applyFont="1" applyFill="1" applyBorder="1" applyAlignment="1" applyProtection="1">
      <alignment horizontal="left"/>
      <protection locked="0"/>
    </xf>
    <xf numFmtId="164" fontId="13" fillId="7" borderId="0" xfId="0" quotePrefix="1" applyNumberFormat="1" applyFont="1" applyFill="1" applyBorder="1"/>
    <xf numFmtId="44" fontId="14" fillId="7" borderId="0" xfId="0" applyNumberFormat="1" applyFont="1" applyFill="1" applyBorder="1"/>
    <xf numFmtId="7" fontId="14" fillId="7" borderId="0" xfId="0" applyNumberFormat="1" applyFont="1" applyFill="1" applyBorder="1"/>
    <xf numFmtId="39" fontId="14" fillId="7" borderId="0" xfId="0" applyFont="1" applyFill="1" applyBorder="1" applyAlignment="1">
      <alignment horizontal="left" indent="2"/>
    </xf>
    <xf numFmtId="39" fontId="15" fillId="7" borderId="0" xfId="0" applyFont="1" applyFill="1" applyBorder="1" applyAlignment="1">
      <alignment horizontal="center"/>
    </xf>
    <xf numFmtId="39" fontId="13" fillId="7" borderId="0" xfId="0" applyFont="1" applyFill="1" applyBorder="1" applyAlignment="1">
      <alignment horizontal="right"/>
    </xf>
    <xf numFmtId="40" fontId="14" fillId="7" borderId="0" xfId="1" applyFont="1" applyFill="1" applyBorder="1"/>
    <xf numFmtId="164" fontId="14" fillId="7" borderId="0" xfId="0" applyNumberFormat="1" applyFont="1" applyFill="1"/>
    <xf numFmtId="39" fontId="15" fillId="7" borderId="9" xfId="0" applyFont="1" applyFill="1" applyBorder="1"/>
    <xf numFmtId="39" fontId="14" fillId="7" borderId="0" xfId="0" applyFont="1" applyFill="1"/>
    <xf numFmtId="39" fontId="15" fillId="7" borderId="22" xfId="0" applyFont="1" applyFill="1" applyBorder="1"/>
    <xf numFmtId="39" fontId="14" fillId="0" borderId="0" xfId="0" applyFont="1"/>
    <xf numFmtId="39" fontId="14" fillId="0" borderId="0" xfId="0" applyFont="1" applyFill="1"/>
    <xf numFmtId="39" fontId="14" fillId="5" borderId="1" xfId="0" applyFont="1" applyFill="1" applyBorder="1"/>
    <xf numFmtId="39" fontId="14" fillId="5" borderId="3" xfId="0" applyFont="1" applyFill="1" applyBorder="1"/>
    <xf numFmtId="39" fontId="15" fillId="6" borderId="0" xfId="0" applyFont="1" applyFill="1" applyBorder="1"/>
    <xf numFmtId="171" fontId="30" fillId="0" borderId="0" xfId="0" applyNumberFormat="1" applyFont="1" applyFill="1" applyBorder="1" applyAlignment="1" applyProtection="1">
      <alignment horizontal="center"/>
      <protection locked="0"/>
    </xf>
    <xf numFmtId="39" fontId="15" fillId="6" borderId="22" xfId="0" applyFont="1" applyFill="1" applyBorder="1"/>
    <xf numFmtId="39" fontId="21" fillId="0" borderId="6" xfId="0" applyFont="1" applyFill="1" applyBorder="1" applyAlignment="1">
      <alignment horizontal="right"/>
    </xf>
    <xf numFmtId="39" fontId="0" fillId="0" borderId="1" xfId="0" applyFill="1" applyBorder="1"/>
    <xf numFmtId="164" fontId="0" fillId="0" borderId="2" xfId="0" applyNumberFormat="1" applyFill="1" applyBorder="1"/>
    <xf numFmtId="181" fontId="14" fillId="0" borderId="3" xfId="4" applyNumberFormat="1" applyFont="1" applyFill="1" applyBorder="1"/>
    <xf numFmtId="181" fontId="14" fillId="0" borderId="0" xfId="4" applyNumberFormat="1" applyFont="1" applyFill="1" applyBorder="1"/>
    <xf numFmtId="39" fontId="14" fillId="0" borderId="0" xfId="0" applyFont="1" applyFill="1" applyBorder="1" applyAlignment="1">
      <alignment horizontal="center"/>
    </xf>
    <xf numFmtId="39" fontId="41" fillId="0" borderId="0" xfId="0" applyNumberFormat="1" applyFont="1"/>
    <xf numFmtId="39" fontId="14" fillId="0" borderId="0" xfId="0" applyFont="1" applyFill="1" applyBorder="1" applyAlignment="1">
      <alignment horizontal="center"/>
    </xf>
    <xf numFmtId="17" fontId="15" fillId="6" borderId="5" xfId="0" applyNumberFormat="1" applyFont="1" applyFill="1" applyBorder="1" applyAlignment="1">
      <alignment horizontal="left"/>
    </xf>
    <xf numFmtId="39" fontId="14" fillId="6" borderId="5" xfId="0" applyFont="1" applyFill="1" applyBorder="1"/>
    <xf numFmtId="39" fontId="15" fillId="6" borderId="10" xfId="0" applyFont="1" applyFill="1" applyBorder="1"/>
    <xf numFmtId="39" fontId="14" fillId="6" borderId="11" xfId="0" applyFont="1" applyFill="1" applyBorder="1"/>
    <xf numFmtId="39" fontId="15" fillId="6" borderId="12" xfId="0" applyFont="1" applyFill="1" applyBorder="1" applyAlignment="1">
      <alignment horizontal="center"/>
    </xf>
    <xf numFmtId="39" fontId="15" fillId="6" borderId="13" xfId="0" applyFont="1" applyFill="1" applyBorder="1" applyAlignment="1">
      <alignment horizontal="center"/>
    </xf>
    <xf numFmtId="39" fontId="14" fillId="6" borderId="1" xfId="0" applyFont="1" applyFill="1" applyBorder="1"/>
    <xf numFmtId="39" fontId="14" fillId="6" borderId="2" xfId="0" applyFont="1" applyFill="1" applyBorder="1"/>
    <xf numFmtId="7" fontId="14" fillId="6" borderId="2" xfId="0" applyNumberFormat="1" applyFont="1" applyFill="1" applyBorder="1"/>
    <xf numFmtId="181" fontId="14" fillId="6" borderId="3" xfId="4" applyNumberFormat="1" applyFont="1" applyFill="1" applyBorder="1"/>
    <xf numFmtId="39" fontId="14" fillId="6" borderId="7" xfId="0" applyFont="1" applyFill="1" applyBorder="1"/>
    <xf numFmtId="39" fontId="14" fillId="6" borderId="0" xfId="0" applyFont="1" applyFill="1" applyBorder="1"/>
    <xf numFmtId="181" fontId="14" fillId="6" borderId="0" xfId="4" applyNumberFormat="1" applyFont="1" applyFill="1" applyBorder="1"/>
    <xf numFmtId="7" fontId="14" fillId="6" borderId="8" xfId="4" applyNumberFormat="1" applyFont="1" applyFill="1" applyBorder="1"/>
    <xf numFmtId="39" fontId="14" fillId="6" borderId="8" xfId="0" applyFont="1" applyFill="1" applyBorder="1"/>
    <xf numFmtId="167" fontId="14" fillId="6" borderId="8" xfId="0" applyNumberFormat="1" applyFont="1" applyFill="1" applyBorder="1"/>
    <xf numFmtId="39" fontId="14" fillId="6" borderId="4" xfId="0" applyFont="1" applyFill="1" applyBorder="1"/>
    <xf numFmtId="43" fontId="14" fillId="6" borderId="5" xfId="0" applyNumberFormat="1" applyFont="1" applyFill="1" applyBorder="1"/>
    <xf numFmtId="7" fontId="14" fillId="6" borderId="6" xfId="0" applyNumberFormat="1" applyFont="1" applyFill="1" applyBorder="1"/>
    <xf numFmtId="39" fontId="10" fillId="6" borderId="10" xfId="0" applyFont="1" applyFill="1" applyBorder="1"/>
    <xf numFmtId="39" fontId="14" fillId="6" borderId="17" xfId="0" applyFont="1" applyFill="1" applyBorder="1"/>
    <xf numFmtId="164" fontId="19" fillId="6" borderId="0" xfId="0" applyNumberFormat="1" applyFont="1" applyFill="1" applyAlignment="1" applyProtection="1">
      <alignment horizontal="left"/>
      <protection locked="0"/>
    </xf>
    <xf numFmtId="39" fontId="15" fillId="6" borderId="0" xfId="0" applyFont="1" applyFill="1" applyAlignment="1">
      <alignment horizontal="left"/>
    </xf>
    <xf numFmtId="39" fontId="24" fillId="6" borderId="0" xfId="0" applyFont="1" applyFill="1" applyAlignment="1">
      <alignment horizontal="center"/>
    </xf>
    <xf numFmtId="39" fontId="13" fillId="6" borderId="1" xfId="0" applyFont="1" applyFill="1" applyBorder="1"/>
    <xf numFmtId="164" fontId="13" fillId="6" borderId="2" xfId="0" applyNumberFormat="1" applyFont="1" applyFill="1" applyBorder="1"/>
    <xf numFmtId="39" fontId="21" fillId="6" borderId="0" xfId="0" applyFont="1" applyFill="1" applyBorder="1" applyAlignment="1">
      <alignment horizontal="right"/>
    </xf>
    <xf numFmtId="39" fontId="21" fillId="6" borderId="3" xfId="0" applyFont="1" applyFill="1" applyBorder="1" applyAlignment="1">
      <alignment horizontal="right"/>
    </xf>
    <xf numFmtId="164" fontId="15" fillId="6" borderId="0" xfId="0" applyNumberFormat="1" applyFont="1" applyFill="1"/>
    <xf numFmtId="39" fontId="0" fillId="6" borderId="7" xfId="0" applyFill="1" applyBorder="1"/>
    <xf numFmtId="164" fontId="0" fillId="6" borderId="0" xfId="0" applyNumberFormat="1" applyFill="1" applyBorder="1"/>
    <xf numFmtId="39" fontId="21" fillId="6" borderId="8" xfId="0" applyFont="1" applyFill="1" applyBorder="1" applyAlignment="1">
      <alignment horizontal="right"/>
    </xf>
    <xf numFmtId="39" fontId="16" fillId="6" borderId="0" xfId="0" applyFont="1" applyFill="1"/>
    <xf numFmtId="9" fontId="19" fillId="6" borderId="0" xfId="4" applyFont="1" applyFill="1" applyAlignment="1">
      <alignment horizontal="center"/>
    </xf>
    <xf numFmtId="9" fontId="13" fillId="6" borderId="7" xfId="0" applyNumberFormat="1" applyFont="1" applyFill="1" applyBorder="1"/>
    <xf numFmtId="164" fontId="13" fillId="6" borderId="0" xfId="0" applyNumberFormat="1" applyFont="1" applyFill="1" applyBorder="1"/>
    <xf numFmtId="39" fontId="21" fillId="6" borderId="0" xfId="0" applyFont="1" applyFill="1" applyBorder="1"/>
    <xf numFmtId="39" fontId="21" fillId="6" borderId="8" xfId="0" applyFont="1" applyFill="1" applyBorder="1"/>
    <xf numFmtId="164" fontId="15" fillId="6" borderId="0" xfId="0" applyNumberFormat="1" applyFont="1" applyFill="1" applyAlignment="1" applyProtection="1">
      <alignment horizontal="left"/>
      <protection locked="0"/>
    </xf>
    <xf numFmtId="39" fontId="20" fillId="6" borderId="7" xfId="0" applyFont="1" applyFill="1" applyBorder="1"/>
    <xf numFmtId="39" fontId="20" fillId="6" borderId="4" xfId="0" applyFont="1" applyFill="1" applyBorder="1"/>
    <xf numFmtId="164" fontId="13" fillId="6" borderId="5" xfId="0" quotePrefix="1" applyNumberFormat="1" applyFont="1" applyFill="1" applyBorder="1"/>
    <xf numFmtId="39" fontId="21" fillId="6" borderId="5" xfId="0" applyFont="1" applyFill="1" applyBorder="1"/>
    <xf numFmtId="39" fontId="21" fillId="6" borderId="6" xfId="0" applyFont="1" applyFill="1" applyBorder="1"/>
    <xf numFmtId="14" fontId="15" fillId="0" borderId="0" xfId="0" applyNumberFormat="1" applyFont="1" applyFill="1" applyAlignment="1">
      <alignment horizontal="right"/>
    </xf>
    <xf numFmtId="39" fontId="15" fillId="0" borderId="0" xfId="0" applyNumberFormat="1" applyFont="1" applyFill="1"/>
    <xf numFmtId="166" fontId="15" fillId="0" borderId="0" xfId="4" applyNumberFormat="1" applyFont="1" applyFill="1" applyAlignment="1">
      <alignment horizontal="center"/>
    </xf>
    <xf numFmtId="39" fontId="14" fillId="0" borderId="0" xfId="0" applyFont="1" applyFill="1" applyBorder="1" applyAlignment="1">
      <alignment horizontal="center"/>
    </xf>
    <xf numFmtId="0" fontId="35" fillId="0" borderId="0" xfId="6" applyFont="1" applyAlignment="1">
      <alignment horizontal="left"/>
    </xf>
    <xf numFmtId="39" fontId="14" fillId="0" borderId="0" xfId="0" applyFont="1" applyFill="1" applyBorder="1" applyAlignment="1">
      <alignment horizontal="center"/>
    </xf>
    <xf numFmtId="39" fontId="14" fillId="0" borderId="23" xfId="0" applyNumberFormat="1" applyFont="1" applyFill="1" applyBorder="1"/>
    <xf numFmtId="39" fontId="14" fillId="0" borderId="0" xfId="0" applyFont="1" applyFill="1" applyBorder="1" applyAlignment="1">
      <alignment horizontal="center"/>
    </xf>
    <xf numFmtId="39" fontId="14" fillId="0" borderId="0" xfId="0" applyFont="1" applyFill="1" applyBorder="1" applyAlignment="1">
      <alignment horizontal="center"/>
    </xf>
    <xf numFmtId="39" fontId="14" fillId="0" borderId="0" xfId="0" applyFont="1" applyFill="1" applyBorder="1" applyAlignment="1">
      <alignment horizontal="center"/>
    </xf>
    <xf numFmtId="39" fontId="14" fillId="0" borderId="0" xfId="0" applyFont="1" applyFill="1" applyBorder="1" applyAlignment="1">
      <alignment horizontal="center"/>
    </xf>
    <xf numFmtId="39" fontId="14" fillId="0" borderId="0" xfId="0" applyFont="1" applyFill="1" applyBorder="1" applyAlignment="1">
      <alignment horizontal="center"/>
    </xf>
    <xf numFmtId="39" fontId="14" fillId="0" borderId="0" xfId="0" applyFont="1" applyFill="1" applyBorder="1" applyAlignment="1">
      <alignment horizontal="center"/>
    </xf>
    <xf numFmtId="39" fontId="14" fillId="0" borderId="0" xfId="0" applyFont="1" applyFill="1" applyBorder="1" applyAlignment="1">
      <alignment horizontal="center"/>
    </xf>
    <xf numFmtId="39" fontId="14" fillId="0" borderId="0" xfId="0" applyFont="1" applyFill="1" applyBorder="1" applyAlignment="1">
      <alignment horizontal="center"/>
    </xf>
    <xf numFmtId="39" fontId="14" fillId="0" borderId="0" xfId="0" applyFont="1" applyFill="1" applyBorder="1" applyAlignment="1">
      <alignment horizontal="center"/>
    </xf>
    <xf numFmtId="164" fontId="14" fillId="6" borderId="0" xfId="0" applyNumberFormat="1" applyFont="1" applyFill="1" applyBorder="1"/>
    <xf numFmtId="40" fontId="14" fillId="0" borderId="8" xfId="1" applyFont="1" applyFill="1" applyBorder="1"/>
    <xf numFmtId="17" fontId="15" fillId="0" borderId="0" xfId="0" applyNumberFormat="1" applyFont="1" applyFill="1" applyBorder="1" applyAlignment="1">
      <alignment horizontal="right"/>
    </xf>
    <xf numFmtId="40" fontId="14" fillId="0" borderId="5" xfId="1" applyFont="1" applyFill="1" applyBorder="1"/>
    <xf numFmtId="181" fontId="15" fillId="6" borderId="0" xfId="0" applyNumberFormat="1" applyFont="1" applyFill="1" applyBorder="1"/>
    <xf numFmtId="181" fontId="15" fillId="6" borderId="22" xfId="0" applyNumberFormat="1" applyFont="1" applyFill="1" applyBorder="1"/>
    <xf numFmtId="0" fontId="14" fillId="0" borderId="8" xfId="2" applyNumberFormat="1" applyFont="1" applyFill="1" applyBorder="1"/>
    <xf numFmtId="39" fontId="14" fillId="0" borderId="0" xfId="0" applyFont="1" applyFill="1" applyBorder="1" applyAlignment="1">
      <alignment horizontal="center"/>
    </xf>
    <xf numFmtId="39" fontId="14" fillId="0" borderId="0" xfId="0" quotePrefix="1" applyFont="1" applyFill="1" applyBorder="1"/>
    <xf numFmtId="40" fontId="14" fillId="0" borderId="2" xfId="1" applyFont="1" applyFill="1" applyBorder="1"/>
    <xf numFmtId="40" fontId="14" fillId="0" borderId="3" xfId="1" applyFont="1" applyFill="1" applyBorder="1"/>
    <xf numFmtId="40" fontId="14" fillId="0" borderId="0" xfId="1" applyFont="1" applyFill="1" applyBorder="1"/>
    <xf numFmtId="40" fontId="14" fillId="0" borderId="6" xfId="1" applyFont="1" applyFill="1" applyBorder="1"/>
    <xf numFmtId="39" fontId="14" fillId="0" borderId="0" xfId="0" applyFont="1" applyFill="1" applyBorder="1" applyAlignment="1">
      <alignment horizontal="center"/>
    </xf>
    <xf numFmtId="39" fontId="14" fillId="7" borderId="0" xfId="0" applyFont="1" applyFill="1" applyAlignment="1">
      <alignment horizontal="center"/>
    </xf>
    <xf numFmtId="39" fontId="15" fillId="0" borderId="28" xfId="0" applyFont="1" applyFill="1" applyBorder="1"/>
    <xf numFmtId="39" fontId="15" fillId="10" borderId="0" xfId="0" applyFont="1" applyFill="1" applyBorder="1" applyAlignment="1">
      <alignment horizontal="right"/>
    </xf>
    <xf numFmtId="39" fontId="15" fillId="10" borderId="0" xfId="0" applyFont="1" applyFill="1" applyBorder="1"/>
    <xf numFmtId="0" fontId="15" fillId="10" borderId="0" xfId="0" applyNumberFormat="1" applyFont="1" applyFill="1" applyBorder="1"/>
    <xf numFmtId="39" fontId="43" fillId="7" borderId="0" xfId="0" applyFont="1" applyFill="1"/>
    <xf numFmtId="39" fontId="44" fillId="7" borderId="0" xfId="0" applyFont="1" applyFill="1" applyAlignment="1">
      <alignment horizontal="right"/>
    </xf>
    <xf numFmtId="39" fontId="44" fillId="7" borderId="0" xfId="0" applyFont="1" applyFill="1"/>
    <xf numFmtId="39" fontId="45" fillId="7" borderId="0" xfId="0" applyFont="1" applyFill="1"/>
    <xf numFmtId="0" fontId="45" fillId="7" borderId="0" xfId="0" applyNumberFormat="1" applyFont="1" applyFill="1"/>
    <xf numFmtId="39" fontId="45" fillId="7" borderId="0" xfId="0" applyFont="1" applyFill="1" applyAlignment="1">
      <alignment horizontal="right"/>
    </xf>
    <xf numFmtId="39" fontId="45" fillId="7" borderId="0" xfId="0" applyFont="1" applyFill="1" applyAlignment="1">
      <alignment horizontal="center"/>
    </xf>
    <xf numFmtId="39" fontId="45" fillId="7" borderId="0" xfId="0" applyFont="1" applyFill="1" applyAlignment="1">
      <alignment horizontal="center" wrapText="1"/>
    </xf>
    <xf numFmtId="10" fontId="44" fillId="7" borderId="0" xfId="4" applyNumberFormat="1" applyFont="1" applyFill="1"/>
    <xf numFmtId="39" fontId="46" fillId="7" borderId="0" xfId="0" applyFont="1" applyFill="1"/>
    <xf numFmtId="38" fontId="44" fillId="7" borderId="0" xfId="1" applyNumberFormat="1" applyFont="1" applyFill="1"/>
    <xf numFmtId="171" fontId="44" fillId="7" borderId="0" xfId="0" applyNumberFormat="1" applyFont="1" applyFill="1"/>
    <xf numFmtId="39" fontId="44" fillId="7" borderId="0" xfId="0" applyFont="1" applyFill="1" applyAlignment="1">
      <alignment horizontal="center"/>
    </xf>
    <xf numFmtId="40" fontId="44" fillId="7" borderId="0" xfId="1" applyNumberFormat="1" applyFont="1" applyFill="1"/>
    <xf numFmtId="171" fontId="44" fillId="7" borderId="0" xfId="0" applyNumberFormat="1" applyFont="1" applyFill="1" applyAlignment="1">
      <alignment horizontal="center"/>
    </xf>
    <xf numFmtId="39" fontId="14" fillId="7" borderId="1" xfId="0" applyFont="1" applyFill="1" applyBorder="1"/>
    <xf numFmtId="39" fontId="14" fillId="7" borderId="2" xfId="0" applyFont="1" applyFill="1" applyBorder="1"/>
    <xf numFmtId="39" fontId="14" fillId="7" borderId="7" xfId="0" applyFont="1" applyFill="1" applyBorder="1"/>
    <xf numFmtId="40" fontId="14" fillId="7" borderId="8" xfId="1" applyFont="1" applyFill="1" applyBorder="1"/>
    <xf numFmtId="39" fontId="14" fillId="7" borderId="4" xfId="0" applyFont="1" applyFill="1" applyBorder="1"/>
    <xf numFmtId="40" fontId="14" fillId="7" borderId="5" xfId="1" applyFont="1" applyFill="1" applyBorder="1"/>
    <xf numFmtId="0" fontId="47" fillId="0" borderId="0" xfId="69" applyFont="1" applyFill="1" applyBorder="1" applyAlignment="1">
      <alignment horizontal="center"/>
    </xf>
    <xf numFmtId="182" fontId="47" fillId="0" borderId="0" xfId="69" applyNumberFormat="1" applyFont="1" applyFill="1" applyBorder="1" applyAlignment="1">
      <alignment horizontal="left"/>
    </xf>
    <xf numFmtId="0" fontId="47" fillId="0" borderId="0" xfId="69" applyFont="1" applyFill="1" applyBorder="1"/>
    <xf numFmtId="183" fontId="47" fillId="0" borderId="0" xfId="69" applyNumberFormat="1" applyFont="1" applyFill="1" applyBorder="1" applyAlignment="1">
      <alignment horizontal="left"/>
    </xf>
    <xf numFmtId="43" fontId="47" fillId="0" borderId="0" xfId="74" applyFont="1" applyFill="1" applyBorder="1" applyAlignment="1">
      <alignment horizontal="center"/>
    </xf>
    <xf numFmtId="0" fontId="4" fillId="0" borderId="0" xfId="69" applyFont="1" applyBorder="1" applyAlignment="1">
      <alignment horizontal="center"/>
    </xf>
    <xf numFmtId="0" fontId="4" fillId="0" borderId="0" xfId="69" applyFont="1" applyBorder="1"/>
    <xf numFmtId="0" fontId="47" fillId="0" borderId="0" xfId="69" applyNumberFormat="1" applyFont="1" applyFill="1" applyBorder="1" applyAlignment="1">
      <alignment horizontal="center"/>
    </xf>
    <xf numFmtId="43" fontId="0" fillId="0" borderId="0" xfId="74" applyFont="1" applyFill="1" applyBorder="1" applyAlignment="1">
      <alignment horizontal="center"/>
    </xf>
    <xf numFmtId="0" fontId="45" fillId="7" borderId="1" xfId="0" applyNumberFormat="1" applyFont="1" applyFill="1" applyBorder="1"/>
    <xf numFmtId="39" fontId="44" fillId="7" borderId="2" xfId="0" applyFont="1" applyFill="1" applyBorder="1"/>
    <xf numFmtId="39" fontId="44" fillId="7" borderId="3" xfId="0" applyFont="1" applyFill="1" applyBorder="1"/>
    <xf numFmtId="39" fontId="44" fillId="7" borderId="4" xfId="0" applyFont="1" applyFill="1" applyBorder="1"/>
    <xf numFmtId="39" fontId="44" fillId="7" borderId="5" xfId="0" applyFont="1" applyFill="1" applyBorder="1"/>
    <xf numFmtId="39" fontId="44" fillId="7" borderId="6" xfId="0" applyFont="1" applyFill="1" applyBorder="1"/>
    <xf numFmtId="40" fontId="14" fillId="7" borderId="2" xfId="1" applyFont="1" applyFill="1" applyBorder="1"/>
    <xf numFmtId="40" fontId="14" fillId="7" borderId="3" xfId="1" applyFont="1" applyFill="1" applyBorder="1"/>
    <xf numFmtId="40" fontId="14" fillId="7" borderId="6" xfId="1" applyFont="1" applyFill="1" applyBorder="1"/>
    <xf numFmtId="0" fontId="45" fillId="7" borderId="10" xfId="0" applyNumberFormat="1" applyFont="1" applyFill="1" applyBorder="1"/>
    <xf numFmtId="39" fontId="44" fillId="7" borderId="11" xfId="0" applyFont="1" applyFill="1" applyBorder="1"/>
    <xf numFmtId="39" fontId="44" fillId="7" borderId="17" xfId="0" applyFont="1" applyFill="1" applyBorder="1"/>
    <xf numFmtId="0" fontId="44" fillId="7" borderId="0" xfId="0" applyNumberFormat="1" applyFont="1" applyFill="1"/>
    <xf numFmtId="0" fontId="44" fillId="7" borderId="2" xfId="0" applyNumberFormat="1" applyFont="1" applyFill="1" applyBorder="1"/>
    <xf numFmtId="0" fontId="14" fillId="7" borderId="2" xfId="0" applyNumberFormat="1" applyFont="1" applyFill="1" applyBorder="1"/>
    <xf numFmtId="0" fontId="14" fillId="7" borderId="0" xfId="0" applyNumberFormat="1" applyFont="1" applyFill="1" applyBorder="1"/>
    <xf numFmtId="0" fontId="14" fillId="7" borderId="5" xfId="0" applyNumberFormat="1" applyFont="1" applyFill="1" applyBorder="1"/>
    <xf numFmtId="0" fontId="44" fillId="7" borderId="5" xfId="0" applyNumberFormat="1" applyFont="1" applyFill="1" applyBorder="1"/>
    <xf numFmtId="0" fontId="44" fillId="7" borderId="11" xfId="0" applyNumberFormat="1" applyFont="1" applyFill="1" applyBorder="1"/>
    <xf numFmtId="39" fontId="4" fillId="0" borderId="0" xfId="69" applyNumberFormat="1" applyFont="1" applyAlignment="1"/>
    <xf numFmtId="0" fontId="30" fillId="0" borderId="0" xfId="0" applyNumberFormat="1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39" fontId="45" fillId="7" borderId="0" xfId="0" applyFont="1" applyFill="1" applyAlignment="1"/>
    <xf numFmtId="40" fontId="44" fillId="7" borderId="0" xfId="0" applyNumberFormat="1" applyFont="1" applyFill="1"/>
    <xf numFmtId="39" fontId="14" fillId="0" borderId="0" xfId="0" applyFont="1" applyFill="1" applyBorder="1" applyAlignment="1">
      <alignment horizontal="center"/>
    </xf>
    <xf numFmtId="39" fontId="48" fillId="7" borderId="29" xfId="73" applyNumberFormat="1" applyFont="1" applyFill="1"/>
    <xf numFmtId="37" fontId="48" fillId="7" borderId="29" xfId="73" applyNumberFormat="1" applyFont="1" applyFill="1"/>
    <xf numFmtId="37" fontId="44" fillId="7" borderId="0" xfId="0" applyNumberFormat="1" applyFont="1" applyFill="1"/>
    <xf numFmtId="0" fontId="49" fillId="7" borderId="1" xfId="0" applyNumberFormat="1" applyFont="1" applyFill="1" applyBorder="1"/>
    <xf numFmtId="7" fontId="0" fillId="0" borderId="0" xfId="1" applyNumberFormat="1" applyFont="1"/>
    <xf numFmtId="39" fontId="47" fillId="0" borderId="0" xfId="0" applyNumberFormat="1" applyFont="1" applyFill="1"/>
    <xf numFmtId="39" fontId="0" fillId="0" borderId="27" xfId="0" applyBorder="1" applyAlignment="1">
      <alignment horizontal="center"/>
    </xf>
    <xf numFmtId="39" fontId="0" fillId="0" borderId="27" xfId="0" applyBorder="1" applyAlignment="1">
      <alignment horizontal="center"/>
    </xf>
    <xf numFmtId="39" fontId="0" fillId="0" borderId="0" xfId="0"/>
    <xf numFmtId="39" fontId="0" fillId="0" borderId="27" xfId="0" applyBorder="1" applyAlignment="1">
      <alignment horizontal="center"/>
    </xf>
    <xf numFmtId="39" fontId="41" fillId="0" borderId="0" xfId="0" applyNumberFormat="1" applyFont="1" applyAlignment="1">
      <alignment horizontal="right"/>
    </xf>
    <xf numFmtId="39" fontId="52" fillId="0" borderId="0" xfId="0" applyFont="1"/>
    <xf numFmtId="39" fontId="52" fillId="0" borderId="0" xfId="0" applyFont="1" applyFill="1"/>
    <xf numFmtId="39" fontId="46" fillId="0" borderId="0" xfId="0" applyFont="1" applyFill="1"/>
    <xf numFmtId="0" fontId="14" fillId="0" borderId="5" xfId="0" applyNumberFormat="1" applyFont="1" applyFill="1" applyBorder="1"/>
    <xf numFmtId="39" fontId="2" fillId="0" borderId="0" xfId="69" applyNumberFormat="1" applyFont="1" applyAlignment="1"/>
    <xf numFmtId="39" fontId="44" fillId="0" borderId="0" xfId="0" applyFont="1" applyFill="1"/>
    <xf numFmtId="39" fontId="44" fillId="7" borderId="0" xfId="0" applyFont="1" applyFill="1" applyBorder="1"/>
    <xf numFmtId="37" fontId="44" fillId="0" borderId="0" xfId="0" applyNumberFormat="1" applyFont="1" applyFill="1"/>
    <xf numFmtId="38" fontId="44" fillId="0" borderId="0" xfId="1" applyNumberFormat="1" applyFont="1" applyFill="1"/>
    <xf numFmtId="171" fontId="44" fillId="0" borderId="0" xfId="0" applyNumberFormat="1" applyFont="1" applyFill="1"/>
    <xf numFmtId="39" fontId="44" fillId="0" borderId="0" xfId="0" applyFont="1" applyFill="1" applyAlignment="1">
      <alignment horizontal="right"/>
    </xf>
    <xf numFmtId="44" fontId="26" fillId="0" borderId="9" xfId="0" applyNumberFormat="1" applyFont="1" applyFill="1" applyBorder="1"/>
    <xf numFmtId="178" fontId="14" fillId="0" borderId="0" xfId="2" applyNumberFormat="1" applyFont="1" applyFill="1" applyBorder="1"/>
    <xf numFmtId="8" fontId="26" fillId="0" borderId="0" xfId="0" applyNumberFormat="1" applyFont="1" applyFill="1" applyBorder="1"/>
    <xf numFmtId="8" fontId="26" fillId="0" borderId="9" xfId="0" applyNumberFormat="1" applyFont="1" applyFill="1" applyBorder="1"/>
    <xf numFmtId="7" fontId="30" fillId="11" borderId="0" xfId="0" applyNumberFormat="1" applyFont="1" applyFill="1" applyBorder="1"/>
    <xf numFmtId="44" fontId="26" fillId="12" borderId="0" xfId="0" applyNumberFormat="1" applyFont="1" applyFill="1" applyBorder="1"/>
    <xf numFmtId="44" fontId="26" fillId="12" borderId="9" xfId="0" applyNumberFormat="1" applyFont="1" applyFill="1" applyBorder="1"/>
    <xf numFmtId="38" fontId="26" fillId="12" borderId="0" xfId="1" applyNumberFormat="1" applyFont="1" applyFill="1" applyBorder="1" applyProtection="1"/>
    <xf numFmtId="39" fontId="44" fillId="12" borderId="0" xfId="0" applyFont="1" applyFill="1" applyAlignment="1">
      <alignment horizontal="right"/>
    </xf>
    <xf numFmtId="38" fontId="26" fillId="13" borderId="0" xfId="1" applyNumberFormat="1" applyFont="1" applyFill="1" applyBorder="1" applyProtection="1"/>
    <xf numFmtId="39" fontId="45" fillId="7" borderId="0" xfId="0" applyFont="1" applyFill="1" applyBorder="1"/>
    <xf numFmtId="38" fontId="44" fillId="7" borderId="0" xfId="1" applyNumberFormat="1" applyFont="1" applyFill="1" applyBorder="1"/>
    <xf numFmtId="44" fontId="15" fillId="0" borderId="0" xfId="0" applyNumberFormat="1" applyFont="1" applyFill="1" applyBorder="1"/>
    <xf numFmtId="39" fontId="14" fillId="0" borderId="0" xfId="0" applyFont="1" applyFill="1" applyBorder="1" applyAlignment="1">
      <alignment horizontal="center"/>
    </xf>
    <xf numFmtId="44" fontId="26" fillId="13" borderId="0" xfId="0" applyNumberFormat="1" applyFont="1" applyFill="1" applyBorder="1"/>
    <xf numFmtId="44" fontId="26" fillId="13" borderId="9" xfId="0" applyNumberFormat="1" applyFont="1" applyFill="1" applyBorder="1"/>
    <xf numFmtId="10" fontId="44" fillId="0" borderId="0" xfId="4" applyNumberFormat="1" applyFont="1" applyFill="1"/>
    <xf numFmtId="0" fontId="45" fillId="0" borderId="0" xfId="0" applyNumberFormat="1" applyFont="1" applyFill="1"/>
    <xf numFmtId="44" fontId="15" fillId="13" borderId="0" xfId="0" applyNumberFormat="1" applyFont="1" applyFill="1" applyBorder="1"/>
    <xf numFmtId="38" fontId="14" fillId="0" borderId="9" xfId="1" applyNumberFormat="1" applyFont="1" applyFill="1" applyBorder="1" applyProtection="1"/>
    <xf numFmtId="39" fontId="14" fillId="0" borderId="0" xfId="0" applyFont="1" applyFill="1" applyBorder="1" applyAlignment="1">
      <alignment horizontal="center"/>
    </xf>
    <xf numFmtId="39" fontId="44" fillId="14" borderId="0" xfId="0" applyFont="1" applyFill="1"/>
    <xf numFmtId="39" fontId="44" fillId="13" borderId="0" xfId="0" applyFont="1" applyFill="1"/>
    <xf numFmtId="39" fontId="46" fillId="10" borderId="0" xfId="0" applyFont="1" applyFill="1"/>
    <xf numFmtId="39" fontId="14" fillId="0" borderId="0" xfId="0" applyFont="1" applyFill="1" applyBorder="1" applyAlignment="1">
      <alignment horizontal="center"/>
    </xf>
    <xf numFmtId="44" fontId="15" fillId="12" borderId="0" xfId="0" applyNumberFormat="1" applyFont="1" applyFill="1" applyBorder="1"/>
    <xf numFmtId="44" fontId="14" fillId="12" borderId="0" xfId="0" applyNumberFormat="1" applyFont="1" applyFill="1" applyBorder="1"/>
    <xf numFmtId="38" fontId="14" fillId="12" borderId="0" xfId="1" applyNumberFormat="1" applyFont="1" applyFill="1" applyBorder="1" applyProtection="1"/>
    <xf numFmtId="38" fontId="26" fillId="12" borderId="9" xfId="1" applyNumberFormat="1" applyFont="1" applyFill="1" applyBorder="1" applyProtection="1"/>
    <xf numFmtId="7" fontId="30" fillId="12" borderId="0" xfId="0" applyNumberFormat="1" applyFont="1" applyFill="1" applyBorder="1"/>
    <xf numFmtId="44" fontId="14" fillId="12" borderId="8" xfId="2" applyNumberFormat="1" applyFont="1" applyFill="1" applyBorder="1"/>
    <xf numFmtId="39" fontId="44" fillId="16" borderId="0" xfId="0" applyFont="1" applyFill="1"/>
    <xf numFmtId="39" fontId="48" fillId="7" borderId="31" xfId="73" applyNumberFormat="1" applyFont="1" applyFill="1" applyBorder="1"/>
    <xf numFmtId="39" fontId="44" fillId="14" borderId="32" xfId="0" applyFont="1" applyFill="1" applyBorder="1"/>
    <xf numFmtId="39" fontId="44" fillId="13" borderId="33" xfId="0" applyFont="1" applyFill="1" applyBorder="1"/>
    <xf numFmtId="39" fontId="44" fillId="10" borderId="33" xfId="0" applyFont="1" applyFill="1" applyBorder="1"/>
    <xf numFmtId="39" fontId="44" fillId="15" borderId="34" xfId="0" applyFont="1" applyFill="1" applyBorder="1"/>
    <xf numFmtId="39" fontId="44" fillId="16" borderId="30" xfId="0" applyFont="1" applyFill="1" applyBorder="1"/>
    <xf numFmtId="39" fontId="48" fillId="0" borderId="29" xfId="73" applyNumberFormat="1" applyFont="1" applyFill="1"/>
    <xf numFmtId="10" fontId="15" fillId="12" borderId="0" xfId="4" applyNumberFormat="1" applyFont="1" applyFill="1" applyAlignment="1">
      <alignment horizontal="center"/>
    </xf>
    <xf numFmtId="171" fontId="44" fillId="12" borderId="0" xfId="0" applyNumberFormat="1" applyFont="1" applyFill="1" applyAlignment="1">
      <alignment horizontal="center"/>
    </xf>
    <xf numFmtId="10" fontId="44" fillId="12" borderId="0" xfId="4" applyNumberFormat="1" applyFont="1" applyFill="1"/>
    <xf numFmtId="171" fontId="30" fillId="12" borderId="0" xfId="0" applyNumberFormat="1" applyFont="1" applyFill="1" applyBorder="1" applyAlignment="1" applyProtection="1">
      <alignment horizontal="center"/>
      <protection locked="0"/>
    </xf>
    <xf numFmtId="37" fontId="44" fillId="12" borderId="0" xfId="0" applyNumberFormat="1" applyFont="1" applyFill="1"/>
    <xf numFmtId="38" fontId="44" fillId="12" borderId="0" xfId="1" applyNumberFormat="1" applyFont="1" applyFill="1"/>
    <xf numFmtId="39" fontId="44" fillId="7" borderId="10" xfId="0" applyFont="1" applyFill="1" applyBorder="1"/>
    <xf numFmtId="44" fontId="14" fillId="13" borderId="0" xfId="0" applyNumberFormat="1" applyFont="1" applyFill="1" applyBorder="1"/>
    <xf numFmtId="39" fontId="14" fillId="0" borderId="0" xfId="0" applyFont="1" applyFill="1" applyBorder="1" applyAlignment="1">
      <alignment horizontal="center"/>
    </xf>
    <xf numFmtId="39" fontId="14" fillId="0" borderId="0" xfId="0" applyFont="1" applyFill="1" applyBorder="1" applyAlignment="1">
      <alignment horizontal="center"/>
    </xf>
    <xf numFmtId="39" fontId="14" fillId="0" borderId="0" xfId="0" applyFont="1" applyFill="1" applyAlignment="1">
      <alignment horizontal="center"/>
    </xf>
    <xf numFmtId="39" fontId="14" fillId="0" borderId="0" xfId="0" applyFont="1" applyFill="1" applyBorder="1" applyAlignment="1">
      <alignment horizontal="center"/>
    </xf>
    <xf numFmtId="39" fontId="14" fillId="0" borderId="0" xfId="0" applyFont="1" applyFill="1" applyBorder="1" applyAlignment="1">
      <alignment horizontal="center"/>
    </xf>
    <xf numFmtId="7" fontId="30" fillId="13" borderId="0" xfId="0" applyNumberFormat="1" applyFont="1" applyFill="1" applyBorder="1"/>
    <xf numFmtId="38" fontId="14" fillId="13" borderId="0" xfId="1" applyNumberFormat="1" applyFont="1" applyFill="1" applyBorder="1" applyProtection="1"/>
    <xf numFmtId="38" fontId="26" fillId="13" borderId="9" xfId="1" applyNumberFormat="1" applyFont="1" applyFill="1" applyBorder="1" applyProtection="1"/>
    <xf numFmtId="7" fontId="30" fillId="0" borderId="0" xfId="0" applyNumberFormat="1" applyFont="1" applyFill="1" applyBorder="1"/>
    <xf numFmtId="39" fontId="14" fillId="0" borderId="0" xfId="0" applyFont="1" applyFill="1" applyBorder="1" applyAlignment="1">
      <alignment horizontal="center"/>
    </xf>
    <xf numFmtId="44" fontId="26" fillId="11" borderId="0" xfId="0" applyNumberFormat="1" applyFont="1" applyFill="1" applyBorder="1"/>
    <xf numFmtId="39" fontId="14" fillId="0" borderId="0" xfId="0" applyFont="1" applyFill="1" applyBorder="1" applyAlignment="1">
      <alignment horizontal="center"/>
    </xf>
    <xf numFmtId="39" fontId="44" fillId="10" borderId="0" xfId="0" applyFont="1" applyFill="1"/>
    <xf numFmtId="39" fontId="44" fillId="10" borderId="32" xfId="0" applyFont="1" applyFill="1" applyBorder="1"/>
    <xf numFmtId="39" fontId="44" fillId="15" borderId="0" xfId="0" applyFont="1" applyFill="1"/>
    <xf numFmtId="39" fontId="44" fillId="14" borderId="33" xfId="0" applyFont="1" applyFill="1" applyBorder="1"/>
    <xf numFmtId="39" fontId="46" fillId="16" borderId="0" xfId="0" applyFont="1" applyFill="1"/>
    <xf numFmtId="39" fontId="44" fillId="16" borderId="33" xfId="0" applyFont="1" applyFill="1" applyBorder="1"/>
    <xf numFmtId="39" fontId="14" fillId="0" borderId="0" xfId="0" applyFont="1" applyFill="1" applyBorder="1" applyAlignment="1">
      <alignment horizontal="center"/>
    </xf>
    <xf numFmtId="39" fontId="14" fillId="0" borderId="0" xfId="0" applyFont="1" applyFill="1" applyBorder="1" applyAlignment="1">
      <alignment horizontal="center"/>
    </xf>
    <xf numFmtId="0" fontId="53" fillId="7" borderId="11" xfId="0" applyNumberFormat="1" applyFont="1" applyFill="1" applyBorder="1"/>
    <xf numFmtId="37" fontId="48" fillId="0" borderId="29" xfId="73" applyNumberFormat="1" applyFont="1" applyFill="1"/>
    <xf numFmtId="39" fontId="45" fillId="0" borderId="0" xfId="0" applyFont="1" applyFill="1" applyAlignment="1"/>
    <xf numFmtId="39" fontId="44" fillId="6" borderId="0" xfId="0" applyFont="1" applyFill="1"/>
    <xf numFmtId="39" fontId="14" fillId="7" borderId="5" xfId="0" applyFont="1" applyFill="1" applyBorder="1"/>
    <xf numFmtId="39" fontId="14" fillId="0" borderId="0" xfId="0" applyFont="1" applyFill="1" applyBorder="1" applyAlignment="1">
      <alignment horizontal="center"/>
    </xf>
    <xf numFmtId="171" fontId="30" fillId="13" borderId="0" xfId="0" applyNumberFormat="1" applyFont="1" applyFill="1" applyBorder="1" applyAlignment="1" applyProtection="1">
      <alignment horizontal="center"/>
      <protection locked="0"/>
    </xf>
    <xf numFmtId="171" fontId="44" fillId="12" borderId="0" xfId="0" applyNumberFormat="1" applyFont="1" applyFill="1" applyAlignment="1">
      <alignment horizontal="right"/>
    </xf>
    <xf numFmtId="171" fontId="44" fillId="0" borderId="0" xfId="0" applyNumberFormat="1" applyFont="1" applyFill="1" applyAlignment="1">
      <alignment horizontal="right"/>
    </xf>
    <xf numFmtId="39" fontId="53" fillId="7" borderId="35" xfId="0" applyFont="1" applyFill="1" applyBorder="1"/>
    <xf numFmtId="39" fontId="44" fillId="7" borderId="28" xfId="0" applyFont="1" applyFill="1" applyBorder="1"/>
    <xf numFmtId="39" fontId="44" fillId="7" borderId="36" xfId="0" applyFont="1" applyFill="1" applyBorder="1"/>
    <xf numFmtId="39" fontId="44" fillId="7" borderId="37" xfId="0" applyFont="1" applyFill="1" applyBorder="1"/>
    <xf numFmtId="39" fontId="44" fillId="7" borderId="38" xfId="0" applyFont="1" applyFill="1" applyBorder="1"/>
    <xf numFmtId="39" fontId="44" fillId="7" borderId="39" xfId="0" applyFont="1" applyFill="1" applyBorder="1"/>
    <xf numFmtId="39" fontId="44" fillId="7" borderId="9" xfId="0" applyFont="1" applyFill="1" applyBorder="1"/>
    <xf numFmtId="39" fontId="44" fillId="7" borderId="40" xfId="0" applyFont="1" applyFill="1" applyBorder="1"/>
    <xf numFmtId="39" fontId="14" fillId="0" borderId="0" xfId="0" applyFont="1" applyFill="1" applyBorder="1" applyAlignment="1">
      <alignment horizontal="center"/>
    </xf>
    <xf numFmtId="39" fontId="10" fillId="0" borderId="0" xfId="0" applyFont="1" applyAlignment="1">
      <alignment horizontal="center"/>
    </xf>
    <xf numFmtId="39" fontId="31" fillId="0" borderId="0" xfId="0" applyFont="1" applyAlignment="1">
      <alignment horizontal="center"/>
    </xf>
    <xf numFmtId="39" fontId="0" fillId="0" borderId="0" xfId="0" applyAlignment="1">
      <alignment horizontal="center"/>
    </xf>
    <xf numFmtId="39" fontId="32" fillId="0" borderId="0" xfId="0" applyFont="1" applyAlignment="1">
      <alignment horizontal="center"/>
    </xf>
    <xf numFmtId="39" fontId="14" fillId="0" borderId="0" xfId="0" applyFont="1" applyFill="1" applyBorder="1" applyAlignment="1">
      <alignment horizontal="center"/>
    </xf>
    <xf numFmtId="39" fontId="14" fillId="0" borderId="8" xfId="0" applyFont="1" applyFill="1" applyBorder="1" applyAlignment="1">
      <alignment horizontal="center"/>
    </xf>
    <xf numFmtId="39" fontId="15" fillId="0" borderId="10" xfId="0" applyFont="1" applyFill="1" applyBorder="1" applyAlignment="1">
      <alignment horizontal="center"/>
    </xf>
    <xf numFmtId="39" fontId="15" fillId="0" borderId="11" xfId="0" applyFont="1" applyFill="1" applyBorder="1" applyAlignment="1">
      <alignment horizontal="center"/>
    </xf>
    <xf numFmtId="39" fontId="15" fillId="0" borderId="17" xfId="0" applyFont="1" applyFill="1" applyBorder="1" applyAlignment="1">
      <alignment horizontal="center"/>
    </xf>
    <xf numFmtId="164" fontId="15" fillId="6" borderId="0" xfId="0" applyNumberFormat="1" applyFont="1" applyFill="1" applyAlignment="1">
      <alignment horizontal="center"/>
    </xf>
    <xf numFmtId="39" fontId="15" fillId="0" borderId="18" xfId="6" applyNumberFormat="1" applyFont="1" applyBorder="1" applyAlignment="1">
      <alignment horizontal="left"/>
    </xf>
    <xf numFmtId="39" fontId="15" fillId="0" borderId="19" xfId="6" applyNumberFormat="1" applyFont="1" applyBorder="1" applyAlignment="1">
      <alignment horizontal="left"/>
    </xf>
    <xf numFmtId="39" fontId="15" fillId="0" borderId="20" xfId="6" applyNumberFormat="1" applyFont="1" applyBorder="1" applyAlignment="1">
      <alignment horizontal="left"/>
    </xf>
    <xf numFmtId="39" fontId="14" fillId="0" borderId="2" xfId="0" applyFont="1" applyFill="1" applyBorder="1" applyAlignment="1">
      <alignment horizontal="left" vertical="top" wrapText="1"/>
    </xf>
    <xf numFmtId="39" fontId="14" fillId="0" borderId="0" xfId="0" applyFont="1" applyFill="1" applyAlignment="1">
      <alignment horizontal="left" vertical="top" wrapText="1"/>
    </xf>
  </cellXfs>
  <cellStyles count="137">
    <cellStyle name="Comma" xfId="1" builtinId="3"/>
    <cellStyle name="Comma 2" xfId="8"/>
    <cellStyle name="Comma 2 2" xfId="43"/>
    <cellStyle name="Comma 2 3" xfId="55"/>
    <cellStyle name="Comma 3" xfId="5"/>
    <cellStyle name="Comma 3 2" xfId="64"/>
    <cellStyle name="Comma 4" xfId="9"/>
    <cellStyle name="Comma 4 2" xfId="44"/>
    <cellStyle name="Comma 4 2 2" xfId="84"/>
    <cellStyle name="Comma 4 2 2 2" xfId="126"/>
    <cellStyle name="Comma 4 2 3" xfId="105"/>
    <cellStyle name="Comma 4 3" xfId="75"/>
    <cellStyle name="Comma 4 3 2" xfId="117"/>
    <cellStyle name="Comma 4 4" xfId="96"/>
    <cellStyle name="Comma 5" xfId="10"/>
    <cellStyle name="Comma 6" xfId="70"/>
    <cellStyle name="Comma 6 2" xfId="74"/>
    <cellStyle name="Comma 6 2 2" xfId="116"/>
    <cellStyle name="Comma 6 3" xfId="95"/>
    <cellStyle name="Comma 6 3 2" xfId="136"/>
    <cellStyle name="Comma 6 4" xfId="115"/>
    <cellStyle name="Comma0" xfId="11"/>
    <cellStyle name="Currency" xfId="2" builtinId="4"/>
    <cellStyle name="Currency 2" xfId="7"/>
    <cellStyle name="Currency 2 2" xfId="57"/>
    <cellStyle name="Currency 2 3" xfId="56"/>
    <cellStyle name="Currency 3" xfId="12"/>
    <cellStyle name="Currency 3 2" xfId="66"/>
    <cellStyle name="Currency 3 3" xfId="58"/>
    <cellStyle name="Currency 4" xfId="13"/>
    <cellStyle name="Currency 4 2" xfId="14"/>
    <cellStyle name="Currency 4 2 2" xfId="46"/>
    <cellStyle name="Currency 4 2 2 2" xfId="86"/>
    <cellStyle name="Currency 4 2 2 2 2" xfId="128"/>
    <cellStyle name="Currency 4 2 2 3" xfId="107"/>
    <cellStyle name="Currency 4 2 3" xfId="77"/>
    <cellStyle name="Currency 4 2 3 2" xfId="119"/>
    <cellStyle name="Currency 4 2 4" xfId="98"/>
    <cellStyle name="Currency 4 3" xfId="45"/>
    <cellStyle name="Currency 4 3 2" xfId="85"/>
    <cellStyle name="Currency 4 3 2 2" xfId="127"/>
    <cellStyle name="Currency 4 3 3" xfId="106"/>
    <cellStyle name="Currency 4 4" xfId="68"/>
    <cellStyle name="Currency 4 5" xfId="76"/>
    <cellStyle name="Currency 4 5 2" xfId="118"/>
    <cellStyle name="Currency 4 6" xfId="97"/>
    <cellStyle name="Currency 5" xfId="15"/>
    <cellStyle name="Currency 6" xfId="16"/>
    <cellStyle name="Currency 6 2" xfId="17"/>
    <cellStyle name="Currency 7" xfId="18"/>
    <cellStyle name="Currency 7 2" xfId="47"/>
    <cellStyle name="Currency 7 2 2" xfId="87"/>
    <cellStyle name="Currency 7 2 2 2" xfId="129"/>
    <cellStyle name="Currency 7 2 3" xfId="108"/>
    <cellStyle name="Currency 7 3" xfId="78"/>
    <cellStyle name="Currency 7 3 2" xfId="120"/>
    <cellStyle name="Currency 7 4" xfId="99"/>
    <cellStyle name="Currency 8" xfId="71"/>
    <cellStyle name="Currency0" xfId="19"/>
    <cellStyle name="Date" xfId="20"/>
    <cellStyle name="Fixed" xfId="21"/>
    <cellStyle name="Manual-Input" xfId="3"/>
    <cellStyle name="Normal" xfId="0" builtinId="0"/>
    <cellStyle name="Normal 10" xfId="42"/>
    <cellStyle name="Normal 11" xfId="54"/>
    <cellStyle name="Normal 11 2" xfId="93"/>
    <cellStyle name="Normal 12" xfId="69"/>
    <cellStyle name="Normal 12 2" xfId="94"/>
    <cellStyle name="Normal 12 2 2" xfId="135"/>
    <cellStyle name="Normal 12 3" xfId="114"/>
    <cellStyle name="Normal 2" xfId="6"/>
    <cellStyle name="Normal 2 2" xfId="41"/>
    <cellStyle name="Normal 2 3" xfId="59"/>
    <cellStyle name="Normal 3" xfId="22"/>
    <cellStyle name="Normal 3 2" xfId="65"/>
    <cellStyle name="Normal 4" xfId="23"/>
    <cellStyle name="Normal 4 2" xfId="63"/>
    <cellStyle name="Normal 5" xfId="24"/>
    <cellStyle name="Normal 6" xfId="25"/>
    <cellStyle name="Normal 6 2" xfId="26"/>
    <cellStyle name="Normal 7" xfId="27"/>
    <cellStyle name="Normal 7 2" xfId="48"/>
    <cellStyle name="Normal 7 2 2" xfId="88"/>
    <cellStyle name="Normal 7 2 2 2" xfId="130"/>
    <cellStyle name="Normal 7 2 3" xfId="109"/>
    <cellStyle name="Normal 7 3" xfId="79"/>
    <cellStyle name="Normal 7 3 2" xfId="121"/>
    <cellStyle name="Normal 7 4" xfId="100"/>
    <cellStyle name="Normal 8" xfId="28"/>
    <cellStyle name="Normal 9" xfId="40"/>
    <cellStyle name="Normal 9 2" xfId="53"/>
    <cellStyle name="Percent" xfId="4" builtinId="5"/>
    <cellStyle name="Percent 10" xfId="72"/>
    <cellStyle name="Percent 2" xfId="29"/>
    <cellStyle name="Percent 2 2" xfId="61"/>
    <cellStyle name="Percent 2 3" xfId="60"/>
    <cellStyle name="Percent 3" xfId="30"/>
    <cellStyle name="Percent 3 2" xfId="67"/>
    <cellStyle name="Percent 3 3" xfId="62"/>
    <cellStyle name="Percent 4" xfId="31"/>
    <cellStyle name="Percent 5" xfId="32"/>
    <cellStyle name="Percent 5 2" xfId="33"/>
    <cellStyle name="Percent 5 2 2" xfId="34"/>
    <cellStyle name="Percent 5 2 2 2" xfId="51"/>
    <cellStyle name="Percent 5 2 2 2 2" xfId="91"/>
    <cellStyle name="Percent 5 2 2 2 2 2" xfId="133"/>
    <cellStyle name="Percent 5 2 2 2 3" xfId="112"/>
    <cellStyle name="Percent 5 2 2 3" xfId="82"/>
    <cellStyle name="Percent 5 2 2 3 2" xfId="124"/>
    <cellStyle name="Percent 5 2 2 4" xfId="103"/>
    <cellStyle name="Percent 5 2 3" xfId="50"/>
    <cellStyle name="Percent 5 2 3 2" xfId="90"/>
    <cellStyle name="Percent 5 2 3 2 2" xfId="132"/>
    <cellStyle name="Percent 5 2 3 3" xfId="111"/>
    <cellStyle name="Percent 5 2 4" xfId="81"/>
    <cellStyle name="Percent 5 2 4 2" xfId="123"/>
    <cellStyle name="Percent 5 2 5" xfId="102"/>
    <cellStyle name="Percent 5 3" xfId="49"/>
    <cellStyle name="Percent 5 3 2" xfId="89"/>
    <cellStyle name="Percent 5 3 2 2" xfId="131"/>
    <cellStyle name="Percent 5 3 3" xfId="110"/>
    <cellStyle name="Percent 5 4" xfId="80"/>
    <cellStyle name="Percent 5 4 2" xfId="122"/>
    <cellStyle name="Percent 5 5" xfId="101"/>
    <cellStyle name="Percent 6" xfId="35"/>
    <cellStyle name="Percent 7" xfId="36"/>
    <cellStyle name="Percent 7 2" xfId="37"/>
    <cellStyle name="Percent 8" xfId="38"/>
    <cellStyle name="Percent 8 2" xfId="52"/>
    <cellStyle name="Percent 8 2 2" xfId="92"/>
    <cellStyle name="Percent 8 2 2 2" xfId="134"/>
    <cellStyle name="Percent 8 2 3" xfId="113"/>
    <cellStyle name="Percent 8 3" xfId="83"/>
    <cellStyle name="Percent 8 3 2" xfId="125"/>
    <cellStyle name="Percent 8 4" xfId="104"/>
    <cellStyle name="Percent 9" xfId="39"/>
    <cellStyle name="Total" xfId="73" builtinId="25"/>
  </cellStyles>
  <dxfs count="300"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theme="5" tint="0.39994506668294322"/>
      </font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theme="5" tint="0.39994506668294322"/>
      </font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00CC66"/>
      <color rgb="FF66FF33"/>
      <color rgb="FF0000FF"/>
      <color rgb="FF008000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33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Washington </a:t>
            </a:r>
            <a:endParaRPr lang="en-US" sz="1800" baseline="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6396582122003933E-2"/>
          <c:y val="4.7804438524449114E-2"/>
          <c:w val="0.89767419371909363"/>
          <c:h val="0.874068889043684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'PGA Graphs 2012-13'!$A$8</c:f>
              <c:strCache>
                <c:ptCount val="1"/>
                <c:pt idx="0">
                  <c:v>Commodity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-3.9557880513114242E-2"/>
                </c:manualLayout>
              </c:layout>
              <c:spPr/>
              <c:txPr>
                <a:bodyPr/>
                <a:lstStyle/>
                <a:p>
                  <a:pPr>
                    <a:defRPr sz="900" b="1"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'PGA Graphs 2012-13'!$C$7:$N$7</c:f>
              <c:strCache>
                <c:ptCount val="12"/>
                <c:pt idx="0">
                  <c:v>N-12</c:v>
                </c:pt>
                <c:pt idx="1">
                  <c:v>D</c:v>
                </c:pt>
                <c:pt idx="2">
                  <c:v>J-13</c:v>
                </c:pt>
                <c:pt idx="3">
                  <c:v>F-13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</c:strCache>
            </c:strRef>
          </c:cat>
          <c:val>
            <c:numRef>
              <c:f>'PGA Graphs 2012-13'!$C$8:$N$8</c:f>
              <c:numCache>
                <c:formatCode>"$"#,##0.0_);\("$"#,##0.0\)</c:formatCode>
                <c:ptCount val="12"/>
                <c:pt idx="0">
                  <c:v>0.90240319623620857</c:v>
                </c:pt>
                <c:pt idx="1">
                  <c:v>-0.24153536134178891</c:v>
                </c:pt>
                <c:pt idx="2">
                  <c:v>1.612370665690211</c:v>
                </c:pt>
                <c:pt idx="3">
                  <c:v>0.64834278387021227</c:v>
                </c:pt>
                <c:pt idx="4">
                  <c:v>0.33671900480321282</c:v>
                </c:pt>
                <c:pt idx="5">
                  <c:v>0.63119416496921332</c:v>
                </c:pt>
                <c:pt idx="6">
                  <c:v>1.2090547576992148</c:v>
                </c:pt>
                <c:pt idx="7">
                  <c:v>1.3830479967132137</c:v>
                </c:pt>
                <c:pt idx="8">
                  <c:v>1.8775711130472124</c:v>
                </c:pt>
                <c:pt idx="9">
                  <c:v>2.5238373414722122</c:v>
                </c:pt>
                <c:pt idx="10">
                  <c:v>3.3385260271402131</c:v>
                </c:pt>
                <c:pt idx="11">
                  <c:v>-6.0831075290700021</c:v>
                </c:pt>
              </c:numCache>
            </c:numRef>
          </c:val>
        </c:ser>
        <c:ser>
          <c:idx val="1"/>
          <c:order val="1"/>
          <c:tx>
            <c:strRef>
              <c:f>'PGA Graphs 2012-13'!$A$9</c:f>
              <c:strCache>
                <c:ptCount val="1"/>
                <c:pt idx="0">
                  <c:v>Demand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'PGA Graphs 2012-13'!$C$7:$N$7</c:f>
              <c:strCache>
                <c:ptCount val="12"/>
                <c:pt idx="0">
                  <c:v>N-12</c:v>
                </c:pt>
                <c:pt idx="1">
                  <c:v>D</c:v>
                </c:pt>
                <c:pt idx="2">
                  <c:v>J-13</c:v>
                </c:pt>
                <c:pt idx="3">
                  <c:v>F-13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</c:strCache>
            </c:strRef>
          </c:cat>
          <c:val>
            <c:numRef>
              <c:f>'PGA Graphs 2012-13'!$C$9:$N$9</c:f>
              <c:numCache>
                <c:formatCode>"$"#,##0.0_);\("$"#,##0.0\)</c:formatCode>
                <c:ptCount val="12"/>
                <c:pt idx="0">
                  <c:v>-3.8730244701439993</c:v>
                </c:pt>
                <c:pt idx="1">
                  <c:v>-3.0674777859969997</c:v>
                </c:pt>
                <c:pt idx="2">
                  <c:v>-1.6934499394870002</c:v>
                </c:pt>
                <c:pt idx="3">
                  <c:v>-0.95669013858100027</c:v>
                </c:pt>
                <c:pt idx="4">
                  <c:v>-0.56131225301100107</c:v>
                </c:pt>
                <c:pt idx="5">
                  <c:v>-0.69541010451100072</c:v>
                </c:pt>
                <c:pt idx="6">
                  <c:v>-1.5643559408390004</c:v>
                </c:pt>
                <c:pt idx="7">
                  <c:v>-2.5778206653800004</c:v>
                </c:pt>
                <c:pt idx="8">
                  <c:v>-3.8494386956210014</c:v>
                </c:pt>
                <c:pt idx="9">
                  <c:v>-5.0597053680260018</c:v>
                </c:pt>
                <c:pt idx="10">
                  <c:v>-6.0831075290700021</c:v>
                </c:pt>
                <c:pt idx="11">
                  <c:v>3.1801240000000015E-2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"/>
        <c:overlap val="100"/>
        <c:axId val="115387704"/>
        <c:axId val="115387312"/>
      </c:barChart>
      <c:lineChart>
        <c:grouping val="standard"/>
        <c:varyColors val="0"/>
        <c:ser>
          <c:idx val="2"/>
          <c:order val="2"/>
          <c:tx>
            <c:strRef>
              <c:f>'PGA Graphs 2012-13'!$A$10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7766573430354023E-2"/>
                  <c:y val="8.27119319819659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4956730203654163E-2"/>
                  <c:y val="4.3154051468851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2147077332839927E-2"/>
                  <c:y val="0.1330583253622975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4564597079407894E-2"/>
                  <c:y val="7.55195900704906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4.1754753852707972E-2"/>
                  <c:y val="5.75387352918024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7374249950222123E-2"/>
                  <c:y val="6.832724815901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4.4956730203654163E-2"/>
                  <c:y val="9.7096615804916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2147077332839927E-2"/>
                  <c:y val="0.107885128672129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4.4564597079407894E-2"/>
                  <c:y val="0.1366544963180306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2601612923489499E-2"/>
                  <c:y val="0.1834047187426256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9791769696789723E-2"/>
                  <c:y val="0.1150774705836047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5.3386219541039524E-2"/>
                  <c:y val="-5.03463933803270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&quot;$&quot;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'PGA Graphs 2012-13'!$C$7:$N$7</c:f>
              <c:strCache>
                <c:ptCount val="12"/>
                <c:pt idx="0">
                  <c:v>N-12</c:v>
                </c:pt>
                <c:pt idx="1">
                  <c:v>D</c:v>
                </c:pt>
                <c:pt idx="2">
                  <c:v>J-13</c:v>
                </c:pt>
                <c:pt idx="3">
                  <c:v>F-13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</c:strCache>
            </c:strRef>
          </c:cat>
          <c:val>
            <c:numRef>
              <c:f>'PGA Graphs 2012-13'!$C$10:$N$10</c:f>
              <c:numCache>
                <c:formatCode>"$"#,##0.0_);\("$"#,##0.0\)</c:formatCode>
                <c:ptCount val="12"/>
                <c:pt idx="0">
                  <c:v>-2.9706212739077906</c:v>
                </c:pt>
                <c:pt idx="1">
                  <c:v>-3.3090131473387885</c:v>
                </c:pt>
                <c:pt idx="2">
                  <c:v>-8.1079273796789142E-2</c:v>
                </c:pt>
                <c:pt idx="3">
                  <c:v>-0.308347354710788</c:v>
                </c:pt>
                <c:pt idx="4">
                  <c:v>-0.22459324820778825</c:v>
                </c:pt>
                <c:pt idx="5">
                  <c:v>-6.4215939541787392E-2</c:v>
                </c:pt>
                <c:pt idx="6">
                  <c:v>-0.35530118313978565</c:v>
                </c:pt>
                <c:pt idx="7">
                  <c:v>-1.1947726686667868</c:v>
                </c:pt>
                <c:pt idx="8">
                  <c:v>-1.971867582573789</c:v>
                </c:pt>
                <c:pt idx="9">
                  <c:v>-2.5358680265537896</c:v>
                </c:pt>
                <c:pt idx="10">
                  <c:v>-2.744581501929789</c:v>
                </c:pt>
                <c:pt idx="11">
                  <c:v>-6.051306289070002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387704"/>
        <c:axId val="115387312"/>
      </c:lineChart>
      <c:catAx>
        <c:axId val="115387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b="1"/>
            </a:pPr>
            <a:endParaRPr lang="en-US"/>
          </a:p>
        </c:txPr>
        <c:crossAx val="115387312"/>
        <c:crosses val="autoZero"/>
        <c:auto val="1"/>
        <c:lblAlgn val="ctr"/>
        <c:lblOffset val="10"/>
        <c:noMultiLvlLbl val="0"/>
      </c:catAx>
      <c:valAx>
        <c:axId val="115387312"/>
        <c:scaling>
          <c:orientation val="minMax"/>
          <c:max val="9"/>
          <c:min val="-5.5"/>
        </c:scaling>
        <c:delete val="0"/>
        <c:axPos val="r"/>
        <c:numFmt formatCode="&quot;$&quot;#,##0.0" sourceLinked="0"/>
        <c:majorTickMark val="out"/>
        <c:minorTickMark val="none"/>
        <c:tickLblPos val="none"/>
        <c:crossAx val="115387704"/>
        <c:crosses val="max"/>
        <c:crossBetween val="between"/>
      </c:valAx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70573721217717333"/>
          <c:y val="6.8211717627523899E-2"/>
          <c:w val="0.18659635681678463"/>
          <c:h val="0.1474684938613198"/>
        </c:manualLayout>
      </c:layout>
      <c:overlay val="0"/>
      <c:spPr>
        <a:solidFill>
          <a:schemeClr val="bg1"/>
        </a:solidFill>
        <a:ln w="25400">
          <a:solidFill>
            <a:sysClr val="windowText" lastClr="000000"/>
          </a:solidFill>
        </a:ln>
      </c:spPr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spPr>
    <a:ln w="31750">
      <a:solidFill>
        <a:sysClr val="windowText" lastClr="000000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Idaho (With Holdback)</a:t>
            </a:r>
            <a:endParaRPr lang="en-US" sz="1800" baseline="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3.6726533128107232E-2"/>
          <c:y val="4.4208267568710935E-2"/>
          <c:w val="0.88800420717924078"/>
          <c:h val="0.841703469131600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'PGA Graphs 2012-13'!$A$14</c:f>
              <c:strCache>
                <c:ptCount val="1"/>
                <c:pt idx="0">
                  <c:v>Commodity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'PGA Graphs 2012-13'!$B$13:$M$13</c:f>
              <c:strCache>
                <c:ptCount val="12"/>
                <c:pt idx="0">
                  <c:v>O-12</c:v>
                </c:pt>
                <c:pt idx="1">
                  <c:v>N</c:v>
                </c:pt>
                <c:pt idx="2">
                  <c:v>D</c:v>
                </c:pt>
                <c:pt idx="3">
                  <c:v>J-13</c:v>
                </c:pt>
                <c:pt idx="4">
                  <c:v>F-13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</c:strCache>
            </c:strRef>
          </c:cat>
          <c:val>
            <c:numRef>
              <c:f>'PGA Graphs 2012-13'!$B$14:$M$14</c:f>
              <c:numCache>
                <c:formatCode>"$"#,##0.0_);\("$"#,##0.0\)</c:formatCode>
                <c:ptCount val="12"/>
                <c:pt idx="0">
                  <c:v>2.1383911983473967</c:v>
                </c:pt>
                <c:pt idx="1">
                  <c:v>1.2444255776995812</c:v>
                </c:pt>
                <c:pt idx="2">
                  <c:v>0.87195540999758092</c:v>
                </c:pt>
                <c:pt idx="3">
                  <c:v>1.6660490220255828</c:v>
                </c:pt>
                <c:pt idx="4">
                  <c:v>1.2966995405455823</c:v>
                </c:pt>
                <c:pt idx="5">
                  <c:v>1.1561449650525837</c:v>
                </c:pt>
                <c:pt idx="6">
                  <c:v>1.2996516898465837</c:v>
                </c:pt>
                <c:pt idx="7">
                  <c:v>1.5610150065365844</c:v>
                </c:pt>
                <c:pt idx="8">
                  <c:v>1.6482739833225839</c:v>
                </c:pt>
                <c:pt idx="9">
                  <c:v>1.8954571715485831</c:v>
                </c:pt>
                <c:pt idx="10">
                  <c:v>2.2528616869035827</c:v>
                </c:pt>
                <c:pt idx="11">
                  <c:v>2.7080381318555831</c:v>
                </c:pt>
              </c:numCache>
            </c:numRef>
          </c:val>
        </c:ser>
        <c:ser>
          <c:idx val="1"/>
          <c:order val="1"/>
          <c:tx>
            <c:strRef>
              <c:f>'PGA Graphs 2012-13'!$A$15</c:f>
              <c:strCache>
                <c:ptCount val="1"/>
                <c:pt idx="0">
                  <c:v>Demand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'PGA Graphs 2012-13'!$B$13:$M$13</c:f>
              <c:strCache>
                <c:ptCount val="12"/>
                <c:pt idx="0">
                  <c:v>O-12</c:v>
                </c:pt>
                <c:pt idx="1">
                  <c:v>N</c:v>
                </c:pt>
                <c:pt idx="2">
                  <c:v>D</c:v>
                </c:pt>
                <c:pt idx="3">
                  <c:v>J-13</c:v>
                </c:pt>
                <c:pt idx="4">
                  <c:v>F-13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</c:strCache>
            </c:strRef>
          </c:cat>
          <c:val>
            <c:numRef>
              <c:f>'PGA Graphs 2012-13'!$B$15:$M$15</c:f>
              <c:numCache>
                <c:formatCode>"$"#,##0.0_);\("$"#,##0.0\)</c:formatCode>
                <c:ptCount val="12"/>
                <c:pt idx="0">
                  <c:v>-0.82418407251353221</c:v>
                </c:pt>
                <c:pt idx="1">
                  <c:v>-0.80322416033553246</c:v>
                </c:pt>
                <c:pt idx="2">
                  <c:v>-0.39310178017253256</c:v>
                </c:pt>
                <c:pt idx="3">
                  <c:v>0.17129077183746722</c:v>
                </c:pt>
                <c:pt idx="4">
                  <c:v>0.35307272873146694</c:v>
                </c:pt>
                <c:pt idx="5">
                  <c:v>0.56382016840146643</c:v>
                </c:pt>
                <c:pt idx="6">
                  <c:v>0.53955121001146655</c:v>
                </c:pt>
                <c:pt idx="7">
                  <c:v>0.18205832733946647</c:v>
                </c:pt>
                <c:pt idx="8">
                  <c:v>-0.22184721294953361</c:v>
                </c:pt>
                <c:pt idx="9">
                  <c:v>-0.73848372468853407</c:v>
                </c:pt>
                <c:pt idx="10">
                  <c:v>-1.2085874236835343</c:v>
                </c:pt>
                <c:pt idx="11">
                  <c:v>-1.5854874293295345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"/>
        <c:overlap val="100"/>
        <c:axId val="115391624"/>
        <c:axId val="115384568"/>
      </c:barChart>
      <c:lineChart>
        <c:grouping val="standard"/>
        <c:varyColors val="0"/>
        <c:ser>
          <c:idx val="2"/>
          <c:order val="2"/>
          <c:tx>
            <c:strRef>
              <c:f>'PGA Graphs 2012-13'!$A$16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5349053683786077E-2"/>
                  <c:y val="-0.187001172861435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4956730203654163E-2"/>
                  <c:y val="-0.208577915432783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2147015427135108E-2"/>
                  <c:y val="-3.2365538601638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2147015427135108E-2"/>
                  <c:y val="-3.5961709557376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9337214398659406E-2"/>
                  <c:y val="-3.5961709557376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4956816455610824E-2"/>
                  <c:y val="-2.8769367645901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4.4956816455610824E-2"/>
                  <c:y val="-3.23655386016388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2147015427135108E-2"/>
                  <c:y val="-3.95578805131142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4.2147077332839927E-2"/>
                  <c:y val="-6.1134906247540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7766573430354023E-2"/>
                  <c:y val="-0.1186736415393425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4956730203654163E-2"/>
                  <c:y val="-0.165423863963931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8551220390617801E-2"/>
                  <c:y val="-0.215770257344258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&quot;$&quot;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'PGA Graphs 2012-13'!$B$13:$M$13</c:f>
              <c:strCache>
                <c:ptCount val="12"/>
                <c:pt idx="0">
                  <c:v>O-12</c:v>
                </c:pt>
                <c:pt idx="1">
                  <c:v>N</c:v>
                </c:pt>
                <c:pt idx="2">
                  <c:v>D</c:v>
                </c:pt>
                <c:pt idx="3">
                  <c:v>J-13</c:v>
                </c:pt>
                <c:pt idx="4">
                  <c:v>F-13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</c:strCache>
            </c:strRef>
          </c:cat>
          <c:val>
            <c:numRef>
              <c:f>'PGA Graphs 2012-13'!$B$16:$M$16</c:f>
              <c:numCache>
                <c:formatCode>"$"#,##0.0_);\("$"#,##0.0\)</c:formatCode>
                <c:ptCount val="12"/>
                <c:pt idx="0">
                  <c:v>1.3142071258338643</c:v>
                </c:pt>
                <c:pt idx="1">
                  <c:v>0.44120141736404872</c:v>
                </c:pt>
                <c:pt idx="2">
                  <c:v>0.47885362982504837</c:v>
                </c:pt>
                <c:pt idx="3">
                  <c:v>1.83733979386305</c:v>
                </c:pt>
                <c:pt idx="4">
                  <c:v>1.6497722692770493</c:v>
                </c:pt>
                <c:pt idx="5">
                  <c:v>1.7199651334540502</c:v>
                </c:pt>
                <c:pt idx="6">
                  <c:v>1.8392028998580503</c:v>
                </c:pt>
                <c:pt idx="7">
                  <c:v>1.7430733338760509</c:v>
                </c:pt>
                <c:pt idx="8">
                  <c:v>1.4264267703730502</c:v>
                </c:pt>
                <c:pt idx="9">
                  <c:v>1.156973446860049</c:v>
                </c:pt>
                <c:pt idx="10">
                  <c:v>1.0442742632200483</c:v>
                </c:pt>
                <c:pt idx="11">
                  <c:v>1.1225507025260486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391624"/>
        <c:axId val="115384568"/>
      </c:lineChart>
      <c:catAx>
        <c:axId val="115391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b="1"/>
            </a:pPr>
            <a:endParaRPr lang="en-US"/>
          </a:p>
        </c:txPr>
        <c:crossAx val="115384568"/>
        <c:crosses val="autoZero"/>
        <c:auto val="1"/>
        <c:lblAlgn val="ctr"/>
        <c:lblOffset val="0"/>
        <c:noMultiLvlLbl val="0"/>
      </c:catAx>
      <c:valAx>
        <c:axId val="115384568"/>
        <c:scaling>
          <c:orientation val="minMax"/>
          <c:max val="6"/>
          <c:min val="-2"/>
        </c:scaling>
        <c:delete val="1"/>
        <c:axPos val="l"/>
        <c:numFmt formatCode="&quot;$&quot;#,##0.0" sourceLinked="0"/>
        <c:majorTickMark val="out"/>
        <c:minorTickMark val="none"/>
        <c:tickLblPos val="none"/>
        <c:crossAx val="115391624"/>
        <c:crosses val="autoZero"/>
        <c:crossBetween val="between"/>
      </c:valAx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72024233065654875"/>
          <c:y val="7.180788858326155E-2"/>
          <c:w val="0.24347564720049344"/>
          <c:h val="0.10607798197610629"/>
        </c:manualLayout>
      </c:layout>
      <c:overlay val="0"/>
      <c:spPr>
        <a:solidFill>
          <a:schemeClr val="bg1"/>
        </a:solidFill>
        <a:ln w="25400">
          <a:solidFill>
            <a:sysClr val="windowText" lastClr="000000"/>
          </a:solidFill>
        </a:ln>
      </c:spPr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spPr>
    <a:ln w="31750">
      <a:solidFill>
        <a:sysClr val="windowText" lastClr="000000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WA PGA Commodity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'PGA Graphs 2013-14'!$A$8</c:f>
              <c:strCache>
                <c:ptCount val="1"/>
                <c:pt idx="0">
                  <c:v>PGA Rate</c:v>
                </c:pt>
              </c:strCache>
            </c:strRef>
          </c:tx>
          <c:marker>
            <c:symbol val="none"/>
          </c:marker>
          <c:cat>
            <c:strRef>
              <c:f>'PGA Graphs 2013-14'!$B$7:$N$7</c:f>
              <c:strCache>
                <c:ptCount val="13"/>
                <c:pt idx="0">
                  <c:v>O-13</c:v>
                </c:pt>
                <c:pt idx="1">
                  <c:v>N-13</c:v>
                </c:pt>
                <c:pt idx="2">
                  <c:v>D-13</c:v>
                </c:pt>
                <c:pt idx="3">
                  <c:v>J-14</c:v>
                </c:pt>
                <c:pt idx="4">
                  <c:v>F-14</c:v>
                </c:pt>
                <c:pt idx="5">
                  <c:v>M-14</c:v>
                </c:pt>
                <c:pt idx="6">
                  <c:v>A-14</c:v>
                </c:pt>
                <c:pt idx="7">
                  <c:v>M-14</c:v>
                </c:pt>
                <c:pt idx="8">
                  <c:v>J-14</c:v>
                </c:pt>
                <c:pt idx="9">
                  <c:v>J-14</c:v>
                </c:pt>
                <c:pt idx="10">
                  <c:v>A-14</c:v>
                </c:pt>
                <c:pt idx="11">
                  <c:v>S-14</c:v>
                </c:pt>
                <c:pt idx="12">
                  <c:v>O-14</c:v>
                </c:pt>
              </c:strCache>
            </c:strRef>
          </c:cat>
          <c:val>
            <c:numRef>
              <c:f>'PGA Graphs 2013-14'!$B$8:$N$8</c:f>
              <c:numCache>
                <c:formatCode>"$"#,##0.00_);\("$"#,##0.00\)</c:formatCode>
                <c:ptCount val="13"/>
                <c:pt idx="0">
                  <c:v>3.3051999999999997</c:v>
                </c:pt>
                <c:pt idx="1">
                  <c:v>3.6246661221178802</c:v>
                </c:pt>
                <c:pt idx="2">
                  <c:v>3.6234780920677898</c:v>
                </c:pt>
                <c:pt idx="3">
                  <c:v>2.1817000000000006</c:v>
                </c:pt>
                <c:pt idx="4">
                  <c:v>1.4844931785530684</c:v>
                </c:pt>
                <c:pt idx="5">
                  <c:v>2.3860000000000001</c:v>
                </c:pt>
                <c:pt idx="6">
                  <c:v>2.3860000000000001</c:v>
                </c:pt>
                <c:pt idx="7">
                  <c:v>2.3860000000000001</c:v>
                </c:pt>
                <c:pt idx="8">
                  <c:v>2.3860000000000001</c:v>
                </c:pt>
                <c:pt idx="9">
                  <c:v>2.3860000000000001</c:v>
                </c:pt>
                <c:pt idx="10">
                  <c:v>2.3860000000000001</c:v>
                </c:pt>
                <c:pt idx="11">
                  <c:v>2.3860000000000001</c:v>
                </c:pt>
                <c:pt idx="12">
                  <c:v>2.3860000000000001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'PGA Graphs 2013-14'!$A$9</c:f>
              <c:strCache>
                <c:ptCount val="1"/>
                <c:pt idx="0">
                  <c:v>PGA Budget</c:v>
                </c:pt>
              </c:strCache>
            </c:strRef>
          </c:tx>
          <c:marker>
            <c:symbol val="none"/>
          </c:marker>
          <c:val>
            <c:numRef>
              <c:f>'PGA Graphs 2013-14'!$B$9:$N$9</c:f>
              <c:numCache>
                <c:formatCode>"$"#,##0.00_);\("$"#,##0.00\)</c:formatCode>
                <c:ptCount val="13"/>
                <c:pt idx="0">
                  <c:v>3.5167999999999999</c:v>
                </c:pt>
                <c:pt idx="1">
                  <c:v>3.8812999999999995</c:v>
                </c:pt>
                <c:pt idx="2">
                  <c:v>3.6348000000000003</c:v>
                </c:pt>
                <c:pt idx="3">
                  <c:v>3.6143999999999998</c:v>
                </c:pt>
                <c:pt idx="4">
                  <c:v>3.6770000000000005</c:v>
                </c:pt>
                <c:pt idx="5">
                  <c:v>3.9145000000000003</c:v>
                </c:pt>
                <c:pt idx="6">
                  <c:v>3.3395999999999999</c:v>
                </c:pt>
                <c:pt idx="7">
                  <c:v>3.3895</c:v>
                </c:pt>
                <c:pt idx="8">
                  <c:v>3.3272000000000004</c:v>
                </c:pt>
                <c:pt idx="9">
                  <c:v>3.3701999999999996</c:v>
                </c:pt>
                <c:pt idx="10">
                  <c:v>3.3369</c:v>
                </c:pt>
                <c:pt idx="11">
                  <c:v>3.3742000000000001</c:v>
                </c:pt>
                <c:pt idx="12">
                  <c:v>3.5167999999999999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'PGA Graphs 2013-14'!$A$10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strRef>
              <c:f>'PGA Graphs 2013-14'!$B$7:$N$7</c:f>
              <c:strCache>
                <c:ptCount val="13"/>
                <c:pt idx="0">
                  <c:v>O-13</c:v>
                </c:pt>
                <c:pt idx="1">
                  <c:v>N-13</c:v>
                </c:pt>
                <c:pt idx="2">
                  <c:v>D-13</c:v>
                </c:pt>
                <c:pt idx="3">
                  <c:v>J-14</c:v>
                </c:pt>
                <c:pt idx="4">
                  <c:v>F-14</c:v>
                </c:pt>
                <c:pt idx="5">
                  <c:v>M-14</c:v>
                </c:pt>
                <c:pt idx="6">
                  <c:v>A-14</c:v>
                </c:pt>
                <c:pt idx="7">
                  <c:v>M-14</c:v>
                </c:pt>
                <c:pt idx="8">
                  <c:v>J-14</c:v>
                </c:pt>
                <c:pt idx="9">
                  <c:v>J-14</c:v>
                </c:pt>
                <c:pt idx="10">
                  <c:v>A-14</c:v>
                </c:pt>
                <c:pt idx="11">
                  <c:v>S-14</c:v>
                </c:pt>
                <c:pt idx="12">
                  <c:v>O-14</c:v>
                </c:pt>
              </c:strCache>
            </c:strRef>
          </c:cat>
          <c:val>
            <c:numRef>
              <c:f>'PGA Graphs 2013-14'!$B$10:$N$10</c:f>
              <c:numCache>
                <c:formatCode>"$"#,##0.00_);\("$"#,##0.00\)</c:formatCode>
                <c:ptCount val="13"/>
                <c:pt idx="0">
                  <c:v>2.7800856064110402</c:v>
                </c:pt>
                <c:pt idx="1">
                  <c:v>3.4540440792083</c:v>
                </c:pt>
                <c:pt idx="2">
                  <c:v>3.1876161555634601</c:v>
                </c:pt>
                <c:pt idx="3">
                  <c:v>1.9109764729943237</c:v>
                </c:pt>
                <c:pt idx="4">
                  <c:v>2.0607503649396444</c:v>
                </c:pt>
                <c:pt idx="5">
                  <c:v>2.0450092519691241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8010408"/>
        <c:axId val="448010016"/>
      </c:lineChart>
      <c:catAx>
        <c:axId val="448010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448010016"/>
        <c:crosses val="autoZero"/>
        <c:auto val="1"/>
        <c:lblAlgn val="ctr"/>
        <c:lblOffset val="100"/>
        <c:noMultiLvlLbl val="0"/>
      </c:catAx>
      <c:valAx>
        <c:axId val="448010016"/>
        <c:scaling>
          <c:orientation val="minMax"/>
        </c:scaling>
        <c:delete val="0"/>
        <c:axPos val="l"/>
        <c:majorGridlines/>
        <c:numFmt formatCode="&quot;$&quot;#,##0.00_);\(&quot;$&quot;#,##0.00\)" sourceLinked="1"/>
        <c:majorTickMark val="out"/>
        <c:minorTickMark val="none"/>
        <c:tickLblPos val="nextTo"/>
        <c:crossAx val="4480104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WA PGA Demand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'PGA Graphs 2013-14'!$A$11</c:f>
              <c:strCache>
                <c:ptCount val="1"/>
                <c:pt idx="0">
                  <c:v>PGA Rate</c:v>
                </c:pt>
              </c:strCache>
            </c:strRef>
          </c:tx>
          <c:marker>
            <c:symbol val="none"/>
          </c:marker>
          <c:cat>
            <c:strRef>
              <c:f>'PGA Graphs 2013-14'!$B$7:$N$7</c:f>
              <c:strCache>
                <c:ptCount val="13"/>
                <c:pt idx="0">
                  <c:v>O-13</c:v>
                </c:pt>
                <c:pt idx="1">
                  <c:v>N-13</c:v>
                </c:pt>
                <c:pt idx="2">
                  <c:v>D-13</c:v>
                </c:pt>
                <c:pt idx="3">
                  <c:v>J-14</c:v>
                </c:pt>
                <c:pt idx="4">
                  <c:v>F-14</c:v>
                </c:pt>
                <c:pt idx="5">
                  <c:v>M-14</c:v>
                </c:pt>
                <c:pt idx="6">
                  <c:v>A-14</c:v>
                </c:pt>
                <c:pt idx="7">
                  <c:v>M-14</c:v>
                </c:pt>
                <c:pt idx="8">
                  <c:v>J-14</c:v>
                </c:pt>
                <c:pt idx="9">
                  <c:v>J-14</c:v>
                </c:pt>
                <c:pt idx="10">
                  <c:v>A-14</c:v>
                </c:pt>
                <c:pt idx="11">
                  <c:v>S-14</c:v>
                </c:pt>
                <c:pt idx="12">
                  <c:v>O-14</c:v>
                </c:pt>
              </c:strCache>
            </c:strRef>
          </c:cat>
          <c:val>
            <c:numRef>
              <c:f>'PGA Graphs 2013-14'!$B$11:$N$11</c:f>
              <c:numCache>
                <c:formatCode>"$"#,##0.00_);\("$"#,##0.00\)</c:formatCode>
                <c:ptCount val="13"/>
                <c:pt idx="0">
                  <c:v>0.86508677222961405</c:v>
                </c:pt>
                <c:pt idx="1">
                  <c:v>0.98017103319810395</c:v>
                </c:pt>
                <c:pt idx="2">
                  <c:v>0.99766447491792298</c:v>
                </c:pt>
                <c:pt idx="3">
                  <c:v>0.9341470198777293</c:v>
                </c:pt>
                <c:pt idx="4">
                  <c:v>0.98246968830434289</c:v>
                </c:pt>
                <c:pt idx="5">
                  <c:v>1.0652826254433267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'PGA Graphs 2013-14'!$A$12</c:f>
              <c:strCache>
                <c:ptCount val="1"/>
                <c:pt idx="0">
                  <c:v>PGA Budget</c:v>
                </c:pt>
              </c:strCache>
            </c:strRef>
          </c:tx>
          <c:marker>
            <c:symbol val="none"/>
          </c:marker>
          <c:val>
            <c:numRef>
              <c:f>'PGA Graphs 2013-14'!$B$12:$N$12</c:f>
              <c:numCache>
                <c:formatCode>"$"#,##0.00_);\("$"#,##0.00\)</c:formatCode>
                <c:ptCount val="13"/>
                <c:pt idx="0">
                  <c:v>1.4529330378220591</c:v>
                </c:pt>
                <c:pt idx="1">
                  <c:v>0.79431349782690841</c:v>
                </c:pt>
                <c:pt idx="2">
                  <c:v>0.60296290558547094</c:v>
                </c:pt>
                <c:pt idx="3">
                  <c:v>0.60895264158951812</c:v>
                </c:pt>
                <c:pt idx="4">
                  <c:v>0.60656225946654285</c:v>
                </c:pt>
                <c:pt idx="5">
                  <c:v>0.87532504655494603</c:v>
                </c:pt>
                <c:pt idx="6">
                  <c:v>1.1232232940560019</c:v>
                </c:pt>
                <c:pt idx="7">
                  <c:v>2.0020366178222502</c:v>
                </c:pt>
                <c:pt idx="8">
                  <c:v>2.9050208439006555</c:v>
                </c:pt>
                <c:pt idx="9">
                  <c:v>3.9176133126746118</c:v>
                </c:pt>
                <c:pt idx="10">
                  <c:v>3.8752231593583324</c:v>
                </c:pt>
                <c:pt idx="11">
                  <c:v>3.4387986026867114</c:v>
                </c:pt>
                <c:pt idx="12">
                  <c:v>1.4529330378220591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'PGA Graphs 2013-14'!$A$13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strRef>
              <c:f>'PGA Graphs 2013-14'!$B$7:$N$7</c:f>
              <c:strCache>
                <c:ptCount val="13"/>
                <c:pt idx="0">
                  <c:v>O-13</c:v>
                </c:pt>
                <c:pt idx="1">
                  <c:v>N-13</c:v>
                </c:pt>
                <c:pt idx="2">
                  <c:v>D-13</c:v>
                </c:pt>
                <c:pt idx="3">
                  <c:v>J-14</c:v>
                </c:pt>
                <c:pt idx="4">
                  <c:v>F-14</c:v>
                </c:pt>
                <c:pt idx="5">
                  <c:v>M-14</c:v>
                </c:pt>
                <c:pt idx="6">
                  <c:v>A-14</c:v>
                </c:pt>
                <c:pt idx="7">
                  <c:v>M-14</c:v>
                </c:pt>
                <c:pt idx="8">
                  <c:v>J-14</c:v>
                </c:pt>
                <c:pt idx="9">
                  <c:v>J-14</c:v>
                </c:pt>
                <c:pt idx="10">
                  <c:v>A-14</c:v>
                </c:pt>
                <c:pt idx="11">
                  <c:v>S-14</c:v>
                </c:pt>
                <c:pt idx="12">
                  <c:v>O-14</c:v>
                </c:pt>
              </c:strCache>
            </c:strRef>
          </c:cat>
          <c:val>
            <c:numRef>
              <c:f>'PGA Graphs 2013-14'!$B$13:$N$13</c:f>
              <c:numCache>
                <c:formatCode>"$"#,##0.00_);\("$"#,##0.00\)</c:formatCode>
                <c:ptCount val="13"/>
                <c:pt idx="0">
                  <c:v>1.02504522593617</c:v>
                </c:pt>
                <c:pt idx="1">
                  <c:v>0.65827334268652904</c:v>
                </c:pt>
                <c:pt idx="2">
                  <c:v>0.51365176254981604</c:v>
                </c:pt>
                <c:pt idx="3">
                  <c:v>0.50045120250443931</c:v>
                </c:pt>
                <c:pt idx="4">
                  <c:v>0.47829937322915161</c:v>
                </c:pt>
                <c:pt idx="5">
                  <c:v>0.68040260585030921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8011192"/>
        <c:axId val="448005704"/>
      </c:lineChart>
      <c:catAx>
        <c:axId val="4480111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448005704"/>
        <c:crosses val="autoZero"/>
        <c:auto val="1"/>
        <c:lblAlgn val="ctr"/>
        <c:lblOffset val="100"/>
        <c:noMultiLvlLbl val="0"/>
      </c:catAx>
      <c:valAx>
        <c:axId val="448005704"/>
        <c:scaling>
          <c:orientation val="minMax"/>
        </c:scaling>
        <c:delete val="0"/>
        <c:axPos val="l"/>
        <c:majorGridlines/>
        <c:numFmt formatCode="&quot;$&quot;#,##0.00_);\(&quot;$&quot;#,##0.00\)" sourceLinked="1"/>
        <c:majorTickMark val="out"/>
        <c:minorTickMark val="none"/>
        <c:tickLblPos val="nextTo"/>
        <c:crossAx val="4480111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ID PGA Demand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'PGA Graphs 2013-14'!$A$20</c:f>
              <c:strCache>
                <c:ptCount val="1"/>
                <c:pt idx="0">
                  <c:v>PGA Rate</c:v>
                </c:pt>
              </c:strCache>
            </c:strRef>
          </c:tx>
          <c:marker>
            <c:symbol val="none"/>
          </c:marker>
          <c:cat>
            <c:strRef>
              <c:f>'PGA Graphs 2013-14'!$B$7:$N$7</c:f>
              <c:strCache>
                <c:ptCount val="13"/>
                <c:pt idx="0">
                  <c:v>O-13</c:v>
                </c:pt>
                <c:pt idx="1">
                  <c:v>N-13</c:v>
                </c:pt>
                <c:pt idx="2">
                  <c:v>D-13</c:v>
                </c:pt>
                <c:pt idx="3">
                  <c:v>J-14</c:v>
                </c:pt>
                <c:pt idx="4">
                  <c:v>F-14</c:v>
                </c:pt>
                <c:pt idx="5">
                  <c:v>M-14</c:v>
                </c:pt>
                <c:pt idx="6">
                  <c:v>A-14</c:v>
                </c:pt>
                <c:pt idx="7">
                  <c:v>M-14</c:v>
                </c:pt>
                <c:pt idx="8">
                  <c:v>J-14</c:v>
                </c:pt>
                <c:pt idx="9">
                  <c:v>J-14</c:v>
                </c:pt>
                <c:pt idx="10">
                  <c:v>A-14</c:v>
                </c:pt>
                <c:pt idx="11">
                  <c:v>S-14</c:v>
                </c:pt>
                <c:pt idx="12">
                  <c:v>O-14</c:v>
                </c:pt>
              </c:strCache>
            </c:strRef>
          </c:cat>
          <c:val>
            <c:numRef>
              <c:f>'PGA Graphs 2013-14'!$B$20:$N$20</c:f>
              <c:numCache>
                <c:formatCode>"$"#,##0.00_);\("$"#,##0.00\)</c:formatCode>
                <c:ptCount val="13"/>
                <c:pt idx="0">
                  <c:v>1.0742522128918399</c:v>
                </c:pt>
                <c:pt idx="1">
                  <c:v>1.0741263842636799</c:v>
                </c:pt>
                <c:pt idx="2">
                  <c:v>1.0744</c:v>
                </c:pt>
                <c:pt idx="3">
                  <c:v>1.0496999999999999</c:v>
                </c:pt>
                <c:pt idx="4">
                  <c:v>1.1157640072436985</c:v>
                </c:pt>
                <c:pt idx="5">
                  <c:v>1.1331</c:v>
                </c:pt>
                <c:pt idx="6">
                  <c:v>1.1331</c:v>
                </c:pt>
                <c:pt idx="7">
                  <c:v>1.1331</c:v>
                </c:pt>
                <c:pt idx="8">
                  <c:v>1.1331</c:v>
                </c:pt>
                <c:pt idx="9">
                  <c:v>1.1330999999999998</c:v>
                </c:pt>
                <c:pt idx="10">
                  <c:v>1.1330999999999998</c:v>
                </c:pt>
                <c:pt idx="11">
                  <c:v>1.1331</c:v>
                </c:pt>
                <c:pt idx="12">
                  <c:v>1.1330999999999998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'PGA Graphs 2013-14'!$A$21</c:f>
              <c:strCache>
                <c:ptCount val="1"/>
                <c:pt idx="0">
                  <c:v>PGA Budget</c:v>
                </c:pt>
              </c:strCache>
            </c:strRef>
          </c:tx>
          <c:marker>
            <c:symbol val="none"/>
          </c:marker>
          <c:val>
            <c:numRef>
              <c:f>'PGA Graphs 2013-14'!$B$21:$N$21</c:f>
              <c:numCache>
                <c:formatCode>"$"#,##0.00_);\("$"#,##0.00\)</c:formatCode>
                <c:ptCount val="13"/>
                <c:pt idx="0">
                  <c:v>1.2942886206113142</c:v>
                </c:pt>
                <c:pt idx="1">
                  <c:v>0.74518730633512642</c:v>
                </c:pt>
                <c:pt idx="2">
                  <c:v>0.58083452630008092</c:v>
                </c:pt>
                <c:pt idx="3">
                  <c:v>0.60843027300764696</c:v>
                </c:pt>
                <c:pt idx="4">
                  <c:v>0.68505702536755764</c:v>
                </c:pt>
                <c:pt idx="5">
                  <c:v>0.81792088296424315</c:v>
                </c:pt>
                <c:pt idx="6">
                  <c:v>1.0438035301560928</c:v>
                </c:pt>
                <c:pt idx="7">
                  <c:v>1.8765356717896455</c:v>
                </c:pt>
                <c:pt idx="8">
                  <c:v>2.5204558648798452</c:v>
                </c:pt>
                <c:pt idx="9">
                  <c:v>3.0722913458699082</c:v>
                </c:pt>
                <c:pt idx="10">
                  <c:v>3.0936566161461703</c:v>
                </c:pt>
                <c:pt idx="11">
                  <c:v>2.484887676291045</c:v>
                </c:pt>
                <c:pt idx="12">
                  <c:v>1.1747692347018237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'PGA Graphs 2013-14'!$A$22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numRef>
              <c:f>'PGA Graphs 2013-14'!$B$15:$N$15</c:f>
              <c:numCache>
                <c:formatCode>#,##0.00_);\(#,##0.00\)</c:formatCode>
                <c:ptCount val="13"/>
              </c:numCache>
            </c:numRef>
          </c:cat>
          <c:val>
            <c:numRef>
              <c:f>'PGA Graphs 2013-14'!$B$22:$N$22</c:f>
              <c:numCache>
                <c:formatCode>"$"#,##0.00_);\("$"#,##0.00\)</c:formatCode>
                <c:ptCount val="13"/>
                <c:pt idx="0">
                  <c:v>1.2115295970631399</c:v>
                </c:pt>
                <c:pt idx="1">
                  <c:v>0.708429666562987</c:v>
                </c:pt>
                <c:pt idx="2">
                  <c:v>0.54697005486642902</c:v>
                </c:pt>
                <c:pt idx="3">
                  <c:v>0.60168243200814919</c:v>
                </c:pt>
                <c:pt idx="4">
                  <c:v>0.51321777211373421</c:v>
                </c:pt>
                <c:pt idx="5">
                  <c:v>0.70672190201602447</c:v>
                </c:pt>
                <c:pt idx="6">
                  <c:v>0.94543211512380787</c:v>
                </c:pt>
                <c:pt idx="7">
                  <c:v>1.6512951599992522</c:v>
                </c:pt>
                <c:pt idx="8">
                  <c:v>2.4665077540659297</c:v>
                </c:pt>
                <c:pt idx="9">
                  <c:v>3.2134641912453965</c:v>
                </c:pt>
                <c:pt idx="10">
                  <c:v>2.6987053733376323</c:v>
                </c:pt>
                <c:pt idx="11">
                  <c:v>2.5919797704657084</c:v>
                </c:pt>
                <c:pt idx="12">
                  <c:v>0.98481662794712244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8004528"/>
        <c:axId val="448005312"/>
      </c:lineChart>
      <c:catAx>
        <c:axId val="448004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448005312"/>
        <c:crosses val="autoZero"/>
        <c:auto val="1"/>
        <c:lblAlgn val="ctr"/>
        <c:lblOffset val="100"/>
        <c:noMultiLvlLbl val="0"/>
      </c:catAx>
      <c:valAx>
        <c:axId val="448005312"/>
        <c:scaling>
          <c:orientation val="minMax"/>
        </c:scaling>
        <c:delete val="0"/>
        <c:axPos val="l"/>
        <c:majorGridlines/>
        <c:numFmt formatCode="&quot;$&quot;#,##0.00_);\(&quot;$&quot;#,##0.00\)" sourceLinked="1"/>
        <c:majorTickMark val="out"/>
        <c:minorTickMark val="none"/>
        <c:tickLblPos val="nextTo"/>
        <c:crossAx val="4480045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ID</a:t>
            </a:r>
            <a:r>
              <a:rPr lang="en-US" baseline="0"/>
              <a:t> PGA Commodity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'PGA Graphs 2013-14'!$A$17</c:f>
              <c:strCache>
                <c:ptCount val="1"/>
                <c:pt idx="0">
                  <c:v>PGA Rate</c:v>
                </c:pt>
              </c:strCache>
            </c:strRef>
          </c:tx>
          <c:marker>
            <c:symbol val="none"/>
          </c:marker>
          <c:cat>
            <c:strRef>
              <c:f>'PGA Graphs 2013-14'!$B$7:$N$7</c:f>
              <c:strCache>
                <c:ptCount val="13"/>
                <c:pt idx="0">
                  <c:v>O-13</c:v>
                </c:pt>
                <c:pt idx="1">
                  <c:v>N-13</c:v>
                </c:pt>
                <c:pt idx="2">
                  <c:v>D-13</c:v>
                </c:pt>
                <c:pt idx="3">
                  <c:v>J-14</c:v>
                </c:pt>
                <c:pt idx="4">
                  <c:v>F-14</c:v>
                </c:pt>
                <c:pt idx="5">
                  <c:v>M-14</c:v>
                </c:pt>
                <c:pt idx="6">
                  <c:v>A-14</c:v>
                </c:pt>
                <c:pt idx="7">
                  <c:v>M-14</c:v>
                </c:pt>
                <c:pt idx="8">
                  <c:v>J-14</c:v>
                </c:pt>
                <c:pt idx="9">
                  <c:v>J-14</c:v>
                </c:pt>
                <c:pt idx="10">
                  <c:v>A-14</c:v>
                </c:pt>
                <c:pt idx="11">
                  <c:v>S-14</c:v>
                </c:pt>
                <c:pt idx="12">
                  <c:v>O-14</c:v>
                </c:pt>
              </c:strCache>
            </c:strRef>
          </c:cat>
          <c:val>
            <c:numRef>
              <c:f>'PGA Graphs 2013-14'!$B$17:$N$17</c:f>
              <c:numCache>
                <c:formatCode>"$"#,##0.00_);\("$"#,##0.00\)</c:formatCode>
                <c:ptCount val="13"/>
                <c:pt idx="0">
                  <c:v>3.7138086914005299</c:v>
                </c:pt>
                <c:pt idx="1">
                  <c:v>3.71000032320786</c:v>
                </c:pt>
                <c:pt idx="2">
                  <c:v>3.7124000000000001</c:v>
                </c:pt>
                <c:pt idx="3">
                  <c:v>2.1724999999999999</c:v>
                </c:pt>
                <c:pt idx="4">
                  <c:v>1.4722145172786092</c:v>
                </c:pt>
                <c:pt idx="5">
                  <c:v>2.3894999999999995</c:v>
                </c:pt>
                <c:pt idx="6">
                  <c:v>2.3894999999999995</c:v>
                </c:pt>
                <c:pt idx="7">
                  <c:v>2.3895</c:v>
                </c:pt>
                <c:pt idx="8">
                  <c:v>2.3895</c:v>
                </c:pt>
                <c:pt idx="9">
                  <c:v>2.3895</c:v>
                </c:pt>
                <c:pt idx="10">
                  <c:v>2.3895000000000004</c:v>
                </c:pt>
                <c:pt idx="11">
                  <c:v>2.3894999999999995</c:v>
                </c:pt>
                <c:pt idx="12">
                  <c:v>2.3895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'PGA Graphs 2013-14'!$A$18</c:f>
              <c:strCache>
                <c:ptCount val="1"/>
                <c:pt idx="0">
                  <c:v>PGA Budget</c:v>
                </c:pt>
              </c:strCache>
            </c:strRef>
          </c:tx>
          <c:marker>
            <c:symbol val="none"/>
          </c:marker>
          <c:val>
            <c:numRef>
              <c:f>'PGA Graphs 2013-14'!$B$18:$N$18</c:f>
              <c:numCache>
                <c:formatCode>"$"#,##0.00_);\("$"#,##0.00\)</c:formatCode>
                <c:ptCount val="13"/>
                <c:pt idx="0">
                  <c:v>2.9957000000000003</c:v>
                </c:pt>
                <c:pt idx="1">
                  <c:v>3.9822000000000002</c:v>
                </c:pt>
                <c:pt idx="2">
                  <c:v>3.8203999999999998</c:v>
                </c:pt>
                <c:pt idx="3">
                  <c:v>3.7982</c:v>
                </c:pt>
                <c:pt idx="4">
                  <c:v>3.8423000000000003</c:v>
                </c:pt>
                <c:pt idx="5">
                  <c:v>4.0292000000000003</c:v>
                </c:pt>
                <c:pt idx="6">
                  <c:v>3.4569000000000001</c:v>
                </c:pt>
                <c:pt idx="7">
                  <c:v>3.5224000000000002</c:v>
                </c:pt>
                <c:pt idx="8">
                  <c:v>3.4592000000000001</c:v>
                </c:pt>
                <c:pt idx="9">
                  <c:v>3.4888000000000003</c:v>
                </c:pt>
                <c:pt idx="10">
                  <c:v>3.4600999999999997</c:v>
                </c:pt>
                <c:pt idx="11">
                  <c:v>3.4959000000000002</c:v>
                </c:pt>
                <c:pt idx="12">
                  <c:v>3.6281000000000003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'PGA Graphs 2013-14'!$A$19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strRef>
              <c:f>'PGA Graphs 2013-14'!$B$7:$N$7</c:f>
              <c:strCache>
                <c:ptCount val="13"/>
                <c:pt idx="0">
                  <c:v>O-13</c:v>
                </c:pt>
                <c:pt idx="1">
                  <c:v>N-13</c:v>
                </c:pt>
                <c:pt idx="2">
                  <c:v>D-13</c:v>
                </c:pt>
                <c:pt idx="3">
                  <c:v>J-14</c:v>
                </c:pt>
                <c:pt idx="4">
                  <c:v>F-14</c:v>
                </c:pt>
                <c:pt idx="5">
                  <c:v>M-14</c:v>
                </c:pt>
                <c:pt idx="6">
                  <c:v>A-14</c:v>
                </c:pt>
                <c:pt idx="7">
                  <c:v>M-14</c:v>
                </c:pt>
                <c:pt idx="8">
                  <c:v>J-14</c:v>
                </c:pt>
                <c:pt idx="9">
                  <c:v>J-14</c:v>
                </c:pt>
                <c:pt idx="10">
                  <c:v>A-14</c:v>
                </c:pt>
                <c:pt idx="11">
                  <c:v>S-14</c:v>
                </c:pt>
                <c:pt idx="12">
                  <c:v>O-14</c:v>
                </c:pt>
              </c:strCache>
            </c:strRef>
          </c:cat>
          <c:val>
            <c:numRef>
              <c:f>'PGA Graphs 2013-14'!$B$19:$N$19</c:f>
              <c:numCache>
                <c:formatCode>"$"#,##0.00_);\("$"#,##0.00\)</c:formatCode>
                <c:ptCount val="13"/>
                <c:pt idx="0">
                  <c:v>2.76346512007138</c:v>
                </c:pt>
                <c:pt idx="1">
                  <c:v>3.4542924833702302</c:v>
                </c:pt>
                <c:pt idx="2">
                  <c:v>3.1868860970503601</c:v>
                </c:pt>
                <c:pt idx="3">
                  <c:v>1.9124975010616809</c:v>
                </c:pt>
                <c:pt idx="4">
                  <c:v>2.0592958211022916</c:v>
                </c:pt>
                <c:pt idx="5">
                  <c:v>2.0458022474092501</c:v>
                </c:pt>
                <c:pt idx="6">
                  <c:v>1.735039179986686</c:v>
                </c:pt>
                <c:pt idx="7">
                  <c:v>1.7712163855477994</c:v>
                </c:pt>
                <c:pt idx="8">
                  <c:v>1.1465765309900064</c:v>
                </c:pt>
                <c:pt idx="9">
                  <c:v>-3.2934037840054495</c:v>
                </c:pt>
                <c:pt idx="10">
                  <c:v>-3.0441734094790673</c:v>
                </c:pt>
                <c:pt idx="11">
                  <c:v>-2.4130847903889947</c:v>
                </c:pt>
                <c:pt idx="12">
                  <c:v>8.7637639244904142E-2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8006880"/>
        <c:axId val="448007272"/>
      </c:lineChart>
      <c:catAx>
        <c:axId val="4480068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448007272"/>
        <c:crosses val="autoZero"/>
        <c:auto val="1"/>
        <c:lblAlgn val="ctr"/>
        <c:lblOffset val="100"/>
        <c:noMultiLvlLbl val="0"/>
      </c:catAx>
      <c:valAx>
        <c:axId val="448007272"/>
        <c:scaling>
          <c:orientation val="minMax"/>
        </c:scaling>
        <c:delete val="0"/>
        <c:axPos val="l"/>
        <c:majorGridlines/>
        <c:numFmt formatCode="&quot;$&quot;#,##0.00_);\(&quot;$&quot;#,##0.00\)" sourceLinked="1"/>
        <c:majorTickMark val="out"/>
        <c:minorTickMark val="none"/>
        <c:tickLblPos val="nextTo"/>
        <c:crossAx val="4480068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542924</xdr:colOff>
      <xdr:row>16</xdr:row>
      <xdr:rowOff>104774</xdr:rowOff>
    </xdr:from>
    <xdr:to>
      <xdr:col>10</xdr:col>
      <xdr:colOff>514349</xdr:colOff>
      <xdr:row>63</xdr:row>
      <xdr:rowOff>85724</xdr:rowOff>
    </xdr:to>
    <xdr:sp macro="" textlink="">
      <xdr:nvSpPr>
        <xdr:cNvPr id="2" name="Rounded Rectangle 1"/>
        <xdr:cNvSpPr/>
      </xdr:nvSpPr>
      <xdr:spPr bwMode="auto">
        <a:xfrm>
          <a:off x="1790699" y="2962274"/>
          <a:ext cx="5543550" cy="7553325"/>
        </a:xfrm>
        <a:prstGeom prst="roundRect">
          <a:avLst>
            <a:gd name="adj" fmla="val 4192"/>
          </a:avLst>
        </a:prstGeom>
        <a:solidFill>
          <a:schemeClr val="bg1">
            <a:lumMod val="75000"/>
          </a:schemeClr>
        </a:solidFill>
        <a:ln w="444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47625</xdr:colOff>
      <xdr:row>17</xdr:row>
      <xdr:rowOff>76200</xdr:rowOff>
    </xdr:from>
    <xdr:to>
      <xdr:col>10</xdr:col>
      <xdr:colOff>347943</xdr:colOff>
      <xdr:row>39</xdr:row>
      <xdr:rowOff>45384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76200</xdr:colOff>
      <xdr:row>40</xdr:row>
      <xdr:rowOff>47625</xdr:rowOff>
    </xdr:from>
    <xdr:to>
      <xdr:col>10</xdr:col>
      <xdr:colOff>376518</xdr:colOff>
      <xdr:row>62</xdr:row>
      <xdr:rowOff>54909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0.92496</cdr:x>
      <cdr:y>0.09979</cdr:y>
    </cdr:from>
    <cdr:to>
      <cdr:x>0.99637</cdr:x>
      <cdr:y>0.94992</cdr:y>
    </cdr:to>
    <cdr:grpSp>
      <cdr:nvGrpSpPr>
        <cdr:cNvPr id="2" name="Group 1"/>
        <cdr:cNvGrpSpPr/>
      </cdr:nvGrpSpPr>
      <cdr:grpSpPr>
        <a:xfrm xmlns:a="http://schemas.openxmlformats.org/drawingml/2006/main">
          <a:off x="5102495" y="340085"/>
          <a:ext cx="393929" cy="2897250"/>
          <a:chOff x="0" y="-22224"/>
          <a:chExt cx="216754" cy="1954945"/>
        </a:xfrm>
        <a:solidFill xmlns:a="http://schemas.openxmlformats.org/drawingml/2006/main">
          <a:sysClr val="window" lastClr="FFFFFF">
            <a:lumMod val="85000"/>
          </a:sysClr>
        </a:solidFill>
      </cdr:grpSpPr>
      <cdr:sp macro="" textlink="">
        <cdr:nvSpPr>
          <cdr:cNvPr id="3" name="Down Arrow 2"/>
          <cdr:cNvSpPr/>
        </cdr:nvSpPr>
        <cdr:spPr>
          <a:xfrm xmlns:a="http://schemas.openxmlformats.org/drawingml/2006/main" flipV="1">
            <a:off x="0" y="-22224"/>
            <a:ext cx="216754" cy="1123941"/>
          </a:xfrm>
          <a:prstGeom xmlns:a="http://schemas.openxmlformats.org/drawingml/2006/main" prst="downArrow">
            <a:avLst/>
          </a:prstGeom>
          <a:grpFill xmlns:a="http://schemas.openxmlformats.org/drawingml/2006/main"/>
          <a:ln xmlns:a="http://schemas.openxmlformats.org/drawingml/2006/main" w="25400" cap="flat" cmpd="sng" algn="ctr">
            <a:solidFill>
              <a:sysClr val="windowText" lastClr="000000"/>
            </a:solidFill>
            <a:prstDash val="solid"/>
          </a:ln>
          <a:effectLst xmlns:a="http://schemas.openxmlformats.org/drawingml/2006/main"/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="vert" wrap="square" rtlCol="0" anchor="ctr"/>
          <a:lstStyle xmlns:a="http://schemas.openxmlformats.org/drawingml/2006/main">
            <a:lvl1pPr marL="0" indent="0">
              <a:defRPr sz="1100">
                <a:solidFill>
                  <a:sysClr val="window" lastClr="FFFFFF"/>
                </a:solidFill>
                <a:latin typeface="Calibri"/>
              </a:defRPr>
            </a:lvl1pPr>
            <a:lvl2pPr marL="457200" indent="0">
              <a:defRPr sz="1100">
                <a:solidFill>
                  <a:sysClr val="window" lastClr="FFFFFF"/>
                </a:solidFill>
                <a:latin typeface="Calibri"/>
              </a:defRPr>
            </a:lvl2pPr>
            <a:lvl3pPr marL="914400" indent="0">
              <a:defRPr sz="1100">
                <a:solidFill>
                  <a:sysClr val="window" lastClr="FFFFFF"/>
                </a:solidFill>
                <a:latin typeface="Calibri"/>
              </a:defRPr>
            </a:lvl3pPr>
            <a:lvl4pPr marL="1371600" indent="0">
              <a:defRPr sz="1100">
                <a:solidFill>
                  <a:sysClr val="window" lastClr="FFFFFF"/>
                </a:solidFill>
                <a:latin typeface="Calibri"/>
              </a:defRPr>
            </a:lvl4pPr>
            <a:lvl5pPr marL="1828800" indent="0">
              <a:defRPr sz="1100">
                <a:solidFill>
                  <a:sysClr val="window" lastClr="FFFFFF"/>
                </a:solidFill>
                <a:latin typeface="Calibri"/>
              </a:defRPr>
            </a:lvl5pPr>
            <a:lvl6pPr marL="2286000" indent="0">
              <a:defRPr sz="1100">
                <a:solidFill>
                  <a:sysClr val="window" lastClr="FFFFFF"/>
                </a:solidFill>
                <a:latin typeface="Calibri"/>
              </a:defRPr>
            </a:lvl6pPr>
            <a:lvl7pPr marL="2743200" indent="0">
              <a:defRPr sz="1100">
                <a:solidFill>
                  <a:sysClr val="window" lastClr="FFFFFF"/>
                </a:solidFill>
                <a:latin typeface="Calibri"/>
              </a:defRPr>
            </a:lvl7pPr>
            <a:lvl8pPr marL="3200400" indent="0">
              <a:defRPr sz="1100">
                <a:solidFill>
                  <a:sysClr val="window" lastClr="FFFFFF"/>
                </a:solidFill>
                <a:latin typeface="Calibri"/>
              </a:defRPr>
            </a:lvl8pPr>
            <a:lvl9pPr marL="3657600" indent="0">
              <a:defRPr sz="1100">
                <a:solidFill>
                  <a:sysClr val="window" lastClr="FFFFFF"/>
                </a:solidFill>
                <a:latin typeface="Calibri"/>
              </a:defRPr>
            </a:lvl9pPr>
          </a:lstStyle>
          <a:p xmlns:a="http://schemas.openxmlformats.org/drawingml/2006/main">
            <a:pPr algn="ctr"/>
            <a:r>
              <a:rPr lang="en-US" sz="1000" b="1">
                <a:solidFill>
                  <a:sysClr val="windowText" lastClr="000000"/>
                </a:solidFill>
              </a:rPr>
              <a:t>Rebate</a:t>
            </a:r>
          </a:p>
        </cdr:txBody>
      </cdr:sp>
      <cdr:sp macro="" textlink="">
        <cdr:nvSpPr>
          <cdr:cNvPr id="4" name="Down Arrow 3"/>
          <cdr:cNvSpPr/>
        </cdr:nvSpPr>
        <cdr:spPr>
          <a:xfrm xmlns:a="http://schemas.openxmlformats.org/drawingml/2006/main">
            <a:off x="0" y="1099132"/>
            <a:ext cx="216754" cy="833589"/>
          </a:xfrm>
          <a:prstGeom xmlns:a="http://schemas.openxmlformats.org/drawingml/2006/main" prst="downArrow">
            <a:avLst/>
          </a:prstGeom>
          <a:grpFill xmlns:a="http://schemas.openxmlformats.org/drawingml/2006/main"/>
          <a:ln xmlns:a="http://schemas.openxmlformats.org/drawingml/2006/main" w="25400" cap="flat" cmpd="sng" algn="ctr">
            <a:solidFill>
              <a:sysClr val="windowText" lastClr="000000"/>
            </a:solidFill>
            <a:prstDash val="solid"/>
          </a:ln>
          <a:effectLst xmlns:a="http://schemas.openxmlformats.org/drawingml/2006/main"/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="vert270" wrap="square" rtlCol="0" anchor="ctr"/>
          <a:lstStyle xmlns:a="http://schemas.openxmlformats.org/drawingml/2006/main">
            <a:lvl1pPr marL="0" indent="0">
              <a:defRPr sz="1100">
                <a:solidFill>
                  <a:sysClr val="window" lastClr="FFFFFF"/>
                </a:solidFill>
                <a:latin typeface="Calibri"/>
              </a:defRPr>
            </a:lvl1pPr>
            <a:lvl2pPr marL="457200" indent="0">
              <a:defRPr sz="1100">
                <a:solidFill>
                  <a:sysClr val="window" lastClr="FFFFFF"/>
                </a:solidFill>
                <a:latin typeface="Calibri"/>
              </a:defRPr>
            </a:lvl2pPr>
            <a:lvl3pPr marL="914400" indent="0">
              <a:defRPr sz="1100">
                <a:solidFill>
                  <a:sysClr val="window" lastClr="FFFFFF"/>
                </a:solidFill>
                <a:latin typeface="Calibri"/>
              </a:defRPr>
            </a:lvl3pPr>
            <a:lvl4pPr marL="1371600" indent="0">
              <a:defRPr sz="1100">
                <a:solidFill>
                  <a:sysClr val="window" lastClr="FFFFFF"/>
                </a:solidFill>
                <a:latin typeface="Calibri"/>
              </a:defRPr>
            </a:lvl4pPr>
            <a:lvl5pPr marL="1828800" indent="0">
              <a:defRPr sz="1100">
                <a:solidFill>
                  <a:sysClr val="window" lastClr="FFFFFF"/>
                </a:solidFill>
                <a:latin typeface="Calibri"/>
              </a:defRPr>
            </a:lvl5pPr>
            <a:lvl6pPr marL="2286000" indent="0">
              <a:defRPr sz="1100">
                <a:solidFill>
                  <a:sysClr val="window" lastClr="FFFFFF"/>
                </a:solidFill>
                <a:latin typeface="Calibri"/>
              </a:defRPr>
            </a:lvl6pPr>
            <a:lvl7pPr marL="2743200" indent="0">
              <a:defRPr sz="1100">
                <a:solidFill>
                  <a:sysClr val="window" lastClr="FFFFFF"/>
                </a:solidFill>
                <a:latin typeface="Calibri"/>
              </a:defRPr>
            </a:lvl7pPr>
            <a:lvl8pPr marL="3200400" indent="0">
              <a:defRPr sz="1100">
                <a:solidFill>
                  <a:sysClr val="window" lastClr="FFFFFF"/>
                </a:solidFill>
                <a:latin typeface="Calibri"/>
              </a:defRPr>
            </a:lvl8pPr>
            <a:lvl9pPr marL="3657600" indent="0">
              <a:defRPr sz="1100">
                <a:solidFill>
                  <a:sysClr val="window" lastClr="FFFFFF"/>
                </a:solidFill>
                <a:latin typeface="Calibri"/>
              </a:defRPr>
            </a:lvl9pPr>
          </a:lstStyle>
          <a:p xmlns:a="http://schemas.openxmlformats.org/drawingml/2006/main">
            <a:pPr algn="ctr"/>
            <a:r>
              <a:rPr lang="en-US" sz="1000" b="1">
                <a:solidFill>
                  <a:sysClr val="windowText" lastClr="000000"/>
                </a:solidFill>
              </a:rPr>
              <a:t>Surcharge</a:t>
            </a:r>
          </a:p>
        </cdr:txBody>
      </cdr:sp>
    </cdr:grp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0.92859</cdr:x>
      <cdr:y>0.35221</cdr:y>
    </cdr:from>
    <cdr:to>
      <cdr:x>1</cdr:x>
      <cdr:y>0.91755</cdr:y>
    </cdr:to>
    <cdr:grpSp>
      <cdr:nvGrpSpPr>
        <cdr:cNvPr id="2" name="Group 1"/>
        <cdr:cNvGrpSpPr/>
      </cdr:nvGrpSpPr>
      <cdr:grpSpPr>
        <a:xfrm xmlns:a="http://schemas.openxmlformats.org/drawingml/2006/main">
          <a:off x="5122519" y="1200307"/>
          <a:ext cx="393930" cy="1926640"/>
          <a:chOff x="0" y="-22224"/>
          <a:chExt cx="216754" cy="1979754"/>
        </a:xfrm>
        <a:solidFill xmlns:a="http://schemas.openxmlformats.org/drawingml/2006/main">
          <a:sysClr val="window" lastClr="FFFFFF">
            <a:lumMod val="85000"/>
          </a:sysClr>
        </a:solidFill>
      </cdr:grpSpPr>
      <cdr:sp macro="" textlink="">
        <cdr:nvSpPr>
          <cdr:cNvPr id="3" name="Down Arrow 2"/>
          <cdr:cNvSpPr/>
        </cdr:nvSpPr>
        <cdr:spPr>
          <a:xfrm xmlns:a="http://schemas.openxmlformats.org/drawingml/2006/main" flipV="1">
            <a:off x="0" y="-22224"/>
            <a:ext cx="216754" cy="1123941"/>
          </a:xfrm>
          <a:prstGeom xmlns:a="http://schemas.openxmlformats.org/drawingml/2006/main" prst="downArrow">
            <a:avLst/>
          </a:prstGeom>
          <a:grpFill xmlns:a="http://schemas.openxmlformats.org/drawingml/2006/main"/>
          <a:ln xmlns:a="http://schemas.openxmlformats.org/drawingml/2006/main" w="25400" cap="flat" cmpd="sng" algn="ctr">
            <a:solidFill>
              <a:sysClr val="windowText" lastClr="000000"/>
            </a:solidFill>
            <a:prstDash val="solid"/>
          </a:ln>
          <a:effectLst xmlns:a="http://schemas.openxmlformats.org/drawingml/2006/main"/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="vert" wrap="square" rtlCol="0" anchor="ctr"/>
          <a:lstStyle xmlns:a="http://schemas.openxmlformats.org/drawingml/2006/main">
            <a:lvl1pPr marL="0" indent="0">
              <a:defRPr sz="1100">
                <a:solidFill>
                  <a:sysClr val="window" lastClr="FFFFFF"/>
                </a:solidFill>
                <a:latin typeface="Calibri"/>
              </a:defRPr>
            </a:lvl1pPr>
            <a:lvl2pPr marL="457200" indent="0">
              <a:defRPr sz="1100">
                <a:solidFill>
                  <a:sysClr val="window" lastClr="FFFFFF"/>
                </a:solidFill>
                <a:latin typeface="Calibri"/>
              </a:defRPr>
            </a:lvl2pPr>
            <a:lvl3pPr marL="914400" indent="0">
              <a:defRPr sz="1100">
                <a:solidFill>
                  <a:sysClr val="window" lastClr="FFFFFF"/>
                </a:solidFill>
                <a:latin typeface="Calibri"/>
              </a:defRPr>
            </a:lvl3pPr>
            <a:lvl4pPr marL="1371600" indent="0">
              <a:defRPr sz="1100">
                <a:solidFill>
                  <a:sysClr val="window" lastClr="FFFFFF"/>
                </a:solidFill>
                <a:latin typeface="Calibri"/>
              </a:defRPr>
            </a:lvl4pPr>
            <a:lvl5pPr marL="1828800" indent="0">
              <a:defRPr sz="1100">
                <a:solidFill>
                  <a:sysClr val="window" lastClr="FFFFFF"/>
                </a:solidFill>
                <a:latin typeface="Calibri"/>
              </a:defRPr>
            </a:lvl5pPr>
            <a:lvl6pPr marL="2286000" indent="0">
              <a:defRPr sz="1100">
                <a:solidFill>
                  <a:sysClr val="window" lastClr="FFFFFF"/>
                </a:solidFill>
                <a:latin typeface="Calibri"/>
              </a:defRPr>
            </a:lvl6pPr>
            <a:lvl7pPr marL="2743200" indent="0">
              <a:defRPr sz="1100">
                <a:solidFill>
                  <a:sysClr val="window" lastClr="FFFFFF"/>
                </a:solidFill>
                <a:latin typeface="Calibri"/>
              </a:defRPr>
            </a:lvl7pPr>
            <a:lvl8pPr marL="3200400" indent="0">
              <a:defRPr sz="1100">
                <a:solidFill>
                  <a:sysClr val="window" lastClr="FFFFFF"/>
                </a:solidFill>
                <a:latin typeface="Calibri"/>
              </a:defRPr>
            </a:lvl8pPr>
            <a:lvl9pPr marL="3657600" indent="0">
              <a:defRPr sz="1100">
                <a:solidFill>
                  <a:sysClr val="window" lastClr="FFFFFF"/>
                </a:solidFill>
                <a:latin typeface="Calibri"/>
              </a:defRPr>
            </a:lvl9pPr>
          </a:lstStyle>
          <a:p xmlns:a="http://schemas.openxmlformats.org/drawingml/2006/main">
            <a:pPr algn="ctr"/>
            <a:r>
              <a:rPr lang="en-US" sz="1000" b="1">
                <a:solidFill>
                  <a:sysClr val="windowText" lastClr="000000"/>
                </a:solidFill>
              </a:rPr>
              <a:t>Rebate</a:t>
            </a:r>
          </a:p>
        </cdr:txBody>
      </cdr:sp>
      <cdr:sp macro="" textlink="">
        <cdr:nvSpPr>
          <cdr:cNvPr id="4" name="Down Arrow 3"/>
          <cdr:cNvSpPr/>
        </cdr:nvSpPr>
        <cdr:spPr>
          <a:xfrm xmlns:a="http://schemas.openxmlformats.org/drawingml/2006/main">
            <a:off x="0" y="1123941"/>
            <a:ext cx="216754" cy="833589"/>
          </a:xfrm>
          <a:prstGeom xmlns:a="http://schemas.openxmlformats.org/drawingml/2006/main" prst="downArrow">
            <a:avLst/>
          </a:prstGeom>
          <a:grpFill xmlns:a="http://schemas.openxmlformats.org/drawingml/2006/main"/>
          <a:ln xmlns:a="http://schemas.openxmlformats.org/drawingml/2006/main" w="25400" cap="flat" cmpd="sng" algn="ctr">
            <a:solidFill>
              <a:sysClr val="windowText" lastClr="000000"/>
            </a:solidFill>
            <a:prstDash val="solid"/>
          </a:ln>
          <a:effectLst xmlns:a="http://schemas.openxmlformats.org/drawingml/2006/main"/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="vert270" wrap="square" rtlCol="0" anchor="ctr"/>
          <a:lstStyle xmlns:a="http://schemas.openxmlformats.org/drawingml/2006/main">
            <a:lvl1pPr marL="0" indent="0">
              <a:defRPr sz="1100">
                <a:solidFill>
                  <a:sysClr val="window" lastClr="FFFFFF"/>
                </a:solidFill>
                <a:latin typeface="Calibri"/>
              </a:defRPr>
            </a:lvl1pPr>
            <a:lvl2pPr marL="457200" indent="0">
              <a:defRPr sz="1100">
                <a:solidFill>
                  <a:sysClr val="window" lastClr="FFFFFF"/>
                </a:solidFill>
                <a:latin typeface="Calibri"/>
              </a:defRPr>
            </a:lvl2pPr>
            <a:lvl3pPr marL="914400" indent="0">
              <a:defRPr sz="1100">
                <a:solidFill>
                  <a:sysClr val="window" lastClr="FFFFFF"/>
                </a:solidFill>
                <a:latin typeface="Calibri"/>
              </a:defRPr>
            </a:lvl3pPr>
            <a:lvl4pPr marL="1371600" indent="0">
              <a:defRPr sz="1100">
                <a:solidFill>
                  <a:sysClr val="window" lastClr="FFFFFF"/>
                </a:solidFill>
                <a:latin typeface="Calibri"/>
              </a:defRPr>
            </a:lvl4pPr>
            <a:lvl5pPr marL="1828800" indent="0">
              <a:defRPr sz="1100">
                <a:solidFill>
                  <a:sysClr val="window" lastClr="FFFFFF"/>
                </a:solidFill>
                <a:latin typeface="Calibri"/>
              </a:defRPr>
            </a:lvl5pPr>
            <a:lvl6pPr marL="2286000" indent="0">
              <a:defRPr sz="1100">
                <a:solidFill>
                  <a:sysClr val="window" lastClr="FFFFFF"/>
                </a:solidFill>
                <a:latin typeface="Calibri"/>
              </a:defRPr>
            </a:lvl6pPr>
            <a:lvl7pPr marL="2743200" indent="0">
              <a:defRPr sz="1100">
                <a:solidFill>
                  <a:sysClr val="window" lastClr="FFFFFF"/>
                </a:solidFill>
                <a:latin typeface="Calibri"/>
              </a:defRPr>
            </a:lvl7pPr>
            <a:lvl8pPr marL="3200400" indent="0">
              <a:defRPr sz="1100">
                <a:solidFill>
                  <a:sysClr val="window" lastClr="FFFFFF"/>
                </a:solidFill>
                <a:latin typeface="Calibri"/>
              </a:defRPr>
            </a:lvl8pPr>
            <a:lvl9pPr marL="3657600" indent="0">
              <a:defRPr sz="1100">
                <a:solidFill>
                  <a:sysClr val="window" lastClr="FFFFFF"/>
                </a:solidFill>
                <a:latin typeface="Calibri"/>
              </a:defRPr>
            </a:lvl9pPr>
          </a:lstStyle>
          <a:p xmlns:a="http://schemas.openxmlformats.org/drawingml/2006/main">
            <a:pPr algn="ctr"/>
            <a:r>
              <a:rPr lang="en-US" sz="1000" b="1">
                <a:solidFill>
                  <a:sysClr val="windowText" lastClr="000000"/>
                </a:solidFill>
              </a:rPr>
              <a:t>Surcharge</a:t>
            </a:r>
          </a:p>
        </cdr:txBody>
      </cdr:sp>
    </cdr:grpSp>
  </cdr:relSizeAnchor>
  <cdr:relSizeAnchor xmlns:cdr="http://schemas.openxmlformats.org/drawingml/2006/chartDrawing">
    <cdr:from>
      <cdr:x>0.92859</cdr:x>
      <cdr:y>0.35221</cdr:y>
    </cdr:from>
    <cdr:to>
      <cdr:x>1</cdr:x>
      <cdr:y>0.91755</cdr:y>
    </cdr:to>
    <cdr:grpSp>
      <cdr:nvGrpSpPr>
        <cdr:cNvPr id="5" name="Group 1"/>
        <cdr:cNvGrpSpPr/>
      </cdr:nvGrpSpPr>
      <cdr:grpSpPr>
        <a:xfrm xmlns:a="http://schemas.openxmlformats.org/drawingml/2006/main">
          <a:off x="5122519" y="1200307"/>
          <a:ext cx="393930" cy="1926640"/>
          <a:chOff x="0" y="-22224"/>
          <a:chExt cx="216754" cy="1979754"/>
        </a:xfrm>
        <a:solidFill xmlns:a="http://schemas.openxmlformats.org/drawingml/2006/main">
          <a:sysClr val="window" lastClr="FFFFFF">
            <a:lumMod val="85000"/>
          </a:sysClr>
        </a:solidFill>
      </cdr:grpSpPr>
      <cdr:sp macro="" textlink="">
        <cdr:nvSpPr>
          <cdr:cNvPr id="6" name="Down Arrow 2"/>
          <cdr:cNvSpPr/>
        </cdr:nvSpPr>
        <cdr:spPr>
          <a:xfrm xmlns:a="http://schemas.openxmlformats.org/drawingml/2006/main" flipV="1">
            <a:off x="0" y="-22224"/>
            <a:ext cx="216754" cy="1123941"/>
          </a:xfrm>
          <a:prstGeom xmlns:a="http://schemas.openxmlformats.org/drawingml/2006/main" prst="downArrow">
            <a:avLst/>
          </a:prstGeom>
          <a:grpFill xmlns:a="http://schemas.openxmlformats.org/drawingml/2006/main"/>
          <a:ln xmlns:a="http://schemas.openxmlformats.org/drawingml/2006/main" w="25400" cap="flat" cmpd="sng" algn="ctr">
            <a:solidFill>
              <a:sysClr val="windowText" lastClr="000000"/>
            </a:solidFill>
            <a:prstDash val="solid"/>
          </a:ln>
          <a:effectLst xmlns:a="http://schemas.openxmlformats.org/drawingml/2006/main"/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="vert" wrap="square" rtlCol="0" anchor="ctr"/>
          <a:lstStyle xmlns:a="http://schemas.openxmlformats.org/drawingml/2006/main">
            <a:lvl1pPr marL="0" indent="0">
              <a:defRPr sz="1100">
                <a:solidFill>
                  <a:sysClr val="window" lastClr="FFFFFF"/>
                </a:solidFill>
                <a:latin typeface="Calibri"/>
              </a:defRPr>
            </a:lvl1pPr>
            <a:lvl2pPr marL="457200" indent="0">
              <a:defRPr sz="1100">
                <a:solidFill>
                  <a:sysClr val="window" lastClr="FFFFFF"/>
                </a:solidFill>
                <a:latin typeface="Calibri"/>
              </a:defRPr>
            </a:lvl2pPr>
            <a:lvl3pPr marL="914400" indent="0">
              <a:defRPr sz="1100">
                <a:solidFill>
                  <a:sysClr val="window" lastClr="FFFFFF"/>
                </a:solidFill>
                <a:latin typeface="Calibri"/>
              </a:defRPr>
            </a:lvl3pPr>
            <a:lvl4pPr marL="1371600" indent="0">
              <a:defRPr sz="1100">
                <a:solidFill>
                  <a:sysClr val="window" lastClr="FFFFFF"/>
                </a:solidFill>
                <a:latin typeface="Calibri"/>
              </a:defRPr>
            </a:lvl4pPr>
            <a:lvl5pPr marL="1828800" indent="0">
              <a:defRPr sz="1100">
                <a:solidFill>
                  <a:sysClr val="window" lastClr="FFFFFF"/>
                </a:solidFill>
                <a:latin typeface="Calibri"/>
              </a:defRPr>
            </a:lvl5pPr>
            <a:lvl6pPr marL="2286000" indent="0">
              <a:defRPr sz="1100">
                <a:solidFill>
                  <a:sysClr val="window" lastClr="FFFFFF"/>
                </a:solidFill>
                <a:latin typeface="Calibri"/>
              </a:defRPr>
            </a:lvl6pPr>
            <a:lvl7pPr marL="2743200" indent="0">
              <a:defRPr sz="1100">
                <a:solidFill>
                  <a:sysClr val="window" lastClr="FFFFFF"/>
                </a:solidFill>
                <a:latin typeface="Calibri"/>
              </a:defRPr>
            </a:lvl7pPr>
            <a:lvl8pPr marL="3200400" indent="0">
              <a:defRPr sz="1100">
                <a:solidFill>
                  <a:sysClr val="window" lastClr="FFFFFF"/>
                </a:solidFill>
                <a:latin typeface="Calibri"/>
              </a:defRPr>
            </a:lvl8pPr>
            <a:lvl9pPr marL="3657600" indent="0">
              <a:defRPr sz="1100">
                <a:solidFill>
                  <a:sysClr val="window" lastClr="FFFFFF"/>
                </a:solidFill>
                <a:latin typeface="Calibri"/>
              </a:defRPr>
            </a:lvl9pPr>
          </a:lstStyle>
          <a:p xmlns:a="http://schemas.openxmlformats.org/drawingml/2006/main">
            <a:pPr algn="ctr"/>
            <a:r>
              <a:rPr lang="en-US" sz="1000" b="1">
                <a:solidFill>
                  <a:sysClr val="windowText" lastClr="000000"/>
                </a:solidFill>
              </a:rPr>
              <a:t>Rebate</a:t>
            </a:r>
          </a:p>
        </cdr:txBody>
      </cdr:sp>
      <cdr:sp macro="" textlink="">
        <cdr:nvSpPr>
          <cdr:cNvPr id="7" name="Down Arrow 3"/>
          <cdr:cNvSpPr/>
        </cdr:nvSpPr>
        <cdr:spPr>
          <a:xfrm xmlns:a="http://schemas.openxmlformats.org/drawingml/2006/main">
            <a:off x="0" y="1123941"/>
            <a:ext cx="216754" cy="833589"/>
          </a:xfrm>
          <a:prstGeom xmlns:a="http://schemas.openxmlformats.org/drawingml/2006/main" prst="downArrow">
            <a:avLst/>
          </a:prstGeom>
          <a:grpFill xmlns:a="http://schemas.openxmlformats.org/drawingml/2006/main"/>
          <a:ln xmlns:a="http://schemas.openxmlformats.org/drawingml/2006/main" w="25400" cap="flat" cmpd="sng" algn="ctr">
            <a:solidFill>
              <a:sysClr val="windowText" lastClr="000000"/>
            </a:solidFill>
            <a:prstDash val="solid"/>
          </a:ln>
          <a:effectLst xmlns:a="http://schemas.openxmlformats.org/drawingml/2006/main"/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="vert270" wrap="square" rtlCol="0" anchor="ctr"/>
          <a:lstStyle xmlns:a="http://schemas.openxmlformats.org/drawingml/2006/main">
            <a:lvl1pPr marL="0" indent="0">
              <a:defRPr sz="1100">
                <a:solidFill>
                  <a:sysClr val="window" lastClr="FFFFFF"/>
                </a:solidFill>
                <a:latin typeface="Calibri"/>
              </a:defRPr>
            </a:lvl1pPr>
            <a:lvl2pPr marL="457200" indent="0">
              <a:defRPr sz="1100">
                <a:solidFill>
                  <a:sysClr val="window" lastClr="FFFFFF"/>
                </a:solidFill>
                <a:latin typeface="Calibri"/>
              </a:defRPr>
            </a:lvl2pPr>
            <a:lvl3pPr marL="914400" indent="0">
              <a:defRPr sz="1100">
                <a:solidFill>
                  <a:sysClr val="window" lastClr="FFFFFF"/>
                </a:solidFill>
                <a:latin typeface="Calibri"/>
              </a:defRPr>
            </a:lvl3pPr>
            <a:lvl4pPr marL="1371600" indent="0">
              <a:defRPr sz="1100">
                <a:solidFill>
                  <a:sysClr val="window" lastClr="FFFFFF"/>
                </a:solidFill>
                <a:latin typeface="Calibri"/>
              </a:defRPr>
            </a:lvl4pPr>
            <a:lvl5pPr marL="1828800" indent="0">
              <a:defRPr sz="1100">
                <a:solidFill>
                  <a:sysClr val="window" lastClr="FFFFFF"/>
                </a:solidFill>
                <a:latin typeface="Calibri"/>
              </a:defRPr>
            </a:lvl5pPr>
            <a:lvl6pPr marL="2286000" indent="0">
              <a:defRPr sz="1100">
                <a:solidFill>
                  <a:sysClr val="window" lastClr="FFFFFF"/>
                </a:solidFill>
                <a:latin typeface="Calibri"/>
              </a:defRPr>
            </a:lvl6pPr>
            <a:lvl7pPr marL="2743200" indent="0">
              <a:defRPr sz="1100">
                <a:solidFill>
                  <a:sysClr val="window" lastClr="FFFFFF"/>
                </a:solidFill>
                <a:latin typeface="Calibri"/>
              </a:defRPr>
            </a:lvl7pPr>
            <a:lvl8pPr marL="3200400" indent="0">
              <a:defRPr sz="1100">
                <a:solidFill>
                  <a:sysClr val="window" lastClr="FFFFFF"/>
                </a:solidFill>
                <a:latin typeface="Calibri"/>
              </a:defRPr>
            </a:lvl8pPr>
            <a:lvl9pPr marL="3657600" indent="0">
              <a:defRPr sz="1100">
                <a:solidFill>
                  <a:sysClr val="window" lastClr="FFFFFF"/>
                </a:solidFill>
                <a:latin typeface="Calibri"/>
              </a:defRPr>
            </a:lvl9pPr>
          </a:lstStyle>
          <a:p xmlns:a="http://schemas.openxmlformats.org/drawingml/2006/main">
            <a:pPr algn="ctr"/>
            <a:r>
              <a:rPr lang="en-US" sz="1000" b="1">
                <a:solidFill>
                  <a:sysClr val="windowText" lastClr="000000"/>
                </a:solidFill>
              </a:rPr>
              <a:t>Surcharge</a:t>
            </a:r>
          </a:p>
        </cdr:txBody>
      </cdr:sp>
    </cdr:grp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34697</xdr:colOff>
      <xdr:row>24</xdr:row>
      <xdr:rowOff>48745</xdr:rowOff>
    </xdr:from>
    <xdr:to>
      <xdr:col>14</xdr:col>
      <xdr:colOff>22412</xdr:colOff>
      <xdr:row>63</xdr:row>
      <xdr:rowOff>44825</xdr:rowOff>
    </xdr:to>
    <xdr:sp macro="" textlink="">
      <xdr:nvSpPr>
        <xdr:cNvPr id="2" name="Rounded Rectangle 1"/>
        <xdr:cNvSpPr/>
      </xdr:nvSpPr>
      <xdr:spPr bwMode="auto">
        <a:xfrm>
          <a:off x="34697" y="3455333"/>
          <a:ext cx="9243774" cy="6080874"/>
        </a:xfrm>
        <a:prstGeom prst="roundRect">
          <a:avLst>
            <a:gd name="adj" fmla="val 4192"/>
          </a:avLst>
        </a:prstGeom>
        <a:solidFill>
          <a:schemeClr val="bg1">
            <a:lumMod val="75000"/>
          </a:schemeClr>
        </a:solidFill>
        <a:ln w="444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100"/>
        </a:p>
      </xdr:txBody>
    </xdr:sp>
    <xdr:clientData/>
  </xdr:twoCellAnchor>
  <xdr:twoCellAnchor>
    <xdr:from>
      <xdr:col>0</xdr:col>
      <xdr:colOff>78439</xdr:colOff>
      <xdr:row>25</xdr:row>
      <xdr:rowOff>78441</xdr:rowOff>
    </xdr:from>
    <xdr:to>
      <xdr:col>6</xdr:col>
      <xdr:colOff>324968</xdr:colOff>
      <xdr:row>43</xdr:row>
      <xdr:rowOff>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67234</xdr:colOff>
      <xdr:row>43</xdr:row>
      <xdr:rowOff>156871</xdr:rowOff>
    </xdr:from>
    <xdr:to>
      <xdr:col>6</xdr:col>
      <xdr:colOff>313763</xdr:colOff>
      <xdr:row>61</xdr:row>
      <xdr:rowOff>112047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358587</xdr:colOff>
      <xdr:row>43</xdr:row>
      <xdr:rowOff>156872</xdr:rowOff>
    </xdr:from>
    <xdr:to>
      <xdr:col>13</xdr:col>
      <xdr:colOff>616323</xdr:colOff>
      <xdr:row>61</xdr:row>
      <xdr:rowOff>112048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369793</xdr:colOff>
      <xdr:row>25</xdr:row>
      <xdr:rowOff>78441</xdr:rowOff>
    </xdr:from>
    <xdr:to>
      <xdr:col>13</xdr:col>
      <xdr:colOff>627529</xdr:colOff>
      <xdr:row>43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1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2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3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4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8.bin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0.bin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2.bin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3.bin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customProperty" Target="../customProperty24.bin"/><Relationship Id="rId1" Type="http://schemas.openxmlformats.org/officeDocument/2006/relationships/printerSettings" Target="../printerSettings/printerSettings24.bin"/><Relationship Id="rId4" Type="http://schemas.openxmlformats.org/officeDocument/2006/relationships/comments" Target="../comments1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H51"/>
  <sheetViews>
    <sheetView workbookViewId="0">
      <selection sqref="A1:N64"/>
    </sheetView>
  </sheetViews>
  <sheetFormatPr defaultRowHeight="12.75"/>
  <cols>
    <col min="1" max="1" width="18.7109375" bestFit="1" customWidth="1"/>
    <col min="2" max="14" width="9.28515625" customWidth="1"/>
    <col min="16" max="16" width="2.42578125" customWidth="1"/>
    <col min="17" max="23" width="10.7109375" customWidth="1"/>
    <col min="24" max="24" width="5.7109375" customWidth="1"/>
  </cols>
  <sheetData>
    <row r="1" spans="1:34">
      <c r="C1" s="640" t="s">
        <v>191</v>
      </c>
      <c r="D1" s="640"/>
      <c r="E1" s="640"/>
      <c r="F1" s="640"/>
      <c r="G1" s="640"/>
      <c r="H1" s="640"/>
      <c r="I1" s="640"/>
      <c r="J1" s="640"/>
      <c r="K1" s="640"/>
      <c r="P1" s="642"/>
      <c r="Q1" s="642"/>
      <c r="R1" s="642"/>
      <c r="S1" s="642"/>
      <c r="T1" s="642"/>
      <c r="U1" s="642"/>
      <c r="V1" s="642"/>
      <c r="W1" s="642"/>
      <c r="X1" s="642"/>
    </row>
    <row r="2" spans="1:34" ht="23.25">
      <c r="C2" s="641" t="s">
        <v>246</v>
      </c>
      <c r="D2" s="641"/>
      <c r="E2" s="641"/>
      <c r="F2" s="641"/>
      <c r="G2" s="641"/>
      <c r="H2" s="641"/>
      <c r="I2" s="641"/>
      <c r="J2" s="641"/>
      <c r="K2" s="641"/>
      <c r="P2" s="640"/>
      <c r="Q2" s="640"/>
      <c r="R2" s="640"/>
      <c r="S2" s="640"/>
      <c r="T2" s="640"/>
      <c r="U2" s="640"/>
      <c r="V2" s="640"/>
      <c r="W2" s="640"/>
      <c r="X2" s="640"/>
      <c r="Z2" s="640"/>
      <c r="AA2" s="640"/>
      <c r="AB2" s="640"/>
      <c r="AC2" s="640"/>
      <c r="AD2" s="640"/>
      <c r="AE2" s="640"/>
      <c r="AF2" s="640"/>
      <c r="AG2" s="640"/>
      <c r="AH2" s="640"/>
    </row>
    <row r="3" spans="1:34" ht="23.25">
      <c r="C3" s="640" t="s">
        <v>193</v>
      </c>
      <c r="D3" s="640"/>
      <c r="E3" s="640"/>
      <c r="F3" s="640"/>
      <c r="G3" s="640"/>
      <c r="H3" s="640"/>
      <c r="I3" s="640"/>
      <c r="J3" s="640"/>
      <c r="K3" s="640"/>
      <c r="P3" s="641"/>
      <c r="Q3" s="641"/>
      <c r="R3" s="641"/>
      <c r="S3" s="641"/>
      <c r="T3" s="641"/>
      <c r="U3" s="641"/>
      <c r="V3" s="641"/>
      <c r="W3" s="641"/>
      <c r="X3" s="641"/>
      <c r="Z3" s="643"/>
      <c r="AA3" s="643"/>
      <c r="AB3" s="643"/>
      <c r="AC3" s="643"/>
      <c r="AD3" s="643"/>
      <c r="AE3" s="643"/>
      <c r="AF3" s="643"/>
      <c r="AG3" s="643"/>
      <c r="AH3" s="643"/>
    </row>
    <row r="4" spans="1:34">
      <c r="A4" t="s">
        <v>192</v>
      </c>
      <c r="B4" s="266">
        <v>41183</v>
      </c>
      <c r="C4" s="266">
        <v>41214</v>
      </c>
      <c r="D4" s="266">
        <v>41244</v>
      </c>
      <c r="E4" s="266">
        <v>41275</v>
      </c>
      <c r="F4" s="266">
        <v>41306</v>
      </c>
      <c r="G4" s="266">
        <v>41334</v>
      </c>
      <c r="H4" s="266">
        <v>41365</v>
      </c>
      <c r="I4" s="266">
        <v>41395</v>
      </c>
      <c r="J4" s="266">
        <v>41426</v>
      </c>
      <c r="K4" s="266">
        <v>41456</v>
      </c>
      <c r="L4" s="266">
        <v>41487</v>
      </c>
      <c r="M4" s="266">
        <v>41518</v>
      </c>
      <c r="N4" s="266">
        <v>41548</v>
      </c>
      <c r="P4" s="640"/>
      <c r="Q4" s="640"/>
      <c r="R4" s="640"/>
      <c r="S4" s="640"/>
      <c r="T4" s="640"/>
      <c r="U4" s="640"/>
      <c r="V4" s="640"/>
      <c r="W4" s="640"/>
      <c r="X4" s="640"/>
      <c r="Z4" s="640"/>
      <c r="AA4" s="640"/>
      <c r="AB4" s="640"/>
      <c r="AC4" s="640"/>
      <c r="AD4" s="640"/>
      <c r="AE4" s="640"/>
      <c r="AF4" s="640"/>
      <c r="AG4" s="640"/>
    </row>
    <row r="6" spans="1:34">
      <c r="A6" s="267" t="s">
        <v>194</v>
      </c>
    </row>
    <row r="7" spans="1:34">
      <c r="A7" s="268"/>
      <c r="B7" s="269" t="str">
        <f>TEXT(B4,"mmmmm-YY")</f>
        <v>O-12</v>
      </c>
      <c r="C7" s="269" t="str">
        <f>TEXT(C4,"mmmmm-YY")</f>
        <v>N-12</v>
      </c>
      <c r="D7" s="269" t="str">
        <f>TEXT(D4,"mmmmm")</f>
        <v>D</v>
      </c>
      <c r="E7" s="269" t="str">
        <f>TEXT(E4,"mmmmm-YY")</f>
        <v>J-13</v>
      </c>
      <c r="F7" s="269" t="str">
        <f>TEXT(F4,"mmmmm-YY")</f>
        <v>F-13</v>
      </c>
      <c r="G7" s="269" t="str">
        <f t="shared" ref="G7:N7" si="0">TEXT(G4,"mmmmm")</f>
        <v>M</v>
      </c>
      <c r="H7" s="269" t="str">
        <f t="shared" si="0"/>
        <v>A</v>
      </c>
      <c r="I7" s="269" t="str">
        <f t="shared" si="0"/>
        <v>M</v>
      </c>
      <c r="J7" s="269" t="str">
        <f t="shared" si="0"/>
        <v>J</v>
      </c>
      <c r="K7" s="269" t="str">
        <f t="shared" si="0"/>
        <v>J</v>
      </c>
      <c r="L7" s="269" t="str">
        <f t="shared" si="0"/>
        <v>A</v>
      </c>
      <c r="M7" s="269" t="str">
        <f t="shared" si="0"/>
        <v>S</v>
      </c>
      <c r="N7" s="269" t="str">
        <f t="shared" si="0"/>
        <v>O</v>
      </c>
    </row>
    <row r="8" spans="1:34">
      <c r="A8" t="s">
        <v>2</v>
      </c>
      <c r="B8" s="270">
        <f>'WA Def 191010'!D8/-1000000</f>
        <v>6.691252092754679</v>
      </c>
      <c r="C8" s="270">
        <f>'WA Def 191010'!D19/-1000000</f>
        <v>0.90240319623620857</v>
      </c>
      <c r="D8" s="270">
        <f>'WA Def 191010'!D27/-1000000</f>
        <v>-0.24153536134178891</v>
      </c>
      <c r="E8" s="270">
        <f>'WA Def 191010'!D35/-1000000</f>
        <v>1.612370665690211</v>
      </c>
      <c r="F8" s="270">
        <f>'WA Def 191010'!D43/-1000000</f>
        <v>0.64834278387021227</v>
      </c>
      <c r="G8" s="270">
        <f>'WA Def 191010'!D51/-1000000</f>
        <v>0.33671900480321282</v>
      </c>
      <c r="H8" s="270">
        <f>'WA Def 191010'!D59/-1000000</f>
        <v>0.63119416496921332</v>
      </c>
      <c r="I8" s="270">
        <f>'WA Def 191010'!D67/-1000000</f>
        <v>1.2090547576992148</v>
      </c>
      <c r="J8" s="270">
        <f>'WA Def 191010'!D75/-1000000</f>
        <v>1.3830479967132137</v>
      </c>
      <c r="K8" s="270">
        <f>'WA Def 191010'!D83/-1000000</f>
        <v>1.8775711130472124</v>
      </c>
      <c r="L8" s="270">
        <f>'WA Def 191010'!D91/-1000000</f>
        <v>2.5238373414722122</v>
      </c>
      <c r="M8" s="270">
        <f>'WA Def 191010'!D99/-1000000</f>
        <v>3.3385260271402131</v>
      </c>
      <c r="N8" s="270">
        <f>'WA Def 191010'!E99/-1000000</f>
        <v>-6.0831075290700021</v>
      </c>
    </row>
    <row r="9" spans="1:34">
      <c r="A9" t="s">
        <v>3</v>
      </c>
      <c r="B9" s="270">
        <f>'WA Def 191010'!E8/-1000000</f>
        <v>-0.80916936732299949</v>
      </c>
      <c r="C9" s="270">
        <f>'WA Def 191010'!E19/-1000000</f>
        <v>-3.8730244701439993</v>
      </c>
      <c r="D9" s="270">
        <f>'WA Def 191010'!E27/-1000000</f>
        <v>-3.0674777859969997</v>
      </c>
      <c r="E9" s="270">
        <f>'WA Def 191010'!E35/-1000000</f>
        <v>-1.6934499394870002</v>
      </c>
      <c r="F9" s="270">
        <f>'WA Def 191010'!E43/-1000000</f>
        <v>-0.95669013858100027</v>
      </c>
      <c r="G9" s="270">
        <f>'WA Def 191010'!E51/-1000000</f>
        <v>-0.56131225301100107</v>
      </c>
      <c r="H9" s="270">
        <f>'WA Def 191010'!E59/-1000000</f>
        <v>-0.69541010451100072</v>
      </c>
      <c r="I9" s="270">
        <f>'WA Def 191010'!E67/-1000000</f>
        <v>-1.5643559408390004</v>
      </c>
      <c r="J9" s="270">
        <f>'WA Def 191010'!E75/-1000000</f>
        <v>-2.5778206653800004</v>
      </c>
      <c r="K9" s="270">
        <f>'WA Def 191010'!E83/-1000000</f>
        <v>-3.8494386956210014</v>
      </c>
      <c r="L9" s="270">
        <f>'WA Def 191010'!E91/-1000000</f>
        <v>-5.0597053680260018</v>
      </c>
      <c r="M9" s="270">
        <f>'WA Def 191010'!E99/-1000000</f>
        <v>-6.0831075290700021</v>
      </c>
      <c r="N9" s="270">
        <f>'WA Def 191010'!F99/-1000000</f>
        <v>3.1801240000000015E-2</v>
      </c>
    </row>
    <row r="10" spans="1:34">
      <c r="A10" s="271" t="s">
        <v>21</v>
      </c>
      <c r="B10" s="272">
        <f>SUM(B8:B9)</f>
        <v>5.8820827254316796</v>
      </c>
      <c r="C10" s="272">
        <f>SUM(C8:C9)</f>
        <v>-2.9706212739077906</v>
      </c>
      <c r="D10" s="272">
        <f t="shared" ref="D10:N10" si="1">SUM(D8:D9)</f>
        <v>-3.3090131473387885</v>
      </c>
      <c r="E10" s="272">
        <f t="shared" si="1"/>
        <v>-8.1079273796789142E-2</v>
      </c>
      <c r="F10" s="272">
        <f t="shared" ref="F10" si="2">SUM(F8:F9)</f>
        <v>-0.308347354710788</v>
      </c>
      <c r="G10" s="272">
        <f t="shared" si="1"/>
        <v>-0.22459324820778825</v>
      </c>
      <c r="H10" s="272">
        <f t="shared" si="1"/>
        <v>-6.4215939541787392E-2</v>
      </c>
      <c r="I10" s="272">
        <f t="shared" si="1"/>
        <v>-0.35530118313978565</v>
      </c>
      <c r="J10" s="272">
        <f t="shared" si="1"/>
        <v>-1.1947726686667868</v>
      </c>
      <c r="K10" s="272">
        <f t="shared" ref="K10" si="3">SUM(K8:K9)</f>
        <v>-1.971867582573789</v>
      </c>
      <c r="L10" s="272">
        <f t="shared" si="1"/>
        <v>-2.5358680265537896</v>
      </c>
      <c r="M10" s="272">
        <f t="shared" ref="M10" si="4">SUM(M8:M9)</f>
        <v>-2.744581501929789</v>
      </c>
      <c r="N10" s="272">
        <f t="shared" si="1"/>
        <v>-6.051306289070002</v>
      </c>
    </row>
    <row r="12" spans="1:34">
      <c r="A12" s="267" t="s">
        <v>221</v>
      </c>
    </row>
    <row r="13" spans="1:34">
      <c r="A13" s="268"/>
      <c r="B13" s="269" t="str">
        <f>TEXT(B4,"mmmmm-YY")</f>
        <v>O-12</v>
      </c>
      <c r="C13" s="269" t="str">
        <f>TEXT(C4,"mmmmm")</f>
        <v>N</v>
      </c>
      <c r="D13" s="269" t="str">
        <f>TEXT(D4,"mmmmm")</f>
        <v>D</v>
      </c>
      <c r="E13" s="269" t="str">
        <f t="shared" ref="E13:F13" si="5">TEXT(E4,"mmmmm-YY")</f>
        <v>J-13</v>
      </c>
      <c r="F13" s="269" t="str">
        <f t="shared" si="5"/>
        <v>F-13</v>
      </c>
      <c r="G13" s="269" t="str">
        <f t="shared" ref="G13:L13" si="6">TEXT(G4,"mmmmm")</f>
        <v>M</v>
      </c>
      <c r="H13" s="269" t="str">
        <f t="shared" si="6"/>
        <v>A</v>
      </c>
      <c r="I13" s="269" t="str">
        <f t="shared" si="6"/>
        <v>M</v>
      </c>
      <c r="J13" s="269" t="str">
        <f t="shared" si="6"/>
        <v>J</v>
      </c>
      <c r="K13" s="269" t="str">
        <f t="shared" ref="K13" si="7">TEXT(K4,"mmmmm")</f>
        <v>J</v>
      </c>
      <c r="L13" s="269" t="str">
        <f t="shared" si="6"/>
        <v>A</v>
      </c>
      <c r="M13" s="269" t="str">
        <f t="shared" ref="M13" si="8">TEXT(M4,"mmmmm")</f>
        <v>S</v>
      </c>
      <c r="N13" s="269" t="s">
        <v>245</v>
      </c>
    </row>
    <row r="14" spans="1:34">
      <c r="A14" t="s">
        <v>2</v>
      </c>
      <c r="B14" s="270">
        <f>('ID Def 191010'!D20+'ID Holdback 191015'!D16)/-1000000</f>
        <v>2.1383911983473967</v>
      </c>
      <c r="C14" s="270">
        <f>('ID Def 191010'!D29+'ID Holdback 191015'!D23)/-1000000</f>
        <v>1.2444255776995812</v>
      </c>
      <c r="D14" s="270">
        <f>('ID Def 191010'!D47+'ID Holdback 191015'!D30)/-1000000</f>
        <v>0.87195540999758092</v>
      </c>
      <c r="E14" s="270">
        <f>('ID Def 191010'!D56+'ID Holdback 191015'!D37)/-1000000</f>
        <v>1.6660490220255828</v>
      </c>
      <c r="F14" s="270">
        <f>('ID Def 191010'!D65+'ID Holdback 191015'!D45)/-1000000</f>
        <v>1.2966995405455823</v>
      </c>
      <c r="G14" s="270">
        <f>('ID Def 191010'!D74+'ID Holdback 191015'!D53)/-1000000</f>
        <v>1.1561449650525837</v>
      </c>
      <c r="H14" s="270">
        <f>('ID Def 191010'!D83+'ID Holdback 191015'!D61)/-1000000</f>
        <v>1.2996516898465837</v>
      </c>
      <c r="I14" s="270">
        <f>('ID Def 191010'!D92+'ID Holdback 191015'!D69)/-1000000</f>
        <v>1.5610150065365844</v>
      </c>
      <c r="J14" s="270">
        <f>('ID Def 191010'!D101+'ID Holdback 191015'!D77)/-1000000</f>
        <v>1.6482739833225839</v>
      </c>
      <c r="K14" s="270">
        <f>('ID Def 191010'!D110+'ID Holdback 191015'!D85)/-1000000</f>
        <v>1.8954571715485831</v>
      </c>
      <c r="L14" s="270">
        <f>('ID Def 191010'!D119+'ID Holdback 191015'!D93)/-1000000</f>
        <v>2.2528616869035827</v>
      </c>
      <c r="M14" s="270">
        <f>('ID Def 191010'!D128+'ID Holdback 191015'!D101)/-1000000</f>
        <v>2.7080381318555831</v>
      </c>
      <c r="N14" s="270">
        <f>('ID Def 191010'!D137+'ID Holdback 191015'!D109)/-1000000</f>
        <v>0.56600077745999999</v>
      </c>
    </row>
    <row r="15" spans="1:34">
      <c r="A15" t="s">
        <v>3</v>
      </c>
      <c r="B15" s="270">
        <f>('ID Def 191010'!E20+'ID Holdback 191015'!E16)/-1000000</f>
        <v>-0.82418407251353221</v>
      </c>
      <c r="C15" s="270">
        <f>('ID Def 191010'!E29+'ID Holdback 191015'!E23)/-1000000</f>
        <v>-0.80322416033553246</v>
      </c>
      <c r="D15" s="270">
        <f>('ID Def 191010'!E47+'ID Holdback 191015'!E30)/-1000000</f>
        <v>-0.39310178017253256</v>
      </c>
      <c r="E15" s="270">
        <f>('ID Def 191010'!E56+'ID Holdback 191015'!E37)/-1000000</f>
        <v>0.17129077183746722</v>
      </c>
      <c r="F15" s="270">
        <f>('ID Def 191010'!E65+'ID Holdback 191015'!E45)/-1000000</f>
        <v>0.35307272873146694</v>
      </c>
      <c r="G15" s="270">
        <f>('ID Def 191010'!E74+'ID Holdback 191015'!E53)/-1000000</f>
        <v>0.56382016840146643</v>
      </c>
      <c r="H15" s="270">
        <f>('ID Def 191010'!E83+'ID Holdback 191015'!E61)/-1000000</f>
        <v>0.53955121001146655</v>
      </c>
      <c r="I15" s="270">
        <f>('ID Def 191010'!E92+'ID Holdback 191015'!E69)/-1000000</f>
        <v>0.18205832733946647</v>
      </c>
      <c r="J15" s="270">
        <f>('ID Def 191010'!E101+'ID Holdback 191015'!E77)/-1000000</f>
        <v>-0.22184721294953361</v>
      </c>
      <c r="K15" s="270">
        <f>('ID Def 191010'!E110+'ID Holdback 191015'!E85)/-1000000</f>
        <v>-0.73848372468853407</v>
      </c>
      <c r="L15" s="270">
        <f>('ID Def 191010'!E119+'ID Holdback 191015'!E93)/-1000000</f>
        <v>-1.2085874236835343</v>
      </c>
      <c r="M15" s="270">
        <f>('ID Def 191010'!E128+'ID Holdback 191015'!E101)/-1000000</f>
        <v>-1.5854874293295345</v>
      </c>
      <c r="N15" s="270">
        <f>('ID Def 191010'!E137+'ID Holdback 191015'!E109)/-1000000</f>
        <v>-8.1480250077000355E-2</v>
      </c>
    </row>
    <row r="16" spans="1:34">
      <c r="A16" s="271" t="s">
        <v>21</v>
      </c>
      <c r="B16" s="272">
        <f>SUM(B14:B15)</f>
        <v>1.3142071258338643</v>
      </c>
      <c r="C16" s="272">
        <f>SUM(C14:C15)</f>
        <v>0.44120141736404872</v>
      </c>
      <c r="D16" s="272">
        <f t="shared" ref="D16:L16" si="9">SUM(D14:D15)</f>
        <v>0.47885362982504837</v>
      </c>
      <c r="E16" s="272">
        <f t="shared" si="9"/>
        <v>1.83733979386305</v>
      </c>
      <c r="F16" s="272">
        <f t="shared" ref="F16" si="10">SUM(F14:F15)</f>
        <v>1.6497722692770493</v>
      </c>
      <c r="G16" s="272">
        <f t="shared" si="9"/>
        <v>1.7199651334540502</v>
      </c>
      <c r="H16" s="272">
        <f t="shared" si="9"/>
        <v>1.8392028998580503</v>
      </c>
      <c r="I16" s="272">
        <f t="shared" si="9"/>
        <v>1.7430733338760509</v>
      </c>
      <c r="J16" s="272">
        <f t="shared" si="9"/>
        <v>1.4264267703730502</v>
      </c>
      <c r="K16" s="272">
        <f t="shared" si="9"/>
        <v>1.156973446860049</v>
      </c>
      <c r="L16" s="272">
        <f t="shared" si="9"/>
        <v>1.0442742632200483</v>
      </c>
      <c r="M16" s="272">
        <f t="shared" ref="M16:N16" si="11">SUM(M14:M15)</f>
        <v>1.1225507025260486</v>
      </c>
      <c r="N16" s="272">
        <f t="shared" si="11"/>
        <v>0.48452052738299967</v>
      </c>
    </row>
    <row r="51" ht="9.75" customHeight="1"/>
  </sheetData>
  <mergeCells count="10">
    <mergeCell ref="C1:K1"/>
    <mergeCell ref="C2:K2"/>
    <mergeCell ref="C3:K3"/>
    <mergeCell ref="P4:X4"/>
    <mergeCell ref="Z4:AG4"/>
    <mergeCell ref="P1:X1"/>
    <mergeCell ref="P2:X2"/>
    <mergeCell ref="Z2:AH2"/>
    <mergeCell ref="P3:X3"/>
    <mergeCell ref="Z3:AH3"/>
  </mergeCells>
  <printOptions horizontalCentered="1"/>
  <pageMargins left="0.7" right="0.7" top="0.75" bottom="0.5" header="0.3" footer="0.3"/>
  <pageSetup scale="79" orientation="landscape" r:id="rId1"/>
  <headerFooter>
    <oddFooter>&amp;L&amp;F - &amp;A</oddFooter>
  </headerFooter>
  <customProperties>
    <customPr name="xxe4aPID" r:id="rId2"/>
  </customPropertie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3">
    <tabColor rgb="FF00CC66"/>
    <pageSetUpPr fitToPage="1"/>
  </sheetPr>
  <dimension ref="A1:U1485"/>
  <sheetViews>
    <sheetView showGridLines="0" topLeftCell="A35" zoomScale="70" zoomScaleNormal="70" workbookViewId="0">
      <selection activeCell="G60" sqref="G60"/>
    </sheetView>
  </sheetViews>
  <sheetFormatPr defaultColWidth="16" defaultRowHeight="15"/>
  <cols>
    <col min="1" max="1" width="44.85546875" style="384" customWidth="1"/>
    <col min="2" max="2" width="25.5703125" style="384" customWidth="1"/>
    <col min="3" max="3" width="25.28515625" style="384" customWidth="1"/>
    <col min="4" max="4" width="2.7109375" style="30" customWidth="1"/>
    <col min="5" max="5" width="4.28515625" style="384" customWidth="1"/>
    <col min="6" max="6" width="26.7109375" style="384" customWidth="1"/>
    <col min="7" max="7" width="19" style="384" customWidth="1"/>
    <col min="8" max="8" width="22" style="384" customWidth="1"/>
    <col min="9" max="9" width="20.42578125" style="384" customWidth="1"/>
    <col min="10" max="10" width="26.28515625" style="384" customWidth="1"/>
    <col min="11" max="11" width="21.85546875" style="384" bestFit="1" customWidth="1"/>
    <col min="12" max="12" width="23.85546875" style="384" customWidth="1"/>
    <col min="13" max="13" width="20.85546875" style="384" bestFit="1" customWidth="1"/>
    <col min="14" max="15" width="16" style="384"/>
    <col min="16" max="16" width="16.28515625" style="384" bestFit="1" customWidth="1"/>
    <col min="17" max="16384" width="16" style="384"/>
  </cols>
  <sheetData>
    <row r="1" spans="1:13" ht="16.5" thickBot="1">
      <c r="A1" s="145" t="s">
        <v>64</v>
      </c>
      <c r="B1" s="29"/>
      <c r="C1" s="529">
        <f>Jul!C1+1</f>
        <v>201808</v>
      </c>
      <c r="F1" s="529">
        <f>C1</f>
        <v>201808</v>
      </c>
      <c r="G1" s="385"/>
      <c r="H1" s="162" t="s">
        <v>69</v>
      </c>
      <c r="I1" s="126" t="s">
        <v>3</v>
      </c>
      <c r="J1" s="126" t="s">
        <v>3</v>
      </c>
      <c r="K1" s="126" t="s">
        <v>66</v>
      </c>
      <c r="L1" s="126" t="s">
        <v>66</v>
      </c>
      <c r="M1" s="385"/>
    </row>
    <row r="2" spans="1:13" ht="15.75">
      <c r="C2" s="31"/>
      <c r="F2" s="385"/>
      <c r="G2" s="385"/>
      <c r="H2" s="163" t="s">
        <v>32</v>
      </c>
      <c r="I2" s="164" t="s">
        <v>65</v>
      </c>
      <c r="J2" s="164" t="s">
        <v>65</v>
      </c>
      <c r="K2" s="164" t="s">
        <v>67</v>
      </c>
      <c r="L2" s="164" t="s">
        <v>67</v>
      </c>
      <c r="M2" s="385"/>
    </row>
    <row r="3" spans="1:13" ht="16.5" thickBot="1">
      <c r="A3" s="63" t="s">
        <v>110</v>
      </c>
      <c r="C3" s="32"/>
      <c r="D3" s="33"/>
      <c r="F3" s="50" t="s">
        <v>72</v>
      </c>
      <c r="G3" s="385"/>
      <c r="H3" s="165" t="s">
        <v>68</v>
      </c>
      <c r="I3" s="165" t="s">
        <v>35</v>
      </c>
      <c r="J3" s="165" t="s">
        <v>63</v>
      </c>
      <c r="K3" s="165" t="s">
        <v>35</v>
      </c>
      <c r="L3" s="165" t="s">
        <v>63</v>
      </c>
      <c r="M3" s="385"/>
    </row>
    <row r="4" spans="1:13" ht="15.75">
      <c r="A4" s="385" t="s">
        <v>88</v>
      </c>
      <c r="C4" s="569">
        <f>4598122.63</f>
        <v>4598122.63</v>
      </c>
      <c r="D4" s="34"/>
      <c r="F4" s="385"/>
      <c r="G4" s="385"/>
      <c r="H4" s="11"/>
      <c r="I4" s="385"/>
      <c r="J4" s="385"/>
      <c r="L4" s="385"/>
      <c r="M4" s="385"/>
    </row>
    <row r="5" spans="1:13" ht="14.25" customHeight="1">
      <c r="A5" s="385" t="s">
        <v>31</v>
      </c>
      <c r="C5" s="569">
        <f>42848.39+117.92-158.87</f>
        <v>42807.439999999995</v>
      </c>
      <c r="D5" s="34"/>
      <c r="F5" s="385"/>
      <c r="G5" s="385"/>
      <c r="H5" s="11"/>
      <c r="I5" s="594">
        <v>0.70530000000000004</v>
      </c>
      <c r="J5" s="594">
        <v>0.29470000000000002</v>
      </c>
      <c r="K5" s="445">
        <f>ROUND(G45/(G45+K43),4)</f>
        <v>0.61480000000000001</v>
      </c>
      <c r="L5" s="445">
        <f>1-K5</f>
        <v>0.38519999999999999</v>
      </c>
      <c r="M5" s="385"/>
    </row>
    <row r="6" spans="1:13" ht="16.5" thickBot="1">
      <c r="A6" s="49" t="s">
        <v>30</v>
      </c>
      <c r="C6" s="570">
        <f>-2343063.08-444850-127100-142987.5-81979.5-102391.76</f>
        <v>-3242371.84</v>
      </c>
      <c r="D6" s="34"/>
      <c r="F6" s="385"/>
      <c r="G6" s="385"/>
      <c r="H6" s="385"/>
      <c r="I6" s="385"/>
      <c r="J6" s="385"/>
      <c r="K6" s="385"/>
      <c r="L6" s="385"/>
      <c r="M6" s="385"/>
    </row>
    <row r="7" spans="1:13" ht="16.5" thickBot="1">
      <c r="A7" s="66" t="s">
        <v>140</v>
      </c>
      <c r="C7" s="100">
        <f>SUM(C4:C6)</f>
        <v>1398558.2300000004</v>
      </c>
      <c r="D7" s="35"/>
      <c r="F7" s="166" t="s">
        <v>139</v>
      </c>
      <c r="G7" s="166"/>
      <c r="H7" s="125">
        <f>C34</f>
        <v>2229985.0300000003</v>
      </c>
      <c r="I7" s="167">
        <f>H7*I5</f>
        <v>1572808.4416590002</v>
      </c>
      <c r="J7" s="167">
        <f>H7*J5</f>
        <v>657176.58834100014</v>
      </c>
      <c r="K7" s="167"/>
      <c r="L7" s="167"/>
      <c r="M7" s="385"/>
    </row>
    <row r="8" spans="1:13" ht="15.75">
      <c r="A8" s="384" t="s">
        <v>89</v>
      </c>
      <c r="C8" s="569">
        <v>191512.75</v>
      </c>
      <c r="D8" s="35"/>
      <c r="F8" s="385"/>
      <c r="G8" s="385"/>
      <c r="H8" s="168"/>
      <c r="I8" s="168"/>
      <c r="J8" s="168"/>
      <c r="K8" s="168"/>
      <c r="L8" s="168"/>
      <c r="M8" s="385"/>
    </row>
    <row r="9" spans="1:13" ht="15.75">
      <c r="A9" s="385" t="s">
        <v>90</v>
      </c>
      <c r="C9" s="569">
        <v>6446.71</v>
      </c>
      <c r="D9" s="36"/>
      <c r="F9" s="166" t="s">
        <v>119</v>
      </c>
      <c r="G9" s="385"/>
      <c r="H9" s="167">
        <f>C56</f>
        <v>-1823262.9799999995</v>
      </c>
      <c r="I9" s="167"/>
      <c r="J9" s="167"/>
      <c r="K9" s="167">
        <f>H9*K5</f>
        <v>-1120942.0801039997</v>
      </c>
      <c r="L9" s="167">
        <f>H9*L5</f>
        <v>-702320.89989599981</v>
      </c>
      <c r="M9" s="385"/>
    </row>
    <row r="10" spans="1:13" ht="15.75">
      <c r="A10" s="49" t="s">
        <v>91</v>
      </c>
      <c r="C10" s="570">
        <v>-3418.47</v>
      </c>
      <c r="D10" s="36"/>
      <c r="F10" s="169" t="s">
        <v>44</v>
      </c>
      <c r="G10" s="385"/>
      <c r="H10" s="167">
        <f>C57</f>
        <v>-60364.39</v>
      </c>
      <c r="I10" s="167"/>
      <c r="J10" s="167"/>
      <c r="K10" s="167">
        <f>H10</f>
        <v>-60364.39</v>
      </c>
      <c r="L10" s="167"/>
      <c r="M10" s="385"/>
    </row>
    <row r="11" spans="1:13">
      <c r="A11" s="66" t="s">
        <v>145</v>
      </c>
      <c r="C11" s="100">
        <f>SUM(C8:C10)</f>
        <v>194540.99</v>
      </c>
      <c r="D11" s="36"/>
      <c r="F11" s="169" t="s">
        <v>45</v>
      </c>
      <c r="G11" s="385"/>
      <c r="H11" s="170">
        <f>C58</f>
        <v>-38982.51</v>
      </c>
      <c r="I11" s="167"/>
      <c r="J11" s="167"/>
      <c r="K11" s="170"/>
      <c r="L11" s="170">
        <f>H11</f>
        <v>-38982.51</v>
      </c>
      <c r="M11" s="385"/>
    </row>
    <row r="12" spans="1:13" ht="15.75">
      <c r="A12" s="384" t="s">
        <v>165</v>
      </c>
      <c r="C12" s="569">
        <f>190268.51-1841.12</f>
        <v>188427.39</v>
      </c>
      <c r="D12" s="36"/>
      <c r="F12" s="169" t="s">
        <v>138</v>
      </c>
      <c r="G12" s="385"/>
      <c r="H12" s="167">
        <f>H9+H10+H11</f>
        <v>-1922609.8799999994</v>
      </c>
      <c r="I12" s="167" t="s">
        <v>317</v>
      </c>
      <c r="J12" s="167"/>
      <c r="K12" s="167">
        <f>SUM(K9:K11)</f>
        <v>-1181306.4701039996</v>
      </c>
      <c r="L12" s="167">
        <f>SUM(L9:L11)</f>
        <v>-741303.40989599982</v>
      </c>
      <c r="M12" s="385"/>
    </row>
    <row r="13" spans="1:13" ht="16.5" thickBot="1">
      <c r="A13" s="49" t="s">
        <v>166</v>
      </c>
      <c r="C13" s="555">
        <v>0</v>
      </c>
      <c r="D13" s="36"/>
      <c r="F13" s="171"/>
      <c r="G13" s="172"/>
      <c r="H13" s="173"/>
      <c r="I13" s="174"/>
      <c r="J13" s="173"/>
      <c r="K13" s="168"/>
      <c r="L13" s="173"/>
      <c r="M13" s="385"/>
    </row>
    <row r="14" spans="1:13" ht="16.5" thickBot="1">
      <c r="A14" s="66" t="s">
        <v>92</v>
      </c>
      <c r="C14" s="100">
        <f>SUM(C12:C13)</f>
        <v>188427.39</v>
      </c>
      <c r="D14" s="37"/>
      <c r="F14" s="50" t="s">
        <v>69</v>
      </c>
      <c r="G14" s="175"/>
      <c r="H14" s="125">
        <f>H12+H7</f>
        <v>307375.15000000084</v>
      </c>
      <c r="I14" s="176">
        <f>SUM(I7:I13)</f>
        <v>1572808.4416590002</v>
      </c>
      <c r="J14" s="176">
        <f>SUM(J7:J13)</f>
        <v>657176.58834100014</v>
      </c>
      <c r="K14" s="176">
        <f>K12</f>
        <v>-1181306.4701039996</v>
      </c>
      <c r="L14" s="176">
        <f>L12</f>
        <v>-741303.40989599982</v>
      </c>
      <c r="M14" s="385"/>
    </row>
    <row r="15" spans="1:13" ht="15.75">
      <c r="A15" s="384" t="s">
        <v>183</v>
      </c>
      <c r="C15" s="569">
        <f>444595.13-4302.9</f>
        <v>440292.23</v>
      </c>
      <c r="D15" s="36"/>
      <c r="F15" s="171"/>
      <c r="G15" s="172" t="s">
        <v>102</v>
      </c>
      <c r="H15" s="173">
        <f>H14-C61</f>
        <v>0</v>
      </c>
      <c r="I15" s="177"/>
      <c r="J15" s="173">
        <f>J7+I7-H7</f>
        <v>0</v>
      </c>
      <c r="K15" s="385"/>
      <c r="L15" s="173">
        <f>H12-K14-L14</f>
        <v>0</v>
      </c>
      <c r="M15" s="385"/>
    </row>
    <row r="16" spans="1:13" ht="15.75">
      <c r="A16" s="49" t="s">
        <v>184</v>
      </c>
      <c r="C16" s="555">
        <v>0</v>
      </c>
      <c r="D16" s="36"/>
      <c r="F16" s="178"/>
      <c r="G16" s="172"/>
      <c r="H16" s="179"/>
      <c r="I16" s="180"/>
      <c r="J16" s="179"/>
      <c r="K16" s="385"/>
      <c r="L16" s="179"/>
      <c r="M16" s="385"/>
    </row>
    <row r="17" spans="1:13" ht="15.75" thickBot="1">
      <c r="A17" s="66" t="s">
        <v>185</v>
      </c>
      <c r="C17" s="100">
        <f>SUM(C15:C16)</f>
        <v>440292.23</v>
      </c>
      <c r="D17" s="37"/>
      <c r="F17" s="171"/>
      <c r="G17" s="172"/>
      <c r="H17" s="179"/>
      <c r="I17" s="180"/>
      <c r="J17" s="183"/>
      <c r="K17" s="385"/>
      <c r="L17" s="179"/>
      <c r="M17" s="385"/>
    </row>
    <row r="18" spans="1:13" ht="16.5" thickBot="1">
      <c r="A18" s="384" t="s">
        <v>163</v>
      </c>
      <c r="C18" s="569">
        <f>-1586.97+10413+64675.04</f>
        <v>73501.070000000007</v>
      </c>
      <c r="D18" s="36"/>
      <c r="F18" s="646" t="s">
        <v>134</v>
      </c>
      <c r="G18" s="647"/>
      <c r="H18" s="647"/>
      <c r="I18" s="648"/>
      <c r="J18" s="646" t="s">
        <v>135</v>
      </c>
      <c r="K18" s="647"/>
      <c r="L18" s="647"/>
      <c r="M18" s="648"/>
    </row>
    <row r="19" spans="1:13" ht="15.75">
      <c r="A19" s="46" t="s">
        <v>164</v>
      </c>
      <c r="C19" s="570">
        <f>-4284.96</f>
        <v>-4284.96</v>
      </c>
      <c r="D19" s="36"/>
      <c r="F19" s="201" t="s">
        <v>108</v>
      </c>
      <c r="G19" s="164" t="s">
        <v>33</v>
      </c>
      <c r="H19" s="164" t="s">
        <v>33</v>
      </c>
      <c r="I19" s="164" t="s">
        <v>33</v>
      </c>
      <c r="J19" s="201" t="s">
        <v>108</v>
      </c>
      <c r="K19" s="164" t="s">
        <v>33</v>
      </c>
      <c r="L19" s="164" t="s">
        <v>33</v>
      </c>
      <c r="M19" s="185" t="s">
        <v>33</v>
      </c>
    </row>
    <row r="20" spans="1:13" ht="16.5" thickBot="1">
      <c r="A20" s="67" t="s">
        <v>93</v>
      </c>
      <c r="C20" s="100">
        <f>SUM(C18:C19)</f>
        <v>69216.11</v>
      </c>
      <c r="D20" s="36"/>
      <c r="F20" s="195" t="s">
        <v>162</v>
      </c>
      <c r="G20" s="165" t="s">
        <v>101</v>
      </c>
      <c r="H20" s="165" t="s">
        <v>36</v>
      </c>
      <c r="I20" s="165" t="s">
        <v>34</v>
      </c>
      <c r="J20" s="195" t="s">
        <v>162</v>
      </c>
      <c r="K20" s="165" t="s">
        <v>101</v>
      </c>
      <c r="L20" s="165" t="s">
        <v>36</v>
      </c>
      <c r="M20" s="165" t="s">
        <v>34</v>
      </c>
    </row>
    <row r="21" spans="1:13" ht="15.75">
      <c r="A21" s="46" t="s">
        <v>149</v>
      </c>
      <c r="C21" s="570">
        <f>1850-129.71</f>
        <v>1720.29</v>
      </c>
      <c r="D21" s="36"/>
      <c r="F21" s="184"/>
      <c r="G21" s="12"/>
      <c r="H21" s="12"/>
      <c r="I21" s="185"/>
      <c r="J21" s="129"/>
      <c r="K21" s="13"/>
      <c r="L21" s="13"/>
      <c r="M21" s="205"/>
    </row>
    <row r="22" spans="1:13" ht="18" customHeight="1">
      <c r="A22" s="65" t="s">
        <v>149</v>
      </c>
      <c r="C22" s="100">
        <f>SUM(C21)</f>
        <v>1720.29</v>
      </c>
      <c r="D22" s="36"/>
      <c r="F22" s="199" t="s">
        <v>126</v>
      </c>
      <c r="G22" s="7"/>
      <c r="H22" s="7"/>
      <c r="I22" s="98"/>
      <c r="J22" s="199" t="s">
        <v>126</v>
      </c>
      <c r="K22" s="7"/>
      <c r="L22" s="7"/>
      <c r="M22" s="98"/>
    </row>
    <row r="23" spans="1:13" ht="15.75">
      <c r="A23" s="208" t="s">
        <v>180</v>
      </c>
      <c r="C23" s="100">
        <v>0</v>
      </c>
      <c r="D23" s="36"/>
      <c r="F23" s="200" t="s">
        <v>37</v>
      </c>
      <c r="G23" s="564">
        <v>2080707</v>
      </c>
      <c r="H23" s="597">
        <v>0.12678</v>
      </c>
      <c r="I23" s="196">
        <f t="shared" ref="I23:I31" si="0">G23*H23</f>
        <v>263792.03346000001</v>
      </c>
      <c r="J23" s="200" t="s">
        <v>37</v>
      </c>
      <c r="K23" s="564">
        <v>986275</v>
      </c>
      <c r="L23" s="597">
        <v>0.11330999999999999</v>
      </c>
      <c r="M23" s="196">
        <f>K23*L23</f>
        <v>111754.82024999999</v>
      </c>
    </row>
    <row r="24" spans="1:13" ht="15.75">
      <c r="A24" s="208" t="s">
        <v>186</v>
      </c>
      <c r="C24" s="312">
        <v>0</v>
      </c>
      <c r="D24" s="36"/>
      <c r="F24" s="200" t="s">
        <v>305</v>
      </c>
      <c r="G24" s="564">
        <v>2393</v>
      </c>
      <c r="H24" s="597">
        <v>0.12678</v>
      </c>
      <c r="I24" s="196">
        <f t="shared" si="0"/>
        <v>303.38454000000002</v>
      </c>
      <c r="J24" s="200" t="s">
        <v>38</v>
      </c>
      <c r="K24" s="564">
        <v>1366641</v>
      </c>
      <c r="L24" s="597">
        <v>0.11330999999999999</v>
      </c>
      <c r="M24" s="196">
        <f t="shared" ref="M24:M27" si="1">K24*L24</f>
        <v>154854.09170999998</v>
      </c>
    </row>
    <row r="25" spans="1:13" ht="15.75">
      <c r="A25" s="208" t="s">
        <v>189</v>
      </c>
      <c r="C25" s="314">
        <v>0</v>
      </c>
      <c r="D25" s="36"/>
      <c r="F25" s="200" t="s">
        <v>38</v>
      </c>
      <c r="G25" s="564">
        <v>1463939</v>
      </c>
      <c r="H25" s="597">
        <v>0.11865000000000001</v>
      </c>
      <c r="I25" s="196">
        <f t="shared" si="0"/>
        <v>173696.36235000001</v>
      </c>
      <c r="J25" s="200" t="s">
        <v>39</v>
      </c>
      <c r="K25" s="564">
        <v>82239</v>
      </c>
      <c r="L25" s="597">
        <v>0.11330999999999999</v>
      </c>
      <c r="M25" s="196">
        <f t="shared" si="1"/>
        <v>9318.5010899999997</v>
      </c>
    </row>
    <row r="26" spans="1:13" ht="15.75">
      <c r="A26" s="209" t="s">
        <v>188</v>
      </c>
      <c r="C26" s="315">
        <v>0</v>
      </c>
      <c r="D26" s="36"/>
      <c r="F26" s="200" t="s">
        <v>39</v>
      </c>
      <c r="G26" s="564">
        <v>0</v>
      </c>
      <c r="H26" s="597">
        <v>0.11865000000000001</v>
      </c>
      <c r="I26" s="196">
        <f t="shared" si="0"/>
        <v>0</v>
      </c>
      <c r="J26" s="200" t="s">
        <v>40</v>
      </c>
      <c r="K26" s="564">
        <v>0</v>
      </c>
      <c r="L26" s="597">
        <v>0.11330999999999999</v>
      </c>
      <c r="M26" s="196">
        <f t="shared" si="1"/>
        <v>0</v>
      </c>
    </row>
    <row r="27" spans="1:13" ht="15.75">
      <c r="A27" s="65" t="s">
        <v>96</v>
      </c>
      <c r="C27" s="100">
        <f>SUM(C23:C26)</f>
        <v>0</v>
      </c>
      <c r="D27" s="36"/>
      <c r="F27" s="200" t="s">
        <v>40</v>
      </c>
      <c r="G27" s="564">
        <v>291721</v>
      </c>
      <c r="H27" s="597">
        <v>0.11541</v>
      </c>
      <c r="I27" s="196">
        <f t="shared" si="0"/>
        <v>33667.52061</v>
      </c>
      <c r="J27" s="200" t="s">
        <v>41</v>
      </c>
      <c r="K27" s="564">
        <v>0</v>
      </c>
      <c r="L27" s="597">
        <v>0.11330999999999999</v>
      </c>
      <c r="M27" s="196">
        <f t="shared" si="1"/>
        <v>0</v>
      </c>
    </row>
    <row r="28" spans="1:13" ht="16.5" thickBot="1">
      <c r="A28" s="210" t="s">
        <v>150</v>
      </c>
      <c r="C28" s="312">
        <v>0</v>
      </c>
      <c r="D28" s="37"/>
      <c r="F28" s="200" t="s">
        <v>41</v>
      </c>
      <c r="G28" s="564">
        <v>24662</v>
      </c>
      <c r="H28" s="597">
        <v>0.11541</v>
      </c>
      <c r="I28" s="196">
        <f t="shared" si="0"/>
        <v>2846.2414199999998</v>
      </c>
      <c r="J28" s="199" t="s">
        <v>127</v>
      </c>
      <c r="K28" s="181">
        <f>SUM(K23:K27)</f>
        <v>2435155</v>
      </c>
      <c r="L28" s="182"/>
      <c r="M28" s="197">
        <f>SUM(M23:M27)</f>
        <v>275927.41304999992</v>
      </c>
    </row>
    <row r="29" spans="1:13" ht="17.25" thickTop="1" thickBot="1">
      <c r="A29" s="210" t="s">
        <v>167</v>
      </c>
      <c r="B29" s="385"/>
      <c r="C29" s="312">
        <v>0</v>
      </c>
      <c r="D29" s="36"/>
      <c r="F29" s="200" t="s">
        <v>42</v>
      </c>
      <c r="G29" s="564">
        <v>0</v>
      </c>
      <c r="H29" s="597">
        <v>7.4310000000000001E-2</v>
      </c>
      <c r="I29" s="196">
        <f t="shared" si="0"/>
        <v>0</v>
      </c>
      <c r="J29" s="199"/>
      <c r="K29" s="231">
        <v>2435155</v>
      </c>
      <c r="L29" s="187" t="s">
        <v>102</v>
      </c>
      <c r="M29" s="465">
        <f>M28/K28</f>
        <v>0.11330999999999997</v>
      </c>
    </row>
    <row r="30" spans="1:13" ht="16.5" thickBot="1">
      <c r="A30" s="2" t="s">
        <v>111</v>
      </c>
      <c r="C30" s="125">
        <f>C7+C11+C14+C17+C20+C22+C27+C28+C29</f>
        <v>2292755.2400000002</v>
      </c>
      <c r="D30" s="37"/>
      <c r="F30" s="200" t="s">
        <v>43</v>
      </c>
      <c r="G30" s="564">
        <v>23786</v>
      </c>
      <c r="H30" s="597">
        <v>7.4310000000000001E-2</v>
      </c>
      <c r="I30" s="196">
        <f t="shared" si="0"/>
        <v>1767.53766</v>
      </c>
      <c r="J30" s="200"/>
      <c r="K30" s="230">
        <f>K28-K29</f>
        <v>0</v>
      </c>
      <c r="L30" s="182"/>
      <c r="M30" s="198"/>
    </row>
    <row r="31" spans="1:13" ht="15.75">
      <c r="A31" s="384" t="s">
        <v>112</v>
      </c>
      <c r="C31" s="569">
        <v>-17801.02</v>
      </c>
      <c r="D31" s="39"/>
      <c r="F31" s="200" t="s">
        <v>74</v>
      </c>
      <c r="G31" s="564">
        <v>2338940</v>
      </c>
      <c r="H31" s="597">
        <v>5.4000000000000001E-4</v>
      </c>
      <c r="I31" s="196">
        <f t="shared" si="0"/>
        <v>1263.0276000000001</v>
      </c>
      <c r="J31" s="153"/>
      <c r="K31" s="7"/>
      <c r="L31" s="182"/>
      <c r="M31" s="198"/>
    </row>
    <row r="32" spans="1:13" ht="16.5" thickBot="1">
      <c r="A32" s="2" t="s">
        <v>116</v>
      </c>
      <c r="B32" s="2" t="s">
        <v>117</v>
      </c>
      <c r="C32" s="573">
        <f>C30+C31</f>
        <v>2274954.2200000002</v>
      </c>
      <c r="D32" s="40"/>
      <c r="F32" s="199" t="s">
        <v>127</v>
      </c>
      <c r="G32" s="181">
        <f>SUM(G23:G31)</f>
        <v>6226148</v>
      </c>
      <c r="H32" s="7"/>
      <c r="I32" s="197">
        <f>SUM(I23:I31)</f>
        <v>477336.10763999994</v>
      </c>
      <c r="J32" s="192"/>
      <c r="K32" s="193"/>
      <c r="L32" s="7"/>
      <c r="M32" s="190"/>
    </row>
    <row r="33" spans="1:17" ht="17.25" thickTop="1" thickBot="1">
      <c r="A33" s="384" t="s">
        <v>113</v>
      </c>
      <c r="C33" s="573">
        <f>-C5-C9-C13-C16-C19</f>
        <v>-44969.189999999995</v>
      </c>
      <c r="D33" s="36"/>
      <c r="F33" s="186"/>
      <c r="G33" s="231">
        <v>6226148</v>
      </c>
      <c r="H33" s="187" t="s">
        <v>102</v>
      </c>
      <c r="I33" s="216">
        <f>I32/G32</f>
        <v>7.6666360587637802E-2</v>
      </c>
      <c r="J33" s="192"/>
      <c r="K33" s="193"/>
      <c r="L33" s="7"/>
      <c r="M33" s="98"/>
    </row>
    <row r="34" spans="1:17" ht="16.5" thickBot="1">
      <c r="A34" s="2" t="s">
        <v>114</v>
      </c>
      <c r="C34" s="125">
        <f>SUM(C32:C33)</f>
        <v>2229985.0300000003</v>
      </c>
      <c r="D34" s="36"/>
      <c r="F34" s="153"/>
      <c r="G34" s="230">
        <f>G32-G33</f>
        <v>0</v>
      </c>
      <c r="H34" s="7"/>
      <c r="I34" s="98"/>
      <c r="J34" s="192"/>
      <c r="K34" s="191"/>
      <c r="L34" s="7"/>
      <c r="M34" s="98"/>
    </row>
    <row r="35" spans="1:17" ht="18" customHeight="1">
      <c r="A35" s="2"/>
      <c r="C35" s="101"/>
      <c r="D35" s="36"/>
      <c r="F35" s="184"/>
      <c r="G35" s="12"/>
      <c r="H35" s="12"/>
      <c r="I35" s="185"/>
      <c r="J35" s="199" t="s">
        <v>128</v>
      </c>
      <c r="K35" s="644"/>
      <c r="L35" s="644"/>
      <c r="M35" s="645"/>
    </row>
    <row r="36" spans="1:17" ht="15.75">
      <c r="A36" s="16" t="s">
        <v>94</v>
      </c>
      <c r="B36" s="2"/>
      <c r="C36" s="100"/>
      <c r="D36" s="36"/>
      <c r="F36" s="199" t="s">
        <v>128</v>
      </c>
      <c r="G36" s="7"/>
      <c r="H36" s="7"/>
      <c r="I36" s="98"/>
      <c r="J36" s="200" t="s">
        <v>37</v>
      </c>
      <c r="K36" s="608">
        <f>K23</f>
        <v>986275</v>
      </c>
      <c r="L36" s="597">
        <v>0.23895</v>
      </c>
      <c r="M36" s="196">
        <f t="shared" ref="M36:M42" si="2">K36*L36</f>
        <v>235670.41125</v>
      </c>
      <c r="P36" s="273"/>
      <c r="Q36" s="273"/>
    </row>
    <row r="37" spans="1:17" ht="15.75">
      <c r="A37" s="7" t="s">
        <v>129</v>
      </c>
      <c r="B37" s="532" t="s">
        <v>115</v>
      </c>
      <c r="C37" s="569">
        <v>7642183.6399999997</v>
      </c>
      <c r="D37" s="36"/>
      <c r="F37" s="200" t="s">
        <v>37</v>
      </c>
      <c r="G37" s="608">
        <f>G23</f>
        <v>2080707</v>
      </c>
      <c r="H37" s="597">
        <v>0.23860000000000001</v>
      </c>
      <c r="I37" s="196">
        <f t="shared" ref="I37:I44" si="3">G37*H37</f>
        <v>496456.69020000001</v>
      </c>
      <c r="J37" s="200" t="s">
        <v>38</v>
      </c>
      <c r="K37" s="608">
        <f>K24</f>
        <v>1366641</v>
      </c>
      <c r="L37" s="597">
        <v>0.23895</v>
      </c>
      <c r="M37" s="196">
        <f t="shared" si="2"/>
        <v>326558.86695</v>
      </c>
      <c r="P37" s="273"/>
      <c r="Q37" s="273"/>
    </row>
    <row r="38" spans="1:17" ht="15.75">
      <c r="A38" s="144" t="s">
        <v>14</v>
      </c>
      <c r="B38" s="532" t="s">
        <v>115</v>
      </c>
      <c r="C38" s="569">
        <v>0</v>
      </c>
      <c r="D38" s="36"/>
      <c r="F38" s="200" t="s">
        <v>305</v>
      </c>
      <c r="G38" s="608">
        <f>G24</f>
        <v>2393</v>
      </c>
      <c r="H38" s="597">
        <v>0.23860000000000001</v>
      </c>
      <c r="I38" s="196">
        <f t="shared" si="3"/>
        <v>570.96979999999996</v>
      </c>
      <c r="J38" s="200" t="s">
        <v>39</v>
      </c>
      <c r="K38" s="608">
        <f>K25</f>
        <v>82239</v>
      </c>
      <c r="L38" s="597">
        <v>0.23895</v>
      </c>
      <c r="M38" s="196">
        <f t="shared" si="2"/>
        <v>19651.009050000001</v>
      </c>
      <c r="P38" s="273"/>
      <c r="Q38" s="273"/>
    </row>
    <row r="39" spans="1:17" ht="15.75">
      <c r="A39" s="7" t="s">
        <v>146</v>
      </c>
      <c r="B39" s="532" t="s">
        <v>147</v>
      </c>
      <c r="C39" s="569">
        <v>-54851.29</v>
      </c>
      <c r="D39" s="36"/>
      <c r="F39" s="200" t="s">
        <v>38</v>
      </c>
      <c r="G39" s="608">
        <f t="shared" ref="G39:G44" si="4">G25</f>
        <v>1463939</v>
      </c>
      <c r="H39" s="597">
        <v>0.23860000000000001</v>
      </c>
      <c r="I39" s="196">
        <f t="shared" si="3"/>
        <v>349295.84539999999</v>
      </c>
      <c r="J39" s="200" t="s">
        <v>40</v>
      </c>
      <c r="K39" s="608">
        <f>K26</f>
        <v>0</v>
      </c>
      <c r="L39" s="597">
        <v>0.23895</v>
      </c>
      <c r="M39" s="196">
        <f t="shared" si="2"/>
        <v>0</v>
      </c>
      <c r="P39" s="273"/>
      <c r="Q39" s="273"/>
    </row>
    <row r="40" spans="1:17" ht="15.75">
      <c r="A40" s="7" t="s">
        <v>131</v>
      </c>
      <c r="B40" s="532" t="s">
        <v>132</v>
      </c>
      <c r="C40" s="569">
        <v>306159.90999999997</v>
      </c>
      <c r="D40" s="36"/>
      <c r="F40" s="200" t="s">
        <v>39</v>
      </c>
      <c r="G40" s="608">
        <f t="shared" si="4"/>
        <v>0</v>
      </c>
      <c r="H40" s="597">
        <v>0.23860000000000001</v>
      </c>
      <c r="I40" s="196">
        <f t="shared" si="3"/>
        <v>0</v>
      </c>
      <c r="J40" s="200" t="s">
        <v>41</v>
      </c>
      <c r="K40" s="608">
        <f>K27</f>
        <v>0</v>
      </c>
      <c r="L40" s="597">
        <v>0.23895</v>
      </c>
      <c r="M40" s="196">
        <f t="shared" si="2"/>
        <v>0</v>
      </c>
      <c r="P40" s="273"/>
      <c r="Q40" s="273"/>
    </row>
    <row r="41" spans="1:17" ht="15.75">
      <c r="A41" s="7" t="s">
        <v>153</v>
      </c>
      <c r="B41" s="6" t="s">
        <v>155</v>
      </c>
      <c r="C41" s="569">
        <v>54490.6</v>
      </c>
      <c r="D41" s="36"/>
      <c r="F41" s="200" t="s">
        <v>40</v>
      </c>
      <c r="G41" s="608">
        <f t="shared" si="4"/>
        <v>291721</v>
      </c>
      <c r="H41" s="597">
        <v>0.23860000000000001</v>
      </c>
      <c r="I41" s="196">
        <f t="shared" si="3"/>
        <v>69604.630600000004</v>
      </c>
      <c r="J41" s="200" t="s">
        <v>42</v>
      </c>
      <c r="K41" s="564">
        <v>0</v>
      </c>
      <c r="L41" s="597">
        <v>0.23895</v>
      </c>
      <c r="M41" s="196">
        <f t="shared" si="2"/>
        <v>0</v>
      </c>
      <c r="P41" s="273"/>
      <c r="Q41" s="273"/>
    </row>
    <row r="42" spans="1:17" ht="16.5" thickBot="1">
      <c r="A42" s="7" t="s">
        <v>178</v>
      </c>
      <c r="B42" s="532" t="s">
        <v>179</v>
      </c>
      <c r="C42" s="569">
        <v>350599.55</v>
      </c>
      <c r="D42" s="37"/>
      <c r="F42" s="200" t="s">
        <v>41</v>
      </c>
      <c r="G42" s="608">
        <f t="shared" si="4"/>
        <v>24662</v>
      </c>
      <c r="H42" s="597">
        <v>0.23860000000000001</v>
      </c>
      <c r="I42" s="196">
        <f t="shared" si="3"/>
        <v>5884.3532000000005</v>
      </c>
      <c r="J42" s="200" t="s">
        <v>43</v>
      </c>
      <c r="K42" s="609">
        <v>0</v>
      </c>
      <c r="L42" s="597">
        <v>0.23895</v>
      </c>
      <c r="M42" s="196">
        <f t="shared" si="2"/>
        <v>0</v>
      </c>
      <c r="P42" s="273"/>
      <c r="Q42" s="273"/>
    </row>
    <row r="43" spans="1:17" ht="16.5" thickBot="1">
      <c r="A43" s="85" t="s">
        <v>123</v>
      </c>
      <c r="B43" s="12"/>
      <c r="C43" s="125">
        <f>SUM(C37:C42)</f>
        <v>8298582.4099999992</v>
      </c>
      <c r="D43" s="36"/>
      <c r="F43" s="200" t="s">
        <v>42</v>
      </c>
      <c r="G43" s="608">
        <f t="shared" si="4"/>
        <v>0</v>
      </c>
      <c r="H43" s="597">
        <v>0.23860000000000001</v>
      </c>
      <c r="I43" s="196">
        <f t="shared" si="3"/>
        <v>0</v>
      </c>
      <c r="J43" s="199" t="s">
        <v>133</v>
      </c>
      <c r="K43" s="181">
        <f>SUM(K36:K42)</f>
        <v>2435155</v>
      </c>
      <c r="L43" s="182"/>
      <c r="M43" s="197">
        <f>SUM(M36:M42)</f>
        <v>581880.28725000005</v>
      </c>
    </row>
    <row r="44" spans="1:17" ht="16.5" thickBot="1">
      <c r="A44" s="83" t="s">
        <v>177</v>
      </c>
      <c r="B44" s="84" t="s">
        <v>120</v>
      </c>
      <c r="C44" s="569">
        <f>-2108794.83+422385.48</f>
        <v>-1686409.35</v>
      </c>
      <c r="D44" s="37"/>
      <c r="F44" s="200" t="s">
        <v>43</v>
      </c>
      <c r="G44" s="608">
        <f t="shared" si="4"/>
        <v>23786</v>
      </c>
      <c r="H44" s="597">
        <v>0.23860000000000001</v>
      </c>
      <c r="I44" s="196">
        <f t="shared" si="3"/>
        <v>5675.3396000000002</v>
      </c>
      <c r="J44" s="194"/>
      <c r="K44" s="232">
        <v>2435155</v>
      </c>
      <c r="L44" s="189" t="s">
        <v>102</v>
      </c>
      <c r="M44" s="217">
        <f>M43/K43</f>
        <v>0.23895000000000002</v>
      </c>
    </row>
    <row r="45" spans="1:17" ht="16.5" thickBot="1">
      <c r="A45" s="211" t="s">
        <v>168</v>
      </c>
      <c r="B45" s="6" t="s">
        <v>115</v>
      </c>
      <c r="C45" s="122">
        <v>0</v>
      </c>
      <c r="D45" s="39"/>
      <c r="F45" s="199" t="s">
        <v>133</v>
      </c>
      <c r="G45" s="181">
        <f>SUM(G37:G44)</f>
        <v>3887208</v>
      </c>
      <c r="H45" s="182"/>
      <c r="I45" s="197">
        <f>SUM(I37:I44)</f>
        <v>927487.82880000002</v>
      </c>
      <c r="J45" s="85"/>
      <c r="K45" s="231"/>
      <c r="L45" s="187"/>
      <c r="M45" s="556"/>
    </row>
    <row r="46" spans="1:17" ht="19.5" customHeight="1" thickTop="1" thickBot="1">
      <c r="A46" s="144" t="s">
        <v>169</v>
      </c>
      <c r="B46" s="6" t="s">
        <v>115</v>
      </c>
      <c r="C46" s="122">
        <v>0</v>
      </c>
      <c r="D46" s="40"/>
      <c r="F46" s="188"/>
      <c r="G46" s="232">
        <v>3887208</v>
      </c>
      <c r="H46" s="189" t="s">
        <v>102</v>
      </c>
      <c r="I46" s="215">
        <f>I45/G45</f>
        <v>0.23860000000000001</v>
      </c>
      <c r="J46" s="85"/>
      <c r="K46" s="231"/>
      <c r="L46" s="187"/>
      <c r="M46" s="556"/>
    </row>
    <row r="47" spans="1:17" ht="19.5" customHeight="1">
      <c r="A47" s="384" t="s">
        <v>137</v>
      </c>
      <c r="B47" s="6" t="s">
        <v>115</v>
      </c>
      <c r="C47" s="569">
        <v>0</v>
      </c>
      <c r="D47" s="36"/>
      <c r="F47" s="385"/>
      <c r="G47" s="230">
        <f>G45-G46</f>
        <v>0</v>
      </c>
      <c r="H47" s="385"/>
      <c r="I47" s="385"/>
      <c r="J47" s="124"/>
      <c r="K47" s="230">
        <f>K43-K44</f>
        <v>0</v>
      </c>
      <c r="L47" s="385"/>
      <c r="M47" s="124"/>
    </row>
    <row r="48" spans="1:17" ht="16.5" thickBot="1">
      <c r="A48" s="144" t="s">
        <v>304</v>
      </c>
      <c r="B48" s="6" t="s">
        <v>115</v>
      </c>
      <c r="C48" s="569">
        <v>7000</v>
      </c>
      <c r="D48" s="36"/>
      <c r="F48" s="385"/>
      <c r="G48" s="385"/>
      <c r="H48" s="385"/>
      <c r="I48" s="385"/>
      <c r="J48" s="124"/>
      <c r="K48" s="114"/>
      <c r="L48" s="385"/>
      <c r="M48" s="68"/>
    </row>
    <row r="49" spans="1:21" ht="15.75">
      <c r="A49" s="7" t="s">
        <v>130</v>
      </c>
      <c r="B49" s="532" t="s">
        <v>152</v>
      </c>
      <c r="C49" s="569">
        <v>17272.150000000001</v>
      </c>
      <c r="D49" s="36"/>
      <c r="F49" s="385"/>
      <c r="G49" s="114"/>
      <c r="H49" s="129" t="s">
        <v>35</v>
      </c>
      <c r="I49" s="13" t="s">
        <v>35</v>
      </c>
      <c r="J49" s="13" t="s">
        <v>63</v>
      </c>
      <c r="K49" s="127" t="s">
        <v>70</v>
      </c>
      <c r="L49" s="124"/>
      <c r="M49" s="385"/>
    </row>
    <row r="50" spans="1:21" ht="16.5" thickBot="1">
      <c r="A50" s="7" t="s">
        <v>222</v>
      </c>
      <c r="B50" s="532" t="s">
        <v>152</v>
      </c>
      <c r="C50" s="569">
        <v>1011.96</v>
      </c>
      <c r="D50" s="37"/>
      <c r="F50" s="50" t="s">
        <v>73</v>
      </c>
      <c r="G50" s="385"/>
      <c r="H50" s="130" t="s">
        <v>2</v>
      </c>
      <c r="I50" s="131" t="s">
        <v>3</v>
      </c>
      <c r="J50" s="131" t="s">
        <v>2</v>
      </c>
      <c r="K50" s="128" t="s">
        <v>3</v>
      </c>
      <c r="L50" s="385"/>
      <c r="M50" s="385"/>
    </row>
    <row r="51" spans="1:21" ht="15.75">
      <c r="A51" s="7" t="s">
        <v>308</v>
      </c>
      <c r="B51" s="532" t="s">
        <v>152</v>
      </c>
      <c r="C51" s="569">
        <v>4806.32</v>
      </c>
      <c r="D51" s="36"/>
      <c r="F51" s="385"/>
      <c r="G51" s="385"/>
      <c r="H51" s="151"/>
      <c r="I51" s="152"/>
      <c r="J51" s="152"/>
      <c r="K51" s="152"/>
      <c r="L51" s="126" t="s">
        <v>103</v>
      </c>
      <c r="M51" s="385"/>
    </row>
    <row r="52" spans="1:21" ht="15.75">
      <c r="A52" s="22" t="s">
        <v>118</v>
      </c>
      <c r="B52" s="6"/>
      <c r="C52" s="601">
        <f>-C33</f>
        <v>44969.189999999995</v>
      </c>
      <c r="D52" s="33"/>
      <c r="F52" s="385" t="s">
        <v>136</v>
      </c>
      <c r="G52" s="385"/>
      <c r="H52" s="212">
        <f>K12</f>
        <v>-1181306.4701039996</v>
      </c>
      <c r="I52" s="115">
        <f>I14</f>
        <v>1572808.4416590002</v>
      </c>
      <c r="J52" s="115">
        <f>L12</f>
        <v>-741303.40989599982</v>
      </c>
      <c r="K52" s="115">
        <f>J14</f>
        <v>657176.58834100014</v>
      </c>
      <c r="L52" s="132">
        <f>SUM(H52:K52)</f>
        <v>307375.15000000095</v>
      </c>
      <c r="M52" s="385"/>
    </row>
    <row r="53" spans="1:21" ht="16.5" thickBot="1">
      <c r="A53" s="385" t="s">
        <v>315</v>
      </c>
      <c r="B53" s="606" t="s">
        <v>316</v>
      </c>
      <c r="C53" s="569">
        <f>10285.55+0.05+34210.61</f>
        <v>44496.21</v>
      </c>
      <c r="D53" s="33"/>
      <c r="F53" s="384" t="s">
        <v>109</v>
      </c>
      <c r="H53" s="212">
        <f>-I45</f>
        <v>-927487.82880000002</v>
      </c>
      <c r="I53" s="115">
        <f>-I32</f>
        <v>-477336.10763999994</v>
      </c>
      <c r="J53" s="115">
        <f>-M43</f>
        <v>-581880.28725000005</v>
      </c>
      <c r="K53" s="115">
        <f>-M28</f>
        <v>-275927.41304999992</v>
      </c>
      <c r="L53" s="261">
        <f>SUM(H53:K53)</f>
        <v>-2262631.63674</v>
      </c>
    </row>
    <row r="54" spans="1:21" ht="16.5" thickBot="1">
      <c r="A54" s="382" t="s">
        <v>124</v>
      </c>
      <c r="B54" s="473" t="s">
        <v>296</v>
      </c>
      <c r="C54" s="569">
        <f>-268611.14-3188020.17-4723360.56</f>
        <v>-8179991.8699999992</v>
      </c>
      <c r="D54" s="36"/>
      <c r="F54" s="384" t="s">
        <v>86</v>
      </c>
      <c r="H54" s="234">
        <v>0</v>
      </c>
      <c r="I54" s="235">
        <v>0</v>
      </c>
      <c r="J54" s="235">
        <v>0</v>
      </c>
      <c r="K54" s="236">
        <v>0</v>
      </c>
      <c r="L54" s="214">
        <f>SUM(L52:L53)</f>
        <v>-1955256.4867399991</v>
      </c>
    </row>
    <row r="55" spans="1:21" ht="16.5" thickBot="1">
      <c r="A55" s="384" t="s">
        <v>312</v>
      </c>
      <c r="B55" s="6" t="s">
        <v>190</v>
      </c>
      <c r="C55" s="569">
        <v>-375000</v>
      </c>
      <c r="D55" s="36"/>
      <c r="F55" s="384" t="s">
        <v>71</v>
      </c>
      <c r="H55" s="125">
        <f>IFERROR(H52+H53+H54,0)</f>
        <v>-2108794.2989039999</v>
      </c>
      <c r="I55" s="125">
        <f>I52+I53+I54</f>
        <v>1095472.3340190002</v>
      </c>
      <c r="J55" s="125">
        <f>IFERROR(J52+J53+J54,0)</f>
        <v>-1323183.6971459999</v>
      </c>
      <c r="K55" s="125">
        <f>K52+K53+K54</f>
        <v>381249.17529100023</v>
      </c>
      <c r="L55" s="47">
        <f>SUM(H55:K55)</f>
        <v>-1955256.4867399994</v>
      </c>
    </row>
    <row r="56" spans="1:21" ht="16.5" thickBot="1">
      <c r="A56" s="82" t="s">
        <v>119</v>
      </c>
      <c r="B56" s="84"/>
      <c r="C56" s="160">
        <f>SUM(C43:C55)</f>
        <v>-1823262.9799999995</v>
      </c>
      <c r="D56" s="36"/>
      <c r="F56" s="240" t="s">
        <v>181</v>
      </c>
      <c r="H56" s="384" t="s">
        <v>173</v>
      </c>
      <c r="I56" s="5">
        <f>SUM(H55:I55)</f>
        <v>-1013321.9648849997</v>
      </c>
      <c r="J56" s="15" t="s">
        <v>174</v>
      </c>
      <c r="K56" s="384">
        <f>SUM(J55:K55)</f>
        <v>-941934.52185499971</v>
      </c>
      <c r="L56" s="213">
        <f>ROUND(L54-L55,3)</f>
        <v>0</v>
      </c>
      <c r="T56" s="42"/>
    </row>
    <row r="57" spans="1:21" ht="16.5" thickTop="1">
      <c r="A57" s="384" t="s">
        <v>121</v>
      </c>
      <c r="B57" s="6" t="s">
        <v>115</v>
      </c>
      <c r="C57" s="569">
        <v>-60364.39</v>
      </c>
      <c r="D57" s="36"/>
      <c r="F57" s="397" t="s">
        <v>181</v>
      </c>
      <c r="H57" s="96"/>
    </row>
    <row r="58" spans="1:21" ht="16.5" thickBot="1">
      <c r="A58" s="384" t="s">
        <v>122</v>
      </c>
      <c r="B58" s="6" t="s">
        <v>115</v>
      </c>
      <c r="C58" s="569">
        <v>-38982.51</v>
      </c>
      <c r="D58" s="36"/>
      <c r="F58" s="397" t="s">
        <v>182</v>
      </c>
      <c r="H58" s="157"/>
      <c r="I58" s="120"/>
      <c r="J58" s="120"/>
      <c r="K58" s="204"/>
      <c r="L58" s="120"/>
    </row>
    <row r="59" spans="1:21" ht="16.5" thickBot="1">
      <c r="A59" s="2" t="s">
        <v>125</v>
      </c>
      <c r="B59" s="2"/>
      <c r="C59" s="160">
        <f>SUM(C56:C58)</f>
        <v>-1922609.8799999994</v>
      </c>
      <c r="D59" s="36"/>
      <c r="F59" s="543" t="s">
        <v>303</v>
      </c>
      <c r="G59" s="544" t="str">
        <f>IF(OR(AND(I56&gt;0,K56&gt;0),AND(I56&lt;0,K56&lt;0)),"OK","ERROR")</f>
        <v>OK</v>
      </c>
      <c r="H59" s="386" t="s">
        <v>294</v>
      </c>
      <c r="I59" s="387"/>
    </row>
    <row r="60" spans="1:21" ht="17.25" thickTop="1" thickBot="1">
      <c r="A60" s="2"/>
      <c r="C60" s="101"/>
      <c r="D60" s="36"/>
      <c r="H60" s="318" t="s">
        <v>175</v>
      </c>
      <c r="I60" s="319" t="s">
        <v>176</v>
      </c>
      <c r="J60" s="5"/>
    </row>
    <row r="61" spans="1:21" ht="16.5" thickBot="1">
      <c r="A61" s="9"/>
      <c r="B61" s="9" t="s">
        <v>95</v>
      </c>
      <c r="C61" s="125">
        <f>C59+C34</f>
        <v>307375.15000000084</v>
      </c>
      <c r="D61" s="36"/>
      <c r="H61" s="349" t="e">
        <f>SUM(#REF!,#REF!,#REF!,#REF!,#REF!,#REF!)</f>
        <v>#REF!</v>
      </c>
      <c r="I61" s="449" t="e">
        <f>SUM(#REF!,#REF!,#REF!,#REF!,#REF!,#REF!)</f>
        <v>#REF!</v>
      </c>
      <c r="J61" s="384">
        <f>H53+I53+J53+K53</f>
        <v>-2262631.63674</v>
      </c>
    </row>
    <row r="62" spans="1:21" ht="15.75">
      <c r="A62" s="2"/>
      <c r="B62" s="9" t="s">
        <v>160</v>
      </c>
      <c r="C62" s="607">
        <v>307375.15000000002</v>
      </c>
      <c r="D62" s="37"/>
      <c r="G62" s="5"/>
      <c r="I62" s="338" t="e">
        <f>H61-I61</f>
        <v>#REF!</v>
      </c>
      <c r="N62" s="5"/>
      <c r="O62" s="5"/>
      <c r="P62" s="21"/>
    </row>
    <row r="63" spans="1:21" ht="15.75">
      <c r="A63" s="9"/>
      <c r="B63" s="9" t="s">
        <v>159</v>
      </c>
      <c r="C63" s="257">
        <f>ROUND(C61-C62,2)</f>
        <v>0</v>
      </c>
      <c r="S63" s="6"/>
    </row>
    <row r="64" spans="1:21" ht="15.75">
      <c r="A64" s="44"/>
      <c r="C64" s="351"/>
      <c r="D64" s="36"/>
      <c r="N64" s="22"/>
      <c r="U64" s="2"/>
    </row>
    <row r="65" spans="1:21" ht="15.75">
      <c r="A65" s="44"/>
      <c r="C65" s="8"/>
      <c r="D65" s="43"/>
      <c r="N65" s="22"/>
      <c r="S65" s="23"/>
    </row>
    <row r="66" spans="1:21" ht="15.75">
      <c r="A66" s="2"/>
      <c r="C66" s="8"/>
      <c r="D66" s="36"/>
      <c r="N66" s="22"/>
      <c r="S66" s="24"/>
    </row>
    <row r="67" spans="1:21">
      <c r="C67" s="100"/>
      <c r="D67" s="36"/>
      <c r="N67" s="22"/>
      <c r="S67" s="25"/>
    </row>
    <row r="68" spans="1:21">
      <c r="D68" s="36"/>
      <c r="N68" s="22"/>
      <c r="S68" s="24"/>
    </row>
    <row r="69" spans="1:21">
      <c r="D69" s="36"/>
      <c r="N69" s="22"/>
    </row>
    <row r="70" spans="1:21">
      <c r="D70" s="37"/>
      <c r="N70" s="22"/>
      <c r="S70" s="26"/>
    </row>
    <row r="71" spans="1:21">
      <c r="D71" s="36"/>
    </row>
    <row r="72" spans="1:21">
      <c r="D72" s="36"/>
    </row>
    <row r="73" spans="1:21">
      <c r="D73" s="36"/>
      <c r="S73" s="27"/>
    </row>
    <row r="74" spans="1:21">
      <c r="D74" s="45"/>
      <c r="R74" s="6"/>
      <c r="S74" s="6"/>
      <c r="T74" s="6"/>
    </row>
    <row r="76" spans="1:21">
      <c r="U76" s="28"/>
    </row>
    <row r="1477" spans="3:3">
      <c r="C1477" s="384">
        <v>-2130</v>
      </c>
    </row>
    <row r="1485" spans="3:3">
      <c r="C1485" s="384">
        <f>7004298-2130</f>
        <v>7002168</v>
      </c>
    </row>
  </sheetData>
  <mergeCells count="3">
    <mergeCell ref="F18:I18"/>
    <mergeCell ref="J18:M18"/>
    <mergeCell ref="K35:M35"/>
  </mergeCells>
  <conditionalFormatting sqref="C63 L56 I62">
    <cfRule type="cellIs" dxfId="238" priority="7" stopIfTrue="1" operator="equal">
      <formula>0</formula>
    </cfRule>
    <cfRule type="cellIs" dxfId="237" priority="8" stopIfTrue="1" operator="notEqual">
      <formula>0</formula>
    </cfRule>
  </conditionalFormatting>
  <conditionalFormatting sqref="G34 G47 K30 K47">
    <cfRule type="cellIs" dxfId="236" priority="6" operator="notEqual">
      <formula>0</formula>
    </cfRule>
  </conditionalFormatting>
  <conditionalFormatting sqref="C63">
    <cfRule type="cellIs" dxfId="235" priority="4" stopIfTrue="1" operator="equal">
      <formula>0</formula>
    </cfRule>
    <cfRule type="cellIs" dxfId="234" priority="5" stopIfTrue="1" operator="notEqual">
      <formula>0</formula>
    </cfRule>
  </conditionalFormatting>
  <conditionalFormatting sqref="K30">
    <cfRule type="cellIs" dxfId="233" priority="3" operator="notEqual">
      <formula>0</formula>
    </cfRule>
  </conditionalFormatting>
  <conditionalFormatting sqref="G59">
    <cfRule type="cellIs" dxfId="232" priority="2" operator="equal">
      <formula>"ERROR"</formula>
    </cfRule>
  </conditionalFormatting>
  <conditionalFormatting sqref="G59">
    <cfRule type="cellIs" dxfId="231" priority="1" operator="equal">
      <formula>"ERROR"</formula>
    </cfRule>
  </conditionalFormatting>
  <printOptions verticalCentered="1" gridLinesSet="0"/>
  <pageMargins left="0.5" right="0" top="0.25" bottom="0.5" header="0" footer="0.25"/>
  <pageSetup scale="47" orientation="landscape" cellComments="asDisplayed" r:id="rId1"/>
  <headerFooter alignWithMargins="0">
    <oddFooter>&amp;L&amp;F&amp;C&amp;A&amp;R&amp;D&amp;T</oddFooter>
  </headerFooter>
  <customProperties>
    <customPr name="xxe4aPID" r:id="rId2"/>
  </customProperties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4">
    <tabColor rgb="FF00CC66"/>
    <pageSetUpPr fitToPage="1"/>
  </sheetPr>
  <dimension ref="A1:U1485"/>
  <sheetViews>
    <sheetView showGridLines="0" zoomScale="70" zoomScaleNormal="70" workbookViewId="0">
      <selection activeCell="G60" sqref="G60"/>
    </sheetView>
  </sheetViews>
  <sheetFormatPr defaultColWidth="16" defaultRowHeight="15"/>
  <cols>
    <col min="1" max="1" width="44.85546875" style="384" customWidth="1"/>
    <col min="2" max="2" width="25.5703125" style="384" customWidth="1"/>
    <col min="3" max="3" width="25.28515625" style="384" customWidth="1"/>
    <col min="4" max="4" width="2.7109375" style="30" customWidth="1"/>
    <col min="5" max="5" width="4.28515625" style="384" customWidth="1"/>
    <col min="6" max="6" width="26.7109375" style="384" customWidth="1"/>
    <col min="7" max="7" width="19" style="384" customWidth="1"/>
    <col min="8" max="8" width="22" style="384" customWidth="1"/>
    <col min="9" max="9" width="18.5703125" style="384" customWidth="1"/>
    <col min="10" max="10" width="26.28515625" style="384" customWidth="1"/>
    <col min="11" max="11" width="21.85546875" style="384" bestFit="1" customWidth="1"/>
    <col min="12" max="12" width="23.85546875" style="384" customWidth="1"/>
    <col min="13" max="13" width="20.85546875" style="384" bestFit="1" customWidth="1"/>
    <col min="14" max="15" width="16" style="384"/>
    <col min="16" max="16" width="16.28515625" style="384" bestFit="1" customWidth="1"/>
    <col min="17" max="16384" width="16" style="384"/>
  </cols>
  <sheetData>
    <row r="1" spans="1:13" ht="16.5" thickBot="1">
      <c r="A1" s="145" t="s">
        <v>64</v>
      </c>
      <c r="B1" s="29"/>
      <c r="C1" s="529">
        <f>Aug!C1+1</f>
        <v>201809</v>
      </c>
      <c r="F1" s="529">
        <f>C1</f>
        <v>201809</v>
      </c>
      <c r="G1" s="385"/>
      <c r="H1" s="162" t="s">
        <v>69</v>
      </c>
      <c r="I1" s="126" t="s">
        <v>3</v>
      </c>
      <c r="J1" s="126" t="s">
        <v>3</v>
      </c>
      <c r="K1" s="126" t="s">
        <v>66</v>
      </c>
      <c r="L1" s="126" t="s">
        <v>66</v>
      </c>
      <c r="M1" s="385"/>
    </row>
    <row r="2" spans="1:13" ht="15.75">
      <c r="C2" s="31"/>
      <c r="F2" s="385"/>
      <c r="G2" s="385"/>
      <c r="H2" s="163" t="s">
        <v>32</v>
      </c>
      <c r="I2" s="164" t="s">
        <v>65</v>
      </c>
      <c r="J2" s="164" t="s">
        <v>65</v>
      </c>
      <c r="K2" s="164" t="s">
        <v>67</v>
      </c>
      <c r="L2" s="164" t="s">
        <v>67</v>
      </c>
      <c r="M2" s="385"/>
    </row>
    <row r="3" spans="1:13" ht="16.5" thickBot="1">
      <c r="A3" s="63" t="s">
        <v>110</v>
      </c>
      <c r="C3" s="32"/>
      <c r="D3" s="33"/>
      <c r="F3" s="50" t="s">
        <v>72</v>
      </c>
      <c r="G3" s="385"/>
      <c r="H3" s="165" t="s">
        <v>68</v>
      </c>
      <c r="I3" s="165" t="s">
        <v>35</v>
      </c>
      <c r="J3" s="165" t="s">
        <v>63</v>
      </c>
      <c r="K3" s="165" t="s">
        <v>35</v>
      </c>
      <c r="L3" s="165" t="s">
        <v>63</v>
      </c>
      <c r="M3" s="385"/>
    </row>
    <row r="4" spans="1:13" ht="15.75">
      <c r="A4" s="385" t="s">
        <v>88</v>
      </c>
      <c r="C4" s="560">
        <v>4449796.09</v>
      </c>
      <c r="D4" s="34"/>
      <c r="F4" s="385"/>
      <c r="G4" s="385"/>
      <c r="H4" s="11"/>
      <c r="I4" s="385"/>
      <c r="J4" s="385"/>
      <c r="L4" s="385"/>
      <c r="M4" s="385"/>
    </row>
    <row r="5" spans="1:13" ht="14.25" customHeight="1">
      <c r="A5" s="385" t="s">
        <v>31</v>
      </c>
      <c r="C5" s="560">
        <f>-158.87+52291.14-3.67</f>
        <v>52128.6</v>
      </c>
      <c r="D5" s="34"/>
      <c r="F5" s="385"/>
      <c r="G5" s="385"/>
      <c r="H5" s="11"/>
      <c r="I5" s="594">
        <v>0.70530000000000004</v>
      </c>
      <c r="J5" s="594">
        <v>0.29470000000000002</v>
      </c>
      <c r="K5" s="445">
        <f>ROUND(G45/(G45+K43),4)</f>
        <v>0.69520000000000004</v>
      </c>
      <c r="L5" s="445">
        <f>1-K5</f>
        <v>0.30479999999999996</v>
      </c>
      <c r="M5" s="385"/>
    </row>
    <row r="6" spans="1:13" ht="16.5" thickBot="1">
      <c r="A6" s="49" t="s">
        <v>30</v>
      </c>
      <c r="C6" s="561">
        <f>-2267480.4-430500-123000-138375-79335-99088.8</f>
        <v>-3137779.1999999997</v>
      </c>
      <c r="D6" s="34"/>
      <c r="F6" s="385"/>
      <c r="G6" s="385"/>
      <c r="H6" s="385"/>
      <c r="I6" s="385"/>
      <c r="J6" s="385"/>
      <c r="K6" s="385"/>
      <c r="L6" s="385"/>
      <c r="M6" s="385"/>
    </row>
    <row r="7" spans="1:13" ht="16.5" thickBot="1">
      <c r="A7" s="66" t="s">
        <v>140</v>
      </c>
      <c r="C7" s="100">
        <f>SUM(C4:C6)</f>
        <v>1364145.4899999998</v>
      </c>
      <c r="D7" s="35"/>
      <c r="F7" s="166" t="s">
        <v>139</v>
      </c>
      <c r="G7" s="166"/>
      <c r="H7" s="125">
        <f>C34</f>
        <v>2206853.9699999997</v>
      </c>
      <c r="I7" s="167">
        <f>H7*I5</f>
        <v>1556494.1050409998</v>
      </c>
      <c r="J7" s="167">
        <f>H7*J5</f>
        <v>650359.86495899991</v>
      </c>
      <c r="K7" s="167"/>
      <c r="L7" s="167"/>
      <c r="M7" s="385"/>
    </row>
    <row r="8" spans="1:13" ht="15.75">
      <c r="A8" s="384" t="s">
        <v>89</v>
      </c>
      <c r="C8" s="560">
        <v>185334.94</v>
      </c>
      <c r="D8" s="35"/>
      <c r="F8" s="385"/>
      <c r="G8" s="385"/>
      <c r="H8" s="168"/>
      <c r="I8" s="168"/>
      <c r="J8" s="168"/>
      <c r="K8" s="168"/>
      <c r="L8" s="168"/>
      <c r="M8" s="385"/>
    </row>
    <row r="9" spans="1:13" ht="15.75">
      <c r="A9" s="385" t="s">
        <v>90</v>
      </c>
      <c r="C9" s="560">
        <f>6179.64</f>
        <v>6179.64</v>
      </c>
      <c r="D9" s="36"/>
      <c r="F9" s="166" t="s">
        <v>119</v>
      </c>
      <c r="G9" s="385"/>
      <c r="H9" s="167">
        <f>C56</f>
        <v>-2101836.6999999993</v>
      </c>
      <c r="I9" s="167"/>
      <c r="J9" s="167"/>
      <c r="K9" s="167">
        <f>H9*K5</f>
        <v>-1461196.8738399995</v>
      </c>
      <c r="L9" s="167">
        <f>H9*L5</f>
        <v>-640639.82615999971</v>
      </c>
      <c r="M9" s="385"/>
    </row>
    <row r="10" spans="1:13" ht="15.75">
      <c r="A10" s="49" t="s">
        <v>91</v>
      </c>
      <c r="C10" s="561">
        <v>-3308.2</v>
      </c>
      <c r="D10" s="36"/>
      <c r="F10" s="169" t="s">
        <v>44</v>
      </c>
      <c r="G10" s="385"/>
      <c r="H10" s="167">
        <f>C57</f>
        <v>47628.89</v>
      </c>
      <c r="I10" s="167"/>
      <c r="J10" s="167"/>
      <c r="K10" s="167">
        <f>H10</f>
        <v>47628.89</v>
      </c>
      <c r="L10" s="167"/>
      <c r="M10" s="385"/>
    </row>
    <row r="11" spans="1:13">
      <c r="A11" s="66" t="s">
        <v>145</v>
      </c>
      <c r="C11" s="100">
        <f>SUM(C8:C10)</f>
        <v>188206.38</v>
      </c>
      <c r="D11" s="36"/>
      <c r="F11" s="169" t="s">
        <v>45</v>
      </c>
      <c r="G11" s="385"/>
      <c r="H11" s="170">
        <f>C58</f>
        <v>35166.93</v>
      </c>
      <c r="I11" s="167"/>
      <c r="J11" s="167"/>
      <c r="K11" s="170"/>
      <c r="L11" s="170">
        <f>H11</f>
        <v>35166.93</v>
      </c>
      <c r="M11" s="385"/>
    </row>
    <row r="12" spans="1:13" ht="15.75">
      <c r="A12" s="384" t="s">
        <v>165</v>
      </c>
      <c r="C12" s="560">
        <f>2422.9+190529.81</f>
        <v>192952.71</v>
      </c>
      <c r="D12" s="36"/>
      <c r="F12" s="169" t="s">
        <v>138</v>
      </c>
      <c r="G12" s="385"/>
      <c r="H12" s="167">
        <f>H9+H10+H11</f>
        <v>-2019040.8799999994</v>
      </c>
      <c r="I12" s="167"/>
      <c r="J12" s="167"/>
      <c r="K12" s="167">
        <f>SUM(K9:K11)</f>
        <v>-1413567.9838399997</v>
      </c>
      <c r="L12" s="167">
        <f>SUM(L9:L11)</f>
        <v>-605472.89615999965</v>
      </c>
      <c r="M12" s="385"/>
    </row>
    <row r="13" spans="1:13" ht="16.5" thickBot="1">
      <c r="A13" s="49" t="s">
        <v>166</v>
      </c>
      <c r="C13" s="313">
        <v>0</v>
      </c>
      <c r="D13" s="36"/>
      <c r="F13" s="171"/>
      <c r="G13" s="172"/>
      <c r="H13" s="173"/>
      <c r="I13" s="174"/>
      <c r="J13" s="173"/>
      <c r="K13" s="168"/>
      <c r="L13" s="173"/>
      <c r="M13" s="385"/>
    </row>
    <row r="14" spans="1:13" ht="16.5" thickBot="1">
      <c r="A14" s="66" t="s">
        <v>92</v>
      </c>
      <c r="C14" s="100">
        <f>SUM(C12:C13)</f>
        <v>192952.71</v>
      </c>
      <c r="D14" s="37"/>
      <c r="F14" s="50" t="s">
        <v>69</v>
      </c>
      <c r="G14" s="175"/>
      <c r="H14" s="125">
        <f>H12+H7</f>
        <v>187813.09000000032</v>
      </c>
      <c r="I14" s="176">
        <f>SUM(I7:I13)</f>
        <v>1556494.1050409998</v>
      </c>
      <c r="J14" s="176">
        <f>SUM(J7:J13)</f>
        <v>650359.86495899991</v>
      </c>
      <c r="K14" s="176">
        <f>K12</f>
        <v>-1413567.9838399997</v>
      </c>
      <c r="L14" s="176">
        <f>L12</f>
        <v>-605472.89615999965</v>
      </c>
      <c r="M14" s="385"/>
    </row>
    <row r="15" spans="1:13" ht="15.75">
      <c r="A15" s="384" t="s">
        <v>183</v>
      </c>
      <c r="C15" s="560">
        <f>445205.68+5661.51</f>
        <v>450867.19</v>
      </c>
      <c r="D15" s="36"/>
      <c r="F15" s="171"/>
      <c r="G15" s="172" t="s">
        <v>102</v>
      </c>
      <c r="H15" s="173">
        <f>H14-C61</f>
        <v>0</v>
      </c>
      <c r="I15" s="177"/>
      <c r="J15" s="173">
        <f>J7+I7-H7</f>
        <v>0</v>
      </c>
      <c r="K15" s="385"/>
      <c r="L15" s="173">
        <f>H12-K14-L14</f>
        <v>0</v>
      </c>
      <c r="M15" s="385"/>
    </row>
    <row r="16" spans="1:13" ht="15.75">
      <c r="A16" s="49" t="s">
        <v>184</v>
      </c>
      <c r="C16" s="313">
        <v>0</v>
      </c>
      <c r="D16" s="36"/>
      <c r="F16" s="178"/>
      <c r="G16" s="172"/>
      <c r="H16" s="179"/>
      <c r="I16" s="180"/>
      <c r="J16" s="179"/>
      <c r="K16" s="385"/>
      <c r="L16" s="179"/>
      <c r="M16" s="385"/>
    </row>
    <row r="17" spans="1:13" ht="15.75" thickBot="1">
      <c r="A17" s="66" t="s">
        <v>185</v>
      </c>
      <c r="C17" s="100">
        <f>SUM(C15:C16)</f>
        <v>450867.19</v>
      </c>
      <c r="D17" s="37"/>
      <c r="F17" s="171"/>
      <c r="G17" s="172"/>
      <c r="H17" s="179"/>
      <c r="I17" s="180"/>
      <c r="J17" s="183"/>
      <c r="K17" s="385"/>
      <c r="L17" s="179"/>
      <c r="M17" s="385"/>
    </row>
    <row r="18" spans="1:13" ht="16.5" thickBot="1">
      <c r="A18" s="384" t="s">
        <v>163</v>
      </c>
      <c r="C18" s="560">
        <f>10427.3+965.36+64763.86</f>
        <v>76156.52</v>
      </c>
      <c r="D18" s="36"/>
      <c r="F18" s="646" t="s">
        <v>134</v>
      </c>
      <c r="G18" s="647"/>
      <c r="H18" s="647"/>
      <c r="I18" s="648"/>
      <c r="J18" s="646" t="s">
        <v>135</v>
      </c>
      <c r="K18" s="647"/>
      <c r="L18" s="647"/>
      <c r="M18" s="648"/>
    </row>
    <row r="19" spans="1:13" ht="15.75">
      <c r="A19" s="46" t="s">
        <v>164</v>
      </c>
      <c r="C19" s="561">
        <v>-4871.8100000000004</v>
      </c>
      <c r="D19" s="36"/>
      <c r="F19" s="201" t="s">
        <v>108</v>
      </c>
      <c r="G19" s="164" t="s">
        <v>33</v>
      </c>
      <c r="H19" s="164" t="s">
        <v>33</v>
      </c>
      <c r="I19" s="164" t="s">
        <v>33</v>
      </c>
      <c r="J19" s="201" t="s">
        <v>108</v>
      </c>
      <c r="K19" s="164" t="s">
        <v>33</v>
      </c>
      <c r="L19" s="164" t="s">
        <v>33</v>
      </c>
      <c r="M19" s="185" t="s">
        <v>33</v>
      </c>
    </row>
    <row r="20" spans="1:13" ht="16.5" thickBot="1">
      <c r="A20" s="67" t="s">
        <v>93</v>
      </c>
      <c r="C20" s="100">
        <f>SUM(C18:C19)</f>
        <v>71284.710000000006</v>
      </c>
      <c r="D20" s="36"/>
      <c r="F20" s="195" t="s">
        <v>162</v>
      </c>
      <c r="G20" s="165" t="s">
        <v>101</v>
      </c>
      <c r="H20" s="165" t="s">
        <v>36</v>
      </c>
      <c r="I20" s="165" t="s">
        <v>34</v>
      </c>
      <c r="J20" s="195" t="s">
        <v>162</v>
      </c>
      <c r="K20" s="165" t="s">
        <v>101</v>
      </c>
      <c r="L20" s="165" t="s">
        <v>36</v>
      </c>
      <c r="M20" s="165" t="s">
        <v>34</v>
      </c>
    </row>
    <row r="21" spans="1:13" ht="15.75">
      <c r="A21" s="46" t="s">
        <v>149</v>
      </c>
      <c r="C21" s="561">
        <f>-118.03+1850</f>
        <v>1731.97</v>
      </c>
      <c r="D21" s="36"/>
      <c r="F21" s="184"/>
      <c r="G21" s="12"/>
      <c r="H21" s="12"/>
      <c r="I21" s="185"/>
      <c r="J21" s="129"/>
      <c r="K21" s="13"/>
      <c r="L21" s="13"/>
      <c r="M21" s="205"/>
    </row>
    <row r="22" spans="1:13" ht="18" customHeight="1">
      <c r="A22" s="65" t="s">
        <v>149</v>
      </c>
      <c r="C22" s="100">
        <f>SUM(C21)</f>
        <v>1731.97</v>
      </c>
      <c r="D22" s="36"/>
      <c r="F22" s="199" t="s">
        <v>126</v>
      </c>
      <c r="G22" s="7"/>
      <c r="H22" s="7"/>
      <c r="I22" s="98"/>
      <c r="J22" s="199" t="s">
        <v>126</v>
      </c>
      <c r="K22" s="7"/>
      <c r="L22" s="7"/>
      <c r="M22" s="98"/>
    </row>
    <row r="23" spans="1:13" ht="15.75">
      <c r="A23" s="208" t="s">
        <v>180</v>
      </c>
      <c r="C23" s="100">
        <v>0</v>
      </c>
      <c r="D23" s="36"/>
      <c r="F23" s="200" t="s">
        <v>37</v>
      </c>
      <c r="G23" s="564">
        <v>3147236</v>
      </c>
      <c r="H23" s="597">
        <v>0.12678</v>
      </c>
      <c r="I23" s="196">
        <f t="shared" ref="I23:I31" si="0">G23*H23</f>
        <v>399006.58007999999</v>
      </c>
      <c r="J23" s="200" t="s">
        <v>37</v>
      </c>
      <c r="K23" s="564">
        <v>1445438</v>
      </c>
      <c r="L23" s="597">
        <v>0.11330999999999999</v>
      </c>
      <c r="M23" s="196">
        <f>K23*L23</f>
        <v>163782.57978</v>
      </c>
    </row>
    <row r="24" spans="1:13" ht="15.75">
      <c r="A24" s="208" t="s">
        <v>186</v>
      </c>
      <c r="C24" s="312">
        <v>0</v>
      </c>
      <c r="D24" s="36"/>
      <c r="F24" s="200" t="s">
        <v>305</v>
      </c>
      <c r="G24" s="564">
        <v>3920</v>
      </c>
      <c r="H24" s="597">
        <v>0.12678</v>
      </c>
      <c r="I24" s="196">
        <f t="shared" si="0"/>
        <v>496.9776</v>
      </c>
      <c r="J24" s="200" t="s">
        <v>38</v>
      </c>
      <c r="K24" s="564">
        <v>991953</v>
      </c>
      <c r="L24" s="597">
        <v>0.11330999999999999</v>
      </c>
      <c r="M24" s="196">
        <f t="shared" ref="M24:M27" si="1">K24*L24</f>
        <v>112398.19442999999</v>
      </c>
    </row>
    <row r="25" spans="1:13" ht="15.75">
      <c r="A25" s="208" t="s">
        <v>189</v>
      </c>
      <c r="C25" s="314">
        <v>0</v>
      </c>
      <c r="D25" s="36"/>
      <c r="F25" s="200" t="s">
        <v>38</v>
      </c>
      <c r="G25" s="564">
        <v>2165313</v>
      </c>
      <c r="H25" s="597">
        <v>0.11865000000000001</v>
      </c>
      <c r="I25" s="196">
        <f t="shared" si="0"/>
        <v>256914.38745000001</v>
      </c>
      <c r="J25" s="200" t="s">
        <v>39</v>
      </c>
      <c r="K25" s="564">
        <v>71733</v>
      </c>
      <c r="L25" s="597">
        <v>0.11330999999999999</v>
      </c>
      <c r="M25" s="196">
        <f t="shared" si="1"/>
        <v>8128.0662299999995</v>
      </c>
    </row>
    <row r="26" spans="1:13" ht="15.75">
      <c r="A26" s="209" t="s">
        <v>188</v>
      </c>
      <c r="C26" s="315">
        <v>0</v>
      </c>
      <c r="D26" s="36"/>
      <c r="F26" s="200" t="s">
        <v>39</v>
      </c>
      <c r="G26" s="564">
        <v>0</v>
      </c>
      <c r="H26" s="597">
        <v>0.11865000000000001</v>
      </c>
      <c r="I26" s="196">
        <f t="shared" si="0"/>
        <v>0</v>
      </c>
      <c r="J26" s="200" t="s">
        <v>40</v>
      </c>
      <c r="K26" s="564">
        <v>0</v>
      </c>
      <c r="L26" s="597">
        <v>0.11330999999999999</v>
      </c>
      <c r="M26" s="196">
        <f t="shared" si="1"/>
        <v>0</v>
      </c>
    </row>
    <row r="27" spans="1:13" ht="15.75">
      <c r="A27" s="65" t="s">
        <v>96</v>
      </c>
      <c r="C27" s="100">
        <f>SUM(C23:C26)</f>
        <v>0</v>
      </c>
      <c r="D27" s="36"/>
      <c r="F27" s="200" t="s">
        <v>40</v>
      </c>
      <c r="G27" s="564">
        <v>348558</v>
      </c>
      <c r="H27" s="597">
        <v>0.11541</v>
      </c>
      <c r="I27" s="196">
        <f t="shared" si="0"/>
        <v>40227.078779999996</v>
      </c>
      <c r="J27" s="200" t="s">
        <v>41</v>
      </c>
      <c r="K27" s="564">
        <v>0</v>
      </c>
      <c r="L27" s="597">
        <v>0.11330999999999999</v>
      </c>
      <c r="M27" s="196">
        <f t="shared" si="1"/>
        <v>0</v>
      </c>
    </row>
    <row r="28" spans="1:13" ht="16.5" thickBot="1">
      <c r="A28" s="210" t="s">
        <v>150</v>
      </c>
      <c r="C28" s="312">
        <v>0</v>
      </c>
      <c r="D28" s="37"/>
      <c r="F28" s="200" t="s">
        <v>41</v>
      </c>
      <c r="G28" s="564">
        <v>26763</v>
      </c>
      <c r="H28" s="597">
        <v>0.11541</v>
      </c>
      <c r="I28" s="196">
        <f t="shared" si="0"/>
        <v>3088.71783</v>
      </c>
      <c r="J28" s="199" t="s">
        <v>127</v>
      </c>
      <c r="K28" s="181">
        <f>SUM(K23:K27)</f>
        <v>2509124</v>
      </c>
      <c r="L28" s="182"/>
      <c r="M28" s="197">
        <f>SUM(M23:M27)</f>
        <v>284308.84044</v>
      </c>
    </row>
    <row r="29" spans="1:13" ht="17.25" thickTop="1" thickBot="1">
      <c r="A29" s="210" t="s">
        <v>167</v>
      </c>
      <c r="B29" s="385"/>
      <c r="C29" s="312">
        <v>0</v>
      </c>
      <c r="D29" s="36"/>
      <c r="F29" s="200" t="s">
        <v>42</v>
      </c>
      <c r="G29" s="564">
        <v>0</v>
      </c>
      <c r="H29" s="597">
        <v>7.4310000000000001E-2</v>
      </c>
      <c r="I29" s="196">
        <f t="shared" si="0"/>
        <v>0</v>
      </c>
      <c r="J29" s="199"/>
      <c r="K29" s="231">
        <v>2509124</v>
      </c>
      <c r="L29" s="187" t="s">
        <v>102</v>
      </c>
      <c r="M29" s="465">
        <f>M28/K28</f>
        <v>0.11330999999999999</v>
      </c>
    </row>
    <row r="30" spans="1:13" ht="16.5" thickBot="1">
      <c r="A30" s="2" t="s">
        <v>111</v>
      </c>
      <c r="C30" s="125">
        <f>C7+C11+C14+C17+C20+C22+C27+C28+C29</f>
        <v>2269188.4499999997</v>
      </c>
      <c r="D30" s="37"/>
      <c r="F30" s="200" t="s">
        <v>43</v>
      </c>
      <c r="G30" s="564">
        <v>31578</v>
      </c>
      <c r="H30" s="597">
        <v>7.4310000000000001E-2</v>
      </c>
      <c r="I30" s="196">
        <f t="shared" si="0"/>
        <v>2346.5611800000001</v>
      </c>
      <c r="J30" s="200"/>
      <c r="K30" s="230">
        <f>K28-K29</f>
        <v>0</v>
      </c>
      <c r="L30" s="182"/>
      <c r="M30" s="198"/>
    </row>
    <row r="31" spans="1:13" ht="15.75">
      <c r="A31" s="384" t="s">
        <v>112</v>
      </c>
      <c r="C31" s="560">
        <v>-8898.0499999999993</v>
      </c>
      <c r="D31" s="39"/>
      <c r="F31" s="200" t="s">
        <v>74</v>
      </c>
      <c r="G31" s="564">
        <v>2209861</v>
      </c>
      <c r="H31" s="597">
        <v>5.4000000000000001E-4</v>
      </c>
      <c r="I31" s="196">
        <f t="shared" si="0"/>
        <v>1193.32494</v>
      </c>
      <c r="J31" s="153"/>
      <c r="K31" s="7"/>
      <c r="L31" s="182"/>
      <c r="M31" s="198"/>
    </row>
    <row r="32" spans="1:13" ht="16.5" thickBot="1">
      <c r="A32" s="2" t="s">
        <v>116</v>
      </c>
      <c r="B32" s="2" t="s">
        <v>117</v>
      </c>
      <c r="C32" s="567">
        <f>C30+C31</f>
        <v>2260290.4</v>
      </c>
      <c r="D32" s="40"/>
      <c r="F32" s="199" t="s">
        <v>127</v>
      </c>
      <c r="G32" s="181">
        <f>SUM(G23:G31)</f>
        <v>7933229</v>
      </c>
      <c r="H32" s="7"/>
      <c r="I32" s="197">
        <f>SUM(I23:I31)</f>
        <v>703273.62785999989</v>
      </c>
      <c r="J32" s="192"/>
      <c r="K32" s="193"/>
      <c r="L32" s="7"/>
      <c r="M32" s="190"/>
    </row>
    <row r="33" spans="1:17" ht="17.25" thickTop="1" thickBot="1">
      <c r="A33" s="384" t="s">
        <v>113</v>
      </c>
      <c r="C33" s="567">
        <f>-C5-C9-C13-C16-C19</f>
        <v>-53436.43</v>
      </c>
      <c r="D33" s="36"/>
      <c r="F33" s="186"/>
      <c r="G33" s="231">
        <v>7933229</v>
      </c>
      <c r="H33" s="187" t="s">
        <v>102</v>
      </c>
      <c r="I33" s="216">
        <f>I32/G32</f>
        <v>8.8649102132309546E-2</v>
      </c>
      <c r="J33" s="192"/>
      <c r="K33" s="193"/>
      <c r="L33" s="7"/>
      <c r="M33" s="98"/>
    </row>
    <row r="34" spans="1:17" ht="16.5" thickBot="1">
      <c r="A34" s="2" t="s">
        <v>114</v>
      </c>
      <c r="C34" s="125">
        <f>SUM(C32:C33)</f>
        <v>2206853.9699999997</v>
      </c>
      <c r="D34" s="36"/>
      <c r="F34" s="153"/>
      <c r="G34" s="230">
        <f>G32-G33</f>
        <v>0</v>
      </c>
      <c r="H34" s="7"/>
      <c r="I34" s="98"/>
      <c r="J34" s="192"/>
      <c r="K34" s="191"/>
      <c r="L34" s="7"/>
      <c r="M34" s="98"/>
    </row>
    <row r="35" spans="1:17" ht="18" customHeight="1">
      <c r="A35" s="2"/>
      <c r="C35" s="101"/>
      <c r="D35" s="36"/>
      <c r="F35" s="184"/>
      <c r="G35" s="12"/>
      <c r="H35" s="12"/>
      <c r="I35" s="185"/>
      <c r="J35" s="199" t="s">
        <v>128</v>
      </c>
      <c r="K35" s="644"/>
      <c r="L35" s="644"/>
      <c r="M35" s="645"/>
    </row>
    <row r="36" spans="1:17" ht="15.75">
      <c r="A36" s="16" t="s">
        <v>94</v>
      </c>
      <c r="B36" s="2"/>
      <c r="C36" s="100"/>
      <c r="D36" s="36"/>
      <c r="F36" s="199" t="s">
        <v>128</v>
      </c>
      <c r="G36" s="7"/>
      <c r="H36" s="7"/>
      <c r="I36" s="98"/>
      <c r="J36" s="200" t="s">
        <v>37</v>
      </c>
      <c r="K36" s="263">
        <f>K23</f>
        <v>1445438</v>
      </c>
      <c r="L36" s="597">
        <v>0.23895</v>
      </c>
      <c r="M36" s="196">
        <f t="shared" ref="M36:M42" si="2">K36*L36</f>
        <v>345387.41009999998</v>
      </c>
      <c r="P36" s="273"/>
      <c r="Q36" s="273"/>
    </row>
    <row r="37" spans="1:17" ht="15.75">
      <c r="A37" s="7" t="s">
        <v>129</v>
      </c>
      <c r="B37" s="532" t="s">
        <v>115</v>
      </c>
      <c r="C37" s="560">
        <v>6729629.6500000004</v>
      </c>
      <c r="D37" s="36"/>
      <c r="F37" s="200" t="s">
        <v>37</v>
      </c>
      <c r="G37" s="263">
        <f>G23</f>
        <v>3147236</v>
      </c>
      <c r="H37" s="597">
        <v>0.23860000000000001</v>
      </c>
      <c r="I37" s="196">
        <f t="shared" ref="I37:I44" si="3">G37*H37</f>
        <v>750930.50959999999</v>
      </c>
      <c r="J37" s="200" t="s">
        <v>38</v>
      </c>
      <c r="K37" s="263">
        <f>K24</f>
        <v>991953</v>
      </c>
      <c r="L37" s="597">
        <v>0.23895</v>
      </c>
      <c r="M37" s="196">
        <f t="shared" si="2"/>
        <v>237027.16934999998</v>
      </c>
      <c r="P37" s="273"/>
      <c r="Q37" s="273"/>
    </row>
    <row r="38" spans="1:17" ht="15.75">
      <c r="A38" s="144" t="s">
        <v>14</v>
      </c>
      <c r="B38" s="532" t="s">
        <v>115</v>
      </c>
      <c r="C38" s="560">
        <v>0</v>
      </c>
      <c r="D38" s="36"/>
      <c r="F38" s="200" t="s">
        <v>305</v>
      </c>
      <c r="G38" s="263">
        <f>G24</f>
        <v>3920</v>
      </c>
      <c r="H38" s="597">
        <v>0.23860000000000001</v>
      </c>
      <c r="I38" s="196">
        <f t="shared" si="3"/>
        <v>935.31200000000001</v>
      </c>
      <c r="J38" s="200" t="s">
        <v>39</v>
      </c>
      <c r="K38" s="263">
        <f>K25</f>
        <v>71733</v>
      </c>
      <c r="L38" s="597">
        <v>0.23895</v>
      </c>
      <c r="M38" s="196">
        <f t="shared" si="2"/>
        <v>17140.600350000001</v>
      </c>
      <c r="P38" s="273"/>
      <c r="Q38" s="273"/>
    </row>
    <row r="39" spans="1:17" ht="15.75">
      <c r="A39" s="7" t="s">
        <v>146</v>
      </c>
      <c r="B39" s="532" t="s">
        <v>147</v>
      </c>
      <c r="C39" s="560">
        <v>-66478.23</v>
      </c>
      <c r="D39" s="36"/>
      <c r="F39" s="200" t="s">
        <v>38</v>
      </c>
      <c r="G39" s="263">
        <f t="shared" ref="G39:G44" si="4">G25</f>
        <v>2165313</v>
      </c>
      <c r="H39" s="597">
        <v>0.23860000000000001</v>
      </c>
      <c r="I39" s="196">
        <f t="shared" si="3"/>
        <v>516643.68180000002</v>
      </c>
      <c r="J39" s="200" t="s">
        <v>40</v>
      </c>
      <c r="K39" s="263">
        <f>K26</f>
        <v>0</v>
      </c>
      <c r="L39" s="597">
        <v>0.23895</v>
      </c>
      <c r="M39" s="196">
        <f t="shared" si="2"/>
        <v>0</v>
      </c>
      <c r="P39" s="273"/>
      <c r="Q39" s="273"/>
    </row>
    <row r="40" spans="1:17" ht="15.75">
      <c r="A40" s="7" t="s">
        <v>131</v>
      </c>
      <c r="B40" s="532" t="s">
        <v>132</v>
      </c>
      <c r="C40" s="560">
        <v>501077.48</v>
      </c>
      <c r="D40" s="36"/>
      <c r="F40" s="200" t="s">
        <v>39</v>
      </c>
      <c r="G40" s="263">
        <f t="shared" si="4"/>
        <v>0</v>
      </c>
      <c r="H40" s="597">
        <v>0.23860000000000001</v>
      </c>
      <c r="I40" s="196">
        <f t="shared" si="3"/>
        <v>0</v>
      </c>
      <c r="J40" s="200" t="s">
        <v>41</v>
      </c>
      <c r="K40" s="263">
        <f>K27</f>
        <v>0</v>
      </c>
      <c r="L40" s="597">
        <v>0.23895</v>
      </c>
      <c r="M40" s="196">
        <f t="shared" si="2"/>
        <v>0</v>
      </c>
      <c r="P40" s="273"/>
      <c r="Q40" s="273"/>
    </row>
    <row r="41" spans="1:17" ht="15.75">
      <c r="A41" s="7" t="s">
        <v>153</v>
      </c>
      <c r="B41" s="6" t="s">
        <v>155</v>
      </c>
      <c r="C41" s="560">
        <v>70508.509999999995</v>
      </c>
      <c r="D41" s="36"/>
      <c r="F41" s="200" t="s">
        <v>40</v>
      </c>
      <c r="G41" s="263">
        <f t="shared" si="4"/>
        <v>348558</v>
      </c>
      <c r="H41" s="597">
        <v>0.23860000000000001</v>
      </c>
      <c r="I41" s="196">
        <f t="shared" si="3"/>
        <v>83165.938800000004</v>
      </c>
      <c r="J41" s="200" t="s">
        <v>42</v>
      </c>
      <c r="K41" s="263">
        <v>0</v>
      </c>
      <c r="L41" s="597">
        <v>0.23895</v>
      </c>
      <c r="M41" s="196">
        <f t="shared" si="2"/>
        <v>0</v>
      </c>
      <c r="P41" s="273"/>
      <c r="Q41" s="273"/>
    </row>
    <row r="42" spans="1:17" ht="16.5" thickBot="1">
      <c r="A42" s="7" t="s">
        <v>178</v>
      </c>
      <c r="B42" s="532" t="s">
        <v>179</v>
      </c>
      <c r="C42" s="560">
        <v>223276.34</v>
      </c>
      <c r="D42" s="37"/>
      <c r="F42" s="200" t="s">
        <v>41</v>
      </c>
      <c r="G42" s="263">
        <f t="shared" si="4"/>
        <v>26763</v>
      </c>
      <c r="H42" s="597">
        <v>0.23860000000000001</v>
      </c>
      <c r="I42" s="196">
        <f t="shared" si="3"/>
        <v>6385.6518000000005</v>
      </c>
      <c r="J42" s="200" t="s">
        <v>43</v>
      </c>
      <c r="K42" s="574">
        <v>0</v>
      </c>
      <c r="L42" s="597">
        <v>0.23895</v>
      </c>
      <c r="M42" s="196">
        <f t="shared" si="2"/>
        <v>0</v>
      </c>
      <c r="P42" s="273"/>
      <c r="Q42" s="273"/>
    </row>
    <row r="43" spans="1:17" ht="16.5" thickBot="1">
      <c r="A43" s="85" t="s">
        <v>123</v>
      </c>
      <c r="B43" s="12"/>
      <c r="C43" s="125">
        <f>SUM(C37:C42)</f>
        <v>7458013.75</v>
      </c>
      <c r="D43" s="36"/>
      <c r="F43" s="200" t="s">
        <v>42</v>
      </c>
      <c r="G43" s="263">
        <f t="shared" si="4"/>
        <v>0</v>
      </c>
      <c r="H43" s="597">
        <v>0.23860000000000001</v>
      </c>
      <c r="I43" s="196">
        <f t="shared" si="3"/>
        <v>0</v>
      </c>
      <c r="J43" s="199" t="s">
        <v>133</v>
      </c>
      <c r="K43" s="181">
        <f>SUM(K36:K42)</f>
        <v>2509124</v>
      </c>
      <c r="L43" s="182"/>
      <c r="M43" s="197">
        <f>SUM(M36:M42)</f>
        <v>599555.17979999993</v>
      </c>
    </row>
    <row r="44" spans="1:17" ht="16.5" thickBot="1">
      <c r="A44" s="83" t="s">
        <v>177</v>
      </c>
      <c r="B44" s="84" t="s">
        <v>120</v>
      </c>
      <c r="C44" s="560">
        <v>-2859927.24</v>
      </c>
      <c r="D44" s="37"/>
      <c r="F44" s="200" t="s">
        <v>43</v>
      </c>
      <c r="G44" s="263">
        <f t="shared" si="4"/>
        <v>31578</v>
      </c>
      <c r="H44" s="597">
        <v>0.23860000000000001</v>
      </c>
      <c r="I44" s="196">
        <f t="shared" si="3"/>
        <v>7534.5108</v>
      </c>
      <c r="J44" s="194"/>
      <c r="K44" s="232">
        <v>2509124</v>
      </c>
      <c r="L44" s="189" t="s">
        <v>102</v>
      </c>
      <c r="M44" s="217">
        <f>M43/K43</f>
        <v>0.23894999999999997</v>
      </c>
    </row>
    <row r="45" spans="1:17" ht="16.5" thickBot="1">
      <c r="A45" s="211" t="s">
        <v>168</v>
      </c>
      <c r="B45" s="6" t="s">
        <v>115</v>
      </c>
      <c r="C45" s="122">
        <v>0</v>
      </c>
      <c r="D45" s="39"/>
      <c r="F45" s="199" t="s">
        <v>133</v>
      </c>
      <c r="G45" s="181">
        <f>SUM(G37:G44)</f>
        <v>5723368</v>
      </c>
      <c r="H45" s="182"/>
      <c r="I45" s="197">
        <f>SUM(I37:I44)</f>
        <v>1365595.6048000001</v>
      </c>
      <c r="J45" s="85"/>
      <c r="K45" s="231"/>
      <c r="L45" s="187"/>
      <c r="M45" s="556"/>
    </row>
    <row r="46" spans="1:17" ht="19.5" customHeight="1" thickTop="1" thickBot="1">
      <c r="A46" s="144" t="s">
        <v>169</v>
      </c>
      <c r="B46" s="6" t="s">
        <v>115</v>
      </c>
      <c r="C46" s="122">
        <v>0</v>
      </c>
      <c r="D46" s="40"/>
      <c r="F46" s="188"/>
      <c r="G46" s="232">
        <v>5723368</v>
      </c>
      <c r="H46" s="189" t="s">
        <v>102</v>
      </c>
      <c r="I46" s="215">
        <f>I45/G45</f>
        <v>0.23860000000000001</v>
      </c>
      <c r="J46" s="85"/>
      <c r="K46" s="231"/>
      <c r="L46" s="187"/>
      <c r="M46" s="556"/>
    </row>
    <row r="47" spans="1:17" ht="19.5" customHeight="1">
      <c r="A47" s="384" t="s">
        <v>137</v>
      </c>
      <c r="B47" s="6" t="s">
        <v>115</v>
      </c>
      <c r="C47" s="560">
        <v>0</v>
      </c>
      <c r="D47" s="36"/>
      <c r="F47" s="385"/>
      <c r="G47" s="230">
        <f>G45-G46</f>
        <v>0</v>
      </c>
      <c r="H47" s="385"/>
      <c r="I47" s="385"/>
      <c r="J47" s="124"/>
      <c r="K47" s="230">
        <f>K43-K44</f>
        <v>0</v>
      </c>
      <c r="L47" s="385"/>
      <c r="M47" s="124"/>
    </row>
    <row r="48" spans="1:17" ht="16.5" thickBot="1">
      <c r="A48" s="144" t="s">
        <v>304</v>
      </c>
      <c r="B48" s="6" t="s">
        <v>115</v>
      </c>
      <c r="C48" s="560">
        <v>7000</v>
      </c>
      <c r="D48" s="36"/>
      <c r="F48" s="385"/>
      <c r="G48" s="385"/>
      <c r="H48" s="385"/>
      <c r="I48" s="385"/>
      <c r="J48" s="124"/>
      <c r="K48" s="114"/>
      <c r="L48" s="385"/>
      <c r="M48" s="68"/>
    </row>
    <row r="49" spans="1:21" ht="15.75">
      <c r="A49" s="7" t="s">
        <v>130</v>
      </c>
      <c r="B49" s="532" t="s">
        <v>152</v>
      </c>
      <c r="C49" s="560">
        <v>22597.94</v>
      </c>
      <c r="D49" s="36"/>
      <c r="F49" s="385"/>
      <c r="G49" s="114"/>
      <c r="H49" s="129" t="s">
        <v>35</v>
      </c>
      <c r="I49" s="13" t="s">
        <v>35</v>
      </c>
      <c r="J49" s="13" t="s">
        <v>63</v>
      </c>
      <c r="K49" s="127" t="s">
        <v>70</v>
      </c>
      <c r="L49" s="124"/>
      <c r="M49" s="385"/>
    </row>
    <row r="50" spans="1:21" ht="16.5" thickBot="1">
      <c r="A50" s="7" t="s">
        <v>222</v>
      </c>
      <c r="B50" s="532" t="s">
        <v>152</v>
      </c>
      <c r="C50" s="560">
        <v>623.04</v>
      </c>
      <c r="D50" s="36"/>
      <c r="F50" s="50" t="s">
        <v>73</v>
      </c>
      <c r="G50" s="385"/>
      <c r="H50" s="130" t="s">
        <v>2</v>
      </c>
      <c r="I50" s="131" t="s">
        <v>3</v>
      </c>
      <c r="J50" s="131" t="s">
        <v>2</v>
      </c>
      <c r="K50" s="128" t="s">
        <v>3</v>
      </c>
      <c r="L50" s="385"/>
      <c r="M50" s="385"/>
    </row>
    <row r="51" spans="1:21" ht="15.75">
      <c r="A51" s="7" t="s">
        <v>308</v>
      </c>
      <c r="B51" s="568" t="s">
        <v>152</v>
      </c>
      <c r="C51" s="560">
        <v>9312.73</v>
      </c>
      <c r="D51" s="36"/>
      <c r="F51" s="385"/>
      <c r="G51" s="385"/>
      <c r="H51" s="151"/>
      <c r="I51" s="152"/>
      <c r="J51" s="152"/>
      <c r="K51" s="152"/>
      <c r="L51" s="126" t="s">
        <v>103</v>
      </c>
      <c r="M51" s="385"/>
    </row>
    <row r="52" spans="1:21" ht="15.75">
      <c r="A52" s="22" t="s">
        <v>118</v>
      </c>
      <c r="B52" s="6"/>
      <c r="C52" s="100">
        <f>-C33</f>
        <v>53436.43</v>
      </c>
      <c r="D52" s="33"/>
      <c r="F52" s="385" t="s">
        <v>136</v>
      </c>
      <c r="G52" s="385"/>
      <c r="H52" s="212">
        <f>K12</f>
        <v>-1413567.9838399997</v>
      </c>
      <c r="I52" s="115">
        <f>I14</f>
        <v>1556494.1050409998</v>
      </c>
      <c r="J52" s="115">
        <f>L12</f>
        <v>-605472.89615999965</v>
      </c>
      <c r="K52" s="115">
        <f>J14</f>
        <v>650359.86495899991</v>
      </c>
      <c r="L52" s="132">
        <f>SUM(H52:K52)</f>
        <v>187813.09000000043</v>
      </c>
      <c r="M52" s="385"/>
    </row>
    <row r="53" spans="1:21" ht="16.5" thickBot="1">
      <c r="A53" s="385" t="s">
        <v>315</v>
      </c>
      <c r="B53" s="611" t="s">
        <v>316</v>
      </c>
      <c r="C53" s="560">
        <v>34777.67</v>
      </c>
      <c r="D53" s="33"/>
      <c r="F53" s="384" t="s">
        <v>109</v>
      </c>
      <c r="H53" s="212">
        <f>-I45</f>
        <v>-1365595.6048000001</v>
      </c>
      <c r="I53" s="115">
        <f>-I32</f>
        <v>-703273.62785999989</v>
      </c>
      <c r="J53" s="115">
        <f>-M43</f>
        <v>-599555.17979999993</v>
      </c>
      <c r="K53" s="115">
        <f>-M28</f>
        <v>-284308.84044</v>
      </c>
      <c r="L53" s="261">
        <f>SUM(H53:K53)</f>
        <v>-2952733.2528999997</v>
      </c>
    </row>
    <row r="54" spans="1:21" ht="16.5" thickBot="1">
      <c r="A54" s="382" t="s">
        <v>124</v>
      </c>
      <c r="B54" s="473" t="s">
        <v>296</v>
      </c>
      <c r="C54" s="560">
        <v>-6452671.0199999996</v>
      </c>
      <c r="D54" s="36"/>
      <c r="F54" s="384" t="s">
        <v>86</v>
      </c>
      <c r="H54" s="234">
        <v>0</v>
      </c>
      <c r="I54" s="235">
        <v>0</v>
      </c>
      <c r="J54" s="235">
        <v>0</v>
      </c>
      <c r="K54" s="236">
        <v>0</v>
      </c>
      <c r="L54" s="214">
        <f>SUM(L52:L53)</f>
        <v>-2764920.1628999994</v>
      </c>
    </row>
    <row r="55" spans="1:21" ht="16.5" thickBot="1">
      <c r="A55" s="384" t="s">
        <v>312</v>
      </c>
      <c r="B55" s="6" t="s">
        <v>190</v>
      </c>
      <c r="C55" s="560">
        <v>-375000</v>
      </c>
      <c r="D55" s="36"/>
      <c r="F55" s="384" t="s">
        <v>71</v>
      </c>
      <c r="H55" s="125">
        <f>IFERROR(H52+H53+H54,0)</f>
        <v>-2779163.5886399997</v>
      </c>
      <c r="I55" s="125">
        <f>I52+I53+I54</f>
        <v>853220.47718099994</v>
      </c>
      <c r="J55" s="125">
        <f>IFERROR(J52+J53+J54,0)</f>
        <v>-1205028.0759599996</v>
      </c>
      <c r="K55" s="125">
        <f>K52+K53+K54</f>
        <v>366051.02451899991</v>
      </c>
      <c r="L55" s="47">
        <f>SUM(H55:K55)</f>
        <v>-2764920.1628999994</v>
      </c>
    </row>
    <row r="56" spans="1:21" ht="16.5" thickBot="1">
      <c r="A56" s="82" t="s">
        <v>119</v>
      </c>
      <c r="B56" s="84"/>
      <c r="C56" s="160">
        <f>SUM(C43:C55)</f>
        <v>-2101836.6999999993</v>
      </c>
      <c r="D56" s="36"/>
      <c r="F56" s="240" t="s">
        <v>181</v>
      </c>
      <c r="H56" s="384" t="s">
        <v>173</v>
      </c>
      <c r="I56" s="5">
        <f>SUM(H55:I55)</f>
        <v>-1925943.1114589998</v>
      </c>
      <c r="J56" s="15" t="s">
        <v>174</v>
      </c>
      <c r="K56" s="384">
        <f>SUM(J55:K55)</f>
        <v>-838977.05144099961</v>
      </c>
      <c r="L56" s="213">
        <f>ROUND(L54-L55,3)</f>
        <v>0</v>
      </c>
      <c r="T56" s="42"/>
    </row>
    <row r="57" spans="1:21" ht="16.5" thickTop="1">
      <c r="A57" s="384" t="s">
        <v>121</v>
      </c>
      <c r="B57" s="6" t="s">
        <v>115</v>
      </c>
      <c r="C57" s="612">
        <v>47628.89</v>
      </c>
      <c r="D57" s="36"/>
      <c r="F57" s="397" t="s">
        <v>181</v>
      </c>
      <c r="H57" s="96"/>
    </row>
    <row r="58" spans="1:21" ht="16.5" thickBot="1">
      <c r="A58" s="384" t="s">
        <v>122</v>
      </c>
      <c r="B58" s="6" t="s">
        <v>115</v>
      </c>
      <c r="C58" s="612">
        <v>35166.93</v>
      </c>
      <c r="D58" s="36"/>
      <c r="F58" s="397" t="s">
        <v>182</v>
      </c>
      <c r="H58" s="157"/>
      <c r="I58" s="120"/>
      <c r="J58" s="120"/>
      <c r="K58" s="204"/>
      <c r="L58" s="120"/>
    </row>
    <row r="59" spans="1:21" ht="16.5" thickBot="1">
      <c r="A59" s="2" t="s">
        <v>125</v>
      </c>
      <c r="B59" s="2"/>
      <c r="C59" s="160">
        <f>SUM(C56:C58)</f>
        <v>-2019040.8799999994</v>
      </c>
      <c r="D59" s="36"/>
      <c r="F59" s="543" t="s">
        <v>303</v>
      </c>
      <c r="G59" s="544" t="str">
        <f>IF(OR(AND(I56&gt;0,K56&gt;0),AND(I56&lt;0,K56&lt;0)),"OK","ERROR")</f>
        <v>OK</v>
      </c>
      <c r="H59" s="386" t="s">
        <v>294</v>
      </c>
      <c r="I59" s="387"/>
    </row>
    <row r="60" spans="1:21" ht="17.25" thickTop="1" thickBot="1">
      <c r="A60" s="2"/>
      <c r="C60" s="101"/>
      <c r="D60" s="36"/>
      <c r="H60" s="318" t="s">
        <v>175</v>
      </c>
      <c r="I60" s="319" t="s">
        <v>176</v>
      </c>
      <c r="J60" s="5"/>
    </row>
    <row r="61" spans="1:21" ht="16.5" thickBot="1">
      <c r="A61" s="9"/>
      <c r="B61" s="9" t="s">
        <v>95</v>
      </c>
      <c r="C61" s="125">
        <f>C59+C34</f>
        <v>187813.09000000032</v>
      </c>
      <c r="D61" s="36"/>
      <c r="H61" s="349" t="e">
        <f>SUM(#REF!,#REF!,#REF!,#REF!,#REF!,#REF!)</f>
        <v>#REF!</v>
      </c>
      <c r="I61" s="449" t="e">
        <f>SUM(#REF!,#REF!,#REF!,#REF!,#REF!,#REF!)</f>
        <v>#REF!</v>
      </c>
      <c r="J61" s="384">
        <f>H53+I53+J53+K53</f>
        <v>-2952733.2528999997</v>
      </c>
    </row>
    <row r="62" spans="1:21" ht="15.75">
      <c r="A62" s="2"/>
      <c r="B62" s="9" t="s">
        <v>160</v>
      </c>
      <c r="C62" s="350">
        <v>187813.09</v>
      </c>
      <c r="D62" s="37"/>
      <c r="G62" s="5"/>
      <c r="I62" s="338" t="e">
        <f>H61-I61</f>
        <v>#REF!</v>
      </c>
      <c r="N62" s="5"/>
      <c r="O62" s="5"/>
      <c r="P62" s="21"/>
    </row>
    <row r="63" spans="1:21" ht="15.75">
      <c r="A63" s="9"/>
      <c r="B63" s="9" t="s">
        <v>159</v>
      </c>
      <c r="C63" s="257">
        <f>ROUND(C61-C62,2)</f>
        <v>0</v>
      </c>
      <c r="S63" s="6"/>
    </row>
    <row r="64" spans="1:21" ht="15.75">
      <c r="A64" s="44"/>
      <c r="C64" s="351"/>
      <c r="D64" s="36"/>
      <c r="N64" s="22"/>
      <c r="U64" s="2"/>
    </row>
    <row r="65" spans="1:21" ht="15.75">
      <c r="A65" s="44"/>
      <c r="C65" s="8"/>
      <c r="D65" s="43"/>
      <c r="N65" s="22"/>
      <c r="S65" s="23"/>
    </row>
    <row r="66" spans="1:21" ht="15.75">
      <c r="A66" s="2"/>
      <c r="C66" s="8"/>
      <c r="D66" s="36"/>
      <c r="N66" s="22"/>
      <c r="S66" s="24"/>
    </row>
    <row r="67" spans="1:21">
      <c r="C67" s="100"/>
      <c r="D67" s="36"/>
      <c r="N67" s="22"/>
      <c r="S67" s="25"/>
    </row>
    <row r="68" spans="1:21">
      <c r="D68" s="36"/>
      <c r="N68" s="22"/>
      <c r="S68" s="24"/>
    </row>
    <row r="69" spans="1:21">
      <c r="D69" s="36"/>
      <c r="N69" s="22"/>
    </row>
    <row r="70" spans="1:21">
      <c r="D70" s="37"/>
      <c r="N70" s="22"/>
      <c r="S70" s="26"/>
    </row>
    <row r="71" spans="1:21">
      <c r="D71" s="36"/>
    </row>
    <row r="72" spans="1:21">
      <c r="D72" s="36"/>
    </row>
    <row r="73" spans="1:21">
      <c r="D73" s="36"/>
      <c r="S73" s="27"/>
    </row>
    <row r="74" spans="1:21">
      <c r="D74" s="45"/>
      <c r="R74" s="6"/>
      <c r="S74" s="6"/>
      <c r="T74" s="6"/>
    </row>
    <row r="76" spans="1:21">
      <c r="U76" s="28"/>
    </row>
    <row r="1477" spans="3:3">
      <c r="C1477" s="384">
        <v>-2130</v>
      </c>
    </row>
    <row r="1485" spans="3:3">
      <c r="C1485" s="384">
        <f>7004298-2130</f>
        <v>7002168</v>
      </c>
    </row>
  </sheetData>
  <mergeCells count="3">
    <mergeCell ref="F18:I18"/>
    <mergeCell ref="J18:M18"/>
    <mergeCell ref="K35:M35"/>
  </mergeCells>
  <conditionalFormatting sqref="C63 L56 I62">
    <cfRule type="cellIs" dxfId="230" priority="7" stopIfTrue="1" operator="equal">
      <formula>0</formula>
    </cfRule>
    <cfRule type="cellIs" dxfId="229" priority="8" stopIfTrue="1" operator="notEqual">
      <formula>0</formula>
    </cfRule>
  </conditionalFormatting>
  <conditionalFormatting sqref="G34 G47 K30 K47">
    <cfRule type="cellIs" dxfId="228" priority="6" operator="notEqual">
      <formula>0</formula>
    </cfRule>
  </conditionalFormatting>
  <conditionalFormatting sqref="C63">
    <cfRule type="cellIs" dxfId="227" priority="4" stopIfTrue="1" operator="equal">
      <formula>0</formula>
    </cfRule>
    <cfRule type="cellIs" dxfId="226" priority="5" stopIfTrue="1" operator="notEqual">
      <formula>0</formula>
    </cfRule>
  </conditionalFormatting>
  <conditionalFormatting sqref="K30">
    <cfRule type="cellIs" dxfId="225" priority="3" operator="notEqual">
      <formula>0</formula>
    </cfRule>
  </conditionalFormatting>
  <conditionalFormatting sqref="G59">
    <cfRule type="cellIs" dxfId="224" priority="2" operator="equal">
      <formula>"ERROR"</formula>
    </cfRule>
  </conditionalFormatting>
  <conditionalFormatting sqref="G59">
    <cfRule type="cellIs" dxfId="223" priority="1" operator="equal">
      <formula>"ERROR"</formula>
    </cfRule>
  </conditionalFormatting>
  <printOptions verticalCentered="1" gridLinesSet="0"/>
  <pageMargins left="0.5" right="0" top="0.25" bottom="0.5" header="0" footer="0.25"/>
  <pageSetup scale="47" orientation="landscape" cellComments="asDisplayed" r:id="rId1"/>
  <headerFooter alignWithMargins="0">
    <oddFooter>&amp;L&amp;F&amp;C&amp;A&amp;R&amp;D&amp;T</oddFooter>
  </headerFooter>
  <customProperties>
    <customPr name="xxe4aPID" r:id="rId2"/>
  </customProperties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5">
    <tabColor rgb="FF00CC66"/>
    <pageSetUpPr fitToPage="1"/>
  </sheetPr>
  <dimension ref="A1:U1485"/>
  <sheetViews>
    <sheetView showGridLines="0" topLeftCell="A16" zoomScale="70" zoomScaleNormal="70" workbookViewId="0">
      <selection activeCell="G60" sqref="G60"/>
    </sheetView>
  </sheetViews>
  <sheetFormatPr defaultColWidth="16" defaultRowHeight="15"/>
  <cols>
    <col min="1" max="1" width="44.85546875" style="384" customWidth="1"/>
    <col min="2" max="2" width="25.5703125" style="384" customWidth="1"/>
    <col min="3" max="3" width="25.28515625" style="384" customWidth="1"/>
    <col min="4" max="4" width="2.7109375" style="30" customWidth="1"/>
    <col min="5" max="5" width="4.28515625" style="384" customWidth="1"/>
    <col min="6" max="6" width="26.7109375" style="384" customWidth="1"/>
    <col min="7" max="7" width="19" style="384" customWidth="1"/>
    <col min="8" max="8" width="22" style="384" customWidth="1"/>
    <col min="9" max="9" width="20.42578125" style="384" customWidth="1"/>
    <col min="10" max="10" width="26.28515625" style="384" customWidth="1"/>
    <col min="11" max="11" width="21.85546875" style="384" bestFit="1" customWidth="1"/>
    <col min="12" max="12" width="23.85546875" style="384" customWidth="1"/>
    <col min="13" max="13" width="20.85546875" style="384" bestFit="1" customWidth="1"/>
    <col min="14" max="15" width="16" style="384"/>
    <col min="16" max="16" width="16.28515625" style="384" bestFit="1" customWidth="1"/>
    <col min="17" max="16384" width="16" style="384"/>
  </cols>
  <sheetData>
    <row r="1" spans="1:13" ht="16.5" thickBot="1">
      <c r="A1" s="145" t="s">
        <v>64</v>
      </c>
      <c r="B1" s="29"/>
      <c r="C1" s="529">
        <f>Sep!C1+1</f>
        <v>201810</v>
      </c>
      <c r="F1" s="529">
        <f>C1</f>
        <v>201810</v>
      </c>
      <c r="G1" s="385"/>
      <c r="H1" s="162" t="s">
        <v>69</v>
      </c>
      <c r="I1" s="126" t="s">
        <v>3</v>
      </c>
      <c r="J1" s="126" t="s">
        <v>3</v>
      </c>
      <c r="K1" s="126" t="s">
        <v>66</v>
      </c>
      <c r="L1" s="126" t="s">
        <v>66</v>
      </c>
      <c r="M1" s="385"/>
    </row>
    <row r="2" spans="1:13" ht="15.75">
      <c r="C2" s="31"/>
      <c r="F2" s="385"/>
      <c r="G2" s="385"/>
      <c r="H2" s="163" t="s">
        <v>32</v>
      </c>
      <c r="I2" s="164" t="s">
        <v>65</v>
      </c>
      <c r="J2" s="164" t="s">
        <v>65</v>
      </c>
      <c r="K2" s="164" t="s">
        <v>67</v>
      </c>
      <c r="L2" s="164" t="s">
        <v>67</v>
      </c>
      <c r="M2" s="385"/>
    </row>
    <row r="3" spans="1:13" ht="16.5" thickBot="1">
      <c r="A3" s="63" t="s">
        <v>110</v>
      </c>
      <c r="C3" s="32"/>
      <c r="D3" s="33"/>
      <c r="F3" s="50" t="s">
        <v>72</v>
      </c>
      <c r="G3" s="385"/>
      <c r="H3" s="165" t="s">
        <v>68</v>
      </c>
      <c r="I3" s="165" t="s">
        <v>35</v>
      </c>
      <c r="J3" s="165" t="s">
        <v>63</v>
      </c>
      <c r="K3" s="165" t="s">
        <v>35</v>
      </c>
      <c r="L3" s="165" t="s">
        <v>63</v>
      </c>
      <c r="M3" s="385"/>
    </row>
    <row r="4" spans="1:13" ht="15.75">
      <c r="A4" s="385" t="s">
        <v>88</v>
      </c>
      <c r="C4" s="569">
        <v>4598122.63</v>
      </c>
      <c r="D4" s="34"/>
      <c r="F4" s="385"/>
      <c r="G4" s="385"/>
      <c r="H4" s="11"/>
      <c r="I4" s="385"/>
      <c r="J4" s="385"/>
      <c r="L4" s="385"/>
      <c r="M4" s="385"/>
    </row>
    <row r="5" spans="1:13" ht="14.25" customHeight="1">
      <c r="A5" s="385" t="s">
        <v>31</v>
      </c>
      <c r="C5" s="569">
        <f>44271.01-335.72</f>
        <v>43935.29</v>
      </c>
      <c r="D5" s="34"/>
      <c r="F5" s="385"/>
      <c r="G5" s="385"/>
      <c r="H5" s="11"/>
      <c r="I5" s="594">
        <v>0.70530000000000004</v>
      </c>
      <c r="J5" s="594">
        <v>0.29470000000000002</v>
      </c>
      <c r="K5" s="445">
        <f>ROUND(G45/(G45+K43),4)</f>
        <v>0.65280000000000005</v>
      </c>
      <c r="L5" s="445">
        <f>1-K5</f>
        <v>0.34719999999999995</v>
      </c>
      <c r="M5" s="385"/>
    </row>
    <row r="6" spans="1:13" ht="16.5" thickBot="1">
      <c r="A6" s="49" t="s">
        <v>30</v>
      </c>
      <c r="C6" s="570">
        <f>-2343063.08-444850-127100-142987.5-81979.5-102391.76</f>
        <v>-3242371.84</v>
      </c>
      <c r="D6" s="34"/>
      <c r="F6" s="385"/>
      <c r="G6" s="385"/>
      <c r="H6" s="385"/>
      <c r="I6" s="385"/>
      <c r="J6" s="385"/>
      <c r="K6" s="385"/>
      <c r="L6" s="385"/>
      <c r="M6" s="385"/>
    </row>
    <row r="7" spans="1:13" ht="16.5" thickBot="1">
      <c r="A7" s="66" t="s">
        <v>140</v>
      </c>
      <c r="C7" s="100">
        <f>SUM(C4:C6)</f>
        <v>1399686.08</v>
      </c>
      <c r="D7" s="35"/>
      <c r="F7" s="166" t="s">
        <v>139</v>
      </c>
      <c r="G7" s="166"/>
      <c r="H7" s="125">
        <f>C34</f>
        <v>2275593.7600000007</v>
      </c>
      <c r="I7" s="167">
        <f>H7*I5</f>
        <v>1604976.2789280005</v>
      </c>
      <c r="J7" s="167">
        <f>H7*J5</f>
        <v>670617.48107200023</v>
      </c>
      <c r="K7" s="167"/>
      <c r="L7" s="167"/>
      <c r="M7" s="385"/>
    </row>
    <row r="8" spans="1:13" ht="15.75">
      <c r="A8" s="384" t="s">
        <v>89</v>
      </c>
      <c r="C8" s="569">
        <v>252729.32</v>
      </c>
      <c r="D8" s="35"/>
      <c r="F8" s="385"/>
      <c r="G8" s="385"/>
      <c r="H8" s="168"/>
      <c r="I8" s="168"/>
      <c r="J8" s="168"/>
      <c r="K8" s="168"/>
      <c r="L8" s="168"/>
      <c r="M8" s="385"/>
    </row>
    <row r="9" spans="1:13" ht="15.75">
      <c r="A9" s="385" t="s">
        <v>90</v>
      </c>
      <c r="C9" s="569">
        <f>7767.77</f>
        <v>7767.77</v>
      </c>
      <c r="D9" s="36"/>
      <c r="F9" s="166" t="s">
        <v>119</v>
      </c>
      <c r="G9" s="385"/>
      <c r="H9" s="167">
        <f>C56</f>
        <v>21894.780000001192</v>
      </c>
      <c r="I9" s="167"/>
      <c r="J9" s="167"/>
      <c r="K9" s="167">
        <f>H9*K5</f>
        <v>14292.91238400078</v>
      </c>
      <c r="L9" s="167">
        <f>H9*L5</f>
        <v>7601.8676160004125</v>
      </c>
      <c r="M9" s="385"/>
    </row>
    <row r="10" spans="1:13" ht="15.75">
      <c r="A10" s="49" t="s">
        <v>91</v>
      </c>
      <c r="C10" s="570">
        <v>-3418.47</v>
      </c>
      <c r="D10" s="36"/>
      <c r="F10" s="169" t="s">
        <v>44</v>
      </c>
      <c r="G10" s="385"/>
      <c r="H10" s="167">
        <f>C57</f>
        <v>104499.94</v>
      </c>
      <c r="I10" s="167"/>
      <c r="J10" s="167"/>
      <c r="K10" s="167">
        <f>H10</f>
        <v>104499.94</v>
      </c>
      <c r="L10" s="167"/>
      <c r="M10" s="385"/>
    </row>
    <row r="11" spans="1:13">
      <c r="A11" s="66" t="s">
        <v>145</v>
      </c>
      <c r="C11" s="100">
        <f>SUM(C8:C10)</f>
        <v>257078.62</v>
      </c>
      <c r="D11" s="36"/>
      <c r="F11" s="169" t="s">
        <v>45</v>
      </c>
      <c r="G11" s="385"/>
      <c r="H11" s="170">
        <f>C58</f>
        <v>52075.57</v>
      </c>
      <c r="I11" s="167"/>
      <c r="J11" s="167"/>
      <c r="K11" s="170"/>
      <c r="L11" s="170">
        <f>H11</f>
        <v>52075.57</v>
      </c>
      <c r="M11" s="385"/>
    </row>
    <row r="12" spans="1:13" ht="15.75">
      <c r="A12" s="384" t="s">
        <v>165</v>
      </c>
      <c r="C12" s="569">
        <f>184258.8-2631.9</f>
        <v>181626.9</v>
      </c>
      <c r="D12" s="36"/>
      <c r="F12" s="169" t="s">
        <v>138</v>
      </c>
      <c r="G12" s="385"/>
      <c r="H12" s="167">
        <f>H9+H10+H11</f>
        <v>178470.2900000012</v>
      </c>
      <c r="I12" s="167"/>
      <c r="J12" s="167"/>
      <c r="K12" s="167">
        <f>SUM(K9:K11)</f>
        <v>118792.85238400078</v>
      </c>
      <c r="L12" s="167">
        <f>SUM(L9:L11)</f>
        <v>59677.43761600041</v>
      </c>
      <c r="M12" s="385"/>
    </row>
    <row r="13" spans="1:13" ht="16.5" thickBot="1">
      <c r="A13" s="49" t="s">
        <v>166</v>
      </c>
      <c r="C13" s="313">
        <v>0</v>
      </c>
      <c r="D13" s="36"/>
      <c r="F13" s="171"/>
      <c r="G13" s="172"/>
      <c r="H13" s="173"/>
      <c r="I13" s="174"/>
      <c r="J13" s="173"/>
      <c r="K13" s="168"/>
      <c r="L13" s="173"/>
      <c r="M13" s="385"/>
    </row>
    <row r="14" spans="1:13" ht="16.5" thickBot="1">
      <c r="A14" s="66" t="s">
        <v>92</v>
      </c>
      <c r="C14" s="100">
        <f>SUM(C12:C13)</f>
        <v>181626.9</v>
      </c>
      <c r="D14" s="37"/>
      <c r="F14" s="50" t="s">
        <v>69</v>
      </c>
      <c r="G14" s="175"/>
      <c r="H14" s="125">
        <f>H12+H7</f>
        <v>2454064.0500000017</v>
      </c>
      <c r="I14" s="176">
        <f>SUM(I7:I13)</f>
        <v>1604976.2789280005</v>
      </c>
      <c r="J14" s="176">
        <f>SUM(J7:J13)</f>
        <v>670617.48107200023</v>
      </c>
      <c r="K14" s="176">
        <f>K12</f>
        <v>118792.85238400078</v>
      </c>
      <c r="L14" s="176">
        <f>L12</f>
        <v>59677.43761600041</v>
      </c>
      <c r="M14" s="385"/>
    </row>
    <row r="15" spans="1:13" ht="15.75">
      <c r="A15" s="384" t="s">
        <v>183</v>
      </c>
      <c r="C15" s="569">
        <f>430552.37-6149.4</f>
        <v>424402.97</v>
      </c>
      <c r="D15" s="36"/>
      <c r="F15" s="171"/>
      <c r="G15" s="172" t="s">
        <v>102</v>
      </c>
      <c r="H15" s="173">
        <f>H14-C61</f>
        <v>0</v>
      </c>
      <c r="I15" s="177"/>
      <c r="J15" s="173">
        <f>J7+I7-H7</f>
        <v>0</v>
      </c>
      <c r="K15" s="385"/>
      <c r="L15" s="173">
        <f>H12-K14-L14</f>
        <v>0</v>
      </c>
      <c r="M15" s="385"/>
    </row>
    <row r="16" spans="1:13" ht="15.75">
      <c r="A16" s="49" t="s">
        <v>184</v>
      </c>
      <c r="C16" s="313">
        <v>0</v>
      </c>
      <c r="D16" s="36"/>
      <c r="F16" s="178"/>
      <c r="G16" s="172"/>
      <c r="H16" s="179"/>
      <c r="I16" s="180"/>
      <c r="J16" s="179"/>
      <c r="K16" s="385"/>
      <c r="L16" s="179"/>
      <c r="M16" s="385"/>
    </row>
    <row r="17" spans="1:13" ht="15.75" thickBot="1">
      <c r="A17" s="66" t="s">
        <v>185</v>
      </c>
      <c r="C17" s="100">
        <f>SUM(C15:C16)</f>
        <v>424402.97</v>
      </c>
      <c r="D17" s="37"/>
      <c r="F17" s="171"/>
      <c r="G17" s="172"/>
      <c r="H17" s="179"/>
      <c r="I17" s="180"/>
      <c r="J17" s="183"/>
      <c r="K17" s="385"/>
      <c r="L17" s="179"/>
      <c r="M17" s="385"/>
    </row>
    <row r="18" spans="1:13" ht="16.5" thickBot="1">
      <c r="A18" s="384" t="s">
        <v>163</v>
      </c>
      <c r="C18" s="569">
        <f>10084.1+62632.24-1041.77</f>
        <v>71674.569999999992</v>
      </c>
      <c r="D18" s="36"/>
      <c r="F18" s="646" t="s">
        <v>134</v>
      </c>
      <c r="G18" s="647"/>
      <c r="H18" s="647"/>
      <c r="I18" s="648"/>
      <c r="J18" s="646" t="s">
        <v>135</v>
      </c>
      <c r="K18" s="647"/>
      <c r="L18" s="647"/>
      <c r="M18" s="648"/>
    </row>
    <row r="19" spans="1:13" ht="15.75">
      <c r="A19" s="46" t="s">
        <v>164</v>
      </c>
      <c r="C19" s="570">
        <v>-7230.95</v>
      </c>
      <c r="D19" s="36"/>
      <c r="F19" s="201" t="s">
        <v>108</v>
      </c>
      <c r="G19" s="164" t="s">
        <v>33</v>
      </c>
      <c r="H19" s="164" t="s">
        <v>33</v>
      </c>
      <c r="I19" s="164" t="s">
        <v>33</v>
      </c>
      <c r="J19" s="201" t="s">
        <v>108</v>
      </c>
      <c r="K19" s="164" t="s">
        <v>33</v>
      </c>
      <c r="L19" s="164" t="s">
        <v>33</v>
      </c>
      <c r="M19" s="185" t="s">
        <v>33</v>
      </c>
    </row>
    <row r="20" spans="1:13" ht="16.5" thickBot="1">
      <c r="A20" s="67" t="s">
        <v>93</v>
      </c>
      <c r="C20" s="100">
        <f>SUM(C18:C19)</f>
        <v>64443.619999999995</v>
      </c>
      <c r="D20" s="36"/>
      <c r="F20" s="195" t="s">
        <v>162</v>
      </c>
      <c r="G20" s="165" t="s">
        <v>101</v>
      </c>
      <c r="H20" s="165" t="s">
        <v>36</v>
      </c>
      <c r="I20" s="165" t="s">
        <v>34</v>
      </c>
      <c r="J20" s="195" t="s">
        <v>162</v>
      </c>
      <c r="K20" s="165" t="s">
        <v>101</v>
      </c>
      <c r="L20" s="165" t="s">
        <v>36</v>
      </c>
      <c r="M20" s="165" t="s">
        <v>34</v>
      </c>
    </row>
    <row r="21" spans="1:13" ht="15.75">
      <c r="A21" s="46" t="s">
        <v>149</v>
      </c>
      <c r="C21" s="570">
        <f>1850-118.03</f>
        <v>1731.97</v>
      </c>
      <c r="D21" s="36"/>
      <c r="F21" s="184"/>
      <c r="G21" s="12"/>
      <c r="H21" s="12"/>
      <c r="I21" s="185"/>
      <c r="J21" s="129"/>
      <c r="K21" s="13"/>
      <c r="L21" s="13"/>
      <c r="M21" s="205"/>
    </row>
    <row r="22" spans="1:13" ht="18" customHeight="1">
      <c r="A22" s="65" t="s">
        <v>149</v>
      </c>
      <c r="C22" s="100">
        <f>SUM(C21)</f>
        <v>1731.97</v>
      </c>
      <c r="D22" s="36"/>
      <c r="F22" s="199" t="s">
        <v>126</v>
      </c>
      <c r="G22" s="7"/>
      <c r="H22" s="7"/>
      <c r="I22" s="98"/>
      <c r="J22" s="199" t="s">
        <v>126</v>
      </c>
      <c r="K22" s="7"/>
      <c r="L22" s="7"/>
      <c r="M22" s="98"/>
    </row>
    <row r="23" spans="1:13" ht="15.75">
      <c r="A23" s="208" t="s">
        <v>180</v>
      </c>
      <c r="C23" s="100">
        <v>0</v>
      </c>
      <c r="D23" s="36"/>
      <c r="F23" s="200" t="s">
        <v>37</v>
      </c>
      <c r="G23" s="564">
        <v>8835836</v>
      </c>
      <c r="H23" s="597">
        <v>0.12678</v>
      </c>
      <c r="I23" s="196">
        <f t="shared" ref="I23:I31" si="0">G23*H23</f>
        <v>1120207.2880800001</v>
      </c>
      <c r="J23" s="200" t="s">
        <v>37</v>
      </c>
      <c r="K23" s="564">
        <v>4795103</v>
      </c>
      <c r="L23" s="597">
        <v>0.11330999999999999</v>
      </c>
      <c r="M23" s="196">
        <f>K23*L23</f>
        <v>543333.12092999998</v>
      </c>
    </row>
    <row r="24" spans="1:13" ht="15.75">
      <c r="A24" s="208" t="s">
        <v>186</v>
      </c>
      <c r="C24" s="312">
        <v>0</v>
      </c>
      <c r="D24" s="36"/>
      <c r="F24" s="200" t="s">
        <v>305</v>
      </c>
      <c r="G24" s="564">
        <v>13952</v>
      </c>
      <c r="H24" s="597">
        <v>0.12678</v>
      </c>
      <c r="I24" s="196">
        <f t="shared" si="0"/>
        <v>1768.83456</v>
      </c>
      <c r="J24" s="200" t="s">
        <v>38</v>
      </c>
      <c r="K24" s="564">
        <v>1966749</v>
      </c>
      <c r="L24" s="597">
        <v>0.11330999999999999</v>
      </c>
      <c r="M24" s="196">
        <f t="shared" ref="M24:M27" si="1">K24*L24</f>
        <v>222852.32918999999</v>
      </c>
    </row>
    <row r="25" spans="1:13" ht="15.75">
      <c r="A25" s="208" t="s">
        <v>189</v>
      </c>
      <c r="C25" s="314">
        <v>0</v>
      </c>
      <c r="D25" s="36"/>
      <c r="F25" s="200" t="s">
        <v>38</v>
      </c>
      <c r="G25" s="564">
        <v>3629858</v>
      </c>
      <c r="H25" s="597">
        <v>0.11865000000000001</v>
      </c>
      <c r="I25" s="196">
        <f t="shared" si="0"/>
        <v>430682.65170000005</v>
      </c>
      <c r="J25" s="200" t="s">
        <v>39</v>
      </c>
      <c r="K25" s="564">
        <v>47715</v>
      </c>
      <c r="L25" s="597">
        <v>0.11330999999999999</v>
      </c>
      <c r="M25" s="196">
        <f t="shared" si="1"/>
        <v>5406.5866499999993</v>
      </c>
    </row>
    <row r="26" spans="1:13" ht="15.75">
      <c r="A26" s="209" t="s">
        <v>188</v>
      </c>
      <c r="C26" s="315">
        <v>0</v>
      </c>
      <c r="D26" s="36"/>
      <c r="F26" s="200" t="s">
        <v>39</v>
      </c>
      <c r="G26" s="564">
        <v>0</v>
      </c>
      <c r="H26" s="597">
        <v>0.11865000000000001</v>
      </c>
      <c r="I26" s="196">
        <f t="shared" si="0"/>
        <v>0</v>
      </c>
      <c r="J26" s="200" t="s">
        <v>40</v>
      </c>
      <c r="K26" s="564">
        <v>0</v>
      </c>
      <c r="L26" s="597">
        <v>0.11330999999999999</v>
      </c>
      <c r="M26" s="196">
        <f t="shared" si="1"/>
        <v>0</v>
      </c>
    </row>
    <row r="27" spans="1:13" ht="15.75">
      <c r="A27" s="65" t="s">
        <v>96</v>
      </c>
      <c r="C27" s="100">
        <f>SUM(C23:C26)</f>
        <v>0</v>
      </c>
      <c r="D27" s="36"/>
      <c r="F27" s="200" t="s">
        <v>40</v>
      </c>
      <c r="G27" s="564">
        <v>248414</v>
      </c>
      <c r="H27" s="597">
        <v>0.11541</v>
      </c>
      <c r="I27" s="196">
        <f t="shared" si="0"/>
        <v>28669.459739999998</v>
      </c>
      <c r="J27" s="200" t="s">
        <v>41</v>
      </c>
      <c r="K27" s="564">
        <v>0</v>
      </c>
      <c r="L27" s="597">
        <v>0.11330999999999999</v>
      </c>
      <c r="M27" s="196">
        <f t="shared" si="1"/>
        <v>0</v>
      </c>
    </row>
    <row r="28" spans="1:13" ht="16.5" thickBot="1">
      <c r="A28" s="210" t="s">
        <v>150</v>
      </c>
      <c r="C28" s="312">
        <v>0</v>
      </c>
      <c r="D28" s="37"/>
      <c r="F28" s="200" t="s">
        <v>41</v>
      </c>
      <c r="G28" s="564">
        <v>34226</v>
      </c>
      <c r="H28" s="597">
        <v>0.11541</v>
      </c>
      <c r="I28" s="196">
        <f t="shared" si="0"/>
        <v>3950.0226600000001</v>
      </c>
      <c r="J28" s="199" t="s">
        <v>127</v>
      </c>
      <c r="K28" s="181">
        <f>SUM(K23:K27)</f>
        <v>6809567</v>
      </c>
      <c r="L28" s="182"/>
      <c r="M28" s="197">
        <f>SUM(M23:M27)</f>
        <v>771592.03676999989</v>
      </c>
    </row>
    <row r="29" spans="1:13" ht="17.25" thickTop="1" thickBot="1">
      <c r="A29" s="210" t="s">
        <v>167</v>
      </c>
      <c r="B29" s="385"/>
      <c r="C29" s="312">
        <v>0</v>
      </c>
      <c r="D29" s="36"/>
      <c r="F29" s="200" t="s">
        <v>42</v>
      </c>
      <c r="G29" s="564">
        <v>0</v>
      </c>
      <c r="H29" s="597">
        <v>7.4310000000000001E-2</v>
      </c>
      <c r="I29" s="196">
        <f t="shared" si="0"/>
        <v>0</v>
      </c>
      <c r="J29" s="199"/>
      <c r="K29" s="231">
        <v>6809567</v>
      </c>
      <c r="L29" s="187" t="s">
        <v>102</v>
      </c>
      <c r="M29" s="465">
        <f>M28/K28</f>
        <v>0.11330999999999998</v>
      </c>
    </row>
    <row r="30" spans="1:13" ht="16.5" thickBot="1">
      <c r="A30" s="2" t="s">
        <v>111</v>
      </c>
      <c r="C30" s="125">
        <f>C7+C11+C14+C17+C20+C22+C27+C28+C29</f>
        <v>2328970.1600000006</v>
      </c>
      <c r="D30" s="37"/>
      <c r="F30" s="200" t="s">
        <v>43</v>
      </c>
      <c r="G30" s="564">
        <v>40231</v>
      </c>
      <c r="H30" s="597">
        <v>7.4310000000000001E-2</v>
      </c>
      <c r="I30" s="196">
        <f t="shared" si="0"/>
        <v>2989.5656100000001</v>
      </c>
      <c r="J30" s="200"/>
      <c r="K30" s="230">
        <f>K28-K29</f>
        <v>0</v>
      </c>
      <c r="L30" s="182"/>
      <c r="M30" s="198"/>
    </row>
    <row r="31" spans="1:13" ht="15.75">
      <c r="A31" s="384" t="s">
        <v>112</v>
      </c>
      <c r="C31" s="569">
        <v>-8904.2900000000009</v>
      </c>
      <c r="D31" s="39"/>
      <c r="F31" s="200" t="s">
        <v>74</v>
      </c>
      <c r="G31" s="564">
        <v>3085921</v>
      </c>
      <c r="H31" s="597">
        <v>5.4000000000000001E-4</v>
      </c>
      <c r="I31" s="196">
        <f t="shared" si="0"/>
        <v>1666.39734</v>
      </c>
      <c r="J31" s="153"/>
      <c r="K31" s="7"/>
      <c r="L31" s="182"/>
      <c r="M31" s="198"/>
    </row>
    <row r="32" spans="1:13" ht="16.5" thickBot="1">
      <c r="A32" s="2" t="s">
        <v>116</v>
      </c>
      <c r="B32" s="2" t="s">
        <v>117</v>
      </c>
      <c r="C32" s="567">
        <f>C30+C31</f>
        <v>2320065.8700000006</v>
      </c>
      <c r="D32" s="40"/>
      <c r="F32" s="199" t="s">
        <v>127</v>
      </c>
      <c r="G32" s="181">
        <f>SUM(G23:G31)</f>
        <v>15888438</v>
      </c>
      <c r="H32" s="7"/>
      <c r="I32" s="197">
        <f>SUM(I23:I31)</f>
        <v>1589934.2196900002</v>
      </c>
      <c r="J32" s="192"/>
      <c r="K32" s="193"/>
      <c r="L32" s="7"/>
      <c r="M32" s="190"/>
    </row>
    <row r="33" spans="1:17" ht="17.25" thickTop="1" thickBot="1">
      <c r="A33" s="384" t="s">
        <v>113</v>
      </c>
      <c r="C33" s="311">
        <f>-C5-C9-C13-C16-C19</f>
        <v>-44472.11</v>
      </c>
      <c r="D33" s="36"/>
      <c r="F33" s="186"/>
      <c r="G33" s="231">
        <v>15888438</v>
      </c>
      <c r="H33" s="187" t="s">
        <v>102</v>
      </c>
      <c r="I33" s="216">
        <f>I32/G32</f>
        <v>0.10006862976020678</v>
      </c>
      <c r="J33" s="192"/>
      <c r="K33" s="193"/>
      <c r="L33" s="7"/>
      <c r="M33" s="98"/>
    </row>
    <row r="34" spans="1:17" ht="16.5" thickBot="1">
      <c r="A34" s="2" t="s">
        <v>114</v>
      </c>
      <c r="C34" s="125">
        <f>SUM(C32:C33)</f>
        <v>2275593.7600000007</v>
      </c>
      <c r="D34" s="36"/>
      <c r="F34" s="153"/>
      <c r="G34" s="230">
        <f>G32-G33</f>
        <v>0</v>
      </c>
      <c r="H34" s="7"/>
      <c r="I34" s="98"/>
      <c r="J34" s="192"/>
      <c r="K34" s="191"/>
      <c r="L34" s="7"/>
      <c r="M34" s="98"/>
    </row>
    <row r="35" spans="1:17" ht="18" customHeight="1">
      <c r="A35" s="2"/>
      <c r="C35" s="101"/>
      <c r="D35" s="36"/>
      <c r="F35" s="184"/>
      <c r="G35" s="12"/>
      <c r="H35" s="12"/>
      <c r="I35" s="185"/>
      <c r="J35" s="199" t="s">
        <v>128</v>
      </c>
      <c r="K35" s="644"/>
      <c r="L35" s="644"/>
      <c r="M35" s="645"/>
    </row>
    <row r="36" spans="1:17" ht="15.75">
      <c r="A36" s="16" t="s">
        <v>94</v>
      </c>
      <c r="B36" s="2"/>
      <c r="C36" s="100"/>
      <c r="D36" s="36"/>
      <c r="F36" s="199" t="s">
        <v>128</v>
      </c>
      <c r="G36" s="7"/>
      <c r="H36" s="7"/>
      <c r="I36" s="98"/>
      <c r="J36" s="200" t="s">
        <v>37</v>
      </c>
      <c r="K36" s="608">
        <f>K23</f>
        <v>4795103</v>
      </c>
      <c r="L36" s="597">
        <v>0.23895</v>
      </c>
      <c r="M36" s="196">
        <f t="shared" ref="M36:M42" si="2">K36*L36</f>
        <v>1145789.86185</v>
      </c>
      <c r="P36" s="273"/>
      <c r="Q36" s="273"/>
    </row>
    <row r="37" spans="1:17" ht="15.75">
      <c r="A37" s="7" t="s">
        <v>129</v>
      </c>
      <c r="B37" s="532" t="s">
        <v>115</v>
      </c>
      <c r="C37" s="569">
        <v>3301870.41</v>
      </c>
      <c r="D37" s="36"/>
      <c r="F37" s="200" t="s">
        <v>37</v>
      </c>
      <c r="G37" s="608">
        <f>G23</f>
        <v>8835836</v>
      </c>
      <c r="H37" s="597">
        <v>0.23860000000000001</v>
      </c>
      <c r="I37" s="196">
        <f>G37*H37</f>
        <v>2108230.4696</v>
      </c>
      <c r="J37" s="200" t="s">
        <v>38</v>
      </c>
      <c r="K37" s="608">
        <f>K24</f>
        <v>1966749</v>
      </c>
      <c r="L37" s="597">
        <v>0.23895</v>
      </c>
      <c r="M37" s="196">
        <f t="shared" si="2"/>
        <v>469954.67355000001</v>
      </c>
      <c r="P37" s="273"/>
      <c r="Q37" s="273"/>
    </row>
    <row r="38" spans="1:17" ht="15.75">
      <c r="A38" s="144" t="s">
        <v>14</v>
      </c>
      <c r="B38" s="532" t="s">
        <v>115</v>
      </c>
      <c r="C38" s="569">
        <v>0</v>
      </c>
      <c r="D38" s="36"/>
      <c r="F38" s="200" t="s">
        <v>305</v>
      </c>
      <c r="G38" s="608">
        <f>G24</f>
        <v>13952</v>
      </c>
      <c r="H38" s="597">
        <v>0.23860000000000001</v>
      </c>
      <c r="I38" s="196">
        <f t="shared" ref="I38:I44" si="3">G38*H38</f>
        <v>3328.9472000000001</v>
      </c>
      <c r="J38" s="200" t="s">
        <v>39</v>
      </c>
      <c r="K38" s="608">
        <f>K25</f>
        <v>47715</v>
      </c>
      <c r="L38" s="597">
        <v>0.23895</v>
      </c>
      <c r="M38" s="196">
        <f t="shared" si="2"/>
        <v>11401.499249999999</v>
      </c>
      <c r="P38" s="273"/>
      <c r="Q38" s="273"/>
    </row>
    <row r="39" spans="1:17" ht="15.75">
      <c r="A39" s="7" t="s">
        <v>146</v>
      </c>
      <c r="B39" s="532" t="s">
        <v>147</v>
      </c>
      <c r="C39" s="569">
        <v>-81142.62</v>
      </c>
      <c r="D39" s="36"/>
      <c r="F39" s="200" t="s">
        <v>38</v>
      </c>
      <c r="G39" s="608">
        <f t="shared" ref="G39:G44" si="4">G25</f>
        <v>3629858</v>
      </c>
      <c r="H39" s="597">
        <v>0.23860000000000001</v>
      </c>
      <c r="I39" s="196">
        <f t="shared" si="3"/>
        <v>866084.11880000005</v>
      </c>
      <c r="J39" s="200" t="s">
        <v>40</v>
      </c>
      <c r="K39" s="608">
        <f>K26</f>
        <v>0</v>
      </c>
      <c r="L39" s="597">
        <v>0.23895</v>
      </c>
      <c r="M39" s="196">
        <f t="shared" si="2"/>
        <v>0</v>
      </c>
      <c r="P39" s="273"/>
      <c r="Q39" s="273"/>
    </row>
    <row r="40" spans="1:17" ht="15.75">
      <c r="A40" s="7" t="s">
        <v>131</v>
      </c>
      <c r="B40" s="532" t="s">
        <v>132</v>
      </c>
      <c r="C40" s="569">
        <v>1084919.76</v>
      </c>
      <c r="D40" s="36"/>
      <c r="F40" s="200" t="s">
        <v>39</v>
      </c>
      <c r="G40" s="608">
        <f t="shared" si="4"/>
        <v>0</v>
      </c>
      <c r="H40" s="597">
        <v>0.23860000000000001</v>
      </c>
      <c r="I40" s="196">
        <f t="shared" si="3"/>
        <v>0</v>
      </c>
      <c r="J40" s="200" t="s">
        <v>41</v>
      </c>
      <c r="K40" s="608">
        <f>K27</f>
        <v>0</v>
      </c>
      <c r="L40" s="597">
        <v>0.23895</v>
      </c>
      <c r="M40" s="196">
        <f t="shared" si="2"/>
        <v>0</v>
      </c>
      <c r="P40" s="273"/>
      <c r="Q40" s="273"/>
    </row>
    <row r="41" spans="1:17" ht="15.75">
      <c r="A41" s="7" t="s">
        <v>153</v>
      </c>
      <c r="B41" s="6" t="s">
        <v>155</v>
      </c>
      <c r="C41" s="569">
        <v>-9731.43</v>
      </c>
      <c r="D41" s="36"/>
      <c r="F41" s="200" t="s">
        <v>40</v>
      </c>
      <c r="G41" s="608">
        <f t="shared" si="4"/>
        <v>248414</v>
      </c>
      <c r="H41" s="597">
        <v>0.23860000000000001</v>
      </c>
      <c r="I41" s="196">
        <f t="shared" si="3"/>
        <v>59271.580399999999</v>
      </c>
      <c r="J41" s="200" t="s">
        <v>42</v>
      </c>
      <c r="K41" s="564">
        <v>0</v>
      </c>
      <c r="L41" s="597">
        <v>0.23895</v>
      </c>
      <c r="M41" s="196">
        <f t="shared" si="2"/>
        <v>0</v>
      </c>
      <c r="P41" s="273"/>
      <c r="Q41" s="273"/>
    </row>
    <row r="42" spans="1:17" ht="16.5" thickBot="1">
      <c r="A42" s="7" t="s">
        <v>178</v>
      </c>
      <c r="B42" s="532" t="s">
        <v>179</v>
      </c>
      <c r="C42" s="569">
        <v>143152.29</v>
      </c>
      <c r="D42" s="37"/>
      <c r="F42" s="200" t="s">
        <v>41</v>
      </c>
      <c r="G42" s="608">
        <f t="shared" si="4"/>
        <v>34226</v>
      </c>
      <c r="H42" s="597">
        <v>0.23860000000000001</v>
      </c>
      <c r="I42" s="196">
        <f t="shared" si="3"/>
        <v>8166.3236000000006</v>
      </c>
      <c r="J42" s="200" t="s">
        <v>43</v>
      </c>
      <c r="K42" s="609">
        <v>0</v>
      </c>
      <c r="L42" s="597">
        <v>0.23895</v>
      </c>
      <c r="M42" s="196">
        <f t="shared" si="2"/>
        <v>0</v>
      </c>
      <c r="P42" s="273"/>
      <c r="Q42" s="273"/>
    </row>
    <row r="43" spans="1:17" ht="16.5" thickBot="1">
      <c r="A43" s="85" t="s">
        <v>123</v>
      </c>
      <c r="B43" s="12"/>
      <c r="C43" s="125">
        <f>SUM(C37:C42)</f>
        <v>4439068.41</v>
      </c>
      <c r="D43" s="36"/>
      <c r="F43" s="200" t="s">
        <v>42</v>
      </c>
      <c r="G43" s="608">
        <f t="shared" si="4"/>
        <v>0</v>
      </c>
      <c r="H43" s="597">
        <v>0.23860000000000001</v>
      </c>
      <c r="I43" s="196">
        <f t="shared" si="3"/>
        <v>0</v>
      </c>
      <c r="J43" s="199" t="s">
        <v>133</v>
      </c>
      <c r="K43" s="181">
        <f>SUM(K36:K42)</f>
        <v>6809567</v>
      </c>
      <c r="L43" s="182"/>
      <c r="M43" s="197">
        <f>SUM(M36:M42)</f>
        <v>1627146.03465</v>
      </c>
    </row>
    <row r="44" spans="1:17" ht="16.5" thickBot="1">
      <c r="A44" s="83" t="s">
        <v>177</v>
      </c>
      <c r="B44" s="84" t="s">
        <v>120</v>
      </c>
      <c r="C44" s="569">
        <f>-138770.47+1042908.8</f>
        <v>904138.33000000007</v>
      </c>
      <c r="D44" s="37"/>
      <c r="F44" s="200" t="s">
        <v>43</v>
      </c>
      <c r="G44" s="608">
        <f t="shared" si="4"/>
        <v>40231</v>
      </c>
      <c r="H44" s="597">
        <v>0.23860000000000001</v>
      </c>
      <c r="I44" s="196">
        <f t="shared" si="3"/>
        <v>9599.1165999999994</v>
      </c>
      <c r="J44" s="194"/>
      <c r="K44" s="232">
        <v>6809567</v>
      </c>
      <c r="L44" s="189" t="s">
        <v>102</v>
      </c>
      <c r="M44" s="217">
        <f>M43/K43</f>
        <v>0.23895</v>
      </c>
    </row>
    <row r="45" spans="1:17" ht="16.5" thickBot="1">
      <c r="A45" s="211" t="s">
        <v>168</v>
      </c>
      <c r="B45" s="6" t="s">
        <v>115</v>
      </c>
      <c r="C45" s="122">
        <v>0</v>
      </c>
      <c r="D45" s="39"/>
      <c r="F45" s="199" t="s">
        <v>133</v>
      </c>
      <c r="G45" s="181">
        <f>SUM(G37:G44)</f>
        <v>12802517</v>
      </c>
      <c r="H45" s="182"/>
      <c r="I45" s="197">
        <f>SUM(I37:I44)</f>
        <v>3054680.5561999995</v>
      </c>
      <c r="J45" s="124"/>
      <c r="K45" s="230">
        <f>K43-K44</f>
        <v>0</v>
      </c>
      <c r="L45" s="385"/>
      <c r="M45" s="124"/>
    </row>
    <row r="46" spans="1:17" ht="19.5" customHeight="1" thickTop="1" thickBot="1">
      <c r="A46" s="144" t="s">
        <v>169</v>
      </c>
      <c r="B46" s="6" t="s">
        <v>115</v>
      </c>
      <c r="C46" s="122">
        <v>0</v>
      </c>
      <c r="D46" s="40"/>
      <c r="F46" s="188"/>
      <c r="G46" s="232">
        <v>12802517</v>
      </c>
      <c r="H46" s="189" t="s">
        <v>102</v>
      </c>
      <c r="I46" s="215">
        <f>I45/G45</f>
        <v>0.23859999999999995</v>
      </c>
      <c r="J46" s="124"/>
      <c r="K46" s="114"/>
      <c r="L46" s="385"/>
      <c r="M46" s="68"/>
    </row>
    <row r="47" spans="1:17" ht="19.5" customHeight="1">
      <c r="A47" s="384" t="s">
        <v>137</v>
      </c>
      <c r="B47" s="6" t="s">
        <v>115</v>
      </c>
      <c r="C47" s="569">
        <v>0</v>
      </c>
      <c r="D47" s="36"/>
      <c r="F47" s="385"/>
      <c r="G47" s="230">
        <f>G45-G46</f>
        <v>0</v>
      </c>
      <c r="H47" s="385"/>
      <c r="I47" s="385"/>
      <c r="J47" s="124"/>
      <c r="K47" s="114"/>
      <c r="L47" s="385"/>
      <c r="M47" s="68"/>
    </row>
    <row r="48" spans="1:17" ht="16.5" thickBot="1">
      <c r="A48" s="144" t="s">
        <v>304</v>
      </c>
      <c r="B48" s="6" t="s">
        <v>115</v>
      </c>
      <c r="C48" s="569">
        <v>7000</v>
      </c>
      <c r="D48" s="36"/>
      <c r="F48" s="385"/>
      <c r="G48" s="385"/>
      <c r="H48" s="385"/>
      <c r="I48" s="385"/>
      <c r="J48" s="124"/>
      <c r="K48" s="114"/>
      <c r="L48" s="385"/>
      <c r="M48" s="68"/>
    </row>
    <row r="49" spans="1:21" ht="15.75">
      <c r="A49" s="7" t="s">
        <v>130</v>
      </c>
      <c r="B49" s="532" t="s">
        <v>152</v>
      </c>
      <c r="C49" s="569">
        <v>18045.689999999999</v>
      </c>
      <c r="D49" s="36"/>
      <c r="F49" s="385"/>
      <c r="G49" s="114"/>
      <c r="H49" s="129" t="s">
        <v>35</v>
      </c>
      <c r="I49" s="13" t="s">
        <v>35</v>
      </c>
      <c r="J49" s="13" t="s">
        <v>63</v>
      </c>
      <c r="K49" s="127" t="s">
        <v>70</v>
      </c>
      <c r="L49" s="124"/>
      <c r="M49" s="385"/>
    </row>
    <row r="50" spans="1:21" ht="16.5" thickBot="1">
      <c r="A50" s="7" t="s">
        <v>222</v>
      </c>
      <c r="B50" s="532" t="s">
        <v>152</v>
      </c>
      <c r="C50" s="569">
        <v>1352.29</v>
      </c>
      <c r="D50" s="36"/>
      <c r="F50" s="50" t="s">
        <v>73</v>
      </c>
      <c r="G50" s="385"/>
      <c r="H50" s="130" t="s">
        <v>2</v>
      </c>
      <c r="I50" s="131" t="s">
        <v>3</v>
      </c>
      <c r="J50" s="131" t="s">
        <v>2</v>
      </c>
      <c r="K50" s="128" t="s">
        <v>3</v>
      </c>
      <c r="L50" s="385"/>
      <c r="M50" s="385"/>
    </row>
    <row r="51" spans="1:21" ht="15.75">
      <c r="A51" s="7" t="s">
        <v>308</v>
      </c>
      <c r="B51" s="575" t="s">
        <v>152</v>
      </c>
      <c r="C51" s="569">
        <v>6694.18</v>
      </c>
      <c r="D51" s="33"/>
      <c r="F51" s="385"/>
      <c r="G51" s="385"/>
      <c r="H51" s="151"/>
      <c r="I51" s="152"/>
      <c r="J51" s="152"/>
      <c r="K51" s="152"/>
      <c r="L51" s="126" t="s">
        <v>103</v>
      </c>
      <c r="M51" s="385"/>
    </row>
    <row r="52" spans="1:21" ht="15.75">
      <c r="A52" s="22" t="s">
        <v>118</v>
      </c>
      <c r="B52" s="6"/>
      <c r="C52" s="601">
        <f>-C33</f>
        <v>44472.11</v>
      </c>
      <c r="D52" s="36"/>
      <c r="F52" s="385" t="s">
        <v>136</v>
      </c>
      <c r="G52" s="385"/>
      <c r="H52" s="212">
        <f>K12</f>
        <v>118792.85238400078</v>
      </c>
      <c r="I52" s="115">
        <f>I14</f>
        <v>1604976.2789280005</v>
      </c>
      <c r="J52" s="115">
        <f>L12</f>
        <v>59677.43761600041</v>
      </c>
      <c r="K52" s="115">
        <f>J14</f>
        <v>670617.48107200023</v>
      </c>
      <c r="L52" s="132">
        <f>SUM(H52:K52)</f>
        <v>2454064.0500000017</v>
      </c>
      <c r="M52" s="385"/>
    </row>
    <row r="53" spans="1:21" ht="16.5" thickBot="1">
      <c r="A53" s="385" t="s">
        <v>315</v>
      </c>
      <c r="B53" s="613" t="s">
        <v>316</v>
      </c>
      <c r="C53" s="569">
        <v>7278.33</v>
      </c>
      <c r="D53" s="36"/>
      <c r="F53" s="384" t="s">
        <v>109</v>
      </c>
      <c r="H53" s="212">
        <f>-I45</f>
        <v>-3054680.5561999995</v>
      </c>
      <c r="I53" s="115">
        <f>-I32</f>
        <v>-1589934.2196900002</v>
      </c>
      <c r="J53" s="115">
        <f>-M43</f>
        <v>-1627146.03465</v>
      </c>
      <c r="K53" s="115">
        <f>-M28</f>
        <v>-771592.03676999989</v>
      </c>
      <c r="L53" s="261">
        <f>SUM(H53:K53)</f>
        <v>-7043352.8473100001</v>
      </c>
    </row>
    <row r="54" spans="1:21" ht="16.5" thickBot="1">
      <c r="A54" s="382" t="s">
        <v>124</v>
      </c>
      <c r="B54" s="473" t="s">
        <v>296</v>
      </c>
      <c r="C54" s="569">
        <v>-5031154.5599999996</v>
      </c>
      <c r="D54" s="36"/>
      <c r="F54" s="384" t="s">
        <v>86</v>
      </c>
      <c r="H54" s="234">
        <v>0</v>
      </c>
      <c r="I54" s="235">
        <v>0</v>
      </c>
      <c r="J54" s="235">
        <v>0</v>
      </c>
      <c r="K54" s="236">
        <v>0</v>
      </c>
      <c r="L54" s="214">
        <f>SUM(L52:L53)</f>
        <v>-4589288.7973099984</v>
      </c>
    </row>
    <row r="55" spans="1:21" ht="16.5" thickBot="1">
      <c r="A55" s="384" t="s">
        <v>312</v>
      </c>
      <c r="B55" s="6" t="s">
        <v>190</v>
      </c>
      <c r="C55" s="569">
        <v>-375000</v>
      </c>
      <c r="D55" s="36"/>
      <c r="F55" s="384" t="s">
        <v>71</v>
      </c>
      <c r="H55" s="125">
        <f>IFERROR(H52+H53+H54,0)</f>
        <v>-2935887.7038159985</v>
      </c>
      <c r="I55" s="125">
        <f>I52+I53+I54</f>
        <v>15042.059238000307</v>
      </c>
      <c r="J55" s="125">
        <f>IFERROR(J52+J53+J54,0)</f>
        <v>-1567468.5970339996</v>
      </c>
      <c r="K55" s="125">
        <f>K52+K53+K54</f>
        <v>-100974.55569799966</v>
      </c>
      <c r="L55" s="47">
        <f>SUM(H55:K55)</f>
        <v>-4589288.7973099975</v>
      </c>
    </row>
    <row r="56" spans="1:21" ht="16.5" thickBot="1">
      <c r="A56" s="82" t="s">
        <v>119</v>
      </c>
      <c r="B56" s="84"/>
      <c r="C56" s="160">
        <f>SUM(C43:C55)</f>
        <v>21894.780000001192</v>
      </c>
      <c r="D56" s="36"/>
      <c r="F56" s="240" t="s">
        <v>181</v>
      </c>
      <c r="H56" s="384" t="s">
        <v>173</v>
      </c>
      <c r="I56" s="5">
        <f>SUM(H55:I55)</f>
        <v>-2920845.6445779982</v>
      </c>
      <c r="J56" s="15" t="s">
        <v>174</v>
      </c>
      <c r="K56" s="384">
        <f>SUM(J55:K55)</f>
        <v>-1668443.1527319993</v>
      </c>
      <c r="L56" s="213">
        <f>ROUND(L54-L55,3)</f>
        <v>0</v>
      </c>
      <c r="T56" s="42"/>
    </row>
    <row r="57" spans="1:21" ht="16.5" thickTop="1">
      <c r="A57" s="384" t="s">
        <v>121</v>
      </c>
      <c r="B57" s="6" t="s">
        <v>115</v>
      </c>
      <c r="C57" s="569">
        <v>104499.94</v>
      </c>
      <c r="D57" s="36"/>
      <c r="F57" s="397" t="s">
        <v>181</v>
      </c>
      <c r="H57" s="96"/>
    </row>
    <row r="58" spans="1:21" ht="16.5" thickBot="1">
      <c r="A58" s="384" t="s">
        <v>122</v>
      </c>
      <c r="B58" s="6" t="s">
        <v>115</v>
      </c>
      <c r="C58" s="569">
        <v>52075.57</v>
      </c>
      <c r="D58" s="36"/>
      <c r="F58" s="397" t="s">
        <v>182</v>
      </c>
      <c r="H58" s="157"/>
      <c r="I58" s="120"/>
      <c r="J58" s="120"/>
      <c r="K58" s="204"/>
      <c r="L58" s="120"/>
    </row>
    <row r="59" spans="1:21" ht="16.5" thickBot="1">
      <c r="A59" s="2" t="s">
        <v>125</v>
      </c>
      <c r="B59" s="2"/>
      <c r="C59" s="160">
        <f>SUM(C56:C58)</f>
        <v>178470.2900000012</v>
      </c>
      <c r="D59" s="36"/>
      <c r="F59" s="543" t="s">
        <v>303</v>
      </c>
      <c r="G59" s="545"/>
      <c r="H59" s="386" t="s">
        <v>294</v>
      </c>
      <c r="I59" s="387"/>
    </row>
    <row r="60" spans="1:21" ht="17.25" thickTop="1" thickBot="1">
      <c r="A60" s="2"/>
      <c r="C60" s="101"/>
      <c r="D60" s="36"/>
      <c r="H60" s="318" t="s">
        <v>175</v>
      </c>
      <c r="I60" s="319" t="s">
        <v>176</v>
      </c>
      <c r="J60" s="5"/>
    </row>
    <row r="61" spans="1:21" ht="16.5" thickBot="1">
      <c r="A61" s="9"/>
      <c r="B61" s="9" t="s">
        <v>95</v>
      </c>
      <c r="C61" s="125">
        <f>C59+C34</f>
        <v>2454064.0500000017</v>
      </c>
      <c r="D61" s="37"/>
      <c r="H61" s="349" t="e">
        <f>SUM('WA - Def-Amtz (current)'!AJ5:AJ10,'WA - Def-Amtz (current)'!AJ35:AJ40,'WA - Def-Amtz (current)'!AJ70:AJ73,#REF!,#REF!,#REF!)</f>
        <v>#REF!</v>
      </c>
      <c r="I61" s="449" t="e">
        <f>SUM('WA - Def-Amtz (current)'!AK5:AK10,'WA - Def-Amtz (current)'!AK35:AK40,'WA - Def-Amtz (current)'!AK70:AK73,#REF!,#REF!,#REF!)</f>
        <v>#REF!</v>
      </c>
    </row>
    <row r="62" spans="1:21" ht="15.75">
      <c r="A62" s="2"/>
      <c r="B62" s="9" t="s">
        <v>160</v>
      </c>
      <c r="C62" s="350">
        <v>2454064.0499999998</v>
      </c>
      <c r="G62" s="5"/>
      <c r="I62" s="338" t="e">
        <f>H61-I61</f>
        <v>#REF!</v>
      </c>
      <c r="P62" s="21"/>
    </row>
    <row r="63" spans="1:21" ht="15.75">
      <c r="A63" s="9"/>
      <c r="B63" s="9" t="s">
        <v>159</v>
      </c>
      <c r="C63" s="257">
        <f>ROUND(C61-C62,2)</f>
        <v>0</v>
      </c>
      <c r="D63" s="36"/>
      <c r="N63" s="5"/>
      <c r="O63" s="5"/>
      <c r="S63" s="6"/>
    </row>
    <row r="64" spans="1:21" ht="15.75">
      <c r="A64" s="44"/>
      <c r="C64" s="351"/>
      <c r="D64" s="43"/>
      <c r="U64" s="2"/>
    </row>
    <row r="65" spans="1:21" ht="15.75">
      <c r="A65" s="44"/>
      <c r="C65" s="8"/>
      <c r="D65" s="36"/>
      <c r="N65" s="22"/>
      <c r="S65" s="23"/>
    </row>
    <row r="66" spans="1:21" ht="15.75">
      <c r="A66" s="2"/>
      <c r="C66" s="8"/>
      <c r="D66" s="36"/>
      <c r="I66" s="96"/>
      <c r="N66" s="22"/>
      <c r="S66" s="24"/>
    </row>
    <row r="67" spans="1:21">
      <c r="C67" s="100"/>
      <c r="D67" s="36"/>
      <c r="I67" s="96"/>
      <c r="N67" s="22"/>
      <c r="S67" s="25"/>
    </row>
    <row r="68" spans="1:21">
      <c r="D68" s="36"/>
      <c r="N68" s="22"/>
      <c r="S68" s="24"/>
    </row>
    <row r="69" spans="1:21">
      <c r="D69" s="37"/>
      <c r="N69" s="22"/>
    </row>
    <row r="70" spans="1:21">
      <c r="D70" s="36"/>
      <c r="N70" s="22"/>
      <c r="S70" s="26"/>
    </row>
    <row r="71" spans="1:21">
      <c r="D71" s="36"/>
      <c r="N71" s="22"/>
    </row>
    <row r="72" spans="1:21">
      <c r="D72" s="36"/>
    </row>
    <row r="73" spans="1:21">
      <c r="D73" s="45"/>
      <c r="S73" s="27"/>
    </row>
    <row r="74" spans="1:21">
      <c r="R74" s="6"/>
      <c r="S74" s="6"/>
      <c r="T74" s="6"/>
    </row>
    <row r="76" spans="1:21">
      <c r="U76" s="28"/>
    </row>
    <row r="1477" spans="3:3">
      <c r="C1477" s="384">
        <v>-2130</v>
      </c>
    </row>
    <row r="1485" spans="3:3">
      <c r="C1485" s="384">
        <f>7004298-2130</f>
        <v>7002168</v>
      </c>
    </row>
  </sheetData>
  <mergeCells count="3">
    <mergeCell ref="F18:I18"/>
    <mergeCell ref="J18:M18"/>
    <mergeCell ref="K35:M35"/>
  </mergeCells>
  <conditionalFormatting sqref="C63 L56 I62">
    <cfRule type="cellIs" dxfId="222" priority="7" stopIfTrue="1" operator="equal">
      <formula>0</formula>
    </cfRule>
    <cfRule type="cellIs" dxfId="221" priority="8" stopIfTrue="1" operator="notEqual">
      <formula>0</formula>
    </cfRule>
  </conditionalFormatting>
  <conditionalFormatting sqref="G34 G47 K30 K45">
    <cfRule type="cellIs" dxfId="220" priority="6" operator="notEqual">
      <formula>0</formula>
    </cfRule>
  </conditionalFormatting>
  <conditionalFormatting sqref="C63">
    <cfRule type="cellIs" dxfId="219" priority="4" stopIfTrue="1" operator="equal">
      <formula>0</formula>
    </cfRule>
    <cfRule type="cellIs" dxfId="218" priority="5" stopIfTrue="1" operator="notEqual">
      <formula>0</formula>
    </cfRule>
  </conditionalFormatting>
  <conditionalFormatting sqref="K30">
    <cfRule type="cellIs" dxfId="217" priority="3" operator="notEqual">
      <formula>0</formula>
    </cfRule>
  </conditionalFormatting>
  <printOptions verticalCentered="1" gridLinesSet="0"/>
  <pageMargins left="0.5" right="0" top="0.25" bottom="0.5" header="0" footer="0.25"/>
  <pageSetup scale="47" orientation="landscape" cellComments="asDisplayed" r:id="rId1"/>
  <headerFooter alignWithMargins="0">
    <oddFooter>&amp;L&amp;F&amp;C&amp;A&amp;R&amp;D&amp;T</oddFooter>
  </headerFooter>
  <customProperties>
    <customPr name="xxe4aPID" r:id="rId2"/>
  </customProperties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6">
    <tabColor rgb="FF00CC66"/>
    <pageSetUpPr fitToPage="1"/>
  </sheetPr>
  <dimension ref="A1:U1485"/>
  <sheetViews>
    <sheetView showGridLines="0" topLeftCell="A18" zoomScale="70" zoomScaleNormal="70" workbookViewId="0">
      <selection activeCell="G60" sqref="G60"/>
    </sheetView>
  </sheetViews>
  <sheetFormatPr defaultColWidth="16" defaultRowHeight="15"/>
  <cols>
    <col min="1" max="1" width="44.85546875" style="384" customWidth="1"/>
    <col min="2" max="2" width="25.5703125" style="384" customWidth="1"/>
    <col min="3" max="3" width="25.28515625" style="384" customWidth="1"/>
    <col min="4" max="4" width="2.7109375" style="30" customWidth="1"/>
    <col min="5" max="5" width="4.28515625" style="384" customWidth="1"/>
    <col min="6" max="6" width="26.7109375" style="384" customWidth="1"/>
    <col min="7" max="7" width="19" style="384" customWidth="1"/>
    <col min="8" max="8" width="22" style="384" customWidth="1"/>
    <col min="9" max="9" width="20.42578125" style="384" customWidth="1"/>
    <col min="10" max="10" width="26.28515625" style="384" customWidth="1"/>
    <col min="11" max="11" width="21.85546875" style="384" bestFit="1" customWidth="1"/>
    <col min="12" max="12" width="23.85546875" style="384" customWidth="1"/>
    <col min="13" max="13" width="20.85546875" style="384" bestFit="1" customWidth="1"/>
    <col min="14" max="15" width="16" style="384"/>
    <col min="16" max="16" width="16.28515625" style="384" bestFit="1" customWidth="1"/>
    <col min="17" max="16384" width="16" style="384"/>
  </cols>
  <sheetData>
    <row r="1" spans="1:13" ht="16.5" thickBot="1">
      <c r="A1" s="145" t="s">
        <v>64</v>
      </c>
      <c r="B1" s="29"/>
      <c r="C1" s="529">
        <f>Oct!C1+1</f>
        <v>201811</v>
      </c>
      <c r="F1" s="529">
        <f>C1</f>
        <v>201811</v>
      </c>
      <c r="G1" s="385"/>
      <c r="H1" s="162" t="s">
        <v>69</v>
      </c>
      <c r="I1" s="126" t="s">
        <v>3</v>
      </c>
      <c r="J1" s="126" t="s">
        <v>3</v>
      </c>
      <c r="K1" s="126" t="s">
        <v>66</v>
      </c>
      <c r="L1" s="126" t="s">
        <v>66</v>
      </c>
      <c r="M1" s="385"/>
    </row>
    <row r="2" spans="1:13" ht="15.75">
      <c r="C2" s="31"/>
      <c r="F2" s="385"/>
      <c r="G2" s="385"/>
      <c r="H2" s="163" t="s">
        <v>32</v>
      </c>
      <c r="I2" s="164" t="s">
        <v>65</v>
      </c>
      <c r="J2" s="164" t="s">
        <v>65</v>
      </c>
      <c r="K2" s="164" t="s">
        <v>67</v>
      </c>
      <c r="L2" s="164" t="s">
        <v>67</v>
      </c>
      <c r="M2" s="385"/>
    </row>
    <row r="3" spans="1:13" ht="16.5" thickBot="1">
      <c r="A3" s="63" t="s">
        <v>110</v>
      </c>
      <c r="C3" s="32"/>
      <c r="D3" s="33"/>
      <c r="F3" s="50" t="s">
        <v>72</v>
      </c>
      <c r="G3" s="385"/>
      <c r="H3" s="165" t="s">
        <v>68</v>
      </c>
      <c r="I3" s="165" t="s">
        <v>35</v>
      </c>
      <c r="J3" s="165" t="s">
        <v>63</v>
      </c>
      <c r="K3" s="165" t="s">
        <v>35</v>
      </c>
      <c r="L3" s="165" t="s">
        <v>63</v>
      </c>
      <c r="M3" s="385"/>
    </row>
    <row r="4" spans="1:13" ht="15.75">
      <c r="A4" s="385" t="s">
        <v>88</v>
      </c>
      <c r="C4" s="569">
        <f>3691648.69</f>
        <v>3691648.69</v>
      </c>
      <c r="D4" s="34"/>
      <c r="F4" s="385"/>
      <c r="G4" s="385"/>
      <c r="H4" s="11"/>
      <c r="I4" s="385"/>
      <c r="J4" s="385"/>
      <c r="L4" s="385"/>
      <c r="M4" s="385"/>
    </row>
    <row r="5" spans="1:13" ht="14.25" customHeight="1">
      <c r="A5" s="385" t="s">
        <v>31</v>
      </c>
      <c r="C5" s="569">
        <f>-189.1+68263.39</f>
        <v>68074.289999999994</v>
      </c>
      <c r="D5" s="34"/>
      <c r="F5" s="385"/>
      <c r="G5" s="385"/>
      <c r="H5" s="11"/>
      <c r="I5" s="594">
        <v>0.69059999999999999</v>
      </c>
      <c r="J5" s="594">
        <v>0.30940000000000001</v>
      </c>
      <c r="K5" s="445">
        <f>ROUND(G45/(G45+K43),4)</f>
        <v>0.67859999999999998</v>
      </c>
      <c r="L5" s="445">
        <f>1-K5</f>
        <v>0.32140000000000002</v>
      </c>
      <c r="M5" s="385"/>
    </row>
    <row r="6" spans="1:13" ht="16.5" thickBot="1">
      <c r="A6" s="49" t="s">
        <v>30</v>
      </c>
      <c r="C6" s="570">
        <f>-79335-99088.8-1509333-430500-123000-138375</f>
        <v>-2379631.7999999998</v>
      </c>
      <c r="D6" s="34"/>
      <c r="F6" s="385"/>
      <c r="G6" s="385"/>
      <c r="H6" s="385"/>
      <c r="I6" s="385"/>
      <c r="J6" s="385"/>
      <c r="K6" s="385"/>
      <c r="L6" s="385"/>
      <c r="M6" s="385"/>
    </row>
    <row r="7" spans="1:13" ht="16.5" thickBot="1">
      <c r="A7" s="66" t="s">
        <v>140</v>
      </c>
      <c r="C7" s="100">
        <f>SUM(C4:C6)</f>
        <v>1380091.1800000002</v>
      </c>
      <c r="D7" s="35"/>
      <c r="F7" s="166" t="s">
        <v>139</v>
      </c>
      <c r="G7" s="166"/>
      <c r="H7" s="125">
        <f>C34</f>
        <v>2243835.91</v>
      </c>
      <c r="I7" s="167">
        <f>H7*I5</f>
        <v>1549593.079446</v>
      </c>
      <c r="J7" s="167">
        <f>H7*J5</f>
        <v>694242.8305540001</v>
      </c>
      <c r="K7" s="167"/>
      <c r="L7" s="167"/>
      <c r="M7" s="385"/>
    </row>
    <row r="8" spans="1:13" ht="15.75">
      <c r="A8" s="384" t="s">
        <v>89</v>
      </c>
      <c r="C8" s="569">
        <v>244576.79</v>
      </c>
      <c r="D8" s="35"/>
      <c r="F8" s="385"/>
      <c r="G8" s="385"/>
      <c r="H8" s="168"/>
      <c r="I8" s="168"/>
      <c r="J8" s="168"/>
      <c r="K8" s="168"/>
      <c r="L8" s="168"/>
      <c r="M8" s="385"/>
    </row>
    <row r="9" spans="1:13" ht="15.75">
      <c r="A9" s="385" t="s">
        <v>90</v>
      </c>
      <c r="C9" s="569">
        <f>8418.02</f>
        <v>8418.02</v>
      </c>
      <c r="D9" s="36"/>
      <c r="F9" s="166" t="s">
        <v>119</v>
      </c>
      <c r="G9" s="385"/>
      <c r="H9" s="167">
        <f>C56</f>
        <v>6394422.21</v>
      </c>
      <c r="I9" s="167"/>
      <c r="J9" s="167"/>
      <c r="K9" s="167">
        <f>H9*K5</f>
        <v>4339254.9117059996</v>
      </c>
      <c r="L9" s="167">
        <f>H9*L5</f>
        <v>2055167.2982940001</v>
      </c>
      <c r="M9" s="385"/>
    </row>
    <row r="10" spans="1:13" ht="15.75">
      <c r="A10" s="49" t="s">
        <v>91</v>
      </c>
      <c r="C10" s="570">
        <v>-3308.2</v>
      </c>
      <c r="D10" s="36"/>
      <c r="F10" s="169" t="s">
        <v>44</v>
      </c>
      <c r="G10" s="385"/>
      <c r="H10" s="167">
        <f>C57</f>
        <v>-108566.91</v>
      </c>
      <c r="I10" s="167"/>
      <c r="J10" s="167"/>
      <c r="K10" s="167">
        <f>H10</f>
        <v>-108566.91</v>
      </c>
      <c r="L10" s="167"/>
      <c r="M10" s="385"/>
    </row>
    <row r="11" spans="1:13">
      <c r="A11" s="66" t="s">
        <v>145</v>
      </c>
      <c r="C11" s="100">
        <f>SUM(C8:C10)</f>
        <v>249686.61</v>
      </c>
      <c r="D11" s="36"/>
      <c r="F11" s="169" t="s">
        <v>45</v>
      </c>
      <c r="G11" s="385"/>
      <c r="H11" s="170">
        <f>C58</f>
        <v>-54352.7</v>
      </c>
      <c r="I11" s="167"/>
      <c r="J11" s="167"/>
      <c r="K11" s="170"/>
      <c r="L11" s="170">
        <f>H11</f>
        <v>-54352.7</v>
      </c>
      <c r="M11" s="385"/>
    </row>
    <row r="12" spans="1:13" ht="15.75">
      <c r="A12" s="384" t="s">
        <v>165</v>
      </c>
      <c r="C12" s="569">
        <f>2747.14+184211.28</f>
        <v>186958.42</v>
      </c>
      <c r="D12" s="36"/>
      <c r="F12" s="169" t="s">
        <v>138</v>
      </c>
      <c r="G12" s="385"/>
      <c r="H12" s="167">
        <f>H9+H10+H11</f>
        <v>6231502.5999999996</v>
      </c>
      <c r="I12" s="167"/>
      <c r="J12" s="167"/>
      <c r="K12" s="167">
        <f>SUM(K9:K11)</f>
        <v>4230688.0017059995</v>
      </c>
      <c r="L12" s="167">
        <f>SUM(L9:L11)</f>
        <v>2000814.5982940001</v>
      </c>
      <c r="M12" s="385"/>
    </row>
    <row r="13" spans="1:13" ht="16.5" thickBot="1">
      <c r="A13" s="49" t="s">
        <v>166</v>
      </c>
      <c r="C13" s="555">
        <v>0</v>
      </c>
      <c r="D13" s="36"/>
      <c r="F13" s="171"/>
      <c r="G13" s="172"/>
      <c r="H13" s="173"/>
      <c r="I13" s="174"/>
      <c r="J13" s="173"/>
      <c r="K13" s="168"/>
      <c r="L13" s="173"/>
      <c r="M13" s="385"/>
    </row>
    <row r="14" spans="1:13" ht="16.5" thickBot="1">
      <c r="A14" s="66" t="s">
        <v>92</v>
      </c>
      <c r="C14" s="100">
        <f>SUM(C12:C13)</f>
        <v>186958.42</v>
      </c>
      <c r="D14" s="37"/>
      <c r="F14" s="50" t="s">
        <v>69</v>
      </c>
      <c r="G14" s="175"/>
      <c r="H14" s="125">
        <f>H12+H7</f>
        <v>8475338.5099999998</v>
      </c>
      <c r="I14" s="176">
        <f>SUM(I7:I13)</f>
        <v>1549593.079446</v>
      </c>
      <c r="J14" s="176">
        <f>SUM(J7:J13)</f>
        <v>694242.8305540001</v>
      </c>
      <c r="K14" s="176">
        <f>K12</f>
        <v>4230688.0017059995</v>
      </c>
      <c r="L14" s="176">
        <f>L12</f>
        <v>2000814.5982940001</v>
      </c>
      <c r="M14" s="385"/>
    </row>
    <row r="15" spans="1:13" ht="15.75">
      <c r="A15" s="384" t="s">
        <v>183</v>
      </c>
      <c r="C15" s="569">
        <f>430441.35+6419.15</f>
        <v>436860.5</v>
      </c>
      <c r="D15" s="36"/>
      <c r="F15" s="171"/>
      <c r="G15" s="172" t="s">
        <v>102</v>
      </c>
      <c r="H15" s="173">
        <f>H14-C61</f>
        <v>0</v>
      </c>
      <c r="I15" s="177"/>
      <c r="J15" s="173">
        <f>J7+I7-H7</f>
        <v>0</v>
      </c>
      <c r="K15" s="385"/>
      <c r="L15" s="173">
        <f>H12-K14-L14</f>
        <v>0</v>
      </c>
      <c r="M15" s="385"/>
    </row>
    <row r="16" spans="1:13" ht="15.75">
      <c r="A16" s="49" t="s">
        <v>184</v>
      </c>
      <c r="C16" s="555">
        <v>0</v>
      </c>
      <c r="D16" s="36"/>
      <c r="F16" s="178"/>
      <c r="G16" s="172"/>
      <c r="H16" s="179"/>
      <c r="I16" s="180"/>
      <c r="J16" s="179"/>
      <c r="K16" s="385"/>
      <c r="L16" s="179"/>
      <c r="M16" s="385"/>
    </row>
    <row r="17" spans="1:14" ht="15.75" thickBot="1">
      <c r="A17" s="66" t="s">
        <v>185</v>
      </c>
      <c r="C17" s="100">
        <f>SUM(C15:C16)</f>
        <v>436860.5</v>
      </c>
      <c r="D17" s="37"/>
      <c r="F17" s="171"/>
      <c r="G17" s="172"/>
      <c r="H17" s="179"/>
      <c r="I17" s="180"/>
      <c r="J17" s="183"/>
      <c r="K17" s="385"/>
      <c r="L17" s="179"/>
      <c r="M17" s="385"/>
    </row>
    <row r="18" spans="1:14" ht="16.5" thickBot="1">
      <c r="A18" s="384" t="s">
        <v>163</v>
      </c>
      <c r="C18" s="569">
        <f>62616.1+10081.5+1226.07</f>
        <v>73923.670000000013</v>
      </c>
      <c r="D18" s="36"/>
      <c r="F18" s="646" t="s">
        <v>134</v>
      </c>
      <c r="G18" s="647"/>
      <c r="H18" s="647"/>
      <c r="I18" s="648"/>
      <c r="J18" s="646" t="s">
        <v>135</v>
      </c>
      <c r="K18" s="647"/>
      <c r="L18" s="647"/>
      <c r="M18" s="648"/>
    </row>
    <row r="19" spans="1:14" ht="15.75">
      <c r="A19" s="46" t="s">
        <v>164</v>
      </c>
      <c r="C19" s="570">
        <f>-1101.09</f>
        <v>-1101.0899999999999</v>
      </c>
      <c r="D19" s="36"/>
      <c r="F19" s="201" t="s">
        <v>108</v>
      </c>
      <c r="G19" s="164" t="s">
        <v>33</v>
      </c>
      <c r="H19" s="164" t="s">
        <v>33</v>
      </c>
      <c r="I19" s="164" t="s">
        <v>33</v>
      </c>
      <c r="J19" s="201" t="s">
        <v>108</v>
      </c>
      <c r="K19" s="164" t="s">
        <v>33</v>
      </c>
      <c r="L19" s="164" t="s">
        <v>33</v>
      </c>
      <c r="M19" s="185" t="s">
        <v>33</v>
      </c>
    </row>
    <row r="20" spans="1:14" ht="16.5" thickBot="1">
      <c r="A20" s="67" t="s">
        <v>93</v>
      </c>
      <c r="C20" s="100">
        <f>SUM(C18:C19)</f>
        <v>72822.580000000016</v>
      </c>
      <c r="D20" s="36"/>
      <c r="F20" s="195" t="s">
        <v>162</v>
      </c>
      <c r="G20" s="165" t="s">
        <v>101</v>
      </c>
      <c r="H20" s="165" t="s">
        <v>36</v>
      </c>
      <c r="I20" s="165" t="s">
        <v>34</v>
      </c>
      <c r="J20" s="195" t="s">
        <v>162</v>
      </c>
      <c r="K20" s="165" t="s">
        <v>101</v>
      </c>
      <c r="L20" s="165" t="s">
        <v>36</v>
      </c>
      <c r="M20" s="165" t="s">
        <v>34</v>
      </c>
    </row>
    <row r="21" spans="1:14" ht="15.75">
      <c r="A21" s="46" t="s">
        <v>149</v>
      </c>
      <c r="C21" s="570">
        <f>-118.03+1850</f>
        <v>1731.97</v>
      </c>
      <c r="D21" s="36"/>
      <c r="F21" s="184"/>
      <c r="G21" s="12"/>
      <c r="H21" s="12"/>
      <c r="I21" s="185"/>
      <c r="J21" s="129"/>
      <c r="K21" s="13"/>
      <c r="L21" s="13"/>
      <c r="M21" s="205"/>
    </row>
    <row r="22" spans="1:14" ht="18" customHeight="1">
      <c r="A22" s="65" t="s">
        <v>149</v>
      </c>
      <c r="C22" s="100">
        <f>SUM(C21)</f>
        <v>1731.97</v>
      </c>
      <c r="D22" s="36"/>
      <c r="F22" s="199" t="s">
        <v>126</v>
      </c>
      <c r="G22" s="7"/>
      <c r="H22" s="7"/>
      <c r="I22" s="98"/>
      <c r="J22" s="199" t="s">
        <v>126</v>
      </c>
      <c r="K22" s="7"/>
      <c r="L22" s="7"/>
      <c r="M22" s="98"/>
    </row>
    <row r="23" spans="1:14" ht="15.75">
      <c r="A23" s="208" t="s">
        <v>180</v>
      </c>
      <c r="C23" s="100">
        <v>0</v>
      </c>
      <c r="D23" s="36"/>
      <c r="F23" s="200" t="s">
        <v>37</v>
      </c>
      <c r="G23" s="562">
        <v>14838696</v>
      </c>
      <c r="H23" s="389" t="s">
        <v>306</v>
      </c>
      <c r="I23" s="585">
        <v>1571425</v>
      </c>
      <c r="J23" s="200" t="s">
        <v>37</v>
      </c>
      <c r="K23" s="562">
        <v>7458719</v>
      </c>
      <c r="L23" s="389" t="s">
        <v>306</v>
      </c>
      <c r="M23" s="585">
        <v>789761</v>
      </c>
    </row>
    <row r="24" spans="1:14" ht="15.75">
      <c r="A24" s="208" t="s">
        <v>186</v>
      </c>
      <c r="C24" s="122">
        <v>0</v>
      </c>
      <c r="D24" s="36"/>
      <c r="F24" s="200" t="s">
        <v>305</v>
      </c>
      <c r="G24" s="562">
        <v>20740</v>
      </c>
      <c r="H24" s="389" t="s">
        <v>306</v>
      </c>
      <c r="I24" s="585">
        <v>2193</v>
      </c>
      <c r="J24" s="200" t="s">
        <v>38</v>
      </c>
      <c r="K24" s="562">
        <v>2362350</v>
      </c>
      <c r="L24" s="389" t="s">
        <v>306</v>
      </c>
      <c r="M24" s="585">
        <v>248894</v>
      </c>
    </row>
    <row r="25" spans="1:14" ht="15.75">
      <c r="A25" s="208" t="s">
        <v>189</v>
      </c>
      <c r="C25" s="557">
        <v>0</v>
      </c>
      <c r="D25" s="36"/>
      <c r="F25" s="200" t="s">
        <v>38</v>
      </c>
      <c r="G25" s="562">
        <v>5325716</v>
      </c>
      <c r="H25" s="389" t="s">
        <v>306</v>
      </c>
      <c r="I25" s="585">
        <v>506311</v>
      </c>
      <c r="J25" s="200" t="s">
        <v>39</v>
      </c>
      <c r="K25" s="562">
        <v>35223</v>
      </c>
      <c r="L25" s="389" t="s">
        <v>306</v>
      </c>
      <c r="M25" s="585">
        <v>3853</v>
      </c>
    </row>
    <row r="26" spans="1:14" ht="15.75">
      <c r="A26" s="209" t="s">
        <v>188</v>
      </c>
      <c r="C26" s="558">
        <v>0</v>
      </c>
      <c r="D26" s="36"/>
      <c r="F26" s="200" t="s">
        <v>39</v>
      </c>
      <c r="G26" s="562">
        <v>153941</v>
      </c>
      <c r="H26" s="389" t="s">
        <v>306</v>
      </c>
      <c r="I26" s="585">
        <v>16784</v>
      </c>
      <c r="J26" s="200" t="s">
        <v>40</v>
      </c>
      <c r="K26" s="562">
        <v>0</v>
      </c>
      <c r="L26" s="389" t="s">
        <v>306</v>
      </c>
      <c r="M26" s="585">
        <v>0</v>
      </c>
    </row>
    <row r="27" spans="1:14" ht="15.75">
      <c r="A27" s="65" t="s">
        <v>96</v>
      </c>
      <c r="C27" s="100">
        <f>SUM(C23:C26)</f>
        <v>0</v>
      </c>
      <c r="D27" s="36"/>
      <c r="F27" s="200" t="s">
        <v>40</v>
      </c>
      <c r="G27" s="562">
        <v>458380</v>
      </c>
      <c r="H27" s="389" t="s">
        <v>306</v>
      </c>
      <c r="I27" s="585">
        <v>46985</v>
      </c>
      <c r="J27" s="200" t="s">
        <v>41</v>
      </c>
      <c r="K27" s="562">
        <v>0</v>
      </c>
      <c r="L27" s="389" t="s">
        <v>306</v>
      </c>
      <c r="M27" s="585">
        <f t="shared" ref="M27" si="0">K27*L27</f>
        <v>0</v>
      </c>
    </row>
    <row r="28" spans="1:14" ht="16.5" thickBot="1">
      <c r="A28" s="210" t="s">
        <v>150</v>
      </c>
      <c r="C28" s="312">
        <v>0</v>
      </c>
      <c r="D28" s="37"/>
      <c r="F28" s="200" t="s">
        <v>41</v>
      </c>
      <c r="G28" s="562">
        <v>-87780</v>
      </c>
      <c r="H28" s="389" t="s">
        <v>306</v>
      </c>
      <c r="I28" s="585">
        <v>-9655</v>
      </c>
      <c r="J28" s="199" t="s">
        <v>127</v>
      </c>
      <c r="K28" s="181">
        <f>SUM(K23:K27)</f>
        <v>9856292</v>
      </c>
      <c r="L28" s="182"/>
      <c r="M28" s="197">
        <f>SUM(M23:M27)</f>
        <v>1042508</v>
      </c>
      <c r="N28" s="384">
        <f>M28/(M28+I32)</f>
        <v>0.32733511385522762</v>
      </c>
    </row>
    <row r="29" spans="1:14" ht="17.25" thickTop="1" thickBot="1">
      <c r="A29" s="210" t="s">
        <v>167</v>
      </c>
      <c r="B29" s="385"/>
      <c r="C29" s="312">
        <v>0</v>
      </c>
      <c r="D29" s="36"/>
      <c r="F29" s="200" t="s">
        <v>42</v>
      </c>
      <c r="G29" s="562">
        <v>0</v>
      </c>
      <c r="H29" s="389" t="s">
        <v>306</v>
      </c>
      <c r="I29" s="585">
        <v>0</v>
      </c>
      <c r="J29" s="199"/>
      <c r="K29" s="231">
        <v>9856292</v>
      </c>
      <c r="L29" s="187" t="s">
        <v>102</v>
      </c>
      <c r="M29" s="196">
        <f>M28/K28</f>
        <v>0.10577081117320794</v>
      </c>
    </row>
    <row r="30" spans="1:14" ht="16.5" thickBot="1">
      <c r="A30" s="2" t="s">
        <v>111</v>
      </c>
      <c r="C30" s="125">
        <f>C7+C11+C14+C17+C20+C22+C27+C28+C29</f>
        <v>2328151.2600000002</v>
      </c>
      <c r="D30" s="37"/>
      <c r="F30" s="200" t="s">
        <v>43</v>
      </c>
      <c r="G30" s="562">
        <v>98095</v>
      </c>
      <c r="H30" s="389" t="s">
        <v>306</v>
      </c>
      <c r="I30" s="585">
        <v>6459</v>
      </c>
      <c r="J30" s="200"/>
      <c r="K30" s="230">
        <f>K28-K29</f>
        <v>0</v>
      </c>
      <c r="L30" s="182"/>
      <c r="M30" s="198"/>
    </row>
    <row r="31" spans="1:14" ht="15.75">
      <c r="A31" s="384" t="s">
        <v>112</v>
      </c>
      <c r="C31" s="569">
        <v>-8924.1299999999992</v>
      </c>
      <c r="D31" s="39"/>
      <c r="F31" s="200" t="s">
        <v>74</v>
      </c>
      <c r="G31" s="562">
        <v>3418526</v>
      </c>
      <c r="H31" s="389" t="s">
        <v>306</v>
      </c>
      <c r="I31" s="585">
        <v>1824</v>
      </c>
      <c r="J31" s="153"/>
      <c r="K31" s="7"/>
      <c r="L31" s="182"/>
      <c r="M31" s="198"/>
    </row>
    <row r="32" spans="1:14" ht="16.5" thickBot="1">
      <c r="A32" s="2" t="s">
        <v>116</v>
      </c>
      <c r="B32" s="2" t="s">
        <v>117</v>
      </c>
      <c r="C32" s="567">
        <f>C30+C31</f>
        <v>2319227.1300000004</v>
      </c>
      <c r="D32" s="40"/>
      <c r="F32" s="199" t="s">
        <v>127</v>
      </c>
      <c r="G32" s="181">
        <f>SUM(G23:G31)</f>
        <v>24226314</v>
      </c>
      <c r="H32" s="7"/>
      <c r="I32" s="197">
        <f>SUM(I23:I31)</f>
        <v>2142326</v>
      </c>
      <c r="J32" s="192"/>
      <c r="K32" s="193"/>
      <c r="L32" s="7"/>
      <c r="M32" s="190"/>
    </row>
    <row r="33" spans="1:17" ht="17.25" thickTop="1" thickBot="1">
      <c r="A33" s="384" t="s">
        <v>113</v>
      </c>
      <c r="C33" s="567">
        <f>-C5-C9-C13-C16-C19</f>
        <v>-75391.22</v>
      </c>
      <c r="D33" s="36"/>
      <c r="F33" s="186"/>
      <c r="G33" s="231">
        <v>24226314</v>
      </c>
      <c r="H33" s="187" t="s">
        <v>102</v>
      </c>
      <c r="I33" s="216">
        <f>I32/G32</f>
        <v>8.8429713244862596E-2</v>
      </c>
      <c r="J33" s="192"/>
      <c r="K33" s="193"/>
      <c r="L33" s="7"/>
      <c r="M33" s="98"/>
    </row>
    <row r="34" spans="1:17" ht="16.5" thickBot="1">
      <c r="A34" s="2" t="s">
        <v>114</v>
      </c>
      <c r="C34" s="125">
        <f>SUM(C32:C33)</f>
        <v>2243835.91</v>
      </c>
      <c r="D34" s="36"/>
      <c r="F34" s="153"/>
      <c r="G34" s="230">
        <f>G32-G33</f>
        <v>0</v>
      </c>
      <c r="H34" s="7"/>
      <c r="I34" s="98"/>
      <c r="J34" s="192"/>
      <c r="K34" s="191"/>
      <c r="L34" s="7"/>
      <c r="M34" s="98"/>
    </row>
    <row r="35" spans="1:17" ht="18" customHeight="1">
      <c r="A35" s="2"/>
      <c r="C35" s="101"/>
      <c r="D35" s="36"/>
      <c r="F35" s="184"/>
      <c r="G35" s="12"/>
      <c r="H35" s="12"/>
      <c r="I35" s="185"/>
      <c r="J35" s="199" t="s">
        <v>128</v>
      </c>
      <c r="K35" s="644"/>
      <c r="L35" s="644"/>
      <c r="M35" s="645"/>
    </row>
    <row r="36" spans="1:17" ht="15.75">
      <c r="A36" s="16" t="s">
        <v>94</v>
      </c>
      <c r="B36" s="2"/>
      <c r="C36" s="100"/>
      <c r="D36" s="36"/>
      <c r="F36" s="199" t="s">
        <v>128</v>
      </c>
      <c r="G36" s="7"/>
      <c r="H36" s="7"/>
      <c r="I36" s="98"/>
      <c r="J36" s="200" t="s">
        <v>37</v>
      </c>
      <c r="K36" s="582">
        <f>K23</f>
        <v>7458719</v>
      </c>
      <c r="L36" s="389" t="s">
        <v>306</v>
      </c>
      <c r="M36" s="585">
        <v>1621007</v>
      </c>
      <c r="P36" s="273"/>
      <c r="Q36" s="273"/>
    </row>
    <row r="37" spans="1:17" ht="15.75">
      <c r="A37" s="7" t="s">
        <v>129</v>
      </c>
      <c r="B37" s="532" t="s">
        <v>115</v>
      </c>
      <c r="C37" s="560">
        <v>10529095.66</v>
      </c>
      <c r="D37" s="36"/>
      <c r="F37" s="200" t="s">
        <v>37</v>
      </c>
      <c r="G37" s="608">
        <f>G23</f>
        <v>14838696</v>
      </c>
      <c r="H37" s="389" t="s">
        <v>306</v>
      </c>
      <c r="I37" s="585">
        <v>3296806</v>
      </c>
      <c r="J37" s="200" t="s">
        <v>38</v>
      </c>
      <c r="K37" s="582">
        <f>K24</f>
        <v>2362350</v>
      </c>
      <c r="L37" s="389" t="s">
        <v>306</v>
      </c>
      <c r="M37" s="585">
        <v>509054</v>
      </c>
      <c r="P37" s="273"/>
      <c r="Q37" s="273"/>
    </row>
    <row r="38" spans="1:17" ht="15.75">
      <c r="A38" s="144" t="s">
        <v>14</v>
      </c>
      <c r="B38" s="532" t="s">
        <v>115</v>
      </c>
      <c r="C38" s="122">
        <v>0</v>
      </c>
      <c r="D38" s="36"/>
      <c r="F38" s="200" t="s">
        <v>305</v>
      </c>
      <c r="G38" s="608">
        <f>G24</f>
        <v>20740</v>
      </c>
      <c r="H38" s="389" t="s">
        <v>306</v>
      </c>
      <c r="I38" s="585">
        <v>4612</v>
      </c>
      <c r="J38" s="200" t="s">
        <v>39</v>
      </c>
      <c r="K38" s="582">
        <f>K25</f>
        <v>35223</v>
      </c>
      <c r="L38" s="389" t="s">
        <v>306</v>
      </c>
      <c r="M38" s="585">
        <v>7973</v>
      </c>
      <c r="P38" s="273"/>
      <c r="Q38" s="273"/>
    </row>
    <row r="39" spans="1:17" ht="15.75">
      <c r="A39" s="7" t="s">
        <v>146</v>
      </c>
      <c r="B39" s="532" t="s">
        <v>147</v>
      </c>
      <c r="C39" s="560">
        <v>-95896.08</v>
      </c>
      <c r="D39" s="36"/>
      <c r="F39" s="200" t="s">
        <v>38</v>
      </c>
      <c r="G39" s="608">
        <f t="shared" ref="G39:G44" si="1">G25</f>
        <v>5325716</v>
      </c>
      <c r="H39" s="389" t="s">
        <v>306</v>
      </c>
      <c r="I39" s="585">
        <v>1178508</v>
      </c>
      <c r="J39" s="200" t="s">
        <v>40</v>
      </c>
      <c r="K39" s="582">
        <f>K26</f>
        <v>0</v>
      </c>
      <c r="L39" s="389" t="s">
        <v>306</v>
      </c>
      <c r="M39" s="585">
        <v>0</v>
      </c>
      <c r="P39" s="273"/>
      <c r="Q39" s="273"/>
    </row>
    <row r="40" spans="1:17" ht="15.75">
      <c r="A40" s="7" t="s">
        <v>131</v>
      </c>
      <c r="B40" s="532" t="s">
        <v>132</v>
      </c>
      <c r="C40" s="560">
        <v>1748289.38</v>
      </c>
      <c r="D40" s="36"/>
      <c r="F40" s="200" t="s">
        <v>39</v>
      </c>
      <c r="G40" s="608">
        <f t="shared" si="1"/>
        <v>153941</v>
      </c>
      <c r="H40" s="389" t="s">
        <v>306</v>
      </c>
      <c r="I40" s="585">
        <v>37115</v>
      </c>
      <c r="J40" s="200" t="s">
        <v>41</v>
      </c>
      <c r="K40" s="582">
        <f>K27</f>
        <v>0</v>
      </c>
      <c r="L40" s="389" t="s">
        <v>306</v>
      </c>
      <c r="M40" s="585">
        <v>0</v>
      </c>
      <c r="P40" s="273"/>
      <c r="Q40" s="273"/>
    </row>
    <row r="41" spans="1:17" ht="15.75">
      <c r="A41" s="7" t="s">
        <v>153</v>
      </c>
      <c r="B41" s="6" t="s">
        <v>155</v>
      </c>
      <c r="C41" s="560">
        <f>39040.01-26739.64</f>
        <v>12300.370000000003</v>
      </c>
      <c r="D41" s="36"/>
      <c r="F41" s="200" t="s">
        <v>40</v>
      </c>
      <c r="G41" s="608">
        <f t="shared" si="1"/>
        <v>458380</v>
      </c>
      <c r="H41" s="389" t="s">
        <v>306</v>
      </c>
      <c r="I41" s="585">
        <v>98901</v>
      </c>
      <c r="J41" s="200" t="s">
        <v>42</v>
      </c>
      <c r="K41" s="562">
        <v>0</v>
      </c>
      <c r="L41" s="389" t="s">
        <v>306</v>
      </c>
      <c r="M41" s="585">
        <v>0</v>
      </c>
      <c r="P41" s="273"/>
      <c r="Q41" s="273"/>
    </row>
    <row r="42" spans="1:17" ht="16.5" thickBot="1">
      <c r="A42" s="7" t="s">
        <v>178</v>
      </c>
      <c r="B42" s="532" t="s">
        <v>179</v>
      </c>
      <c r="C42" s="560">
        <v>509848.88</v>
      </c>
      <c r="D42" s="37"/>
      <c r="F42" s="200" t="s">
        <v>41</v>
      </c>
      <c r="G42" s="608">
        <f t="shared" si="1"/>
        <v>-87780</v>
      </c>
      <c r="H42" s="389" t="s">
        <v>306</v>
      </c>
      <c r="I42" s="585">
        <v>-21349</v>
      </c>
      <c r="J42" s="200" t="s">
        <v>43</v>
      </c>
      <c r="K42" s="583">
        <v>0</v>
      </c>
      <c r="L42" s="389" t="s">
        <v>306</v>
      </c>
      <c r="M42" s="585">
        <v>0</v>
      </c>
      <c r="P42" s="273"/>
      <c r="Q42" s="273"/>
    </row>
    <row r="43" spans="1:17" ht="16.5" thickBot="1">
      <c r="A43" s="85" t="s">
        <v>123</v>
      </c>
      <c r="B43" s="12"/>
      <c r="C43" s="125">
        <f>SUM(C37:C42)</f>
        <v>12703638.210000001</v>
      </c>
      <c r="D43" s="36"/>
      <c r="F43" s="200" t="s">
        <v>42</v>
      </c>
      <c r="G43" s="608">
        <f t="shared" si="1"/>
        <v>0</v>
      </c>
      <c r="H43" s="389" t="s">
        <v>306</v>
      </c>
      <c r="I43" s="585">
        <v>0</v>
      </c>
      <c r="J43" s="199" t="s">
        <v>133</v>
      </c>
      <c r="K43" s="181">
        <f>SUM(K36:K42)</f>
        <v>9856292</v>
      </c>
      <c r="L43" s="182"/>
      <c r="M43" s="197">
        <f>SUM(M36:M42)</f>
        <v>2138034</v>
      </c>
      <c r="N43" s="384">
        <f>M43/(M43+I45)</f>
        <v>0.31650260999475072</v>
      </c>
    </row>
    <row r="44" spans="1:17" ht="16.5" thickBot="1">
      <c r="A44" s="83" t="s">
        <v>177</v>
      </c>
      <c r="B44" s="84" t="s">
        <v>120</v>
      </c>
      <c r="C44" s="560">
        <f>-467703.91+428730.4</f>
        <v>-38973.509999999951</v>
      </c>
      <c r="D44" s="37"/>
      <c r="F44" s="200" t="s">
        <v>43</v>
      </c>
      <c r="G44" s="608">
        <f t="shared" si="1"/>
        <v>98095</v>
      </c>
      <c r="H44" s="389" t="s">
        <v>306</v>
      </c>
      <c r="I44" s="585">
        <v>22559</v>
      </c>
      <c r="J44" s="194"/>
      <c r="K44" s="232">
        <v>9856292</v>
      </c>
      <c r="L44" s="189" t="s">
        <v>102</v>
      </c>
      <c r="M44" s="217">
        <f>M43/K43</f>
        <v>0.2169207243454232</v>
      </c>
    </row>
    <row r="45" spans="1:17" ht="16.5" thickBot="1">
      <c r="A45" s="211" t="s">
        <v>168</v>
      </c>
      <c r="B45" s="6" t="s">
        <v>115</v>
      </c>
      <c r="C45" s="122">
        <v>0</v>
      </c>
      <c r="D45" s="39"/>
      <c r="F45" s="199" t="s">
        <v>133</v>
      </c>
      <c r="G45" s="181">
        <f>SUM(G37:G44)</f>
        <v>20807788</v>
      </c>
      <c r="H45" s="182"/>
      <c r="I45" s="197">
        <f>SUM(I37:I44)</f>
        <v>4617152</v>
      </c>
      <c r="J45" s="124"/>
      <c r="K45" s="230">
        <f>K43-K44</f>
        <v>0</v>
      </c>
      <c r="L45" s="385"/>
      <c r="M45" s="124"/>
    </row>
    <row r="46" spans="1:17" ht="19.5" customHeight="1" thickTop="1" thickBot="1">
      <c r="A46" s="144" t="s">
        <v>169</v>
      </c>
      <c r="B46" s="6" t="s">
        <v>115</v>
      </c>
      <c r="C46" s="122">
        <v>0</v>
      </c>
      <c r="D46" s="40"/>
      <c r="F46" s="188"/>
      <c r="G46" s="232">
        <v>20807788</v>
      </c>
      <c r="H46" s="189" t="s">
        <v>102</v>
      </c>
      <c r="I46" s="215">
        <f>I45/G45</f>
        <v>0.22189537878798074</v>
      </c>
      <c r="J46" s="124"/>
      <c r="K46" s="230"/>
      <c r="L46" s="385"/>
      <c r="M46" s="124"/>
    </row>
    <row r="47" spans="1:17" ht="19.5" customHeight="1">
      <c r="A47" s="384" t="s">
        <v>137</v>
      </c>
      <c r="B47" s="6" t="s">
        <v>115</v>
      </c>
      <c r="C47" s="122">
        <v>0</v>
      </c>
      <c r="D47" s="36"/>
      <c r="F47" s="385"/>
      <c r="G47" s="230">
        <f>G45-G46</f>
        <v>0</v>
      </c>
      <c r="H47" s="385"/>
      <c r="I47" s="385"/>
      <c r="J47" s="124"/>
      <c r="K47" s="230"/>
      <c r="L47" s="385"/>
      <c r="M47" s="124"/>
    </row>
    <row r="48" spans="1:17" ht="16.5" thickBot="1">
      <c r="A48" s="144" t="s">
        <v>304</v>
      </c>
      <c r="B48" s="6" t="s">
        <v>115</v>
      </c>
      <c r="C48" s="560">
        <v>7000</v>
      </c>
      <c r="D48" s="36"/>
      <c r="F48" s="385"/>
      <c r="G48" s="385"/>
      <c r="H48" s="385"/>
      <c r="I48" s="385"/>
      <c r="J48" s="124"/>
      <c r="K48" s="114"/>
      <c r="L48" s="385"/>
      <c r="M48" s="68"/>
    </row>
    <row r="49" spans="1:21" ht="15.75">
      <c r="A49" s="7" t="s">
        <v>130</v>
      </c>
      <c r="B49" s="532" t="s">
        <v>152</v>
      </c>
      <c r="C49" s="560">
        <v>18885.439999999999</v>
      </c>
      <c r="D49" s="36"/>
      <c r="F49" s="385"/>
      <c r="G49" s="114"/>
      <c r="H49" s="129" t="s">
        <v>35</v>
      </c>
      <c r="I49" s="13" t="s">
        <v>35</v>
      </c>
      <c r="J49" s="13" t="s">
        <v>63</v>
      </c>
      <c r="K49" s="127" t="s">
        <v>70</v>
      </c>
      <c r="L49" s="124"/>
      <c r="M49" s="385"/>
    </row>
    <row r="50" spans="1:21" ht="16.5" thickBot="1">
      <c r="A50" s="7" t="s">
        <v>222</v>
      </c>
      <c r="B50" s="532" t="s">
        <v>152</v>
      </c>
      <c r="C50" s="560">
        <v>2712.28</v>
      </c>
      <c r="D50" s="36"/>
      <c r="F50" s="50" t="s">
        <v>73</v>
      </c>
      <c r="G50" s="385"/>
      <c r="H50" s="130" t="s">
        <v>2</v>
      </c>
      <c r="I50" s="131" t="s">
        <v>3</v>
      </c>
      <c r="J50" s="131" t="s">
        <v>2</v>
      </c>
      <c r="K50" s="128" t="s">
        <v>3</v>
      </c>
      <c r="L50" s="385"/>
      <c r="M50" s="385"/>
    </row>
    <row r="51" spans="1:21" ht="15.75">
      <c r="A51" s="7" t="s">
        <v>308</v>
      </c>
      <c r="B51" s="579" t="s">
        <v>152</v>
      </c>
      <c r="C51" s="560">
        <v>5061.87</v>
      </c>
      <c r="D51" s="36"/>
      <c r="F51" s="385"/>
      <c r="G51" s="385"/>
      <c r="H51" s="151"/>
      <c r="I51" s="152"/>
      <c r="J51" s="152"/>
      <c r="K51" s="152"/>
      <c r="L51" s="126" t="s">
        <v>103</v>
      </c>
      <c r="M51" s="385"/>
    </row>
    <row r="52" spans="1:21" ht="15.75">
      <c r="A52" s="22" t="s">
        <v>118</v>
      </c>
      <c r="B52" s="6"/>
      <c r="C52" s="100">
        <f>-C33</f>
        <v>75391.22</v>
      </c>
      <c r="D52" s="33"/>
      <c r="F52" s="385"/>
      <c r="G52" s="385"/>
      <c r="H52" s="212">
        <f>K12</f>
        <v>4230688.0017059995</v>
      </c>
      <c r="I52" s="115">
        <f>I14</f>
        <v>1549593.079446</v>
      </c>
      <c r="J52" s="115">
        <f>L12</f>
        <v>2000814.5982940001</v>
      </c>
      <c r="K52" s="115">
        <f>J14</f>
        <v>694242.8305540001</v>
      </c>
      <c r="L52" s="132">
        <f>SUM(H52:K52)</f>
        <v>8475338.5099999998</v>
      </c>
      <c r="M52" s="385"/>
    </row>
    <row r="53" spans="1:21" ht="16.5" thickBot="1">
      <c r="A53" s="385" t="s">
        <v>315</v>
      </c>
      <c r="B53" s="620" t="s">
        <v>316</v>
      </c>
      <c r="C53" s="560">
        <v>10479.66</v>
      </c>
      <c r="D53" s="33"/>
      <c r="F53" s="385" t="s">
        <v>136</v>
      </c>
      <c r="G53" s="385"/>
      <c r="H53" s="212">
        <f>-I45</f>
        <v>-4617152</v>
      </c>
      <c r="I53" s="115">
        <f>-I32</f>
        <v>-2142326</v>
      </c>
      <c r="J53" s="115">
        <f>-M43</f>
        <v>-2138034</v>
      </c>
      <c r="K53" s="115">
        <f>-M28</f>
        <v>-1042508</v>
      </c>
      <c r="L53" s="261">
        <f>SUM(H53:K53)</f>
        <v>-9940020</v>
      </c>
    </row>
    <row r="54" spans="1:21" ht="16.5" thickBot="1">
      <c r="A54" s="382" t="s">
        <v>124</v>
      </c>
      <c r="B54" s="473" t="s">
        <v>296</v>
      </c>
      <c r="C54" s="560">
        <f>-472597.5-1501696.56-4040478.9</f>
        <v>-6014772.96</v>
      </c>
      <c r="D54" s="36"/>
      <c r="F54" s="384" t="s">
        <v>109</v>
      </c>
      <c r="H54" s="234">
        <v>0</v>
      </c>
      <c r="I54" s="235">
        <v>0</v>
      </c>
      <c r="J54" s="235">
        <v>0</v>
      </c>
      <c r="K54" s="236">
        <v>0</v>
      </c>
      <c r="L54" s="214">
        <f>SUM(L52:L53)</f>
        <v>-1464681.4900000002</v>
      </c>
    </row>
    <row r="55" spans="1:21" ht="16.5" thickBot="1">
      <c r="A55" s="384" t="s">
        <v>312</v>
      </c>
      <c r="B55" s="6" t="s">
        <v>190</v>
      </c>
      <c r="C55" s="560">
        <v>-375000</v>
      </c>
      <c r="D55" s="36"/>
      <c r="F55" s="384" t="s">
        <v>86</v>
      </c>
      <c r="H55" s="125">
        <f>IFERROR(H52+H53+H54,0)</f>
        <v>-386463.99829400051</v>
      </c>
      <c r="I55" s="125">
        <f>I52+I53+I54</f>
        <v>-592732.92055399995</v>
      </c>
      <c r="J55" s="125">
        <f>IFERROR(J52+J53+J54,0)</f>
        <v>-137219.40170599986</v>
      </c>
      <c r="K55" s="125">
        <f>K52+K53+K54</f>
        <v>-348265.1694459999</v>
      </c>
      <c r="L55" s="47">
        <f>SUM(H55:K55)</f>
        <v>-1464681.4900000002</v>
      </c>
    </row>
    <row r="56" spans="1:21" ht="16.5" thickBot="1">
      <c r="A56" s="82" t="s">
        <v>119</v>
      </c>
      <c r="B56" s="84"/>
      <c r="C56" s="160">
        <f>SUM(C43:C55)</f>
        <v>6394422.21</v>
      </c>
      <c r="D56" s="36"/>
      <c r="F56" s="384" t="s">
        <v>71</v>
      </c>
      <c r="H56" s="384" t="s">
        <v>173</v>
      </c>
      <c r="I56" s="5">
        <f>SUM(H55:I55)</f>
        <v>-979196.91884800047</v>
      </c>
      <c r="J56" s="15" t="s">
        <v>174</v>
      </c>
      <c r="K56" s="384">
        <f>SUM(J55:K55)</f>
        <v>-485484.57115199976</v>
      </c>
      <c r="L56" s="213">
        <f>ROUND(L54-L55,3)</f>
        <v>0</v>
      </c>
      <c r="T56" s="42"/>
    </row>
    <row r="57" spans="1:21" ht="16.5" thickTop="1">
      <c r="A57" s="384" t="s">
        <v>121</v>
      </c>
      <c r="B57" s="6" t="s">
        <v>115</v>
      </c>
      <c r="C57" s="560">
        <v>-108566.91</v>
      </c>
      <c r="D57" s="36"/>
      <c r="F57" s="240" t="s">
        <v>181</v>
      </c>
      <c r="H57" s="96"/>
    </row>
    <row r="58" spans="1:21" ht="16.5" thickBot="1">
      <c r="A58" s="384" t="s">
        <v>122</v>
      </c>
      <c r="B58" s="6" t="s">
        <v>115</v>
      </c>
      <c r="C58" s="560">
        <v>-54352.7</v>
      </c>
      <c r="D58" s="36"/>
      <c r="F58" s="397" t="s">
        <v>181</v>
      </c>
      <c r="H58" s="157"/>
      <c r="I58" s="120"/>
      <c r="J58" s="120"/>
      <c r="K58" s="204"/>
      <c r="L58" s="120"/>
    </row>
    <row r="59" spans="1:21" ht="16.5" thickBot="1">
      <c r="A59" s="2" t="s">
        <v>125</v>
      </c>
      <c r="B59" s="2"/>
      <c r="C59" s="160">
        <f>SUM(C56:C58)</f>
        <v>6231502.5999999996</v>
      </c>
      <c r="D59" s="36"/>
      <c r="F59" s="397" t="s">
        <v>182</v>
      </c>
      <c r="H59" s="386" t="s">
        <v>294</v>
      </c>
      <c r="I59" s="387"/>
    </row>
    <row r="60" spans="1:21" ht="17.25" thickTop="1" thickBot="1">
      <c r="A60" s="2"/>
      <c r="C60" s="101"/>
      <c r="D60" s="36"/>
      <c r="F60" s="543" t="s">
        <v>303</v>
      </c>
      <c r="G60" s="545"/>
      <c r="H60" s="318" t="s">
        <v>175</v>
      </c>
      <c r="I60" s="319" t="s">
        <v>176</v>
      </c>
      <c r="J60" s="5"/>
    </row>
    <row r="61" spans="1:21" ht="16.5" thickBot="1">
      <c r="A61" s="9"/>
      <c r="B61" s="9" t="s">
        <v>95</v>
      </c>
      <c r="C61" s="125">
        <f>C59+C34</f>
        <v>8475338.5099999998</v>
      </c>
      <c r="D61" s="36"/>
      <c r="H61" s="349" t="e">
        <f>SUM('WA - Def-Amtz (current)'!AJ5:AJ10,'WA - Def-Amtz (current)'!AJ35:AJ40,'WA - Def-Amtz (current)'!AJ70:AJ73,#REF!,#REF!,#REF!)</f>
        <v>#REF!</v>
      </c>
      <c r="I61" s="449" t="e">
        <f>SUM('WA - Def-Amtz (current)'!AK5:AK10,'WA - Def-Amtz (current)'!AK35:AK40,'WA - Def-Amtz (current)'!AK70:AK73,#REF!,#REF!,#REF!)</f>
        <v>#REF!</v>
      </c>
      <c r="J61" s="384">
        <f>H53+I53+J53+K53</f>
        <v>-9940020</v>
      </c>
    </row>
    <row r="62" spans="1:21" ht="15.75">
      <c r="A62" s="2"/>
      <c r="B62" s="9" t="s">
        <v>160</v>
      </c>
      <c r="C62" s="610">
        <v>8475338.5099999998</v>
      </c>
      <c r="D62" s="37"/>
      <c r="I62" s="338" t="e">
        <f>H61-I61</f>
        <v>#REF!</v>
      </c>
      <c r="N62" s="5"/>
      <c r="O62" s="5"/>
      <c r="P62" s="21"/>
    </row>
    <row r="63" spans="1:21" ht="15.75">
      <c r="A63" s="9"/>
      <c r="B63" s="9" t="s">
        <v>159</v>
      </c>
      <c r="C63" s="257">
        <f>ROUND(C61-C62,2)</f>
        <v>0</v>
      </c>
      <c r="G63" s="5"/>
      <c r="S63" s="6"/>
    </row>
    <row r="64" spans="1:21" ht="15.75">
      <c r="A64" s="44"/>
      <c r="C64" s="351"/>
      <c r="D64" s="36"/>
      <c r="N64" s="22"/>
      <c r="U64" s="2"/>
    </row>
    <row r="65" spans="1:21" ht="15.75">
      <c r="A65" s="44"/>
      <c r="C65" s="8"/>
      <c r="D65" s="43"/>
      <c r="N65" s="22"/>
      <c r="S65" s="23"/>
    </row>
    <row r="66" spans="1:21" ht="15.75">
      <c r="A66" s="2"/>
      <c r="C66" s="8"/>
      <c r="D66" s="36"/>
      <c r="N66" s="22"/>
      <c r="S66" s="24"/>
    </row>
    <row r="67" spans="1:21">
      <c r="C67" s="8"/>
      <c r="D67" s="36"/>
      <c r="N67" s="22"/>
      <c r="S67" s="25"/>
    </row>
    <row r="68" spans="1:21">
      <c r="D68" s="36"/>
      <c r="N68" s="22"/>
      <c r="S68" s="24"/>
    </row>
    <row r="69" spans="1:21">
      <c r="D69" s="36"/>
      <c r="N69" s="22"/>
    </row>
    <row r="70" spans="1:21">
      <c r="D70" s="37"/>
      <c r="N70" s="22"/>
      <c r="S70" s="26"/>
    </row>
    <row r="71" spans="1:21">
      <c r="D71" s="36"/>
    </row>
    <row r="72" spans="1:21">
      <c r="D72" s="36"/>
    </row>
    <row r="73" spans="1:21">
      <c r="D73" s="36"/>
      <c r="S73" s="27"/>
    </row>
    <row r="74" spans="1:21">
      <c r="D74" s="45"/>
      <c r="R74" s="6"/>
      <c r="S74" s="6"/>
      <c r="T74" s="6"/>
    </row>
    <row r="76" spans="1:21">
      <c r="U76" s="28"/>
    </row>
    <row r="1477" spans="3:3">
      <c r="C1477" s="384">
        <v>-2130</v>
      </c>
    </row>
    <row r="1485" spans="3:3">
      <c r="C1485" s="384">
        <f>7004298-2130</f>
        <v>7002168</v>
      </c>
    </row>
  </sheetData>
  <mergeCells count="3">
    <mergeCell ref="F18:I18"/>
    <mergeCell ref="J18:M18"/>
    <mergeCell ref="K35:M35"/>
  </mergeCells>
  <conditionalFormatting sqref="L56 I62 C63">
    <cfRule type="cellIs" dxfId="216" priority="7" stopIfTrue="1" operator="equal">
      <formula>0</formula>
    </cfRule>
    <cfRule type="cellIs" dxfId="215" priority="8" stopIfTrue="1" operator="notEqual">
      <formula>0</formula>
    </cfRule>
  </conditionalFormatting>
  <conditionalFormatting sqref="G34 G47 K30 K45:K47">
    <cfRule type="cellIs" dxfId="214" priority="6" operator="notEqual">
      <formula>0</formula>
    </cfRule>
  </conditionalFormatting>
  <printOptions verticalCentered="1" gridLinesSet="0"/>
  <pageMargins left="0.5" right="0" top="0.25" bottom="0.5" header="0" footer="0.25"/>
  <pageSetup scale="47" orientation="landscape" cellComments="asDisplayed" r:id="rId1"/>
  <headerFooter alignWithMargins="0">
    <oddFooter>&amp;L&amp;F&amp;C&amp;A&amp;R&amp;D&amp;T</oddFooter>
  </headerFooter>
  <customProperties>
    <customPr name="xxe4aPID" r:id="rId2"/>
  </customProperties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7">
    <tabColor rgb="FF00CC66"/>
    <pageSetUpPr fitToPage="1"/>
  </sheetPr>
  <dimension ref="A1:U1485"/>
  <sheetViews>
    <sheetView showGridLines="0" zoomScale="70" zoomScaleNormal="70" workbookViewId="0">
      <selection activeCell="G60" sqref="G60"/>
    </sheetView>
  </sheetViews>
  <sheetFormatPr defaultColWidth="16" defaultRowHeight="15"/>
  <cols>
    <col min="1" max="1" width="44.85546875" style="384" customWidth="1"/>
    <col min="2" max="2" width="25.5703125" style="384" customWidth="1"/>
    <col min="3" max="3" width="25.28515625" style="384" customWidth="1"/>
    <col min="4" max="4" width="2.7109375" style="30" customWidth="1"/>
    <col min="5" max="5" width="4.28515625" style="384" customWidth="1"/>
    <col min="6" max="6" width="26.7109375" style="384" customWidth="1"/>
    <col min="7" max="7" width="19" style="384" customWidth="1"/>
    <col min="8" max="8" width="22" style="384" customWidth="1"/>
    <col min="9" max="9" width="20.42578125" style="384" customWidth="1"/>
    <col min="10" max="10" width="26.28515625" style="384" customWidth="1"/>
    <col min="11" max="11" width="21.85546875" style="384" bestFit="1" customWidth="1"/>
    <col min="12" max="12" width="23.85546875" style="384" customWidth="1"/>
    <col min="13" max="13" width="20.85546875" style="384" bestFit="1" customWidth="1"/>
    <col min="14" max="15" width="16" style="384"/>
    <col min="16" max="16" width="16.28515625" style="384" bestFit="1" customWidth="1"/>
    <col min="17" max="16384" width="16" style="384"/>
  </cols>
  <sheetData>
    <row r="1" spans="1:13" ht="16.5" thickBot="1">
      <c r="A1" s="145" t="s">
        <v>64</v>
      </c>
      <c r="B1" s="29"/>
      <c r="C1" s="529">
        <f>Nov!C1+1</f>
        <v>201812</v>
      </c>
      <c r="F1" s="529">
        <f>C1</f>
        <v>201812</v>
      </c>
      <c r="G1" s="385"/>
      <c r="H1" s="162" t="s">
        <v>69</v>
      </c>
      <c r="I1" s="126" t="s">
        <v>3</v>
      </c>
      <c r="J1" s="126" t="s">
        <v>3</v>
      </c>
      <c r="K1" s="126" t="s">
        <v>66</v>
      </c>
      <c r="L1" s="126" t="s">
        <v>66</v>
      </c>
      <c r="M1" s="385"/>
    </row>
    <row r="2" spans="1:13" ht="15.75">
      <c r="C2" s="31"/>
      <c r="F2" s="385"/>
      <c r="G2" s="385"/>
      <c r="H2" s="163" t="s">
        <v>32</v>
      </c>
      <c r="I2" s="164" t="s">
        <v>65</v>
      </c>
      <c r="J2" s="164" t="s">
        <v>65</v>
      </c>
      <c r="K2" s="164" t="s">
        <v>67</v>
      </c>
      <c r="L2" s="164" t="s">
        <v>67</v>
      </c>
      <c r="M2" s="385"/>
    </row>
    <row r="3" spans="1:13" ht="16.5" thickBot="1">
      <c r="A3" s="63" t="s">
        <v>110</v>
      </c>
      <c r="C3" s="32"/>
      <c r="D3" s="33"/>
      <c r="F3" s="50" t="s">
        <v>72</v>
      </c>
      <c r="G3" s="385"/>
      <c r="H3" s="165" t="s">
        <v>68</v>
      </c>
      <c r="I3" s="165" t="s">
        <v>35</v>
      </c>
      <c r="J3" s="165" t="s">
        <v>63</v>
      </c>
      <c r="K3" s="165" t="s">
        <v>35</v>
      </c>
      <c r="L3" s="165" t="s">
        <v>63</v>
      </c>
      <c r="M3" s="385"/>
    </row>
    <row r="4" spans="1:13" ht="15.75">
      <c r="A4" s="385" t="s">
        <v>88</v>
      </c>
      <c r="C4" s="560">
        <v>3814703.65</v>
      </c>
      <c r="D4" s="34"/>
      <c r="F4" s="385"/>
      <c r="G4" s="385"/>
      <c r="H4" s="11"/>
      <c r="I4" s="385"/>
      <c r="J4" s="385"/>
      <c r="L4" s="385"/>
      <c r="M4" s="385"/>
    </row>
    <row r="5" spans="1:13" ht="14.25" customHeight="1">
      <c r="A5" s="385" t="s">
        <v>31</v>
      </c>
      <c r="C5" s="560">
        <f>144686.25-264085.8</f>
        <v>-119399.54999999999</v>
      </c>
      <c r="D5" s="34"/>
      <c r="F5" s="385"/>
      <c r="G5" s="385"/>
      <c r="H5" s="11"/>
      <c r="I5" s="594">
        <v>0.69059999999999999</v>
      </c>
      <c r="J5" s="594">
        <v>0.30940000000000001</v>
      </c>
      <c r="K5" s="445">
        <f>ROUND(G45/(G45+K43),4)</f>
        <v>0.68379999999999996</v>
      </c>
      <c r="L5" s="445">
        <f>1-K5</f>
        <v>0.31620000000000004</v>
      </c>
      <c r="M5" s="385"/>
    </row>
    <row r="6" spans="1:13" ht="16.5" thickBot="1">
      <c r="A6" s="49" t="s">
        <v>30</v>
      </c>
      <c r="C6" s="561">
        <f>-81979.5-102391.76-1559644.1-444850-127100-142987.5</f>
        <v>-2458952.8600000003</v>
      </c>
      <c r="D6" s="34"/>
      <c r="F6" s="385"/>
      <c r="G6" s="385"/>
      <c r="H6" s="385"/>
      <c r="I6" s="385"/>
      <c r="J6" s="385"/>
      <c r="K6" s="385"/>
      <c r="L6" s="385"/>
      <c r="M6" s="385"/>
    </row>
    <row r="7" spans="1:13" ht="16.5" thickBot="1">
      <c r="A7" s="66" t="s">
        <v>140</v>
      </c>
      <c r="C7" s="100">
        <f>SUM(C4:C6)</f>
        <v>1236351.2399999998</v>
      </c>
      <c r="D7" s="35"/>
      <c r="F7" s="166" t="s">
        <v>139</v>
      </c>
      <c r="G7" s="166"/>
      <c r="H7" s="125">
        <f>C34</f>
        <v>2311258.1400000006</v>
      </c>
      <c r="I7" s="167">
        <f>H7*I5</f>
        <v>1596154.8714840005</v>
      </c>
      <c r="J7" s="167">
        <f>H7*J5</f>
        <v>715103.26851600024</v>
      </c>
      <c r="K7" s="167"/>
      <c r="L7" s="167"/>
      <c r="M7" s="385"/>
    </row>
    <row r="8" spans="1:13" ht="15.75">
      <c r="A8" s="384" t="s">
        <v>89</v>
      </c>
      <c r="C8" s="560">
        <f>252729.32</f>
        <v>252729.32</v>
      </c>
      <c r="D8" s="35"/>
      <c r="F8" s="385"/>
      <c r="G8" s="385"/>
      <c r="H8" s="168"/>
      <c r="I8" s="168"/>
      <c r="J8" s="168"/>
      <c r="K8" s="168"/>
      <c r="L8" s="168"/>
      <c r="M8" s="385"/>
    </row>
    <row r="9" spans="1:13" ht="15.75">
      <c r="A9" s="385" t="s">
        <v>90</v>
      </c>
      <c r="C9" s="560">
        <f>8921.71</f>
        <v>8921.7099999999991</v>
      </c>
      <c r="D9" s="36"/>
      <c r="F9" s="166" t="s">
        <v>119</v>
      </c>
      <c r="G9" s="385"/>
      <c r="H9" s="167">
        <f>C56</f>
        <v>8170179.8899999931</v>
      </c>
      <c r="I9" s="167"/>
      <c r="J9" s="167"/>
      <c r="K9" s="167">
        <f>H9*K5</f>
        <v>5586769.0087819947</v>
      </c>
      <c r="L9" s="167">
        <f>H9*L5</f>
        <v>2583410.881217998</v>
      </c>
      <c r="M9" s="385"/>
    </row>
    <row r="10" spans="1:13" ht="15.75">
      <c r="A10" s="49" t="s">
        <v>91</v>
      </c>
      <c r="C10" s="561">
        <v>-3418.47</v>
      </c>
      <c r="D10" s="36"/>
      <c r="F10" s="169" t="s">
        <v>44</v>
      </c>
      <c r="G10" s="385"/>
      <c r="H10" s="167">
        <f>C57</f>
        <v>5267.34</v>
      </c>
      <c r="I10" s="167"/>
      <c r="J10" s="167"/>
      <c r="K10" s="167">
        <f>H10</f>
        <v>5267.34</v>
      </c>
      <c r="L10" s="167"/>
      <c r="M10" s="385"/>
    </row>
    <row r="11" spans="1:13">
      <c r="A11" s="66" t="s">
        <v>145</v>
      </c>
      <c r="C11" s="100">
        <f>SUM(C8:C10)</f>
        <v>258232.56</v>
      </c>
      <c r="D11" s="36"/>
      <c r="F11" s="169" t="s">
        <v>45</v>
      </c>
      <c r="G11" s="385"/>
      <c r="H11" s="170">
        <f>C58</f>
        <v>3644.06</v>
      </c>
      <c r="I11" s="167"/>
      <c r="J11" s="167"/>
      <c r="K11" s="170"/>
      <c r="L11" s="170">
        <f>H11</f>
        <v>3644.06</v>
      </c>
      <c r="M11" s="385"/>
    </row>
    <row r="12" spans="1:13" ht="15.75">
      <c r="A12" s="384" t="s">
        <v>165</v>
      </c>
      <c r="C12" s="560">
        <f>189318.35+1797.22</f>
        <v>191115.57</v>
      </c>
      <c r="D12" s="36"/>
      <c r="F12" s="169" t="s">
        <v>138</v>
      </c>
      <c r="G12" s="385"/>
      <c r="H12" s="167">
        <f>H9+H10+H11</f>
        <v>8179091.2899999926</v>
      </c>
      <c r="I12" s="167"/>
      <c r="J12" s="167"/>
      <c r="K12" s="167">
        <f>SUM(K9:K11)</f>
        <v>5592036.3487819945</v>
      </c>
      <c r="L12" s="167">
        <f>SUM(L9:L11)</f>
        <v>2587054.941217998</v>
      </c>
      <c r="M12" s="385"/>
    </row>
    <row r="13" spans="1:13" ht="16.5" thickBot="1">
      <c r="A13" s="49" t="s">
        <v>166</v>
      </c>
      <c r="C13" s="555">
        <v>0</v>
      </c>
      <c r="D13" s="36"/>
      <c r="F13" s="171"/>
      <c r="G13" s="172"/>
      <c r="H13" s="173"/>
      <c r="I13" s="174"/>
      <c r="J13" s="173"/>
      <c r="K13" s="168"/>
      <c r="L13" s="173"/>
      <c r="M13" s="385"/>
    </row>
    <row r="14" spans="1:13" ht="16.5" thickBot="1">
      <c r="A14" s="66" t="s">
        <v>92</v>
      </c>
      <c r="C14" s="100">
        <f>SUM(C12:C13)</f>
        <v>191115.57</v>
      </c>
      <c r="D14" s="37"/>
      <c r="F14" s="50" t="s">
        <v>69</v>
      </c>
      <c r="G14" s="175"/>
      <c r="H14" s="125">
        <f>H12+H7</f>
        <v>10490349.429999992</v>
      </c>
      <c r="I14" s="176">
        <f>SUM(I7:I13)</f>
        <v>1596154.8714840005</v>
      </c>
      <c r="J14" s="176">
        <f>SUM(J7:J13)</f>
        <v>715103.26851600024</v>
      </c>
      <c r="K14" s="176">
        <f>K12</f>
        <v>5592036.3487819945</v>
      </c>
      <c r="L14" s="176">
        <f>L12</f>
        <v>2587054.941217998</v>
      </c>
      <c r="M14" s="385"/>
    </row>
    <row r="15" spans="1:13" ht="15.75">
      <c r="A15" s="384" t="s">
        <v>183</v>
      </c>
      <c r="C15" s="560">
        <f>4199.51+442374.93</f>
        <v>446574.44</v>
      </c>
      <c r="D15" s="36"/>
      <c r="F15" s="171"/>
      <c r="G15" s="172" t="s">
        <v>102</v>
      </c>
      <c r="H15" s="173">
        <f>H14-C61</f>
        <v>0</v>
      </c>
      <c r="I15" s="177"/>
      <c r="J15" s="173">
        <f>J7+I7-H7</f>
        <v>0</v>
      </c>
      <c r="K15" s="385"/>
      <c r="L15" s="173">
        <f>H12-K14-L14</f>
        <v>0</v>
      </c>
      <c r="M15" s="385"/>
    </row>
    <row r="16" spans="1:13" ht="15.75">
      <c r="A16" s="49" t="s">
        <v>184</v>
      </c>
      <c r="C16" s="555">
        <v>0</v>
      </c>
      <c r="D16" s="36"/>
      <c r="F16" s="178"/>
      <c r="G16" s="172"/>
      <c r="H16" s="179"/>
      <c r="I16" s="180"/>
      <c r="J16" s="179"/>
      <c r="K16" s="385"/>
      <c r="L16" s="179"/>
      <c r="M16" s="385"/>
    </row>
    <row r="17" spans="1:13" ht="15.75" thickBot="1">
      <c r="A17" s="66" t="s">
        <v>185</v>
      </c>
      <c r="C17" s="100">
        <f>SUM(C15:C16)</f>
        <v>446574.44</v>
      </c>
      <c r="D17" s="37"/>
      <c r="F17" s="171"/>
      <c r="G17" s="172"/>
      <c r="H17" s="179"/>
      <c r="I17" s="180"/>
      <c r="J17" s="183"/>
      <c r="K17" s="385"/>
      <c r="L17" s="179"/>
      <c r="M17" s="385"/>
    </row>
    <row r="18" spans="1:13" ht="16.5" thickBot="1">
      <c r="A18" s="384" t="s">
        <v>163</v>
      </c>
      <c r="C18" s="560">
        <f>709.25+64352.07+10361</f>
        <v>75422.320000000007</v>
      </c>
      <c r="D18" s="36"/>
      <c r="F18" s="646" t="s">
        <v>134</v>
      </c>
      <c r="G18" s="647"/>
      <c r="H18" s="647"/>
      <c r="I18" s="648"/>
      <c r="J18" s="646" t="s">
        <v>135</v>
      </c>
      <c r="K18" s="647"/>
      <c r="L18" s="647"/>
      <c r="M18" s="648"/>
    </row>
    <row r="19" spans="1:13" ht="15.75">
      <c r="A19" s="46" t="s">
        <v>164</v>
      </c>
      <c r="C19" s="561">
        <v>-362.14</v>
      </c>
      <c r="D19" s="36"/>
      <c r="F19" s="201" t="s">
        <v>108</v>
      </c>
      <c r="G19" s="164" t="s">
        <v>33</v>
      </c>
      <c r="H19" s="164" t="s">
        <v>33</v>
      </c>
      <c r="I19" s="164" t="s">
        <v>33</v>
      </c>
      <c r="J19" s="201" t="s">
        <v>108</v>
      </c>
      <c r="K19" s="164" t="s">
        <v>33</v>
      </c>
      <c r="L19" s="164" t="s">
        <v>33</v>
      </c>
      <c r="M19" s="185" t="s">
        <v>33</v>
      </c>
    </row>
    <row r="20" spans="1:13" ht="16.5" thickBot="1">
      <c r="A20" s="67" t="s">
        <v>93</v>
      </c>
      <c r="C20" s="100">
        <f>SUM(C18:C19)</f>
        <v>75060.180000000008</v>
      </c>
      <c r="D20" s="36"/>
      <c r="F20" s="195" t="s">
        <v>162</v>
      </c>
      <c r="G20" s="165" t="s">
        <v>101</v>
      </c>
      <c r="H20" s="165" t="s">
        <v>36</v>
      </c>
      <c r="I20" s="165" t="s">
        <v>34</v>
      </c>
      <c r="J20" s="195" t="s">
        <v>162</v>
      </c>
      <c r="K20" s="165" t="s">
        <v>101</v>
      </c>
      <c r="L20" s="165" t="s">
        <v>36</v>
      </c>
      <c r="M20" s="165" t="s">
        <v>34</v>
      </c>
    </row>
    <row r="21" spans="1:13" ht="15.75">
      <c r="A21" s="46" t="s">
        <v>149</v>
      </c>
      <c r="C21" s="561">
        <f>1850-118.03</f>
        <v>1731.97</v>
      </c>
      <c r="D21" s="36"/>
      <c r="F21" s="184"/>
      <c r="G21" s="12"/>
      <c r="H21" s="12"/>
      <c r="I21" s="185"/>
      <c r="J21" s="129"/>
      <c r="K21" s="13"/>
      <c r="L21" s="13"/>
      <c r="M21" s="205"/>
    </row>
    <row r="22" spans="1:13" ht="18" customHeight="1">
      <c r="A22" s="65" t="s">
        <v>149</v>
      </c>
      <c r="C22" s="100">
        <f>SUM(C21)</f>
        <v>1731.97</v>
      </c>
      <c r="D22" s="36"/>
      <c r="F22" s="199" t="s">
        <v>126</v>
      </c>
      <c r="G22" s="7"/>
      <c r="H22" s="7"/>
      <c r="I22" s="98"/>
      <c r="J22" s="199" t="s">
        <v>126</v>
      </c>
      <c r="K22" s="7"/>
      <c r="L22" s="7"/>
      <c r="M22" s="98"/>
    </row>
    <row r="23" spans="1:13" ht="15.75">
      <c r="A23" s="208" t="s">
        <v>180</v>
      </c>
      <c r="C23" s="100">
        <v>0</v>
      </c>
      <c r="D23" s="36"/>
      <c r="F23" s="200" t="s">
        <v>37</v>
      </c>
      <c r="G23" s="562">
        <v>22763596</v>
      </c>
      <c r="H23" s="389" t="s">
        <v>306</v>
      </c>
      <c r="I23" s="585">
        <v>2442861</v>
      </c>
      <c r="J23" s="200" t="s">
        <v>37</v>
      </c>
      <c r="K23" s="562">
        <v>10866998</v>
      </c>
      <c r="L23" s="389" t="s">
        <v>306</v>
      </c>
      <c r="M23" s="585">
        <v>1142014</v>
      </c>
    </row>
    <row r="24" spans="1:13" ht="15.75">
      <c r="A24" s="208" t="s">
        <v>186</v>
      </c>
      <c r="C24" s="122">
        <v>0</v>
      </c>
      <c r="D24" s="36"/>
      <c r="F24" s="200" t="s">
        <v>305</v>
      </c>
      <c r="G24" s="562">
        <v>25043</v>
      </c>
      <c r="H24" s="389" t="s">
        <v>306</v>
      </c>
      <c r="I24" s="585">
        <v>2685</v>
      </c>
      <c r="J24" s="200" t="s">
        <v>38</v>
      </c>
      <c r="K24" s="562">
        <v>3547299</v>
      </c>
      <c r="L24" s="389" t="s">
        <v>306</v>
      </c>
      <c r="M24" s="585">
        <v>372958</v>
      </c>
    </row>
    <row r="25" spans="1:13" ht="15.75">
      <c r="A25" s="208" t="s">
        <v>189</v>
      </c>
      <c r="C25" s="557">
        <v>0</v>
      </c>
      <c r="D25" s="36"/>
      <c r="F25" s="200" t="s">
        <v>38</v>
      </c>
      <c r="G25" s="562">
        <v>7830439</v>
      </c>
      <c r="H25" s="389" t="s">
        <v>306</v>
      </c>
      <c r="I25" s="585">
        <v>768458</v>
      </c>
      <c r="J25" s="200" t="s">
        <v>39</v>
      </c>
      <c r="K25" s="562">
        <v>2676</v>
      </c>
      <c r="L25" s="389" t="s">
        <v>306</v>
      </c>
      <c r="M25" s="585">
        <v>281</v>
      </c>
    </row>
    <row r="26" spans="1:13" ht="15.75">
      <c r="A26" s="209" t="s">
        <v>188</v>
      </c>
      <c r="C26" s="315">
        <v>0</v>
      </c>
      <c r="D26" s="36"/>
      <c r="F26" s="200" t="s">
        <v>39</v>
      </c>
      <c r="G26" s="562">
        <v>22211</v>
      </c>
      <c r="H26" s="389" t="s">
        <v>306</v>
      </c>
      <c r="I26" s="585">
        <v>2187</v>
      </c>
      <c r="J26" s="200" t="s">
        <v>40</v>
      </c>
      <c r="K26" s="562">
        <v>0</v>
      </c>
      <c r="L26" s="389" t="s">
        <v>306</v>
      </c>
      <c r="M26" s="585">
        <v>0</v>
      </c>
    </row>
    <row r="27" spans="1:13" ht="15.75">
      <c r="A27" s="65" t="s">
        <v>96</v>
      </c>
      <c r="C27" s="100">
        <f>SUM(C23:C26)</f>
        <v>0</v>
      </c>
      <c r="D27" s="36"/>
      <c r="F27" s="200" t="s">
        <v>40</v>
      </c>
      <c r="G27" s="562">
        <v>377693</v>
      </c>
      <c r="H27" s="389" t="s">
        <v>306</v>
      </c>
      <c r="I27" s="585">
        <v>44396</v>
      </c>
      <c r="J27" s="200" t="s">
        <v>41</v>
      </c>
      <c r="K27" s="562">
        <v>0</v>
      </c>
      <c r="L27" s="389" t="s">
        <v>306</v>
      </c>
      <c r="M27" s="585">
        <f t="shared" ref="M27" si="0">K27*L27</f>
        <v>0</v>
      </c>
    </row>
    <row r="28" spans="1:13" ht="16.5" thickBot="1">
      <c r="A28" s="210" t="s">
        <v>150</v>
      </c>
      <c r="C28" s="312">
        <v>0</v>
      </c>
      <c r="D28" s="37"/>
      <c r="F28" s="200" t="s">
        <v>41</v>
      </c>
      <c r="G28" s="562">
        <v>47834</v>
      </c>
      <c r="H28" s="389" t="s">
        <v>306</v>
      </c>
      <c r="I28" s="585">
        <v>4793</v>
      </c>
      <c r="J28" s="199" t="s">
        <v>127</v>
      </c>
      <c r="K28" s="181">
        <f>SUM(K23:K27)</f>
        <v>14416973</v>
      </c>
      <c r="L28" s="182"/>
      <c r="M28" s="197">
        <f>SUM(M23:M27)</f>
        <v>1515253</v>
      </c>
    </row>
    <row r="29" spans="1:13" ht="17.25" thickTop="1" thickBot="1">
      <c r="A29" s="210" t="s">
        <v>167</v>
      </c>
      <c r="B29" s="385"/>
      <c r="C29" s="312">
        <v>0</v>
      </c>
      <c r="D29" s="36"/>
      <c r="F29" s="200" t="s">
        <v>42</v>
      </c>
      <c r="G29" s="562">
        <v>0</v>
      </c>
      <c r="H29" s="389" t="s">
        <v>306</v>
      </c>
      <c r="I29" s="585">
        <v>0</v>
      </c>
      <c r="J29" s="199"/>
      <c r="K29" s="231">
        <v>14416973</v>
      </c>
      <c r="L29" s="187" t="s">
        <v>102</v>
      </c>
      <c r="M29" s="196">
        <f>M28/K28</f>
        <v>0.10510202106919393</v>
      </c>
    </row>
    <row r="30" spans="1:13" ht="16.5" thickBot="1">
      <c r="A30" s="2" t="s">
        <v>111</v>
      </c>
      <c r="C30" s="125">
        <f>C7+C11+C14+C17+C20+C22+C27+C28+C29</f>
        <v>2209065.9600000004</v>
      </c>
      <c r="D30" s="37"/>
      <c r="F30" s="200" t="s">
        <v>43</v>
      </c>
      <c r="G30" s="562">
        <v>113048</v>
      </c>
      <c r="H30" s="389" t="s">
        <v>306</v>
      </c>
      <c r="I30" s="585">
        <v>7046</v>
      </c>
      <c r="J30" s="200"/>
      <c r="K30" s="230">
        <f>K28-K29</f>
        <v>0</v>
      </c>
      <c r="L30" s="182"/>
      <c r="M30" s="198"/>
    </row>
    <row r="31" spans="1:13" ht="15.75">
      <c r="A31" s="384" t="s">
        <v>112</v>
      </c>
      <c r="C31" s="560">
        <v>-8647.7999999999993</v>
      </c>
      <c r="D31" s="39"/>
      <c r="F31" s="200" t="s">
        <v>74</v>
      </c>
      <c r="G31" s="562">
        <v>3967685</v>
      </c>
      <c r="H31" s="389" t="s">
        <v>306</v>
      </c>
      <c r="I31" s="585">
        <v>2120</v>
      </c>
      <c r="J31" s="153"/>
      <c r="K31" s="7"/>
      <c r="L31" s="182"/>
      <c r="M31" s="198"/>
    </row>
    <row r="32" spans="1:13" ht="16.5" thickBot="1">
      <c r="A32" s="2" t="s">
        <v>116</v>
      </c>
      <c r="B32" s="2" t="s">
        <v>117</v>
      </c>
      <c r="C32" s="567">
        <f>C30+C31</f>
        <v>2200418.1600000006</v>
      </c>
      <c r="D32" s="40"/>
      <c r="F32" s="199" t="s">
        <v>127</v>
      </c>
      <c r="G32" s="181">
        <f>SUM(G23:G31)</f>
        <v>35147549</v>
      </c>
      <c r="H32" s="7"/>
      <c r="I32" s="197">
        <f>SUM(I23:I31)</f>
        <v>3274546</v>
      </c>
      <c r="J32" s="192"/>
      <c r="K32" s="193"/>
      <c r="L32" s="7"/>
      <c r="M32" s="190"/>
    </row>
    <row r="33" spans="1:17" ht="17.25" thickTop="1" thickBot="1">
      <c r="A33" s="384" t="s">
        <v>113</v>
      </c>
      <c r="C33" s="311">
        <f>-C5-C9-C13-C16-C19</f>
        <v>110839.98</v>
      </c>
      <c r="D33" s="36"/>
      <c r="F33" s="186"/>
      <c r="G33" s="231">
        <v>35147549</v>
      </c>
      <c r="H33" s="187" t="s">
        <v>102</v>
      </c>
      <c r="I33" s="216">
        <f>I32/G32</f>
        <v>9.3165699833009694E-2</v>
      </c>
      <c r="J33" s="192"/>
      <c r="K33" s="193"/>
      <c r="L33" s="7"/>
      <c r="M33" s="98"/>
    </row>
    <row r="34" spans="1:17" ht="16.5" thickBot="1">
      <c r="A34" s="2" t="s">
        <v>114</v>
      </c>
      <c r="C34" s="125">
        <f>SUM(C32:C33)</f>
        <v>2311258.1400000006</v>
      </c>
      <c r="D34" s="36"/>
      <c r="F34" s="153"/>
      <c r="G34" s="230">
        <f>G32-G33</f>
        <v>0</v>
      </c>
      <c r="H34" s="7"/>
      <c r="I34" s="98"/>
      <c r="J34" s="192"/>
      <c r="K34" s="191"/>
      <c r="L34" s="7"/>
      <c r="M34" s="98"/>
    </row>
    <row r="35" spans="1:17" ht="18" customHeight="1">
      <c r="A35" s="2"/>
      <c r="C35" s="101"/>
      <c r="D35" s="36"/>
      <c r="F35" s="184"/>
      <c r="G35" s="12"/>
      <c r="H35" s="12"/>
      <c r="I35" s="185"/>
      <c r="J35" s="199" t="s">
        <v>128</v>
      </c>
      <c r="K35" s="644"/>
      <c r="L35" s="644"/>
      <c r="M35" s="645"/>
    </row>
    <row r="36" spans="1:17" ht="15.75">
      <c r="A36" s="16" t="s">
        <v>94</v>
      </c>
      <c r="B36" s="2"/>
      <c r="C36" s="100"/>
      <c r="D36" s="36"/>
      <c r="F36" s="199" t="s">
        <v>128</v>
      </c>
      <c r="G36" s="7"/>
      <c r="H36" s="7"/>
      <c r="I36" s="98"/>
      <c r="J36" s="200" t="s">
        <v>37</v>
      </c>
      <c r="K36" s="582">
        <f>K23</f>
        <v>10866998</v>
      </c>
      <c r="L36" s="389" t="s">
        <v>306</v>
      </c>
      <c r="M36" s="585">
        <v>2363305</v>
      </c>
      <c r="P36" s="273"/>
      <c r="Q36" s="273"/>
    </row>
    <row r="37" spans="1:17" ht="15.75">
      <c r="A37" s="7" t="s">
        <v>129</v>
      </c>
      <c r="B37" s="532" t="s">
        <v>115</v>
      </c>
      <c r="C37" s="560">
        <v>9681385.6999999993</v>
      </c>
      <c r="D37" s="36"/>
      <c r="F37" s="200" t="s">
        <v>37</v>
      </c>
      <c r="G37" s="582">
        <f>G23</f>
        <v>22763596</v>
      </c>
      <c r="H37" s="389" t="s">
        <v>306</v>
      </c>
      <c r="I37" s="585">
        <v>4959905</v>
      </c>
      <c r="J37" s="200" t="s">
        <v>38</v>
      </c>
      <c r="K37" s="582">
        <f>K24</f>
        <v>3547299</v>
      </c>
      <c r="L37" s="389" t="s">
        <v>306</v>
      </c>
      <c r="M37" s="585">
        <v>771804</v>
      </c>
      <c r="P37" s="273"/>
      <c r="Q37" s="273"/>
    </row>
    <row r="38" spans="1:17" ht="15.75">
      <c r="A38" s="144" t="s">
        <v>14</v>
      </c>
      <c r="B38" s="532" t="s">
        <v>115</v>
      </c>
      <c r="C38" s="560">
        <v>0</v>
      </c>
      <c r="D38" s="36"/>
      <c r="F38" s="200" t="s">
        <v>305</v>
      </c>
      <c r="G38" s="582">
        <f>G24</f>
        <v>25043</v>
      </c>
      <c r="H38" s="389" t="s">
        <v>306</v>
      </c>
      <c r="I38" s="585">
        <v>5452</v>
      </c>
      <c r="J38" s="200" t="s">
        <v>39</v>
      </c>
      <c r="K38" s="582">
        <f>K25</f>
        <v>2676</v>
      </c>
      <c r="L38" s="389" t="s">
        <v>306</v>
      </c>
      <c r="M38" s="585">
        <v>582</v>
      </c>
      <c r="P38" s="273"/>
      <c r="Q38" s="273"/>
    </row>
    <row r="39" spans="1:17" ht="15.75">
      <c r="A39" s="7" t="s">
        <v>146</v>
      </c>
      <c r="B39" s="532" t="s">
        <v>147</v>
      </c>
      <c r="C39" s="560">
        <v>-80988.460000000006</v>
      </c>
      <c r="D39" s="36"/>
      <c r="F39" s="200" t="s">
        <v>38</v>
      </c>
      <c r="G39" s="582">
        <f t="shared" ref="G39:G44" si="1">G25</f>
        <v>7830439</v>
      </c>
      <c r="H39" s="389" t="s">
        <v>306</v>
      </c>
      <c r="I39" s="585">
        <v>1699326</v>
      </c>
      <c r="J39" s="200" t="s">
        <v>40</v>
      </c>
      <c r="K39" s="582">
        <f>K26</f>
        <v>0</v>
      </c>
      <c r="L39" s="389" t="s">
        <v>306</v>
      </c>
      <c r="M39" s="585">
        <v>0</v>
      </c>
      <c r="P39" s="273"/>
      <c r="Q39" s="273"/>
    </row>
    <row r="40" spans="1:17" ht="15.75">
      <c r="A40" s="7" t="s">
        <v>131</v>
      </c>
      <c r="B40" s="532" t="s">
        <v>132</v>
      </c>
      <c r="C40" s="560">
        <v>1903258.61</v>
      </c>
      <c r="D40" s="36"/>
      <c r="F40" s="200" t="s">
        <v>39</v>
      </c>
      <c r="G40" s="582">
        <f t="shared" si="1"/>
        <v>22211</v>
      </c>
      <c r="H40" s="389" t="s">
        <v>306</v>
      </c>
      <c r="I40" s="585">
        <v>4835</v>
      </c>
      <c r="J40" s="200" t="s">
        <v>41</v>
      </c>
      <c r="K40" s="582">
        <f>K27</f>
        <v>0</v>
      </c>
      <c r="L40" s="389" t="s">
        <v>306</v>
      </c>
      <c r="M40" s="585">
        <v>0</v>
      </c>
      <c r="P40" s="273"/>
      <c r="Q40" s="273"/>
    </row>
    <row r="41" spans="1:17" ht="15.75">
      <c r="A41" s="7" t="s">
        <v>153</v>
      </c>
      <c r="B41" s="6" t="s">
        <v>155</v>
      </c>
      <c r="C41" s="560">
        <v>-65900.42</v>
      </c>
      <c r="D41" s="36"/>
      <c r="F41" s="200" t="s">
        <v>40</v>
      </c>
      <c r="G41" s="582">
        <f t="shared" si="1"/>
        <v>377693</v>
      </c>
      <c r="H41" s="389" t="s">
        <v>306</v>
      </c>
      <c r="I41" s="585">
        <v>92839</v>
      </c>
      <c r="J41" s="200" t="s">
        <v>42</v>
      </c>
      <c r="K41" s="562">
        <v>0</v>
      </c>
      <c r="L41" s="389" t="s">
        <v>306</v>
      </c>
      <c r="M41" s="585">
        <v>0</v>
      </c>
      <c r="P41" s="273"/>
      <c r="Q41" s="273"/>
    </row>
    <row r="42" spans="1:17" ht="16.5" thickBot="1">
      <c r="A42" s="7" t="s">
        <v>178</v>
      </c>
      <c r="B42" s="532" t="s">
        <v>179</v>
      </c>
      <c r="C42" s="560">
        <v>545907.52</v>
      </c>
      <c r="D42" s="37"/>
      <c r="F42" s="200" t="s">
        <v>41</v>
      </c>
      <c r="G42" s="582">
        <f t="shared" si="1"/>
        <v>47834</v>
      </c>
      <c r="H42" s="389" t="s">
        <v>306</v>
      </c>
      <c r="I42" s="585">
        <v>10598</v>
      </c>
      <c r="J42" s="200" t="s">
        <v>43</v>
      </c>
      <c r="K42" s="583">
        <v>0</v>
      </c>
      <c r="L42" s="389" t="s">
        <v>306</v>
      </c>
      <c r="M42" s="585">
        <v>0</v>
      </c>
      <c r="P42" s="273"/>
      <c r="Q42" s="273"/>
    </row>
    <row r="43" spans="1:17" ht="16.5" thickBot="1">
      <c r="A43" s="85" t="s">
        <v>123</v>
      </c>
      <c r="B43" s="12"/>
      <c r="C43" s="125">
        <f>SUM(C37:C42)</f>
        <v>11983662.949999997</v>
      </c>
      <c r="D43" s="36"/>
      <c r="F43" s="200" t="s">
        <v>42</v>
      </c>
      <c r="G43" s="582">
        <f t="shared" si="1"/>
        <v>0</v>
      </c>
      <c r="H43" s="389" t="s">
        <v>306</v>
      </c>
      <c r="I43" s="585">
        <v>0</v>
      </c>
      <c r="J43" s="199" t="s">
        <v>133</v>
      </c>
      <c r="K43" s="181">
        <f>SUM(K36:K42)</f>
        <v>14416973</v>
      </c>
      <c r="L43" s="182"/>
      <c r="M43" s="197">
        <f>SUM(M36:M42)</f>
        <v>3135691</v>
      </c>
    </row>
    <row r="44" spans="1:17" ht="16.5" thickBot="1">
      <c r="A44" s="83" t="s">
        <v>177</v>
      </c>
      <c r="B44" s="84" t="s">
        <v>120</v>
      </c>
      <c r="C44" s="560">
        <f>-12758.63+6121088.52-68133.37+5988.15</f>
        <v>6046184.6699999999</v>
      </c>
      <c r="D44" s="37"/>
      <c r="F44" s="200" t="s">
        <v>43</v>
      </c>
      <c r="G44" s="582">
        <f t="shared" si="1"/>
        <v>113048</v>
      </c>
      <c r="H44" s="389" t="s">
        <v>306</v>
      </c>
      <c r="I44" s="585">
        <v>24607</v>
      </c>
      <c r="J44" s="194"/>
      <c r="K44" s="232">
        <v>14416973</v>
      </c>
      <c r="L44" s="189" t="s">
        <v>102</v>
      </c>
      <c r="M44" s="217">
        <f>M43/K43</f>
        <v>0.2174999564749133</v>
      </c>
    </row>
    <row r="45" spans="1:17" ht="16.5" thickBot="1">
      <c r="A45" s="211" t="s">
        <v>168</v>
      </c>
      <c r="B45" s="6" t="s">
        <v>115</v>
      </c>
      <c r="C45" s="122">
        <v>0</v>
      </c>
      <c r="D45" s="39"/>
      <c r="F45" s="199" t="s">
        <v>133</v>
      </c>
      <c r="G45" s="181">
        <f>SUM(G37:G44)</f>
        <v>31179864</v>
      </c>
      <c r="H45" s="182"/>
      <c r="I45" s="197">
        <f>SUM(I37:I44)</f>
        <v>6797562</v>
      </c>
      <c r="J45" s="124"/>
      <c r="K45" s="230">
        <f>K43-K44</f>
        <v>0</v>
      </c>
      <c r="L45" s="385"/>
      <c r="M45" s="124"/>
    </row>
    <row r="46" spans="1:17" ht="19.5" customHeight="1" thickTop="1" thickBot="1">
      <c r="A46" s="144" t="s">
        <v>169</v>
      </c>
      <c r="B46" s="6" t="s">
        <v>115</v>
      </c>
      <c r="C46" s="122">
        <v>0</v>
      </c>
      <c r="D46" s="40"/>
      <c r="F46" s="188"/>
      <c r="G46" s="232">
        <v>31179864</v>
      </c>
      <c r="H46" s="189" t="s">
        <v>102</v>
      </c>
      <c r="I46" s="215">
        <f>I45/G45</f>
        <v>0.21801127804790937</v>
      </c>
      <c r="J46" s="124"/>
      <c r="K46" s="114"/>
      <c r="L46" s="385"/>
      <c r="M46" s="68"/>
    </row>
    <row r="47" spans="1:17" ht="15.75">
      <c r="A47" s="384" t="s">
        <v>137</v>
      </c>
      <c r="B47" s="6" t="s">
        <v>115</v>
      </c>
      <c r="C47" s="560">
        <v>-118762.51</v>
      </c>
      <c r="D47" s="36"/>
      <c r="F47" s="385"/>
      <c r="G47" s="230">
        <f>G45-G46</f>
        <v>0</v>
      </c>
      <c r="H47" s="385"/>
      <c r="I47" s="385"/>
      <c r="J47" s="124"/>
      <c r="K47" s="114"/>
      <c r="L47" s="385"/>
      <c r="M47" s="68"/>
    </row>
    <row r="48" spans="1:17" ht="16.5" thickBot="1">
      <c r="A48" s="144" t="s">
        <v>304</v>
      </c>
      <c r="B48" s="6" t="s">
        <v>115</v>
      </c>
      <c r="C48" s="560">
        <v>7000</v>
      </c>
      <c r="D48" s="36"/>
      <c r="F48" s="385"/>
      <c r="G48" s="385"/>
      <c r="H48" s="385"/>
      <c r="I48" s="385"/>
      <c r="J48" s="124"/>
      <c r="K48" s="114"/>
      <c r="L48" s="385"/>
      <c r="M48" s="385"/>
    </row>
    <row r="49" spans="1:21" ht="15.75">
      <c r="A49" s="7" t="s">
        <v>130</v>
      </c>
      <c r="B49" s="532" t="s">
        <v>152</v>
      </c>
      <c r="C49" s="560">
        <v>22876.54</v>
      </c>
      <c r="D49" s="36"/>
      <c r="F49" s="385"/>
      <c r="G49" s="114"/>
      <c r="H49" s="129" t="s">
        <v>35</v>
      </c>
      <c r="I49" s="13" t="s">
        <v>35</v>
      </c>
      <c r="J49" s="13" t="s">
        <v>63</v>
      </c>
      <c r="K49" s="127" t="s">
        <v>70</v>
      </c>
      <c r="L49" s="124"/>
      <c r="M49" s="385"/>
    </row>
    <row r="50" spans="1:21" ht="16.5" thickBot="1">
      <c r="A50" s="7" t="s">
        <v>222</v>
      </c>
      <c r="B50" s="532" t="s">
        <v>152</v>
      </c>
      <c r="C50" s="560">
        <v>4085.49</v>
      </c>
      <c r="D50" s="37"/>
      <c r="F50" s="50" t="s">
        <v>73</v>
      </c>
      <c r="G50" s="385"/>
      <c r="H50" s="130" t="s">
        <v>2</v>
      </c>
      <c r="I50" s="131" t="s">
        <v>3</v>
      </c>
      <c r="J50" s="131" t="s">
        <v>2</v>
      </c>
      <c r="K50" s="128" t="s">
        <v>3</v>
      </c>
      <c r="L50" s="385"/>
      <c r="M50" s="385"/>
    </row>
    <row r="51" spans="1:21" ht="15.75">
      <c r="A51" s="7" t="s">
        <v>308</v>
      </c>
      <c r="B51" s="532" t="s">
        <v>152</v>
      </c>
      <c r="C51" s="560">
        <v>8192.9599999999991</v>
      </c>
      <c r="D51" s="36"/>
      <c r="F51" s="385"/>
      <c r="G51" s="385"/>
      <c r="H51" s="151"/>
      <c r="I51" s="152"/>
      <c r="J51" s="152"/>
      <c r="K51" s="152"/>
      <c r="L51" s="126" t="s">
        <v>103</v>
      </c>
      <c r="M51" s="385"/>
    </row>
    <row r="52" spans="1:21" ht="15.75">
      <c r="A52" s="22" t="s">
        <v>118</v>
      </c>
      <c r="B52" s="6"/>
      <c r="C52" s="100">
        <f>-C33</f>
        <v>-110839.98</v>
      </c>
      <c r="D52" s="33"/>
      <c r="F52" s="385" t="s">
        <v>136</v>
      </c>
      <c r="G52" s="385"/>
      <c r="H52" s="212">
        <f>K12</f>
        <v>5592036.3487819945</v>
      </c>
      <c r="I52" s="115">
        <f>I14</f>
        <v>1596154.8714840005</v>
      </c>
      <c r="J52" s="115">
        <f>L12</f>
        <v>2587054.941217998</v>
      </c>
      <c r="K52" s="115">
        <f>J14</f>
        <v>715103.26851600024</v>
      </c>
      <c r="L52" s="132">
        <f>SUM(H52:K52)</f>
        <v>10490349.429999992</v>
      </c>
    </row>
    <row r="53" spans="1:21" ht="16.5" thickBot="1">
      <c r="A53" s="385" t="s">
        <v>315</v>
      </c>
      <c r="B53" s="621" t="s">
        <v>316</v>
      </c>
      <c r="C53" s="560">
        <v>6406.34</v>
      </c>
      <c r="D53" s="36"/>
      <c r="F53" s="384" t="s">
        <v>109</v>
      </c>
      <c r="H53" s="212">
        <f>-I45</f>
        <v>-6797562</v>
      </c>
      <c r="I53" s="115">
        <f>-I32</f>
        <v>-3274546</v>
      </c>
      <c r="J53" s="115">
        <f>-M43</f>
        <v>-3135691</v>
      </c>
      <c r="K53" s="115">
        <f>-M28</f>
        <v>-1515253</v>
      </c>
      <c r="L53" s="261">
        <f>SUM(H53:K53)</f>
        <v>-14723052</v>
      </c>
    </row>
    <row r="54" spans="1:21" ht="16.5" thickBot="1">
      <c r="A54" s="382" t="s">
        <v>124</v>
      </c>
      <c r="B54" s="473" t="s">
        <v>296</v>
      </c>
      <c r="C54" s="560">
        <f>-249251.63-5848184.37-3206190.57</f>
        <v>-9303626.5700000003</v>
      </c>
      <c r="D54" s="36"/>
      <c r="F54" s="384" t="s">
        <v>86</v>
      </c>
      <c r="H54" s="234">
        <v>0</v>
      </c>
      <c r="I54" s="235">
        <v>0</v>
      </c>
      <c r="J54" s="235">
        <v>0</v>
      </c>
      <c r="K54" s="236">
        <v>0</v>
      </c>
      <c r="L54" s="214">
        <f>SUM(L52:L53)</f>
        <v>-4232702.5700000077</v>
      </c>
    </row>
    <row r="55" spans="1:21" ht="16.5" thickBot="1">
      <c r="A55" s="384" t="s">
        <v>312</v>
      </c>
      <c r="B55" s="6" t="s">
        <v>190</v>
      </c>
      <c r="C55" s="560">
        <v>-375000</v>
      </c>
      <c r="D55" s="36"/>
      <c r="F55" s="384" t="s">
        <v>71</v>
      </c>
      <c r="H55" s="125">
        <f>IFERROR(H52+H53+H54,0)</f>
        <v>-1205525.6512180055</v>
      </c>
      <c r="I55" s="125">
        <f>I52+I53+I54</f>
        <v>-1678391.1285159995</v>
      </c>
      <c r="J55" s="125">
        <f>IFERROR(J52+J53+J54,0)</f>
        <v>-548636.05878200196</v>
      </c>
      <c r="K55" s="125">
        <f>K52+K53+K54</f>
        <v>-800149.73148399976</v>
      </c>
      <c r="L55" s="47">
        <f>SUM(H55:K55)</f>
        <v>-4232702.5700000068</v>
      </c>
    </row>
    <row r="56" spans="1:21" ht="16.5" thickBot="1">
      <c r="A56" s="82" t="s">
        <v>119</v>
      </c>
      <c r="B56" s="84"/>
      <c r="C56" s="160">
        <f>SUM(C43:C55)</f>
        <v>8170179.8899999931</v>
      </c>
      <c r="D56" s="36"/>
      <c r="F56" s="240" t="s">
        <v>181</v>
      </c>
      <c r="H56" s="384" t="s">
        <v>173</v>
      </c>
      <c r="I56" s="5">
        <f>SUM(H55:I55)</f>
        <v>-2883916.7797340052</v>
      </c>
      <c r="J56" s="15" t="s">
        <v>174</v>
      </c>
      <c r="K56" s="384">
        <f>SUM(J55:K55)</f>
        <v>-1348785.7902660016</v>
      </c>
      <c r="L56" s="213">
        <f>ROUND(L54-L55,3)</f>
        <v>0</v>
      </c>
      <c r="T56" s="42"/>
    </row>
    <row r="57" spans="1:21" ht="16.5" thickTop="1">
      <c r="A57" s="384" t="s">
        <v>121</v>
      </c>
      <c r="B57" s="6" t="s">
        <v>115</v>
      </c>
      <c r="C57" s="560">
        <v>5267.34</v>
      </c>
      <c r="D57" s="36"/>
      <c r="F57" s="397" t="s">
        <v>181</v>
      </c>
      <c r="H57" s="96"/>
    </row>
    <row r="58" spans="1:21" ht="16.5" thickBot="1">
      <c r="A58" s="384" t="s">
        <v>122</v>
      </c>
      <c r="B58" s="6" t="s">
        <v>115</v>
      </c>
      <c r="C58" s="560">
        <v>3644.06</v>
      </c>
      <c r="D58" s="36"/>
      <c r="F58" s="397" t="s">
        <v>182</v>
      </c>
      <c r="H58" s="157"/>
      <c r="I58" s="120"/>
      <c r="J58" s="120"/>
      <c r="K58" s="204"/>
      <c r="L58" s="120"/>
    </row>
    <row r="59" spans="1:21" ht="16.5" thickBot="1">
      <c r="A59" s="2" t="s">
        <v>125</v>
      </c>
      <c r="B59" s="2"/>
      <c r="C59" s="160">
        <f>SUM(C56:C58)</f>
        <v>8179091.2899999926</v>
      </c>
      <c r="D59" s="36"/>
      <c r="F59" s="543" t="s">
        <v>303</v>
      </c>
      <c r="G59" s="544" t="str">
        <f>IF(OR(AND(I56&gt;0,K56&gt;0),AND(I56&lt;0,K56&lt;0)),"OK","ERROR")</f>
        <v>OK</v>
      </c>
      <c r="H59" s="386" t="s">
        <v>294</v>
      </c>
      <c r="I59" s="387"/>
    </row>
    <row r="60" spans="1:21" ht="17.25" thickTop="1" thickBot="1">
      <c r="A60" s="2"/>
      <c r="C60" s="101"/>
      <c r="D60" s="36"/>
      <c r="H60" s="318" t="s">
        <v>175</v>
      </c>
      <c r="I60" s="319" t="s">
        <v>176</v>
      </c>
      <c r="J60" s="5"/>
    </row>
    <row r="61" spans="1:21" ht="16.5" thickBot="1">
      <c r="A61" s="9"/>
      <c r="B61" s="9" t="s">
        <v>95</v>
      </c>
      <c r="C61" s="125">
        <f>C59+C34</f>
        <v>10490349.429999992</v>
      </c>
      <c r="D61" s="37"/>
      <c r="H61" s="349" t="e">
        <f>SUM('WA - Def-Amtz (current)'!AJ5:AJ10,'WA - Def-Amtz (current)'!AJ35:AJ40,'WA - Def-Amtz (current)'!AJ70:AJ73,#REF!,#REF!,#REF!)</f>
        <v>#REF!</v>
      </c>
      <c r="I61" s="449" t="e">
        <f>SUM('WA - Def-Amtz (current)'!AK5:AK10,'WA - Def-Amtz (current)'!AK35:AK40,'WA - Def-Amtz (current)'!AK70:AK73,#REF!,#REF!,#REF!)</f>
        <v>#REF!</v>
      </c>
      <c r="J61" s="384">
        <f>H53+I53+J53+K53</f>
        <v>-14723052</v>
      </c>
    </row>
    <row r="62" spans="1:21" ht="15.75">
      <c r="A62" s="2"/>
      <c r="B62" s="9" t="s">
        <v>160</v>
      </c>
      <c r="C62" s="350">
        <v>10490349.43</v>
      </c>
      <c r="G62" s="5"/>
      <c r="I62" s="338" t="e">
        <f>H61-I61</f>
        <v>#REF!</v>
      </c>
      <c r="N62" s="5"/>
      <c r="O62" s="5"/>
      <c r="P62" s="21"/>
    </row>
    <row r="63" spans="1:21" ht="15.75">
      <c r="A63" s="9"/>
      <c r="B63" s="9" t="s">
        <v>159</v>
      </c>
      <c r="C63" s="257">
        <f>ROUND(C61-C62,2)</f>
        <v>0</v>
      </c>
      <c r="D63" s="36"/>
      <c r="S63" s="6"/>
    </row>
    <row r="64" spans="1:21" ht="15.75">
      <c r="A64" s="44"/>
      <c r="C64" s="351"/>
      <c r="D64" s="43"/>
      <c r="N64" s="22"/>
      <c r="U64" s="2"/>
    </row>
    <row r="65" spans="1:21" ht="15.75">
      <c r="A65" s="44"/>
      <c r="C65" s="8"/>
      <c r="D65" s="36"/>
      <c r="N65" s="22"/>
      <c r="S65" s="23"/>
    </row>
    <row r="66" spans="1:21" ht="15.75">
      <c r="A66" s="2"/>
      <c r="C66" s="8"/>
      <c r="D66" s="36"/>
      <c r="N66" s="22"/>
      <c r="S66" s="24"/>
    </row>
    <row r="67" spans="1:21">
      <c r="C67" s="100"/>
      <c r="D67" s="36"/>
      <c r="N67" s="22"/>
      <c r="S67" s="25"/>
    </row>
    <row r="68" spans="1:21">
      <c r="D68" s="36"/>
      <c r="N68" s="22"/>
      <c r="S68" s="24"/>
    </row>
    <row r="69" spans="1:21">
      <c r="D69" s="37"/>
      <c r="N69" s="22"/>
    </row>
    <row r="70" spans="1:21">
      <c r="D70" s="36"/>
      <c r="N70" s="22"/>
      <c r="S70" s="26"/>
    </row>
    <row r="71" spans="1:21">
      <c r="D71" s="36"/>
    </row>
    <row r="72" spans="1:21">
      <c r="D72" s="36"/>
    </row>
    <row r="73" spans="1:21">
      <c r="D73" s="45"/>
      <c r="S73" s="27"/>
    </row>
    <row r="74" spans="1:21">
      <c r="R74" s="6"/>
      <c r="S74" s="6"/>
      <c r="T74" s="6"/>
    </row>
    <row r="76" spans="1:21">
      <c r="U76" s="28"/>
    </row>
    <row r="1477" spans="3:3">
      <c r="C1477" s="384">
        <v>-2130</v>
      </c>
    </row>
    <row r="1485" spans="3:3">
      <c r="C1485" s="384">
        <f>7004298-2130</f>
        <v>7002168</v>
      </c>
    </row>
  </sheetData>
  <mergeCells count="3">
    <mergeCell ref="F18:I18"/>
    <mergeCell ref="J18:M18"/>
    <mergeCell ref="K35:M35"/>
  </mergeCells>
  <conditionalFormatting sqref="C63 L56 I62">
    <cfRule type="cellIs" dxfId="213" priority="6" stopIfTrue="1" operator="equal">
      <formula>0</formula>
    </cfRule>
    <cfRule type="cellIs" dxfId="212" priority="7" stopIfTrue="1" operator="notEqual">
      <formula>0</formula>
    </cfRule>
  </conditionalFormatting>
  <conditionalFormatting sqref="G34 G47 K30 K45">
    <cfRule type="cellIs" dxfId="211" priority="5" operator="notEqual">
      <formula>0</formula>
    </cfRule>
  </conditionalFormatting>
  <conditionalFormatting sqref="C63">
    <cfRule type="cellIs" dxfId="210" priority="3" stopIfTrue="1" operator="equal">
      <formula>0</formula>
    </cfRule>
    <cfRule type="cellIs" dxfId="209" priority="4" stopIfTrue="1" operator="notEqual">
      <formula>0</formula>
    </cfRule>
  </conditionalFormatting>
  <conditionalFormatting sqref="K30">
    <cfRule type="cellIs" dxfId="208" priority="2" operator="notEqual">
      <formula>0</formula>
    </cfRule>
  </conditionalFormatting>
  <conditionalFormatting sqref="G59">
    <cfRule type="cellIs" dxfId="207" priority="1" operator="equal">
      <formula>"ERROR"</formula>
    </cfRule>
  </conditionalFormatting>
  <printOptions verticalCentered="1" gridLinesSet="0"/>
  <pageMargins left="0.5" right="0" top="0.25" bottom="0.5" header="0" footer="0.25"/>
  <pageSetup scale="47" orientation="landscape" cellComments="asDisplayed" r:id="rId1"/>
  <headerFooter alignWithMargins="0">
    <oddFooter>&amp;L&amp;F&amp;C&amp;A&amp;R&amp;D&amp;T</oddFooter>
  </headerFooter>
  <customProperties>
    <customPr name="xxe4aPID" r:id="rId2"/>
  </customProperties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tabColor rgb="FF00CC66"/>
    <pageSetUpPr fitToPage="1"/>
  </sheetPr>
  <dimension ref="A1:AY79"/>
  <sheetViews>
    <sheetView showGridLines="0" zoomScale="70" zoomScaleNormal="70" zoomScaleSheetLayoutView="85" workbookViewId="0">
      <pane xSplit="2" ySplit="3" topLeftCell="W22" activePane="bottomRight" state="frozen"/>
      <selection activeCell="BD49" activeCellId="1" sqref="BD13 BD49"/>
      <selection pane="topRight" activeCell="BD49" activeCellId="1" sqref="BD13 BD49"/>
      <selection pane="bottomLeft" activeCell="BD49" activeCellId="1" sqref="BD13 BD49"/>
      <selection pane="bottomRight" activeCell="AD40" sqref="AD40"/>
    </sheetView>
  </sheetViews>
  <sheetFormatPr defaultColWidth="9.140625" defaultRowHeight="15.75" outlineLevelRow="1" outlineLevelCol="1"/>
  <cols>
    <col min="1" max="1" width="17.28515625" style="480" customWidth="1"/>
    <col min="2" max="2" width="18.7109375" style="479" customWidth="1"/>
    <col min="3" max="3" width="17.5703125" style="480" customWidth="1"/>
    <col min="4" max="4" width="16.28515625" style="480" customWidth="1"/>
    <col min="5" max="6" width="16.28515625" style="480" hidden="1" customWidth="1" outlineLevel="1"/>
    <col min="7" max="7" width="17.42578125" style="480" hidden="1" customWidth="1" outlineLevel="1"/>
    <col min="8" max="8" width="15.5703125" style="480" hidden="1" customWidth="1" outlineLevel="1"/>
    <col min="9" max="13" width="17.42578125" style="480" hidden="1" customWidth="1" outlineLevel="1"/>
    <col min="14" max="14" width="17.5703125" style="480" hidden="1" customWidth="1" outlineLevel="1"/>
    <col min="15" max="15" width="18.140625" style="480" hidden="1" customWidth="1" outlineLevel="1"/>
    <col min="16" max="16" width="17.7109375" style="480" hidden="1" customWidth="1" outlineLevel="1"/>
    <col min="17" max="17" width="18.7109375" style="480" hidden="1" customWidth="1" outlineLevel="1"/>
    <col min="18" max="18" width="19.140625" style="480" hidden="1" customWidth="1" outlineLevel="1"/>
    <col min="19" max="19" width="17.42578125" style="480" hidden="1" customWidth="1" outlineLevel="1"/>
    <col min="20" max="20" width="16.7109375" style="480" hidden="1" customWidth="1" outlineLevel="1"/>
    <col min="21" max="22" width="17.42578125" style="480" hidden="1" customWidth="1" outlineLevel="1"/>
    <col min="23" max="23" width="17.42578125" style="480" customWidth="1" collapsed="1"/>
    <col min="24" max="25" width="17.42578125" style="480" customWidth="1"/>
    <col min="26" max="26" width="16.28515625" style="480" customWidth="1"/>
    <col min="27" max="27" width="18.140625" style="480" customWidth="1"/>
    <col min="28" max="30" width="17.7109375" style="480" customWidth="1"/>
    <col min="31" max="31" width="3.42578125" style="550" customWidth="1"/>
    <col min="32" max="32" width="34.42578125" style="480" customWidth="1"/>
    <col min="33" max="33" width="14.42578125" style="520" bestFit="1" customWidth="1"/>
    <col min="34" max="34" width="4.7109375" style="480" bestFit="1" customWidth="1"/>
    <col min="35" max="35" width="5" style="480" bestFit="1" customWidth="1"/>
    <col min="36" max="36" width="18.28515625" style="480" customWidth="1"/>
    <col min="37" max="37" width="17.140625" style="480" bestFit="1" customWidth="1"/>
    <col min="38" max="38" width="0.42578125" style="480" customWidth="1"/>
    <col min="39" max="44" width="9.140625" style="480"/>
    <col min="45" max="45" width="23.85546875" style="480" bestFit="1" customWidth="1"/>
    <col min="46" max="46" width="11.7109375" style="480" bestFit="1" customWidth="1"/>
    <col min="47" max="47" width="4.28515625" style="480" bestFit="1" customWidth="1"/>
    <col min="48" max="48" width="4.5703125" style="480" bestFit="1" customWidth="1"/>
    <col min="49" max="51" width="11.7109375" style="480" bestFit="1" customWidth="1"/>
    <col min="52" max="16384" width="9.140625" style="480"/>
  </cols>
  <sheetData>
    <row r="1" spans="1:39">
      <c r="A1" s="478" t="s">
        <v>261</v>
      </c>
      <c r="AF1" s="478" t="s">
        <v>295</v>
      </c>
      <c r="AI1" s="481" t="s">
        <v>314</v>
      </c>
      <c r="AJ1" s="481"/>
    </row>
    <row r="2" spans="1:39">
      <c r="A2" s="481" t="s">
        <v>262</v>
      </c>
    </row>
    <row r="3" spans="1:39" s="481" customFormat="1" ht="32.25" thickBot="1">
      <c r="A3" s="482">
        <v>191010</v>
      </c>
      <c r="B3" s="483" t="s">
        <v>252</v>
      </c>
      <c r="C3" s="484" t="s">
        <v>248</v>
      </c>
      <c r="D3" s="485" t="s">
        <v>257</v>
      </c>
      <c r="E3" s="482">
        <v>201601</v>
      </c>
      <c r="F3" s="482">
        <f>E3+1</f>
        <v>201602</v>
      </c>
      <c r="G3" s="482">
        <f t="shared" ref="G3:O3" si="0">F3+1</f>
        <v>201603</v>
      </c>
      <c r="H3" s="482">
        <f t="shared" si="0"/>
        <v>201604</v>
      </c>
      <c r="I3" s="482">
        <f t="shared" si="0"/>
        <v>201605</v>
      </c>
      <c r="J3" s="482">
        <f t="shared" si="0"/>
        <v>201606</v>
      </c>
      <c r="K3" s="482">
        <f>J3+1</f>
        <v>201607</v>
      </c>
      <c r="L3" s="482">
        <f t="shared" si="0"/>
        <v>201608</v>
      </c>
      <c r="M3" s="482">
        <f t="shared" si="0"/>
        <v>201609</v>
      </c>
      <c r="N3" s="482">
        <f t="shared" si="0"/>
        <v>201610</v>
      </c>
      <c r="O3" s="482">
        <f t="shared" si="0"/>
        <v>201611</v>
      </c>
      <c r="P3" s="482">
        <f>O3+1</f>
        <v>201612</v>
      </c>
      <c r="Q3" s="482">
        <v>201701</v>
      </c>
      <c r="R3" s="482">
        <f>Q3+1</f>
        <v>201702</v>
      </c>
      <c r="S3" s="482">
        <f t="shared" ref="S3" si="1">R3+1</f>
        <v>201703</v>
      </c>
      <c r="T3" s="482">
        <f t="shared" ref="T3" si="2">S3+1</f>
        <v>201704</v>
      </c>
      <c r="U3" s="482">
        <f t="shared" ref="U3" si="3">T3+1</f>
        <v>201705</v>
      </c>
      <c r="V3" s="482">
        <f t="shared" ref="V3" si="4">U3+1</f>
        <v>201706</v>
      </c>
      <c r="W3" s="482">
        <f>V3+1</f>
        <v>201707</v>
      </c>
      <c r="X3" s="482">
        <f t="shared" ref="X3" si="5">W3+1</f>
        <v>201708</v>
      </c>
      <c r="Y3" s="482">
        <f t="shared" ref="Y3" si="6">X3+1</f>
        <v>201709</v>
      </c>
      <c r="Z3" s="482">
        <f t="shared" ref="Z3" si="7">Y3+1</f>
        <v>201710</v>
      </c>
      <c r="AA3" s="482">
        <f t="shared" ref="AA3" si="8">Z3+1</f>
        <v>201711</v>
      </c>
      <c r="AB3" s="482">
        <f>AA3+1</f>
        <v>201712</v>
      </c>
      <c r="AC3" s="482">
        <v>201801</v>
      </c>
      <c r="AD3" s="482">
        <v>201802</v>
      </c>
      <c r="AE3" s="565"/>
      <c r="AG3" s="482"/>
    </row>
    <row r="4" spans="1:39" s="481" customFormat="1" ht="16.5" thickBot="1">
      <c r="B4" s="483" t="s">
        <v>253</v>
      </c>
      <c r="C4" s="480"/>
      <c r="E4" s="486">
        <v>3.2500000000000001E-2</v>
      </c>
      <c r="F4" s="486">
        <v>3.2500000000000001E-2</v>
      </c>
      <c r="G4" s="486">
        <v>3.2500000000000001E-2</v>
      </c>
      <c r="H4" s="486">
        <v>3.4599999999999999E-2</v>
      </c>
      <c r="I4" s="486">
        <v>3.4599999999999999E-2</v>
      </c>
      <c r="J4" s="486">
        <v>3.4599999999999999E-2</v>
      </c>
      <c r="K4" s="486">
        <v>3.5000000000000003E-2</v>
      </c>
      <c r="L4" s="571">
        <v>3.5000000000000003E-2</v>
      </c>
      <c r="M4" s="486">
        <v>3.5000000000000003E-2</v>
      </c>
      <c r="N4" s="486">
        <v>3.5000000000000003E-2</v>
      </c>
      <c r="O4" s="486">
        <v>3.5000000000000003E-2</v>
      </c>
      <c r="P4" s="486">
        <v>3.5000000000000003E-2</v>
      </c>
      <c r="Q4" s="596">
        <v>3.5000000000000003E-2</v>
      </c>
      <c r="R4" s="596">
        <v>3.5000000000000003E-2</v>
      </c>
      <c r="S4" s="596">
        <v>3.5000000000000003E-2</v>
      </c>
      <c r="T4" s="596">
        <v>3.7100000000000001E-2</v>
      </c>
      <c r="U4" s="596">
        <v>3.7100000000000001E-2</v>
      </c>
      <c r="V4" s="596">
        <v>3.7100000000000001E-2</v>
      </c>
      <c r="W4" s="596">
        <v>3.9600000000000003E-2</v>
      </c>
      <c r="X4" s="596">
        <v>3.9600000000000003E-2</v>
      </c>
      <c r="Y4" s="596">
        <v>3.9600000000000003E-2</v>
      </c>
      <c r="Z4" s="596">
        <v>4.2099999999999999E-2</v>
      </c>
      <c r="AA4" s="596">
        <v>4.2099999999999999E-2</v>
      </c>
      <c r="AB4" s="596">
        <v>4.2099999999999999E-2</v>
      </c>
      <c r="AC4" s="596">
        <v>4.2500000000000003E-2</v>
      </c>
      <c r="AD4" s="596">
        <v>4.2500000000000003E-2</v>
      </c>
      <c r="AE4" s="565"/>
      <c r="AF4" s="536">
        <v>201802</v>
      </c>
      <c r="AG4" s="521"/>
      <c r="AH4" s="509"/>
      <c r="AI4" s="509"/>
      <c r="AJ4" s="509"/>
      <c r="AK4" s="510"/>
    </row>
    <row r="5" spans="1:39">
      <c r="B5" s="479" t="s">
        <v>250</v>
      </c>
      <c r="D5" s="480">
        <f>E5</f>
        <v>-6508323.8685397729</v>
      </c>
      <c r="E5" s="480">
        <v>-6508323.8685397729</v>
      </c>
      <c r="F5" s="480">
        <f t="shared" ref="F5:P5" si="9">E13</f>
        <v>-8439847.1132167727</v>
      </c>
      <c r="G5" s="480">
        <f t="shared" si="9"/>
        <v>-9264796.9494047705</v>
      </c>
      <c r="H5" s="480">
        <f t="shared" si="9"/>
        <v>-10398819.535470769</v>
      </c>
      <c r="I5" s="480">
        <f t="shared" si="9"/>
        <v>-12153304.785960769</v>
      </c>
      <c r="J5" s="480">
        <f t="shared" si="9"/>
        <v>-12778894.072104771</v>
      </c>
      <c r="K5" s="480">
        <f>J13</f>
        <v>-14182183.944992768</v>
      </c>
      <c r="L5" s="480">
        <f t="shared" si="9"/>
        <v>-15130761.40771677</v>
      </c>
      <c r="M5" s="480">
        <f>L13</f>
        <v>-15660034.00335677</v>
      </c>
      <c r="N5" s="480">
        <f t="shared" si="9"/>
        <v>-16306032.832939774</v>
      </c>
      <c r="O5" s="480">
        <f>N13</f>
        <v>-16534597.329101773</v>
      </c>
      <c r="P5" s="480">
        <f t="shared" si="9"/>
        <v>-3075004.5709557864</v>
      </c>
      <c r="Q5" s="480">
        <f>P13</f>
        <v>-6818269.0378097855</v>
      </c>
      <c r="R5" s="480">
        <f>Q13</f>
        <v>-10248016.525328787</v>
      </c>
      <c r="S5" s="480">
        <f>R13</f>
        <v>-12338677.191237787</v>
      </c>
      <c r="T5" s="480">
        <f t="shared" ref="T5" si="10">S13</f>
        <v>-13990367.081666788</v>
      </c>
      <c r="U5" s="549">
        <f t="shared" ref="U5" si="11">T13</f>
        <v>-15173451.409781789</v>
      </c>
      <c r="V5" s="480">
        <f t="shared" ref="V5" si="12">U13</f>
        <v>-15098116.96234579</v>
      </c>
      <c r="W5" s="480">
        <f>V13</f>
        <v>-14771177.38731979</v>
      </c>
      <c r="X5" s="549">
        <f t="shared" ref="X5" si="13">W13</f>
        <v>-15909772.702550791</v>
      </c>
      <c r="Y5" s="480">
        <f>X13</f>
        <v>-16977268.897435792</v>
      </c>
      <c r="Z5" s="480">
        <f t="shared" ref="Z5" si="14">Y13</f>
        <v>-18962414.798894793</v>
      </c>
      <c r="AA5" s="480">
        <f>Z13</f>
        <v>-21954910.563472789</v>
      </c>
      <c r="AB5" s="480">
        <f t="shared" ref="AB5" si="15">AA13</f>
        <v>-8189815.5396147836</v>
      </c>
      <c r="AC5" s="480">
        <f>AB13</f>
        <v>-11107523.78934879</v>
      </c>
      <c r="AD5" s="549">
        <f>AC13</f>
        <v>-13242800.248523792</v>
      </c>
      <c r="AF5" s="493" t="s">
        <v>284</v>
      </c>
      <c r="AG5" s="522">
        <v>419600</v>
      </c>
      <c r="AH5" s="494" t="s">
        <v>280</v>
      </c>
      <c r="AI5" s="494" t="s">
        <v>281</v>
      </c>
      <c r="AJ5" s="514">
        <v>0</v>
      </c>
      <c r="AK5" s="515">
        <f>IF(SUMIF(E3:AD3,AF4,E8:AD8)&gt;0,SUMIF(E3:AD3,AF4,E8:AD8),0)</f>
        <v>0</v>
      </c>
      <c r="AM5" s="480" t="str">
        <f>_xll.GLW_Segment_Description(AG5,2,2)</f>
        <v>INTEREST ON ENERGY DEFERRALS</v>
      </c>
    </row>
    <row r="6" spans="1:39">
      <c r="B6" s="479" t="s">
        <v>309</v>
      </c>
      <c r="C6" s="480">
        <f>SUM(Q6:AB6)</f>
        <v>-14998507.255011011</v>
      </c>
      <c r="D6" s="480">
        <f t="shared" ref="D6:D12" si="16">SUM(E6:AB6)</f>
        <v>-28170584.433512013</v>
      </c>
      <c r="E6" s="576">
        <v>-173856.58066100068</v>
      </c>
      <c r="F6" s="576">
        <v>105835.91384800058</v>
      </c>
      <c r="G6" s="576">
        <v>-604740.2805199977</v>
      </c>
      <c r="H6" s="576">
        <v>-2253526.4287800011</v>
      </c>
      <c r="I6" s="576">
        <v>-1368171.1781060011</v>
      </c>
      <c r="J6" s="576">
        <v>-2304890.4720699973</v>
      </c>
      <c r="K6" s="614">
        <v>-1924994.8295020012</v>
      </c>
      <c r="L6" s="614">
        <v>-1510253.5672820001</v>
      </c>
      <c r="M6" s="614">
        <v>-1421303.766953001</v>
      </c>
      <c r="N6" s="614">
        <v>-389419.70859999908</v>
      </c>
      <c r="O6" s="614">
        <v>-192874.3790970007</v>
      </c>
      <c r="P6" s="614">
        <v>-1133881.9007779993</v>
      </c>
      <c r="Q6" s="614">
        <v>-491376.17008000147</v>
      </c>
      <c r="R6" s="614">
        <v>-201411.09328799881</v>
      </c>
      <c r="S6" s="614">
        <v>-696753.01067200163</v>
      </c>
      <c r="T6" s="614">
        <v>-912928.80422000168</v>
      </c>
      <c r="U6" s="614">
        <v>-482101.19766700035</v>
      </c>
      <c r="V6" s="614">
        <v>-580245.48787200102</v>
      </c>
      <c r="W6" s="549">
        <v>-2217856.2503400007</v>
      </c>
      <c r="X6" s="549">
        <v>-2108794.2989039999</v>
      </c>
      <c r="Y6" s="549">
        <v>-2779163.5886399997</v>
      </c>
      <c r="Z6" s="549">
        <v>-2935887.7038159985</v>
      </c>
      <c r="AA6" s="549">
        <v>-386463.99829400051</v>
      </c>
      <c r="AB6" s="480">
        <v>-1205525.6512180055</v>
      </c>
      <c r="AC6" s="480">
        <v>-743591.89883300196</v>
      </c>
      <c r="AD6" s="549">
        <f>Feb!$H$55</f>
        <v>1500599.2415440008</v>
      </c>
      <c r="AF6" s="495" t="s">
        <v>285</v>
      </c>
      <c r="AG6" s="523">
        <v>431600</v>
      </c>
      <c r="AH6" s="356" t="s">
        <v>280</v>
      </c>
      <c r="AI6" s="356" t="s">
        <v>281</v>
      </c>
      <c r="AJ6" s="379">
        <f>IF(SUMIF(E3:AD3,AF4,E8:AD8)&lt;0,-SUMIF(E3:AD3,AF4,E8:AD8),0)</f>
        <v>46887.65</v>
      </c>
      <c r="AK6" s="496">
        <v>0</v>
      </c>
      <c r="AM6" s="480" t="str">
        <f>_xll.GLW_Segment_Description(AG6,2,2)</f>
        <v>INTEREST EXPENSE ENERGY DEFERRALS</v>
      </c>
    </row>
    <row r="7" spans="1:39">
      <c r="B7" s="479" t="s">
        <v>251</v>
      </c>
      <c r="C7" s="480">
        <f t="shared" ref="C7:C11" si="17">SUM(Q7:AB7)</f>
        <v>-3531759.9092339999</v>
      </c>
      <c r="D7" s="480">
        <f t="shared" si="16"/>
        <v>-4469685.620381997</v>
      </c>
      <c r="E7" s="577">
        <v>-1737451.7240159996</v>
      </c>
      <c r="F7" s="577">
        <v>-906843.13003599993</v>
      </c>
      <c r="G7" s="577">
        <v>-502690.50554600032</v>
      </c>
      <c r="H7" s="577">
        <v>531507.01829000015</v>
      </c>
      <c r="I7" s="577">
        <v>778474.07196199952</v>
      </c>
      <c r="J7" s="577">
        <v>940413.5291820009</v>
      </c>
      <c r="K7" s="576">
        <v>1019103.1667780007</v>
      </c>
      <c r="L7" s="576">
        <v>1025818.8216420002</v>
      </c>
      <c r="M7" s="576">
        <v>821854.23736999987</v>
      </c>
      <c r="N7" s="576">
        <v>208678.05243800068</v>
      </c>
      <c r="O7" s="576">
        <v>-521813.363136</v>
      </c>
      <c r="P7" s="576">
        <v>-2594975.8860759991</v>
      </c>
      <c r="Q7" s="576">
        <v>-2913519.2274390003</v>
      </c>
      <c r="R7" s="576">
        <v>-1856358.6126210007</v>
      </c>
      <c r="S7" s="576">
        <v>-916596.2697570005</v>
      </c>
      <c r="T7" s="576">
        <v>-225142.70389499958</v>
      </c>
      <c r="U7" s="576">
        <v>604158.21510300005</v>
      </c>
      <c r="V7" s="576">
        <v>953286.75289800053</v>
      </c>
      <c r="W7" s="549">
        <v>1129801.1151090004</v>
      </c>
      <c r="X7" s="549">
        <v>1095472.3340190002</v>
      </c>
      <c r="Y7" s="549">
        <v>853220.47718099994</v>
      </c>
      <c r="Z7" s="549">
        <v>15042.059238000307</v>
      </c>
      <c r="AA7" s="549">
        <v>-592732.92055399995</v>
      </c>
      <c r="AB7" s="480">
        <v>-1678391.1285159995</v>
      </c>
      <c r="AC7" s="480">
        <v>-1348640.4203420002</v>
      </c>
      <c r="AD7" s="549">
        <f>Feb!$I$55</f>
        <v>-1492728.8649899999</v>
      </c>
      <c r="AF7" s="495" t="s">
        <v>286</v>
      </c>
      <c r="AG7" s="523">
        <v>191010</v>
      </c>
      <c r="AH7" s="356" t="s">
        <v>280</v>
      </c>
      <c r="AI7" s="356" t="s">
        <v>281</v>
      </c>
      <c r="AJ7" s="379">
        <f>IF((SUMIF(E3:AD3,AF4,E6:AD6)+SUMIF(E3:AD3,AF4,E7:AD7)+SUMIF(E3:AD3,AF4,E8:AD8))&gt;0,(SUMIF(E3:AD3,AF4,E6:AD6)+SUMIF(E3:AD3,AF4,E7:AD7)+SUMIF(E3:AD3,AF4,E8:AD8)),0)</f>
        <v>0</v>
      </c>
      <c r="AK7" s="496">
        <f>IF((SUMIF(E3:AD3,AF4,E6:AD6)+SUMIF(E3:AD3,AF4,E7:AD7)+SUMIF(E3:AD3,AF4,E8:AD8))&lt;0,-(SUMIF(E3:AD3,AF4,E6:AD6)+SUMIF(E3:AD3,AF4,E7:AD7)++SUMIF(E3:AD3,AF4,E8:AD8)),0)</f>
        <v>39017.273445999112</v>
      </c>
      <c r="AM7" s="480" t="str">
        <f>_xll.GLW_Segment_Description(AG7,2,2)</f>
        <v>CURR UNRECOV PGA DEFERRED</v>
      </c>
    </row>
    <row r="8" spans="1:39">
      <c r="B8" s="479" t="s">
        <v>254</v>
      </c>
      <c r="C8" s="480">
        <f t="shared" si="17"/>
        <v>-530200.14</v>
      </c>
      <c r="D8" s="480">
        <f t="shared" si="16"/>
        <v>-912326.38</v>
      </c>
      <c r="E8" s="578">
        <v>-20214.939999999999</v>
      </c>
      <c r="F8" s="578">
        <v>-23942.62</v>
      </c>
      <c r="G8" s="578">
        <v>-26591.8</v>
      </c>
      <c r="H8" s="578">
        <v>-32465.84</v>
      </c>
      <c r="I8" s="578">
        <v>-35892.18</v>
      </c>
      <c r="J8" s="578">
        <v>-38812.93</v>
      </c>
      <c r="K8" s="618">
        <v>-42685.8</v>
      </c>
      <c r="L8" s="618">
        <v>-44837.85</v>
      </c>
      <c r="M8" s="618">
        <v>-46549.3</v>
      </c>
      <c r="N8" s="618">
        <v>-47822.84</v>
      </c>
      <c r="O8" s="618">
        <f>ROUND(((O5+O9+O10+O11)*(O4/12))+((SUM(O6:O7)/2)*(O4/12)),2)</f>
        <v>-7903.46</v>
      </c>
      <c r="P8" s="618">
        <v>-14406.68</v>
      </c>
      <c r="Q8" s="618">
        <f t="shared" ref="Q8:U8" si="18">ROUND(((Q5)*(Q4/12))+((SUM(Q6:Q7)/2)*(Q4/12)),2)</f>
        <v>-24852.09</v>
      </c>
      <c r="R8" s="618">
        <f t="shared" si="18"/>
        <v>-32890.959999999999</v>
      </c>
      <c r="S8" s="618">
        <f t="shared" si="18"/>
        <v>-38340.61</v>
      </c>
      <c r="T8" s="618">
        <f t="shared" si="18"/>
        <v>-45012.82</v>
      </c>
      <c r="U8" s="618">
        <f t="shared" si="18"/>
        <v>-46722.57</v>
      </c>
      <c r="V8" s="618">
        <f>ROUND(((V5)*(V4/12))+((SUM(V6:V7)/2)*(V4/12)),2)</f>
        <v>-46101.69</v>
      </c>
      <c r="W8" s="546">
        <f t="shared" ref="W8:Y8" si="19">ROUND(((W5)*(W4/12))+((SUM(W6:W7)/2)*(W4/12)),2)</f>
        <v>-50540.18</v>
      </c>
      <c r="X8" s="546">
        <f>ROUND(((X5)*(X4/12))+((SUM(X6:X7)/2)*(X4/12)),2)</f>
        <v>-54174.23</v>
      </c>
      <c r="Y8" s="546">
        <f t="shared" si="19"/>
        <v>-59202.79</v>
      </c>
      <c r="Z8" s="546">
        <f>ROUND(((Z5)*(Z4/12))+((SUM(Z6:Z7)/2)*(Z4/12)),2)</f>
        <v>-71650.12</v>
      </c>
      <c r="AA8" s="546">
        <f>ROUND(((AA5+AA9+AA10+AA11)*(AA4/12))+((SUM(AA6:AA7)/2)*(AA4/12)),2)</f>
        <v>-26920.61</v>
      </c>
      <c r="AB8" s="487">
        <f>ROUND(((AB5)*(AB4/12))+((SUM(AB6:AB7)/2)*(AB4/12)),2)</f>
        <v>-33791.47</v>
      </c>
      <c r="AC8" s="487">
        <f>ROUND(((AC5)*(AC4/12))+((SUM(AC6:AC7)/2)*(AC4/12)),2)</f>
        <v>-43044.14</v>
      </c>
      <c r="AD8" s="546">
        <f>ROUND(((AD5)*(AD4/12))+((SUM(AD6:AD7)/2)*(AD4/12)),2)</f>
        <v>-46887.65</v>
      </c>
      <c r="AF8" s="495" t="s">
        <v>287</v>
      </c>
      <c r="AG8" s="523">
        <v>805120</v>
      </c>
      <c r="AH8" s="356" t="s">
        <v>280</v>
      </c>
      <c r="AI8" s="356" t="s">
        <v>281</v>
      </c>
      <c r="AJ8" s="379">
        <f>IF((SUMIF(E3:AD3,AF4,E6:AD6)+SUMIF(E3:AD3,AF4,E7:AD7))&lt;0,-(SUMIF(E3:AD3,AF4,E6:AD6)+SUMIF(E3:AD3,AF4,E7:AD7)),0)</f>
        <v>0</v>
      </c>
      <c r="AK8" s="496">
        <f>IF((SUMIF(E3:AD3,AF4,E6:AD6)+SUMIF(E3:AD3,AF4,E7:AD7))&gt;0,(SUMIF(E3:AD3,AF4,E6:AD6)+SUMIF(E3:AD3,AF4,E7:AD7)),0)</f>
        <v>7870.3765540008899</v>
      </c>
      <c r="AM8" s="480" t="str">
        <f>_xll.GLW_Segment_Description(AG8,2,2)</f>
        <v>DEFER CURRENT UNRECOVERED GAS COSTS</v>
      </c>
    </row>
    <row r="9" spans="1:39">
      <c r="B9" s="479" t="s">
        <v>258</v>
      </c>
      <c r="C9" s="480">
        <f t="shared" si="17"/>
        <v>9937543.9160110056</v>
      </c>
      <c r="D9" s="480">
        <f t="shared" si="16"/>
        <v>24087163.011451997</v>
      </c>
      <c r="E9" s="480">
        <v>0</v>
      </c>
      <c r="F9" s="480">
        <v>0</v>
      </c>
      <c r="G9" s="480">
        <v>0</v>
      </c>
      <c r="H9" s="480">
        <v>0</v>
      </c>
      <c r="I9" s="480">
        <v>0</v>
      </c>
      <c r="J9" s="480">
        <v>0</v>
      </c>
      <c r="K9" s="480">
        <v>0</v>
      </c>
      <c r="L9" s="480">
        <v>0</v>
      </c>
      <c r="M9" s="480">
        <v>0</v>
      </c>
      <c r="N9" s="480">
        <v>0</v>
      </c>
      <c r="O9" s="588">
        <v>14149619.095440991</v>
      </c>
      <c r="P9" s="480">
        <v>0</v>
      </c>
      <c r="Q9" s="549">
        <v>0</v>
      </c>
      <c r="R9" s="549">
        <v>0</v>
      </c>
      <c r="S9" s="549">
        <v>0</v>
      </c>
      <c r="T9" s="549">
        <v>0</v>
      </c>
      <c r="U9" s="549">
        <v>0</v>
      </c>
      <c r="V9" s="549">
        <v>0</v>
      </c>
      <c r="W9" s="549">
        <v>0</v>
      </c>
      <c r="X9" s="549">
        <v>0</v>
      </c>
      <c r="Y9" s="549">
        <v>0</v>
      </c>
      <c r="Z9" s="549">
        <v>0</v>
      </c>
      <c r="AA9" s="615">
        <f>-SUM(K6:V6)</f>
        <v>9937543.9160110056</v>
      </c>
      <c r="AB9" s="480">
        <v>0</v>
      </c>
      <c r="AC9" s="480">
        <v>0</v>
      </c>
      <c r="AD9" s="549">
        <v>0</v>
      </c>
      <c r="AF9" s="495" t="s">
        <v>11</v>
      </c>
      <c r="AG9" s="523">
        <v>191010</v>
      </c>
      <c r="AH9" s="356" t="s">
        <v>280</v>
      </c>
      <c r="AI9" s="356" t="s">
        <v>281</v>
      </c>
      <c r="AJ9" s="379">
        <f>IF((SUMIF(E3:AD3,AF4,E9:AD9)+SUMIF(E3:AD3,AF4,E10:AD10)+SUMIF(E3:AD3,AF4,E11:AD11)+SUMIF(E3:AD3,AF4,E12:AD12))&gt;0,(SUMIF(E3:AD3,AF4,E9:AD9)+SUMIF(E3:AD3,AF4,E10:AD10)+SUMIF(E3:AD3,AF4,E11:AD11)+SUMIF(E3:AD3,AF4,E12:AD12)),0)</f>
        <v>0</v>
      </c>
      <c r="AK9" s="496">
        <v>0</v>
      </c>
      <c r="AM9" s="480" t="str">
        <f>_xll.GLW_Segment_Description(AG9,2,2)</f>
        <v>CURR UNRECOV PGA DEFERRED</v>
      </c>
    </row>
    <row r="10" spans="1:39" ht="16.5" thickBot="1">
      <c r="B10" s="479" t="s">
        <v>259</v>
      </c>
      <c r="C10" s="480">
        <f t="shared" si="17"/>
        <v>4395506.8166949991</v>
      </c>
      <c r="D10" s="480">
        <f t="shared" si="16"/>
        <v>4181620.6216329979</v>
      </c>
      <c r="E10" s="480">
        <v>0</v>
      </c>
      <c r="F10" s="480">
        <v>0</v>
      </c>
      <c r="G10" s="480">
        <v>0</v>
      </c>
      <c r="H10" s="480">
        <v>0</v>
      </c>
      <c r="I10" s="480">
        <v>0</v>
      </c>
      <c r="J10" s="480">
        <v>0</v>
      </c>
      <c r="K10" s="480">
        <v>0</v>
      </c>
      <c r="L10" s="480">
        <v>0</v>
      </c>
      <c r="M10" s="480">
        <v>0</v>
      </c>
      <c r="N10" s="480">
        <v>0</v>
      </c>
      <c r="O10" s="589">
        <v>-213886.19506200103</v>
      </c>
      <c r="P10" s="480">
        <v>0</v>
      </c>
      <c r="Q10" s="549">
        <v>0</v>
      </c>
      <c r="R10" s="549">
        <v>0</v>
      </c>
      <c r="S10" s="549">
        <v>0</v>
      </c>
      <c r="T10" s="549">
        <v>0</v>
      </c>
      <c r="U10" s="549">
        <v>0</v>
      </c>
      <c r="V10" s="549">
        <v>0</v>
      </c>
      <c r="W10" s="549">
        <v>0</v>
      </c>
      <c r="X10" s="549">
        <v>0</v>
      </c>
      <c r="Y10" s="549">
        <v>0</v>
      </c>
      <c r="Z10" s="549">
        <v>0</v>
      </c>
      <c r="AA10" s="617">
        <f>-SUM(K7:V7)</f>
        <v>4395506.8166949991</v>
      </c>
      <c r="AB10" s="480">
        <v>0</v>
      </c>
      <c r="AC10" s="480">
        <v>0</v>
      </c>
      <c r="AD10" s="549">
        <v>0</v>
      </c>
      <c r="AF10" s="497" t="str">
        <f>AF9</f>
        <v>Tracker Transfer</v>
      </c>
      <c r="AG10" s="524">
        <f>AG37</f>
        <v>191000</v>
      </c>
      <c r="AH10" s="524" t="str">
        <f>AH37</f>
        <v>GD</v>
      </c>
      <c r="AI10" s="524" t="str">
        <f>AI37</f>
        <v>WA</v>
      </c>
      <c r="AJ10" s="498">
        <v>0</v>
      </c>
      <c r="AK10" s="516">
        <f>AJ9</f>
        <v>0</v>
      </c>
      <c r="AM10" s="480" t="str">
        <f>_xll.GLW_Segment_Description(AG10,2,2)</f>
        <v>RECOVERABLE GAS COSTS AMORTIZED</v>
      </c>
    </row>
    <row r="11" spans="1:39" ht="16.5" thickBot="1">
      <c r="B11" s="479" t="s">
        <v>260</v>
      </c>
      <c r="C11" s="480">
        <f t="shared" si="17"/>
        <v>438126.67</v>
      </c>
      <c r="D11" s="480">
        <f t="shared" si="16"/>
        <v>684577.32</v>
      </c>
      <c r="E11" s="480">
        <v>0</v>
      </c>
      <c r="F11" s="480">
        <v>0</v>
      </c>
      <c r="G11" s="480">
        <v>0</v>
      </c>
      <c r="H11" s="480">
        <v>0</v>
      </c>
      <c r="I11" s="480">
        <v>0</v>
      </c>
      <c r="J11" s="480">
        <v>0</v>
      </c>
      <c r="K11" s="480">
        <v>0</v>
      </c>
      <c r="L11" s="480">
        <v>0</v>
      </c>
      <c r="M11" s="480">
        <v>0</v>
      </c>
      <c r="N11" s="480">
        <v>0</v>
      </c>
      <c r="O11" s="590">
        <v>246450.64999999997</v>
      </c>
      <c r="P11" s="480">
        <v>0</v>
      </c>
      <c r="Q11" s="549">
        <v>0</v>
      </c>
      <c r="R11" s="549">
        <v>0</v>
      </c>
      <c r="S11" s="549">
        <v>0</v>
      </c>
      <c r="T11" s="549">
        <v>0</v>
      </c>
      <c r="U11" s="549">
        <v>0</v>
      </c>
      <c r="V11" s="549">
        <v>0</v>
      </c>
      <c r="W11" s="549">
        <v>0</v>
      </c>
      <c r="X11" s="549">
        <v>0</v>
      </c>
      <c r="Y11" s="549">
        <v>0</v>
      </c>
      <c r="Z11" s="549">
        <v>0</v>
      </c>
      <c r="AA11" s="619">
        <f>-SUM(K8:V8)</f>
        <v>438126.67</v>
      </c>
      <c r="AB11" s="480">
        <v>0</v>
      </c>
      <c r="AC11" s="480">
        <v>0</v>
      </c>
      <c r="AD11" s="549">
        <v>0</v>
      </c>
      <c r="AF11" s="511"/>
      <c r="AG11" s="525"/>
      <c r="AH11" s="512"/>
      <c r="AI11" s="512"/>
      <c r="AJ11" s="512" t="s">
        <v>159</v>
      </c>
      <c r="AK11" s="513">
        <f>SUM(AJ5:AJ10)-SUM(AK5:AK10)</f>
        <v>0</v>
      </c>
    </row>
    <row r="12" spans="1:39">
      <c r="B12" s="479" t="s">
        <v>148</v>
      </c>
      <c r="C12" s="480">
        <f>SUM(Q12:AB12)</f>
        <v>35.15</v>
      </c>
      <c r="D12" s="480">
        <f t="shared" si="16"/>
        <v>35.559999999999995</v>
      </c>
      <c r="E12" s="480">
        <v>0</v>
      </c>
      <c r="F12" s="480">
        <v>0</v>
      </c>
      <c r="G12" s="480">
        <v>0</v>
      </c>
      <c r="H12" s="480">
        <v>0</v>
      </c>
      <c r="I12" s="480">
        <v>0</v>
      </c>
      <c r="J12" s="480">
        <v>0</v>
      </c>
      <c r="K12" s="480">
        <v>0</v>
      </c>
      <c r="L12" s="480">
        <v>0</v>
      </c>
      <c r="M12" s="480">
        <v>0</v>
      </c>
      <c r="N12" s="480">
        <v>0</v>
      </c>
      <c r="O12" s="591">
        <v>0.41</v>
      </c>
      <c r="P12" s="480">
        <v>0</v>
      </c>
      <c r="Q12" s="549">
        <v>0</v>
      </c>
      <c r="R12" s="549">
        <v>0</v>
      </c>
      <c r="S12" s="549">
        <v>0</v>
      </c>
      <c r="T12" s="549">
        <v>0</v>
      </c>
      <c r="U12" s="549">
        <v>0</v>
      </c>
      <c r="V12" s="549">
        <v>0</v>
      </c>
      <c r="W12" s="549">
        <v>0</v>
      </c>
      <c r="X12" s="549">
        <v>0</v>
      </c>
      <c r="Y12" s="549">
        <v>0</v>
      </c>
      <c r="Z12" s="549">
        <v>0</v>
      </c>
      <c r="AA12" s="591">
        <v>35.15</v>
      </c>
      <c r="AB12" s="480">
        <v>0</v>
      </c>
      <c r="AC12" s="480">
        <v>0</v>
      </c>
      <c r="AD12" s="549">
        <v>0</v>
      </c>
    </row>
    <row r="13" spans="1:39" ht="16.5" thickBot="1">
      <c r="B13" s="479" t="s">
        <v>56</v>
      </c>
      <c r="C13" s="533">
        <f>SUM(C5:C12)</f>
        <v>-4289254.751539005</v>
      </c>
      <c r="D13" s="533">
        <f>SUM(D5:D12)</f>
        <v>-11107523.789348787</v>
      </c>
      <c r="E13" s="533">
        <v>-8439847.1132167727</v>
      </c>
      <c r="F13" s="533">
        <f>SUM(F5:F12)</f>
        <v>-9264796.9494047705</v>
      </c>
      <c r="G13" s="533">
        <f t="shared" ref="G13:N13" si="20">SUM(G5:G12)</f>
        <v>-10398819.535470769</v>
      </c>
      <c r="H13" s="533">
        <f t="shared" si="20"/>
        <v>-12153304.785960769</v>
      </c>
      <c r="I13" s="533">
        <f t="shared" si="20"/>
        <v>-12778894.072104771</v>
      </c>
      <c r="J13" s="533">
        <f>SUM(J5:J12)</f>
        <v>-14182183.944992768</v>
      </c>
      <c r="K13" s="533">
        <f>SUM(K5:K12)</f>
        <v>-15130761.40771677</v>
      </c>
      <c r="L13" s="533">
        <f t="shared" si="20"/>
        <v>-15660034.00335677</v>
      </c>
      <c r="M13" s="533">
        <f>SUM(M5:M12)</f>
        <v>-16306032.832939774</v>
      </c>
      <c r="N13" s="533">
        <f t="shared" si="20"/>
        <v>-16534597.329101773</v>
      </c>
      <c r="O13" s="587">
        <f>SUM(O5:O12)</f>
        <v>-3075004.5709557864</v>
      </c>
      <c r="P13" s="533">
        <f>SUM(P5:P12)</f>
        <v>-6818269.0378097855</v>
      </c>
      <c r="Q13" s="533">
        <f>SUM(Q5:Q12)</f>
        <v>-10248016.525328787</v>
      </c>
      <c r="R13" s="533">
        <f>SUM(R5:R12)</f>
        <v>-12338677.191237787</v>
      </c>
      <c r="S13" s="533">
        <f>SUM(S5:S12)</f>
        <v>-13990367.081666788</v>
      </c>
      <c r="T13" s="533">
        <f t="shared" ref="T13:U13" si="21">SUM(T5:T12)</f>
        <v>-15173451.409781789</v>
      </c>
      <c r="U13" s="533">
        <f t="shared" si="21"/>
        <v>-15098116.96234579</v>
      </c>
      <c r="V13" s="533">
        <f>SUM(V5:V12)</f>
        <v>-14771177.38731979</v>
      </c>
      <c r="W13" s="533">
        <f t="shared" ref="W13:X13" si="22">SUM(W5:W12)</f>
        <v>-15909772.702550791</v>
      </c>
      <c r="X13" s="533">
        <f t="shared" si="22"/>
        <v>-16977268.897435792</v>
      </c>
      <c r="Y13" s="533">
        <f>SUM(Y5:Y12)</f>
        <v>-18962414.798894793</v>
      </c>
      <c r="Z13" s="533">
        <f t="shared" ref="Z13" si="23">SUM(Z5:Z12)</f>
        <v>-21954910.563472789</v>
      </c>
      <c r="AA13" s="587">
        <f>SUM(AA5:AA12)</f>
        <v>-8189815.5396147836</v>
      </c>
      <c r="AB13" s="533">
        <f>SUM(AB5:AB12)</f>
        <v>-11107523.78934879</v>
      </c>
      <c r="AC13" s="533">
        <f>SUM(AC5:AC12)</f>
        <v>-13242800.248523792</v>
      </c>
      <c r="AD13" s="593">
        <f>SUM(AD5:AD12)</f>
        <v>-13281817.521969792</v>
      </c>
    </row>
    <row r="14" spans="1:39" ht="16.5" thickTop="1">
      <c r="B14" s="479" t="s">
        <v>256</v>
      </c>
      <c r="D14" s="480">
        <f>_xll.Get_Balance(AB3,"YTD","USD","Total","A","","001",$A$3,"GD","WA","DL")</f>
        <v>-11107523.800000001</v>
      </c>
      <c r="E14" s="480">
        <v>-8432290.1199999992</v>
      </c>
      <c r="F14" s="480">
        <f>_xll.Get_Balance(F3,"YTD","USD","Total","A","","001",$A$3,"GD","WA","DL")</f>
        <v>-9264796.9499999993</v>
      </c>
      <c r="G14" s="480">
        <f>_xll.Get_Balance(G3,"YTD","USD","Total","A","","001",$A$3,"GD","WA","DL")</f>
        <v>-10398819.539999999</v>
      </c>
      <c r="H14" s="480">
        <f>_xll.Get_Balance(H3,"YTD","USD","Total","A","","001",$A$3,"GD","WA","DL")</f>
        <v>-12153304.789999999</v>
      </c>
      <c r="I14" s="480">
        <f>_xll.Get_Balance(I3,"YTD","USD","Total","A","","001",$A$3,"GD","WA","DL")</f>
        <v>-12778894.08</v>
      </c>
      <c r="J14" s="586">
        <f>_xll.Get_Balance(J3,"YTD","USD","Total","A","","001",$A$3,"GD","WA","DL")</f>
        <v>-14182183.949999999</v>
      </c>
      <c r="K14" s="480">
        <f>_xll.Get_Balance(K3,"YTD","USD","Total","A","","001",$A$3,"GD","WA","DL")</f>
        <v>-15130761.41</v>
      </c>
      <c r="L14" s="480">
        <f>_xll.Get_Balance(L3,"YTD","USD","Total","A","","001",$A$3,"GD","WA","DL")</f>
        <v>-15660034.01</v>
      </c>
      <c r="M14" s="480">
        <f>_xll.Get_Balance(M3,"YTD","USD","Total","A","","001",$A$3,"GD","WA","DL")</f>
        <v>-16306032.84</v>
      </c>
      <c r="N14" s="480">
        <f>_xll.Get_Balance(N3,"YTD","USD","Total","A","","001",$A$3,"GD","WA","DL")</f>
        <v>-16534597.34</v>
      </c>
      <c r="O14" s="480">
        <f>_xll.Get_Balance(O3,"YTD","USD","Total","A","","001",$A$3,"GD","WA","DL")</f>
        <v>-3075004.58</v>
      </c>
      <c r="P14" s="480">
        <f>_xll.Get_Balance(P3,"YTD","USD","Total","A","","001",$A$3,"GD","WA","DL")</f>
        <v>-6818269.0499999998</v>
      </c>
      <c r="Q14" s="480">
        <f>_xll.Get_Balance(Q3,"YTD","USD","Total","A","","001",$A$3,"GD","WA","DL")</f>
        <v>-10248016.539999999</v>
      </c>
      <c r="R14" s="480">
        <f>_xll.Get_Balance(R3,"YTD","USD","Total","A","","001",$A$3,"GD","WA","DL")</f>
        <v>-12338677.210000001</v>
      </c>
      <c r="S14" s="480">
        <f>_xll.Get_Balance(S3,"YTD","USD","Total","A","","001",$A$3,"GD","WA","DL")</f>
        <v>-13990367.1</v>
      </c>
      <c r="T14" s="480">
        <f>_xll.Get_Balance(T3,"YTD","USD","Total","A","","001",$A$3,"GD","WA","DL")</f>
        <v>-15173451.43</v>
      </c>
      <c r="U14" s="480">
        <f>_xll.Get_Balance(U3,"YTD","USD","Total","A","","001",$A$3,"GD","WA","DL")</f>
        <v>-15098116.98</v>
      </c>
      <c r="V14" s="616">
        <f>_xll.Get_Balance(V3,"YTD","USD","Total","A","","001",$A$3,"GD","WA","DL")</f>
        <v>-14771177.4</v>
      </c>
      <c r="W14" s="480">
        <f>_xll.Get_Balance(W3,"YTD","USD","Total","A","","001",$A$3,"GD","WA","DL")</f>
        <v>-15909772.720000001</v>
      </c>
      <c r="X14" s="480">
        <f>_xll.Get_Balance(X3,"YTD","USD","Total","A","","001",$A$3,"GD","WA","DL")</f>
        <v>-16977268.91</v>
      </c>
      <c r="Y14" s="480">
        <f>_xll.Get_Balance(Y3,"YTD","USD","Total","A","","001",$A$3,"GD","WA","DL")</f>
        <v>-18962414.809999999</v>
      </c>
      <c r="Z14" s="480">
        <f>_xll.Get_Balance(Z3,"YTD","USD","Total","A","","001",$A$3,"GD","WA","DL")</f>
        <v>-21954910.57</v>
      </c>
      <c r="AA14" s="480">
        <f>_xll.Get_Balance(AA3,"YTD","USD","Total","A","","001",$A$3,"GD","WA","DL")</f>
        <v>-8189815.5499999998</v>
      </c>
      <c r="AB14" s="480">
        <f>_xll.Get_Balance(AB3,"YTD","USD","Total","A","","001",$A$3,"GD","WA","DL")</f>
        <v>-11107523.800000001</v>
      </c>
      <c r="AC14" s="480">
        <f>_xll.Get_Balance(AC3,"YTD","USD","Total","A","","001",$A$3,"GD","WA","DL")</f>
        <v>-13242800.26</v>
      </c>
      <c r="AD14" s="549">
        <f>_xll.Get_Balance(AD3,"YTD","USD","Total","A","","001",$A$3,"GD","WA","DL")</f>
        <v>-13242800.26</v>
      </c>
    </row>
    <row r="15" spans="1:39">
      <c r="B15" s="479" t="s">
        <v>243</v>
      </c>
      <c r="E15" s="480">
        <v>-7556.9932167734951</v>
      </c>
      <c r="F15" s="480">
        <f t="shared" ref="F15:I15" si="24">F13-F14</f>
        <v>5.9522874653339386E-4</v>
      </c>
      <c r="G15" s="480">
        <f t="shared" si="24"/>
        <v>4.5292302966117859E-3</v>
      </c>
      <c r="H15" s="480">
        <f t="shared" si="24"/>
        <v>4.0392298251390457E-3</v>
      </c>
      <c r="I15" s="480">
        <f t="shared" si="24"/>
        <v>7.895229384303093E-3</v>
      </c>
      <c r="J15" s="480">
        <f t="shared" ref="J15:N15" si="25">J13-J14</f>
        <v>5.0072316080331802E-3</v>
      </c>
      <c r="K15" s="480">
        <f>K13-K14</f>
        <v>2.2832304239273071E-3</v>
      </c>
      <c r="L15" s="480">
        <f t="shared" si="25"/>
        <v>6.6432300955057144E-3</v>
      </c>
      <c r="M15" s="480">
        <f t="shared" si="25"/>
        <v>7.0602260529994965E-3</v>
      </c>
      <c r="N15" s="480">
        <f t="shared" si="25"/>
        <v>1.0898226872086525E-2</v>
      </c>
      <c r="O15" s="480">
        <f>O13-O14</f>
        <v>9.0442136861383915E-3</v>
      </c>
      <c r="P15" s="480">
        <f>P13-P14</f>
        <v>1.2190214358270168E-2</v>
      </c>
      <c r="Q15" s="480">
        <f>Q13-Q14</f>
        <v>1.4671212062239647E-2</v>
      </c>
      <c r="R15" s="480">
        <f t="shared" ref="R15:Z15" si="26">R13-R14</f>
        <v>1.8762214109301567E-2</v>
      </c>
      <c r="S15" s="480">
        <f t="shared" si="26"/>
        <v>1.8333211541175842E-2</v>
      </c>
      <c r="T15" s="480">
        <f t="shared" si="26"/>
        <v>2.021821029484272E-2</v>
      </c>
      <c r="U15" s="480">
        <f t="shared" si="26"/>
        <v>1.7654210329055786E-2</v>
      </c>
      <c r="V15" s="480">
        <f t="shared" si="26"/>
        <v>1.2680210173130035E-2</v>
      </c>
      <c r="W15" s="480">
        <f t="shared" si="26"/>
        <v>1.7449209466576576E-2</v>
      </c>
      <c r="X15" s="480">
        <f t="shared" si="26"/>
        <v>1.256420835852623E-2</v>
      </c>
      <c r="Y15" s="480">
        <f t="shared" si="26"/>
        <v>1.1105205863714218E-2</v>
      </c>
      <c r="Z15" s="480">
        <f t="shared" si="26"/>
        <v>6.5272115170955658E-3</v>
      </c>
      <c r="AA15" s="480">
        <f>AA13-AA14</f>
        <v>1.038521621376276E-2</v>
      </c>
      <c r="AB15" s="480">
        <f>AB13-AB14</f>
        <v>1.0651210322976112E-2</v>
      </c>
      <c r="AC15" s="480">
        <f>AC13-AC14</f>
        <v>1.147620752453804E-2</v>
      </c>
      <c r="AD15" s="549">
        <f>AD13-AD14</f>
        <v>-39017.261969791725</v>
      </c>
    </row>
    <row r="16" spans="1:39">
      <c r="A16" s="481" t="s">
        <v>263</v>
      </c>
      <c r="AD16" s="549"/>
    </row>
    <row r="17" spans="1:32">
      <c r="A17" s="481" t="s">
        <v>310</v>
      </c>
      <c r="E17" s="530"/>
      <c r="F17" s="530"/>
      <c r="G17" s="530"/>
      <c r="H17" s="530"/>
      <c r="I17" s="530"/>
      <c r="J17" s="530"/>
      <c r="K17" s="530"/>
      <c r="L17" s="530"/>
      <c r="M17" s="530"/>
      <c r="N17" s="530"/>
      <c r="O17" s="530"/>
      <c r="P17" s="530"/>
      <c r="Q17" s="530"/>
      <c r="R17" s="530"/>
      <c r="S17" s="530"/>
      <c r="T17" s="530"/>
      <c r="U17" s="530"/>
      <c r="V17" s="530"/>
      <c r="W17" s="530"/>
      <c r="X17" s="530"/>
      <c r="Y17" s="530"/>
      <c r="Z17" s="530"/>
      <c r="AA17" s="530"/>
      <c r="AB17" s="530"/>
      <c r="AC17" s="530"/>
      <c r="AD17" s="624"/>
    </row>
    <row r="18" spans="1:32">
      <c r="A18" s="482">
        <v>191000</v>
      </c>
      <c r="B18" s="483" t="s">
        <v>252</v>
      </c>
      <c r="C18" s="484" t="s">
        <v>248</v>
      </c>
      <c r="D18" s="484" t="s">
        <v>249</v>
      </c>
      <c r="E18" s="482">
        <v>201601</v>
      </c>
      <c r="F18" s="482">
        <f>E18+1</f>
        <v>201602</v>
      </c>
      <c r="G18" s="482">
        <f t="shared" ref="G18:P18" si="27">F18+1</f>
        <v>201603</v>
      </c>
      <c r="H18" s="482">
        <f t="shared" si="27"/>
        <v>201604</v>
      </c>
      <c r="I18" s="482">
        <f t="shared" si="27"/>
        <v>201605</v>
      </c>
      <c r="J18" s="482">
        <f t="shared" si="27"/>
        <v>201606</v>
      </c>
      <c r="K18" s="482">
        <f t="shared" si="27"/>
        <v>201607</v>
      </c>
      <c r="L18" s="482">
        <f t="shared" si="27"/>
        <v>201608</v>
      </c>
      <c r="M18" s="482">
        <f t="shared" si="27"/>
        <v>201609</v>
      </c>
      <c r="N18" s="482">
        <f t="shared" si="27"/>
        <v>201610</v>
      </c>
      <c r="O18" s="482">
        <f t="shared" si="27"/>
        <v>201611</v>
      </c>
      <c r="P18" s="482">
        <f t="shared" si="27"/>
        <v>201612</v>
      </c>
      <c r="Q18" s="482">
        <f>Q3</f>
        <v>201701</v>
      </c>
      <c r="R18" s="482">
        <f>Q18+1</f>
        <v>201702</v>
      </c>
      <c r="S18" s="482">
        <f t="shared" ref="S18" si="28">R18+1</f>
        <v>201703</v>
      </c>
      <c r="T18" s="482">
        <f t="shared" ref="T18" si="29">S18+1</f>
        <v>201704</v>
      </c>
      <c r="U18" s="482">
        <f t="shared" ref="U18" si="30">T18+1</f>
        <v>201705</v>
      </c>
      <c r="V18" s="482">
        <f t="shared" ref="V18" si="31">U18+1</f>
        <v>201706</v>
      </c>
      <c r="W18" s="482">
        <f t="shared" ref="W18" si="32">V18+1</f>
        <v>201707</v>
      </c>
      <c r="X18" s="482">
        <f t="shared" ref="X18" si="33">W18+1</f>
        <v>201708</v>
      </c>
      <c r="Y18" s="482">
        <f t="shared" ref="Y18" si="34">X18+1</f>
        <v>201709</v>
      </c>
      <c r="Z18" s="482">
        <f t="shared" ref="Z18" si="35">Y18+1</f>
        <v>201710</v>
      </c>
      <c r="AA18" s="482">
        <f t="shared" ref="AA18" si="36">Z18+1</f>
        <v>201711</v>
      </c>
      <c r="AB18" s="482">
        <f t="shared" ref="AB18" si="37">AA18+1</f>
        <v>201712</v>
      </c>
      <c r="AC18" s="482">
        <f>AC3</f>
        <v>201801</v>
      </c>
      <c r="AD18" s="572">
        <f>AD3</f>
        <v>201802</v>
      </c>
    </row>
    <row r="19" spans="1:32">
      <c r="A19" s="481"/>
      <c r="B19" s="479" t="s">
        <v>37</v>
      </c>
      <c r="C19" s="480">
        <f>SUM(Q19:AB19)</f>
        <v>131594728</v>
      </c>
      <c r="D19" s="488">
        <f t="shared" ref="D19:D24" si="38">SUM(E19:AB19)</f>
        <v>240238598</v>
      </c>
      <c r="E19" s="535">
        <v>20140968</v>
      </c>
      <c r="F19" s="535">
        <v>14297044</v>
      </c>
      <c r="G19" s="535">
        <v>12238194</v>
      </c>
      <c r="H19" s="535">
        <v>5348802</v>
      </c>
      <c r="I19" s="535">
        <v>3384728</v>
      </c>
      <c r="J19" s="535">
        <v>2765049</v>
      </c>
      <c r="K19" s="535">
        <v>2292583</v>
      </c>
      <c r="L19" s="535">
        <v>2354714</v>
      </c>
      <c r="M19" s="535">
        <v>3123052</v>
      </c>
      <c r="N19" s="535">
        <v>7137333</v>
      </c>
      <c r="O19" s="535">
        <v>11352396</v>
      </c>
      <c r="P19" s="535">
        <v>24209007</v>
      </c>
      <c r="Q19" s="598">
        <v>27259641</v>
      </c>
      <c r="R19" s="598">
        <v>19157522</v>
      </c>
      <c r="S19" s="598">
        <f>Mar!$G23</f>
        <v>14316138</v>
      </c>
      <c r="T19" s="598">
        <f>Apr!$G23</f>
        <v>9641125</v>
      </c>
      <c r="U19" s="598">
        <f>May!$G23</f>
        <v>4941679</v>
      </c>
      <c r="V19" s="598">
        <f>Jun!$G23</f>
        <v>2542069</v>
      </c>
      <c r="W19" s="598">
        <f>Jul!$G23</f>
        <v>2070483</v>
      </c>
      <c r="X19" s="598">
        <f>Aug!$G23</f>
        <v>2080707</v>
      </c>
      <c r="Y19" s="598">
        <f>Sep!G23</f>
        <v>3147236</v>
      </c>
      <c r="Z19" s="598">
        <f>Oct!G23</f>
        <v>8835836</v>
      </c>
      <c r="AA19" s="598">
        <f>Nov!G23</f>
        <v>14838696</v>
      </c>
      <c r="AB19" s="598">
        <f>Dec!$G23</f>
        <v>22763596</v>
      </c>
      <c r="AC19" s="598">
        <f>Jan!G23</f>
        <v>20257484</v>
      </c>
      <c r="AD19" s="598">
        <f>Feb!G23</f>
        <v>18179866</v>
      </c>
    </row>
    <row r="20" spans="1:32">
      <c r="A20" s="481"/>
      <c r="B20" s="554" t="s">
        <v>305</v>
      </c>
      <c r="C20" s="480">
        <f t="shared" ref="C20:C24" si="39">SUM(Q20:AB20)</f>
        <v>188194</v>
      </c>
      <c r="D20" s="488">
        <f t="shared" si="38"/>
        <v>340511</v>
      </c>
      <c r="E20" s="535">
        <v>17893</v>
      </c>
      <c r="F20" s="535">
        <v>14593</v>
      </c>
      <c r="G20" s="535">
        <v>18603</v>
      </c>
      <c r="H20" s="535">
        <v>12171</v>
      </c>
      <c r="I20" s="535">
        <v>5734</v>
      </c>
      <c r="J20" s="535">
        <v>4482</v>
      </c>
      <c r="K20" s="535">
        <v>3610</v>
      </c>
      <c r="L20" s="535">
        <v>2820</v>
      </c>
      <c r="M20" s="535">
        <v>4729</v>
      </c>
      <c r="N20" s="535">
        <v>12809</v>
      </c>
      <c r="O20" s="535">
        <v>19581</v>
      </c>
      <c r="P20" s="535">
        <v>35292</v>
      </c>
      <c r="Q20" s="598">
        <v>40615</v>
      </c>
      <c r="R20" s="598">
        <v>29103</v>
      </c>
      <c r="S20" s="598">
        <f>Mar!$G24</f>
        <v>22738</v>
      </c>
      <c r="T20" s="598">
        <f>Apr!$G24</f>
        <v>15697</v>
      </c>
      <c r="U20" s="598">
        <f>May!$G24</f>
        <v>8078</v>
      </c>
      <c r="V20" s="598">
        <f>Jun!$G24</f>
        <v>3619</v>
      </c>
      <c r="W20" s="598">
        <f>Jul!$G24</f>
        <v>2296</v>
      </c>
      <c r="X20" s="598">
        <f>Aug!$G24</f>
        <v>2393</v>
      </c>
      <c r="Y20" s="598">
        <f>Sep!G24</f>
        <v>3920</v>
      </c>
      <c r="Z20" s="598">
        <f>Oct!G24</f>
        <v>13952</v>
      </c>
      <c r="AA20" s="598">
        <f>Nov!G24</f>
        <v>20740</v>
      </c>
      <c r="AB20" s="598">
        <f>Dec!$G24</f>
        <v>25043</v>
      </c>
      <c r="AC20" s="598">
        <f>Jan!G24</f>
        <v>22671</v>
      </c>
      <c r="AD20" s="598">
        <f>Feb!G24</f>
        <v>21014</v>
      </c>
      <c r="AF20" s="262"/>
    </row>
    <row r="21" spans="1:32">
      <c r="A21" s="481"/>
      <c r="B21" s="479" t="s">
        <v>38</v>
      </c>
      <c r="C21" s="480">
        <f t="shared" si="39"/>
        <v>51787474</v>
      </c>
      <c r="D21" s="488">
        <f t="shared" si="38"/>
        <v>96346775</v>
      </c>
      <c r="E21" s="535">
        <v>6568112</v>
      </c>
      <c r="F21" s="535">
        <v>5200734</v>
      </c>
      <c r="G21" s="535">
        <v>4795258</v>
      </c>
      <c r="H21" s="535">
        <v>2668983</v>
      </c>
      <c r="I21" s="535">
        <v>2221542</v>
      </c>
      <c r="J21" s="535">
        <v>1675034</v>
      </c>
      <c r="K21" s="535">
        <v>1510014</v>
      </c>
      <c r="L21" s="535">
        <v>1583471</v>
      </c>
      <c r="M21" s="535">
        <v>2056535</v>
      </c>
      <c r="N21" s="535">
        <v>3586972</v>
      </c>
      <c r="O21" s="535">
        <v>4116109</v>
      </c>
      <c r="P21" s="535">
        <v>8576537</v>
      </c>
      <c r="Q21" s="598">
        <v>8738107</v>
      </c>
      <c r="R21" s="598">
        <v>7258148</v>
      </c>
      <c r="S21" s="598">
        <f>Mar!$G25</f>
        <v>5603968</v>
      </c>
      <c r="T21" s="598">
        <f>Apr!$G25</f>
        <v>4021494</v>
      </c>
      <c r="U21" s="598">
        <f>May!$G25</f>
        <v>2425238</v>
      </c>
      <c r="V21" s="598">
        <f>Jun!$G25</f>
        <v>1878375</v>
      </c>
      <c r="W21" s="598">
        <f>Jul!$G25</f>
        <v>1446879</v>
      </c>
      <c r="X21" s="598">
        <f>Aug!$G25</f>
        <v>1463939</v>
      </c>
      <c r="Y21" s="598">
        <f>Sep!G25</f>
        <v>2165313</v>
      </c>
      <c r="Z21" s="598">
        <f>Oct!G25</f>
        <v>3629858</v>
      </c>
      <c r="AA21" s="598">
        <f>Nov!G25</f>
        <v>5325716</v>
      </c>
      <c r="AB21" s="598">
        <f>Dec!$G25</f>
        <v>7830439</v>
      </c>
      <c r="AC21" s="598">
        <f>Jan!G25</f>
        <v>6608892</v>
      </c>
      <c r="AD21" s="598">
        <f>Feb!G25</f>
        <v>7202971</v>
      </c>
      <c r="AF21" s="262"/>
    </row>
    <row r="22" spans="1:32">
      <c r="A22" s="481"/>
      <c r="B22" s="479" t="s">
        <v>40</v>
      </c>
      <c r="C22" s="480">
        <f t="shared" si="39"/>
        <v>3896834</v>
      </c>
      <c r="D22" s="488">
        <f t="shared" si="38"/>
        <v>7546429</v>
      </c>
      <c r="E22" s="535">
        <v>345863</v>
      </c>
      <c r="F22" s="535">
        <v>408568</v>
      </c>
      <c r="G22" s="535">
        <v>361566</v>
      </c>
      <c r="H22" s="535">
        <v>227877</v>
      </c>
      <c r="I22" s="535">
        <v>311290</v>
      </c>
      <c r="J22" s="535">
        <v>225272</v>
      </c>
      <c r="K22" s="535">
        <v>266816</v>
      </c>
      <c r="L22" s="535">
        <v>259403</v>
      </c>
      <c r="M22" s="535">
        <v>291879</v>
      </c>
      <c r="N22" s="535">
        <v>401880</v>
      </c>
      <c r="O22" s="535">
        <v>314956</v>
      </c>
      <c r="P22" s="535">
        <v>234225</v>
      </c>
      <c r="Q22" s="598">
        <v>284721</v>
      </c>
      <c r="R22" s="598">
        <v>399264</v>
      </c>
      <c r="S22" s="598">
        <f>Mar!$G27</f>
        <v>334116</v>
      </c>
      <c r="T22" s="598">
        <f>Apr!$G27</f>
        <v>288026</v>
      </c>
      <c r="U22" s="598">
        <f>May!$G27</f>
        <v>302382</v>
      </c>
      <c r="V22" s="598">
        <f>Jun!$G27</f>
        <v>289055</v>
      </c>
      <c r="W22" s="598">
        <f>Jul!$G27</f>
        <v>274504</v>
      </c>
      <c r="X22" s="598">
        <f>Aug!$G27</f>
        <v>291721</v>
      </c>
      <c r="Y22" s="598">
        <f>Sep!G27</f>
        <v>348558</v>
      </c>
      <c r="Z22" s="598">
        <f>Oct!G27</f>
        <v>248414</v>
      </c>
      <c r="AA22" s="598">
        <f>Nov!G27</f>
        <v>458380</v>
      </c>
      <c r="AB22" s="598">
        <f>Dec!$G27</f>
        <v>377693</v>
      </c>
      <c r="AC22" s="598">
        <f>Jan!G27</f>
        <v>362835</v>
      </c>
      <c r="AD22" s="598">
        <f>Feb!G27</f>
        <v>448875</v>
      </c>
      <c r="AF22" s="262"/>
    </row>
    <row r="23" spans="1:32">
      <c r="A23" s="481"/>
      <c r="B23" s="554" t="s">
        <v>42</v>
      </c>
      <c r="C23" s="480">
        <f t="shared" si="39"/>
        <v>0</v>
      </c>
      <c r="D23" s="488">
        <f t="shared" si="38"/>
        <v>0</v>
      </c>
      <c r="E23" s="535">
        <v>0</v>
      </c>
      <c r="F23" s="535">
        <v>0</v>
      </c>
      <c r="G23" s="535">
        <v>0</v>
      </c>
      <c r="H23" s="535">
        <v>0</v>
      </c>
      <c r="I23" s="535">
        <v>0</v>
      </c>
      <c r="J23" s="535">
        <v>0</v>
      </c>
      <c r="K23" s="535">
        <v>0</v>
      </c>
      <c r="L23" s="535">
        <v>0</v>
      </c>
      <c r="M23" s="535">
        <v>0</v>
      </c>
      <c r="N23" s="535">
        <v>0</v>
      </c>
      <c r="O23" s="535">
        <v>0</v>
      </c>
      <c r="P23" s="535">
        <v>0</v>
      </c>
      <c r="Q23" s="598">
        <v>0</v>
      </c>
      <c r="R23" s="598">
        <v>0</v>
      </c>
      <c r="S23" s="598">
        <f>Mar!$G29</f>
        <v>0</v>
      </c>
      <c r="T23" s="598">
        <f>Apr!$G29</f>
        <v>0</v>
      </c>
      <c r="U23" s="598">
        <f>May!$G29</f>
        <v>0</v>
      </c>
      <c r="V23" s="598">
        <f>Jun!$G29</f>
        <v>0</v>
      </c>
      <c r="W23" s="598">
        <f>Jul!$G29</f>
        <v>0</v>
      </c>
      <c r="X23" s="598">
        <f>Aug!$G29</f>
        <v>0</v>
      </c>
      <c r="Y23" s="598">
        <f>Sep!G29</f>
        <v>0</v>
      </c>
      <c r="Z23" s="598">
        <f>Oct!G29</f>
        <v>0</v>
      </c>
      <c r="AA23" s="598">
        <f>Nov!G29</f>
        <v>0</v>
      </c>
      <c r="AB23" s="598">
        <f>Dec!$G29</f>
        <v>0</v>
      </c>
      <c r="AC23" s="598">
        <f>Jan!G29</f>
        <v>0</v>
      </c>
      <c r="AD23" s="598">
        <f>Feb!G29</f>
        <v>0</v>
      </c>
      <c r="AF23" s="262"/>
    </row>
    <row r="24" spans="1:32">
      <c r="A24" s="481"/>
      <c r="B24" s="479" t="s">
        <v>74</v>
      </c>
      <c r="C24" s="480">
        <f t="shared" si="39"/>
        <v>36224919</v>
      </c>
      <c r="D24" s="488">
        <f t="shared" si="38"/>
        <v>67139519</v>
      </c>
      <c r="E24" s="535">
        <v>3346687</v>
      </c>
      <c r="F24" s="535">
        <v>2956295</v>
      </c>
      <c r="G24" s="535">
        <v>2822744</v>
      </c>
      <c r="H24" s="535">
        <v>2379815</v>
      </c>
      <c r="I24" s="535">
        <v>2359261</v>
      </c>
      <c r="J24" s="535">
        <v>2149880</v>
      </c>
      <c r="K24" s="535">
        <v>1956378</v>
      </c>
      <c r="L24" s="535">
        <v>1966117</v>
      </c>
      <c r="M24" s="535">
        <v>1915306</v>
      </c>
      <c r="N24" s="535">
        <v>2505633</v>
      </c>
      <c r="O24" s="535">
        <v>2750386</v>
      </c>
      <c r="P24" s="535">
        <v>3806098</v>
      </c>
      <c r="Q24" s="598">
        <v>4261630</v>
      </c>
      <c r="R24" s="598">
        <v>3513623</v>
      </c>
      <c r="S24" s="598">
        <f>Mar!$G31</f>
        <v>3381923</v>
      </c>
      <c r="T24" s="598">
        <f>Apr!$G31</f>
        <v>2868630</v>
      </c>
      <c r="U24" s="598">
        <f>May!$G31</f>
        <v>2501903</v>
      </c>
      <c r="V24" s="598">
        <f>Jun!$G31</f>
        <v>2531843</v>
      </c>
      <c r="W24" s="598">
        <f>Jul!$G31</f>
        <v>2144434</v>
      </c>
      <c r="X24" s="598">
        <f>Aug!$G31</f>
        <v>2338940</v>
      </c>
      <c r="Y24" s="598">
        <f>Sep!G31</f>
        <v>2209861</v>
      </c>
      <c r="Z24" s="598">
        <f>Oct!G31</f>
        <v>3085921</v>
      </c>
      <c r="AA24" s="598">
        <f>Nov!G31</f>
        <v>3418526</v>
      </c>
      <c r="AB24" s="598">
        <f>Dec!$G31</f>
        <v>3967685</v>
      </c>
      <c r="AC24" s="598">
        <f>Jan!G31</f>
        <v>3629622</v>
      </c>
      <c r="AD24" s="598">
        <f>Feb!G31</f>
        <v>3567188</v>
      </c>
      <c r="AF24" s="262"/>
    </row>
    <row r="25" spans="1:32" ht="16.5" thickBot="1">
      <c r="A25" s="481"/>
      <c r="B25" s="479" t="s">
        <v>21</v>
      </c>
      <c r="C25" s="534">
        <f>SUM(C19:C24)</f>
        <v>223692149</v>
      </c>
      <c r="D25" s="534">
        <f>SUM(D19:D24)</f>
        <v>411611832</v>
      </c>
      <c r="E25" s="534">
        <v>30419523</v>
      </c>
      <c r="F25" s="534">
        <f t="shared" ref="F25:AD25" si="40">SUM(F19:F24)</f>
        <v>22877234</v>
      </c>
      <c r="G25" s="534">
        <f t="shared" si="40"/>
        <v>20236365</v>
      </c>
      <c r="H25" s="534">
        <f t="shared" si="40"/>
        <v>10637648</v>
      </c>
      <c r="I25" s="534">
        <f t="shared" si="40"/>
        <v>8282555</v>
      </c>
      <c r="J25" s="534">
        <f t="shared" si="40"/>
        <v>6819717</v>
      </c>
      <c r="K25" s="534">
        <f t="shared" si="40"/>
        <v>6029401</v>
      </c>
      <c r="L25" s="534">
        <f t="shared" si="40"/>
        <v>6166525</v>
      </c>
      <c r="M25" s="534">
        <f t="shared" si="40"/>
        <v>7391501</v>
      </c>
      <c r="N25" s="534">
        <f t="shared" si="40"/>
        <v>13644627</v>
      </c>
      <c r="O25" s="534">
        <f t="shared" si="40"/>
        <v>18553428</v>
      </c>
      <c r="P25" s="534">
        <f t="shared" si="40"/>
        <v>36861159</v>
      </c>
      <c r="Q25" s="534">
        <f t="shared" si="40"/>
        <v>40584714</v>
      </c>
      <c r="R25" s="534">
        <f t="shared" si="40"/>
        <v>30357660</v>
      </c>
      <c r="S25" s="534">
        <f t="shared" si="40"/>
        <v>23658883</v>
      </c>
      <c r="T25" s="534">
        <f t="shared" si="40"/>
        <v>16834972</v>
      </c>
      <c r="U25" s="534">
        <f t="shared" si="40"/>
        <v>10179280</v>
      </c>
      <c r="V25" s="534">
        <f t="shared" si="40"/>
        <v>7244961</v>
      </c>
      <c r="W25" s="534">
        <f t="shared" si="40"/>
        <v>5938596</v>
      </c>
      <c r="X25" s="534">
        <f t="shared" si="40"/>
        <v>6177700</v>
      </c>
      <c r="Y25" s="534">
        <f t="shared" si="40"/>
        <v>7874888</v>
      </c>
      <c r="Z25" s="534">
        <f t="shared" si="40"/>
        <v>15813981</v>
      </c>
      <c r="AA25" s="534">
        <f t="shared" si="40"/>
        <v>24062058</v>
      </c>
      <c r="AB25" s="534">
        <f t="shared" si="40"/>
        <v>34964456</v>
      </c>
      <c r="AC25" s="623">
        <f t="shared" si="40"/>
        <v>30881504</v>
      </c>
      <c r="AD25" s="623">
        <f t="shared" si="40"/>
        <v>29419914</v>
      </c>
      <c r="AF25" s="262"/>
    </row>
    <row r="26" spans="1:32" ht="16.5" thickTop="1">
      <c r="A26" s="481"/>
      <c r="B26" s="479" t="s">
        <v>264</v>
      </c>
      <c r="C26" s="488">
        <f>SUM(Q26:AB26)</f>
        <v>223692149</v>
      </c>
      <c r="D26" s="488">
        <f>SUM(E26:AB26)</f>
        <v>411611832</v>
      </c>
      <c r="E26" s="488">
        <v>30419523</v>
      </c>
      <c r="F26" s="488">
        <v>22877234</v>
      </c>
      <c r="G26" s="488">
        <v>20236365</v>
      </c>
      <c r="H26" s="488">
        <v>10637648</v>
      </c>
      <c r="I26" s="488">
        <v>8282555</v>
      </c>
      <c r="J26" s="488">
        <v>6819717</v>
      </c>
      <c r="K26" s="488">
        <v>6029401</v>
      </c>
      <c r="L26" s="552">
        <v>6166525</v>
      </c>
      <c r="M26" s="488">
        <v>7391501</v>
      </c>
      <c r="N26" s="488">
        <v>13644627</v>
      </c>
      <c r="O26" s="488">
        <v>18553428</v>
      </c>
      <c r="P26" s="488">
        <v>36861159</v>
      </c>
      <c r="Q26" s="488">
        <v>40584714</v>
      </c>
      <c r="R26" s="488">
        <v>30357660</v>
      </c>
      <c r="S26" s="488">
        <v>23658883</v>
      </c>
      <c r="T26" s="488">
        <v>16834972</v>
      </c>
      <c r="U26" s="488">
        <v>10179280</v>
      </c>
      <c r="V26" s="488">
        <v>7244961</v>
      </c>
      <c r="W26" s="488">
        <v>5938596</v>
      </c>
      <c r="X26" s="552">
        <v>6177700</v>
      </c>
      <c r="Y26" s="552">
        <v>7874888</v>
      </c>
      <c r="Z26" s="552">
        <v>15813981</v>
      </c>
      <c r="AA26" s="552">
        <v>24062058</v>
      </c>
      <c r="AB26" s="488">
        <v>34964456</v>
      </c>
      <c r="AC26" s="552">
        <v>30881504</v>
      </c>
      <c r="AD26" s="552">
        <v>29419914</v>
      </c>
      <c r="AE26" s="566"/>
    </row>
    <row r="27" spans="1:32">
      <c r="A27" s="481" t="s">
        <v>22</v>
      </c>
      <c r="E27" s="530"/>
      <c r="F27" s="530"/>
      <c r="G27" s="530"/>
      <c r="H27" s="530"/>
      <c r="I27" s="530"/>
      <c r="J27" s="530"/>
      <c r="K27" s="530"/>
      <c r="L27" s="530"/>
      <c r="M27" s="530"/>
      <c r="N27" s="530"/>
      <c r="O27" s="530"/>
      <c r="P27" s="530"/>
      <c r="Q27" s="530"/>
      <c r="R27" s="530"/>
      <c r="S27" s="530"/>
      <c r="T27" s="530"/>
      <c r="U27" s="530"/>
      <c r="V27" s="530"/>
      <c r="W27" s="530"/>
      <c r="X27" s="530"/>
      <c r="Y27" s="530"/>
      <c r="Z27" s="530"/>
      <c r="AA27" s="530"/>
      <c r="AB27" s="530"/>
      <c r="AC27" s="624"/>
      <c r="AD27" s="624"/>
    </row>
    <row r="28" spans="1:32">
      <c r="A28" s="482">
        <v>191000</v>
      </c>
      <c r="B28" s="483" t="s">
        <v>252</v>
      </c>
      <c r="E28" s="482">
        <v>201601</v>
      </c>
      <c r="F28" s="482">
        <f>E28+1</f>
        <v>201602</v>
      </c>
      <c r="G28" s="482">
        <f t="shared" ref="G28:P28" si="41">F28+1</f>
        <v>201603</v>
      </c>
      <c r="H28" s="482">
        <f t="shared" si="41"/>
        <v>201604</v>
      </c>
      <c r="I28" s="482">
        <f t="shared" si="41"/>
        <v>201605</v>
      </c>
      <c r="J28" s="482">
        <f t="shared" si="41"/>
        <v>201606</v>
      </c>
      <c r="K28" s="482">
        <f t="shared" si="41"/>
        <v>201607</v>
      </c>
      <c r="L28" s="482">
        <f t="shared" si="41"/>
        <v>201608</v>
      </c>
      <c r="M28" s="482">
        <f t="shared" si="41"/>
        <v>201609</v>
      </c>
      <c r="N28" s="482">
        <f t="shared" si="41"/>
        <v>201610</v>
      </c>
      <c r="O28" s="482">
        <f t="shared" si="41"/>
        <v>201611</v>
      </c>
      <c r="P28" s="482">
        <f t="shared" si="41"/>
        <v>201612</v>
      </c>
      <c r="Q28" s="482">
        <f>Q3</f>
        <v>201701</v>
      </c>
      <c r="R28" s="482">
        <f>Q28+1</f>
        <v>201702</v>
      </c>
      <c r="S28" s="482">
        <f t="shared" ref="S28" si="42">R28+1</f>
        <v>201703</v>
      </c>
      <c r="T28" s="482">
        <f t="shared" ref="T28" si="43">S28+1</f>
        <v>201704</v>
      </c>
      <c r="U28" s="482">
        <f t="shared" ref="U28" si="44">T28+1</f>
        <v>201705</v>
      </c>
      <c r="V28" s="482">
        <f t="shared" ref="V28" si="45">U28+1</f>
        <v>201706</v>
      </c>
      <c r="W28" s="482">
        <f t="shared" ref="W28" si="46">V28+1</f>
        <v>201707</v>
      </c>
      <c r="X28" s="482">
        <f t="shared" ref="X28" si="47">W28+1</f>
        <v>201708</v>
      </c>
      <c r="Y28" s="482">
        <f t="shared" ref="Y28" si="48">X28+1</f>
        <v>201709</v>
      </c>
      <c r="Z28" s="482">
        <f t="shared" ref="Z28" si="49">Y28+1</f>
        <v>201710</v>
      </c>
      <c r="AA28" s="482">
        <f t="shared" ref="AA28" si="50">Z28+1</f>
        <v>201711</v>
      </c>
      <c r="AB28" s="482">
        <f t="shared" ref="AB28" si="51">AA28+1</f>
        <v>201712</v>
      </c>
      <c r="AC28" s="572">
        <f>AC3</f>
        <v>201801</v>
      </c>
      <c r="AD28" s="572">
        <f>AD3</f>
        <v>201802</v>
      </c>
    </row>
    <row r="29" spans="1:32">
      <c r="A29" s="481"/>
      <c r="B29" s="479" t="s">
        <v>37</v>
      </c>
      <c r="E29" s="492">
        <v>2.571E-2</v>
      </c>
      <c r="F29" s="492">
        <v>2.571E-2</v>
      </c>
      <c r="G29" s="492">
        <v>2.571E-2</v>
      </c>
      <c r="H29" s="492">
        <v>2.571E-2</v>
      </c>
      <c r="I29" s="492">
        <v>2.571E-2</v>
      </c>
      <c r="J29" s="492">
        <v>2.571E-2</v>
      </c>
      <c r="K29" s="492">
        <v>2.571E-2</v>
      </c>
      <c r="L29" s="492">
        <v>2.571E-2</v>
      </c>
      <c r="M29" s="492">
        <v>2.571E-2</v>
      </c>
      <c r="N29" s="492">
        <v>2.571E-2</v>
      </c>
      <c r="O29" s="492" t="s">
        <v>307</v>
      </c>
      <c r="P29" s="492" t="s">
        <v>307</v>
      </c>
      <c r="Q29" s="595">
        <v>9.1740000000000002E-2</v>
      </c>
      <c r="R29" s="595">
        <v>9.1740000000000002E-2</v>
      </c>
      <c r="S29" s="595">
        <v>9.1740000000000002E-2</v>
      </c>
      <c r="T29" s="595">
        <v>9.1740000000000002E-2</v>
      </c>
      <c r="U29" s="595">
        <v>9.1740000000000002E-2</v>
      </c>
      <c r="V29" s="595">
        <v>9.1740000000000002E-2</v>
      </c>
      <c r="W29" s="595">
        <v>9.1740000000000002E-2</v>
      </c>
      <c r="X29" s="595">
        <v>9.1740000000000002E-2</v>
      </c>
      <c r="Y29" s="595">
        <v>9.1740000000000002E-2</v>
      </c>
      <c r="Z29" s="595">
        <v>9.1740000000000002E-2</v>
      </c>
      <c r="AA29" s="629" t="s">
        <v>307</v>
      </c>
      <c r="AB29" s="629" t="s">
        <v>307</v>
      </c>
      <c r="AC29" s="629">
        <v>9.0670000000000001E-2</v>
      </c>
      <c r="AD29" s="629">
        <v>9.0670000000000001E-2</v>
      </c>
    </row>
    <row r="30" spans="1:32">
      <c r="A30" s="481"/>
      <c r="B30" s="479" t="s">
        <v>305</v>
      </c>
      <c r="E30" s="492">
        <v>2.571E-2</v>
      </c>
      <c r="F30" s="492">
        <v>2.571E-2</v>
      </c>
      <c r="G30" s="492">
        <v>2.571E-2</v>
      </c>
      <c r="H30" s="492">
        <v>2.571E-2</v>
      </c>
      <c r="I30" s="492">
        <v>2.571E-2</v>
      </c>
      <c r="J30" s="492">
        <v>2.571E-2</v>
      </c>
      <c r="K30" s="492">
        <v>2.571E-2</v>
      </c>
      <c r="L30" s="492">
        <v>2.571E-2</v>
      </c>
      <c r="M30" s="492">
        <v>2.571E-2</v>
      </c>
      <c r="N30" s="492">
        <v>2.571E-2</v>
      </c>
      <c r="O30" s="492" t="s">
        <v>307</v>
      </c>
      <c r="P30" s="492" t="s">
        <v>307</v>
      </c>
      <c r="Q30" s="595">
        <v>9.1740000000000002E-2</v>
      </c>
      <c r="R30" s="595">
        <v>9.1740000000000002E-2</v>
      </c>
      <c r="S30" s="595">
        <v>9.1740000000000002E-2</v>
      </c>
      <c r="T30" s="595">
        <v>9.1740000000000002E-2</v>
      </c>
      <c r="U30" s="595">
        <v>9.1740000000000002E-2</v>
      </c>
      <c r="V30" s="595">
        <v>9.1740000000000002E-2</v>
      </c>
      <c r="W30" s="595">
        <v>9.1740000000000002E-2</v>
      </c>
      <c r="X30" s="595">
        <v>9.1740000000000002E-2</v>
      </c>
      <c r="Y30" s="595">
        <v>9.1740000000000002E-2</v>
      </c>
      <c r="Z30" s="595">
        <v>9.1740000000000002E-2</v>
      </c>
      <c r="AA30" s="629" t="s">
        <v>307</v>
      </c>
      <c r="AB30" s="629" t="s">
        <v>307</v>
      </c>
      <c r="AC30" s="629">
        <v>9.0670000000000001E-2</v>
      </c>
      <c r="AD30" s="629">
        <v>9.0670000000000001E-2</v>
      </c>
    </row>
    <row r="31" spans="1:32">
      <c r="A31" s="481"/>
      <c r="B31" s="479" t="s">
        <v>38</v>
      </c>
      <c r="E31" s="492">
        <v>1.372E-2</v>
      </c>
      <c r="F31" s="492">
        <v>1.372E-2</v>
      </c>
      <c r="G31" s="492">
        <v>1.372E-2</v>
      </c>
      <c r="H31" s="492">
        <v>1.372E-2</v>
      </c>
      <c r="I31" s="492">
        <v>1.372E-2</v>
      </c>
      <c r="J31" s="492">
        <v>1.372E-2</v>
      </c>
      <c r="K31" s="492">
        <v>1.372E-2</v>
      </c>
      <c r="L31" s="492">
        <v>1.372E-2</v>
      </c>
      <c r="M31" s="492">
        <v>1.372E-2</v>
      </c>
      <c r="N31" s="492">
        <v>1.372E-2</v>
      </c>
      <c r="O31" s="492" t="s">
        <v>307</v>
      </c>
      <c r="P31" s="492" t="s">
        <v>307</v>
      </c>
      <c r="Q31" s="595">
        <v>7.2489999999999999E-2</v>
      </c>
      <c r="R31" s="595">
        <v>7.2489999999999999E-2</v>
      </c>
      <c r="S31" s="595">
        <v>7.2489999999999999E-2</v>
      </c>
      <c r="T31" s="595">
        <v>7.2489999999999999E-2</v>
      </c>
      <c r="U31" s="595">
        <v>7.2489999999999999E-2</v>
      </c>
      <c r="V31" s="595">
        <v>7.2489999999999999E-2</v>
      </c>
      <c r="W31" s="595">
        <v>7.2489999999999999E-2</v>
      </c>
      <c r="X31" s="595">
        <v>7.2489999999999999E-2</v>
      </c>
      <c r="Y31" s="595">
        <v>7.2489999999999999E-2</v>
      </c>
      <c r="Z31" s="595">
        <v>7.2489999999999999E-2</v>
      </c>
      <c r="AA31" s="629" t="s">
        <v>307</v>
      </c>
      <c r="AB31" s="629" t="s">
        <v>307</v>
      </c>
      <c r="AC31" s="629">
        <v>7.4749999999999997E-2</v>
      </c>
      <c r="AD31" s="629">
        <v>7.4749999999999997E-2</v>
      </c>
    </row>
    <row r="32" spans="1:32">
      <c r="A32" s="481"/>
      <c r="B32" s="479" t="s">
        <v>40</v>
      </c>
      <c r="E32" s="492">
        <v>-5.2900000000000004E-3</v>
      </c>
      <c r="F32" s="492">
        <v>-5.2900000000000004E-3</v>
      </c>
      <c r="G32" s="492">
        <v>-5.2900000000000004E-3</v>
      </c>
      <c r="H32" s="492">
        <v>-5.2900000000000004E-3</v>
      </c>
      <c r="I32" s="492">
        <v>-5.2900000000000004E-3</v>
      </c>
      <c r="J32" s="492">
        <v>-5.2900000000000004E-3</v>
      </c>
      <c r="K32" s="492">
        <v>-5.2900000000000004E-3</v>
      </c>
      <c r="L32" s="492">
        <v>-5.2900000000000004E-3</v>
      </c>
      <c r="M32" s="492">
        <v>-5.2900000000000004E-3</v>
      </c>
      <c r="N32" s="492">
        <v>-5.2900000000000004E-3</v>
      </c>
      <c r="O32" s="492" t="s">
        <v>307</v>
      </c>
      <c r="P32" s="492" t="s">
        <v>307</v>
      </c>
      <c r="Q32" s="595">
        <v>4.4479999999999999E-2</v>
      </c>
      <c r="R32" s="595">
        <v>4.4479999999999999E-2</v>
      </c>
      <c r="S32" s="595">
        <v>4.4479999999999999E-2</v>
      </c>
      <c r="T32" s="595">
        <v>4.4479999999999999E-2</v>
      </c>
      <c r="U32" s="595">
        <v>4.4479999999999999E-2</v>
      </c>
      <c r="V32" s="595">
        <v>4.4479999999999999E-2</v>
      </c>
      <c r="W32" s="595">
        <v>4.4479999999999999E-2</v>
      </c>
      <c r="X32" s="595">
        <v>4.4479999999999999E-2</v>
      </c>
      <c r="Y32" s="595">
        <v>4.4479999999999999E-2</v>
      </c>
      <c r="Z32" s="595">
        <v>4.4479999999999999E-2</v>
      </c>
      <c r="AA32" s="629" t="s">
        <v>307</v>
      </c>
      <c r="AB32" s="629" t="s">
        <v>307</v>
      </c>
      <c r="AC32" s="629">
        <v>4.7449999999999999E-2</v>
      </c>
      <c r="AD32" s="629">
        <v>4.7449999999999999E-2</v>
      </c>
    </row>
    <row r="33" spans="1:51" ht="16.5" thickBot="1">
      <c r="A33" s="481"/>
      <c r="B33" s="479" t="s">
        <v>42</v>
      </c>
      <c r="E33" s="492">
        <v>1.635E-2</v>
      </c>
      <c r="F33" s="492">
        <v>1.635E-2</v>
      </c>
      <c r="G33" s="492">
        <v>1.635E-2</v>
      </c>
      <c r="H33" s="492">
        <v>1.635E-2</v>
      </c>
      <c r="I33" s="492">
        <v>1.635E-2</v>
      </c>
      <c r="J33" s="492">
        <v>1.635E-2</v>
      </c>
      <c r="K33" s="492">
        <v>1.635E-2</v>
      </c>
      <c r="L33" s="492">
        <v>1.635E-2</v>
      </c>
      <c r="M33" s="492">
        <v>1.635E-2</v>
      </c>
      <c r="N33" s="492">
        <v>1.635E-2</v>
      </c>
      <c r="O33" s="492" t="s">
        <v>307</v>
      </c>
      <c r="P33" s="492" t="s">
        <v>307</v>
      </c>
      <c r="Q33" s="595">
        <v>8.8340000000000002E-2</v>
      </c>
      <c r="R33" s="595">
        <v>8.8340000000000002E-2</v>
      </c>
      <c r="S33" s="595">
        <v>8.8340000000000002E-2</v>
      </c>
      <c r="T33" s="595">
        <v>8.8340000000000002E-2</v>
      </c>
      <c r="U33" s="595">
        <v>8.8340000000000002E-2</v>
      </c>
      <c r="V33" s="595">
        <v>8.8340000000000002E-2</v>
      </c>
      <c r="W33" s="595">
        <v>8.8340000000000002E-2</v>
      </c>
      <c r="X33" s="595">
        <v>8.8340000000000002E-2</v>
      </c>
      <c r="Y33" s="595">
        <v>8.8340000000000002E-2</v>
      </c>
      <c r="Z33" s="595">
        <v>8.8340000000000002E-2</v>
      </c>
      <c r="AA33" s="629" t="s">
        <v>307</v>
      </c>
      <c r="AB33" s="629" t="s">
        <v>307</v>
      </c>
      <c r="AC33" s="629" t="s">
        <v>321</v>
      </c>
      <c r="AD33" s="629" t="s">
        <v>321</v>
      </c>
    </row>
    <row r="34" spans="1:51" ht="16.5" thickBot="1">
      <c r="A34" s="481"/>
      <c r="B34" s="479" t="s">
        <v>74</v>
      </c>
      <c r="E34" s="492">
        <v>0</v>
      </c>
      <c r="F34" s="492">
        <v>0</v>
      </c>
      <c r="G34" s="492">
        <v>0</v>
      </c>
      <c r="H34" s="492">
        <v>0</v>
      </c>
      <c r="I34" s="492">
        <v>0</v>
      </c>
      <c r="J34" s="492">
        <v>0</v>
      </c>
      <c r="K34" s="492">
        <v>0</v>
      </c>
      <c r="L34" s="492">
        <v>0</v>
      </c>
      <c r="M34" s="492">
        <v>0</v>
      </c>
      <c r="N34" s="492">
        <v>0</v>
      </c>
      <c r="O34" s="492" t="s">
        <v>307</v>
      </c>
      <c r="P34" s="492" t="s">
        <v>307</v>
      </c>
      <c r="Q34" s="595">
        <v>0</v>
      </c>
      <c r="R34" s="595">
        <v>0</v>
      </c>
      <c r="S34" s="595">
        <v>0</v>
      </c>
      <c r="T34" s="595">
        <v>0</v>
      </c>
      <c r="U34" s="595">
        <v>0</v>
      </c>
      <c r="V34" s="595">
        <v>0</v>
      </c>
      <c r="W34" s="595">
        <v>0</v>
      </c>
      <c r="X34" s="595">
        <v>0</v>
      </c>
      <c r="Y34" s="595">
        <v>0</v>
      </c>
      <c r="Z34" s="595">
        <v>0</v>
      </c>
      <c r="AA34" s="629" t="s">
        <v>307</v>
      </c>
      <c r="AB34" s="629" t="s">
        <v>307</v>
      </c>
      <c r="AC34" s="629" t="s">
        <v>321</v>
      </c>
      <c r="AD34" s="629" t="s">
        <v>321</v>
      </c>
      <c r="AF34" s="508">
        <f>AF4</f>
        <v>201802</v>
      </c>
      <c r="AG34" s="521"/>
      <c r="AH34" s="509"/>
      <c r="AI34" s="509"/>
      <c r="AJ34" s="509"/>
      <c r="AK34" s="510"/>
    </row>
    <row r="35" spans="1:51">
      <c r="A35" s="481" t="s">
        <v>283</v>
      </c>
      <c r="E35" s="489"/>
      <c r="F35" s="489"/>
      <c r="G35" s="489"/>
      <c r="H35" s="489"/>
      <c r="I35" s="489"/>
      <c r="J35" s="489"/>
      <c r="K35" s="489"/>
      <c r="L35" s="489"/>
      <c r="M35" s="489"/>
      <c r="N35" s="489"/>
      <c r="O35" s="489"/>
      <c r="P35" s="489"/>
      <c r="Q35" s="489"/>
      <c r="R35" s="489"/>
      <c r="S35" s="489"/>
      <c r="T35" s="489"/>
      <c r="U35" s="489"/>
      <c r="V35" s="489"/>
      <c r="W35" s="489"/>
      <c r="X35" s="489"/>
      <c r="Y35" s="489"/>
      <c r="Z35" s="489"/>
      <c r="AA35" s="489"/>
      <c r="AB35" s="489"/>
      <c r="AC35" s="553"/>
      <c r="AD35" s="553"/>
      <c r="AF35" s="493" t="s">
        <v>288</v>
      </c>
      <c r="AG35" s="522">
        <v>419600</v>
      </c>
      <c r="AH35" s="494" t="s">
        <v>280</v>
      </c>
      <c r="AI35" s="494" t="s">
        <v>281</v>
      </c>
      <c r="AJ35" s="514">
        <v>0</v>
      </c>
      <c r="AK35" s="515">
        <f>IF(SUMIF(E3:AD3,AF4,E40:AD40)&gt;0,SUMIF(E3:AD3,AF4,E40:AD40),0)</f>
        <v>0</v>
      </c>
      <c r="AM35" s="480" t="str">
        <f>_xll.GLW_Segment_Description(AG35,2,2)</f>
        <v>INTEREST ON ENERGY DEFERRALS</v>
      </c>
    </row>
    <row r="36" spans="1:51" s="481" customFormat="1">
      <c r="A36" s="482">
        <v>191000</v>
      </c>
      <c r="B36" s="483" t="s">
        <v>252</v>
      </c>
      <c r="C36" s="484" t="s">
        <v>248</v>
      </c>
      <c r="D36" s="485" t="s">
        <v>249</v>
      </c>
      <c r="E36" s="482">
        <v>201601</v>
      </c>
      <c r="F36" s="482">
        <f>E36+1</f>
        <v>201602</v>
      </c>
      <c r="G36" s="482">
        <f t="shared" ref="G36:P36" si="52">F36+1</f>
        <v>201603</v>
      </c>
      <c r="H36" s="482">
        <f t="shared" si="52"/>
        <v>201604</v>
      </c>
      <c r="I36" s="482">
        <f t="shared" si="52"/>
        <v>201605</v>
      </c>
      <c r="J36" s="482">
        <f t="shared" si="52"/>
        <v>201606</v>
      </c>
      <c r="K36" s="482">
        <f t="shared" si="52"/>
        <v>201607</v>
      </c>
      <c r="L36" s="482">
        <f t="shared" si="52"/>
        <v>201608</v>
      </c>
      <c r="M36" s="482">
        <f t="shared" si="52"/>
        <v>201609</v>
      </c>
      <c r="N36" s="482">
        <f t="shared" si="52"/>
        <v>201610</v>
      </c>
      <c r="O36" s="482">
        <f t="shared" si="52"/>
        <v>201611</v>
      </c>
      <c r="P36" s="482">
        <f t="shared" si="52"/>
        <v>201612</v>
      </c>
      <c r="Q36" s="482">
        <f>Q3</f>
        <v>201701</v>
      </c>
      <c r="R36" s="482">
        <f>Q36+1</f>
        <v>201702</v>
      </c>
      <c r="S36" s="482">
        <f t="shared" ref="S36" si="53">R36+1</f>
        <v>201703</v>
      </c>
      <c r="T36" s="482">
        <f t="shared" ref="T36" si="54">S36+1</f>
        <v>201704</v>
      </c>
      <c r="U36" s="482">
        <f t="shared" ref="U36" si="55">T36+1</f>
        <v>201705</v>
      </c>
      <c r="V36" s="482">
        <f t="shared" ref="V36" si="56">U36+1</f>
        <v>201706</v>
      </c>
      <c r="W36" s="482">
        <f t="shared" ref="W36" si="57">V36+1</f>
        <v>201707</v>
      </c>
      <c r="X36" s="482">
        <f t="shared" ref="X36" si="58">W36+1</f>
        <v>201708</v>
      </c>
      <c r="Y36" s="482">
        <f t="shared" ref="Y36" si="59">X36+1</f>
        <v>201709</v>
      </c>
      <c r="Z36" s="482">
        <f t="shared" ref="Z36" si="60">Y36+1</f>
        <v>201710</v>
      </c>
      <c r="AA36" s="482">
        <f t="shared" ref="AA36" si="61">Z36+1</f>
        <v>201711</v>
      </c>
      <c r="AB36" s="482">
        <f t="shared" ref="AB36" si="62">AA36+1</f>
        <v>201712</v>
      </c>
      <c r="AC36" s="572">
        <f>AC3</f>
        <v>201801</v>
      </c>
      <c r="AD36" s="572">
        <f>AD3</f>
        <v>201802</v>
      </c>
      <c r="AE36" s="565"/>
      <c r="AF36" s="495" t="s">
        <v>289</v>
      </c>
      <c r="AG36" s="523">
        <v>431600</v>
      </c>
      <c r="AH36" s="356" t="s">
        <v>280</v>
      </c>
      <c r="AI36" s="356" t="s">
        <v>281</v>
      </c>
      <c r="AJ36" s="379">
        <f>IF(SUMIF(E36:AD36,AF34,E40:AD40)&lt;0,-SUMIF(E36:AD36,AF34,E40:AD40),0)</f>
        <v>18930.221319123411</v>
      </c>
      <c r="AK36" s="496">
        <v>0</v>
      </c>
      <c r="AM36" s="480" t="str">
        <f>_xll.GLW_Segment_Description(AG36,2,2)</f>
        <v>INTEREST EXPENSE ENERGY DEFERRALS</v>
      </c>
    </row>
    <row r="37" spans="1:51" s="481" customFormat="1">
      <c r="B37" s="483" t="s">
        <v>253</v>
      </c>
      <c r="C37" s="480"/>
      <c r="E37" s="486">
        <v>3.2500000000000001E-2</v>
      </c>
      <c r="F37" s="486">
        <v>3.2500000000000001E-2</v>
      </c>
      <c r="G37" s="486">
        <v>3.2500000000000001E-2</v>
      </c>
      <c r="H37" s="486">
        <v>3.4599999999999999E-2</v>
      </c>
      <c r="I37" s="486">
        <v>3.4599999999999999E-2</v>
      </c>
      <c r="J37" s="486">
        <v>3.4599999999999999E-2</v>
      </c>
      <c r="K37" s="486">
        <v>3.5000000000000003E-2</v>
      </c>
      <c r="L37" s="571">
        <v>3.5000000000000003E-2</v>
      </c>
      <c r="M37" s="571">
        <v>3.5000000000000003E-2</v>
      </c>
      <c r="N37" s="571">
        <v>3.5000000000000003E-2</v>
      </c>
      <c r="O37" s="571">
        <v>3.5000000000000003E-2</v>
      </c>
      <c r="P37" s="571">
        <v>3.5000000000000003E-2</v>
      </c>
      <c r="Q37" s="596">
        <v>3.5000000000000003E-2</v>
      </c>
      <c r="R37" s="596">
        <v>3.5000000000000003E-2</v>
      </c>
      <c r="S37" s="596">
        <v>3.5000000000000003E-2</v>
      </c>
      <c r="T37" s="596">
        <v>3.7100000000000001E-2</v>
      </c>
      <c r="U37" s="596">
        <v>3.7100000000000001E-2</v>
      </c>
      <c r="V37" s="596">
        <v>3.7100000000000001E-2</v>
      </c>
      <c r="W37" s="596">
        <v>3.9600000000000003E-2</v>
      </c>
      <c r="X37" s="596">
        <v>3.9600000000000003E-2</v>
      </c>
      <c r="Y37" s="596">
        <v>3.9600000000000003E-2</v>
      </c>
      <c r="Z37" s="596">
        <v>4.2099999999999999E-2</v>
      </c>
      <c r="AA37" s="596">
        <v>4.2099999999999999E-2</v>
      </c>
      <c r="AB37" s="596">
        <v>4.2099999999999999E-2</v>
      </c>
      <c r="AC37" s="596">
        <f>AC4</f>
        <v>4.2500000000000003E-2</v>
      </c>
      <c r="AD37" s="596">
        <f>AD4</f>
        <v>4.2500000000000003E-2</v>
      </c>
      <c r="AE37" s="565"/>
      <c r="AF37" s="495" t="s">
        <v>290</v>
      </c>
      <c r="AG37" s="523">
        <v>191000</v>
      </c>
      <c r="AH37" s="356" t="s">
        <v>280</v>
      </c>
      <c r="AI37" s="356" t="s">
        <v>281</v>
      </c>
      <c r="AJ37" s="379">
        <f>IF((SUMIF(E36:AD36,AF34,E39:AD39)+SUMIF(E36:AD36,AF34,E40:AD40))&gt;0,(SUMIF(E36:AD36,AF34,E39:AD39)+SUMIF(E36:AD36,AF34,E40:AD40)),0)</f>
        <v>2191064.769280876</v>
      </c>
      <c r="AK37" s="496">
        <f>IF((SUMIF(E36:AD36,AF34,E39:AD39)+SUMIF(E36:AD36,AF34,E40:AD40))&lt;0,-(SUMIF(E36:AD36,AF34,E39:AD39)+SUMIF(E36:AD36,AF34,E40:AD40)),0)</f>
        <v>0</v>
      </c>
      <c r="AM37" s="480" t="str">
        <f>_xll.GLW_Segment_Description(AG37,2,2)</f>
        <v>RECOVERABLE GAS COSTS AMORTIZED</v>
      </c>
    </row>
    <row r="38" spans="1:51">
      <c r="A38" s="490"/>
      <c r="B38" s="479" t="s">
        <v>250</v>
      </c>
      <c r="D38" s="480">
        <f>E38</f>
        <v>-2400830.7877258095</v>
      </c>
      <c r="E38" s="480">
        <v>-2400830.7877258095</v>
      </c>
      <c r="F38" s="480">
        <f t="shared" ref="F38" si="63">E43</f>
        <v>-1799942.4443073752</v>
      </c>
      <c r="G38" s="480">
        <f t="shared" ref="G38" si="64">F43</f>
        <v>-1367080.388300563</v>
      </c>
      <c r="H38" s="480">
        <f t="shared" ref="H38" si="65">G43</f>
        <v>-991269.16134300514</v>
      </c>
      <c r="I38" s="480">
        <f t="shared" ref="I38" si="66">H43</f>
        <v>-820633.96798459429</v>
      </c>
      <c r="J38" s="480">
        <f>I43</f>
        <v>-706831.28344430251</v>
      </c>
      <c r="K38" s="480">
        <f t="shared" ref="K38" si="67">J43</f>
        <v>-615740.82707996247</v>
      </c>
      <c r="L38" s="480">
        <f t="shared" ref="L38" si="68">K43</f>
        <v>-539081.43298013532</v>
      </c>
      <c r="M38" s="480">
        <f t="shared" ref="M38:R38" si="69">L43</f>
        <v>-459570.5002163836</v>
      </c>
      <c r="N38" s="480">
        <f t="shared" si="69"/>
        <v>-353667.8760235564</v>
      </c>
      <c r="O38" s="549">
        <f t="shared" si="69"/>
        <v>-123445.19123732927</v>
      </c>
      <c r="P38" s="480">
        <f t="shared" si="69"/>
        <v>-12794629.54065969</v>
      </c>
      <c r="Q38" s="480">
        <f>P43</f>
        <v>-9990002.7430699486</v>
      </c>
      <c r="R38" s="480">
        <f t="shared" si="69"/>
        <v>-6863930.3518781429</v>
      </c>
      <c r="S38" s="480">
        <f>R43</f>
        <v>-4576506.6383892084</v>
      </c>
      <c r="T38" s="480">
        <f t="shared" ref="T38" si="70">S43</f>
        <v>-2850780.7220049934</v>
      </c>
      <c r="U38" s="549">
        <f t="shared" ref="U38" si="71">T43</f>
        <v>-1667508.1164393995</v>
      </c>
      <c r="V38" s="480">
        <f>U43</f>
        <v>-1028322.8285985981</v>
      </c>
      <c r="W38" s="480">
        <f t="shared" ref="W38" si="72">V43</f>
        <v>-648348.69566836057</v>
      </c>
      <c r="X38" s="549">
        <f t="shared" ref="X38:AB38" si="73">W43</f>
        <v>-342730.3402196177</v>
      </c>
      <c r="Y38" s="480">
        <f t="shared" si="73"/>
        <v>-33149.237686728884</v>
      </c>
      <c r="Z38" s="480">
        <f t="shared" si="73"/>
        <v>429057.38532247738</v>
      </c>
      <c r="AA38" s="549">
        <f t="shared" si="73"/>
        <v>1518525.1996199901</v>
      </c>
      <c r="AB38" s="480">
        <f t="shared" si="73"/>
        <v>-11530857.691050928</v>
      </c>
      <c r="AC38" s="480">
        <f>AB43</f>
        <v>-8772939.4477731995</v>
      </c>
      <c r="AD38" s="549">
        <f>AC43</f>
        <v>-6449815.9068760211</v>
      </c>
      <c r="AF38" s="495" t="s">
        <v>291</v>
      </c>
      <c r="AG38" s="523">
        <v>805110</v>
      </c>
      <c r="AH38" s="356" t="s">
        <v>280</v>
      </c>
      <c r="AI38" s="356" t="s">
        <v>281</v>
      </c>
      <c r="AJ38" s="379">
        <f>IF((SUMIF(E36:AD36,AF34,E39:AD39))&lt;0,-(SUMIF(E36:AD36,AF34,E39:AD39)),0)</f>
        <v>0</v>
      </c>
      <c r="AK38" s="496">
        <f>IF((SUMIF(E36:AD36,AF34,E39:AD39))&gt;0,(SUMIF(E36:AD36,AF34,E39:AD39)),0)</f>
        <v>2209994.9905999997</v>
      </c>
      <c r="AM38" s="480" t="str">
        <f>_xll.GLW_Segment_Description(AG38,2,2)</f>
        <v>AMORTIZE RECOVERABLE GAS COSTS</v>
      </c>
      <c r="AS38" s="631" t="s">
        <v>322</v>
      </c>
      <c r="AT38" s="632"/>
      <c r="AU38" s="632"/>
      <c r="AV38" s="632"/>
      <c r="AW38" s="632"/>
      <c r="AX38" s="633"/>
    </row>
    <row r="39" spans="1:51">
      <c r="B39" s="479" t="s">
        <v>23</v>
      </c>
      <c r="C39" s="480">
        <f>SUM(Q39:AB39)</f>
        <v>16000586.827369999</v>
      </c>
      <c r="D39" s="491">
        <f>SUM(E39:AB39)</f>
        <v>22501687.655719999</v>
      </c>
      <c r="E39" s="480">
        <v>606569.19767999998</v>
      </c>
      <c r="F39" s="480">
        <v>437144.93303000001</v>
      </c>
      <c r="G39" s="480">
        <v>379000.50648999994</v>
      </c>
      <c r="H39" s="480">
        <v>173243.59325999999</v>
      </c>
      <c r="I39" s="480">
        <v>116001.61016</v>
      </c>
      <c r="J39" s="480">
        <v>92994.419610000012</v>
      </c>
      <c r="K39" s="480">
        <v>78341.057469999985</v>
      </c>
      <c r="L39" s="480">
        <v>80965.179390000005</v>
      </c>
      <c r="M39" s="480">
        <v>107086.8698</v>
      </c>
      <c r="N39" s="480">
        <v>230917.46145999999</v>
      </c>
      <c r="O39" s="549">
        <v>1361030</v>
      </c>
      <c r="P39" s="480">
        <f>2837806</f>
        <v>2837806</v>
      </c>
      <c r="Q39" s="480">
        <f t="shared" ref="Q39:Z39" si="74">SUMPRODUCT(Q19:Q24,Q29:Q34)</f>
        <v>3150615.2519499999</v>
      </c>
      <c r="R39" s="480">
        <f>SUMPRODUCT(R19:R24,R29:R34)</f>
        <v>2304083.3887400003</v>
      </c>
      <c r="S39" s="480">
        <f t="shared" si="74"/>
        <v>1736541.60424</v>
      </c>
      <c r="T39" s="480">
        <f t="shared" si="74"/>
        <v>1190246.3468200001</v>
      </c>
      <c r="U39" s="480">
        <f t="shared" si="74"/>
        <v>643346.16116000002</v>
      </c>
      <c r="V39" s="480">
        <f t="shared" si="74"/>
        <v>382561.98726999998</v>
      </c>
      <c r="W39" s="480">
        <f t="shared" si="74"/>
        <v>307250.94208999997</v>
      </c>
      <c r="X39" s="480">
        <f t="shared" si="74"/>
        <v>310200.28219000006</v>
      </c>
      <c r="Y39" s="480">
        <f t="shared" si="74"/>
        <v>461554.45064999996</v>
      </c>
      <c r="Z39" s="480">
        <f t="shared" si="74"/>
        <v>1086057.4122600001</v>
      </c>
      <c r="AA39" s="549">
        <v>1765228</v>
      </c>
      <c r="AB39" s="549">
        <v>2662901</v>
      </c>
      <c r="AC39" s="549">
        <f>SUMPRODUCT(AC19:AC24,AC29:AC34)</f>
        <v>2350032.8516000002</v>
      </c>
      <c r="AD39" s="549">
        <f>SUMPRODUCT(AD19:AD24,AD29:AD34)</f>
        <v>2209994.9905999997</v>
      </c>
      <c r="AF39" s="153" t="s">
        <v>156</v>
      </c>
      <c r="AG39" s="208">
        <f>AG37</f>
        <v>191000</v>
      </c>
      <c r="AH39" s="208" t="str">
        <f t="shared" ref="AH39:AI39" si="75">AH37</f>
        <v>GD</v>
      </c>
      <c r="AI39" s="208" t="str">
        <f t="shared" si="75"/>
        <v>WA</v>
      </c>
      <c r="AJ39" s="470">
        <v>0</v>
      </c>
      <c r="AK39" s="460">
        <f>-IF(SUMIF(E36:AD36,AF34,E42:AD42)&lt;0,SUMIF(E36:AD36,AF34,E42:AD42),0)</f>
        <v>370.51</v>
      </c>
      <c r="AM39" s="480" t="str">
        <f>_xll.GLW_Segment_Description(AG39,2,2)</f>
        <v>RECOVERABLE GAS COSTS AMORTIZED</v>
      </c>
      <c r="AS39" s="634" t="s">
        <v>156</v>
      </c>
      <c r="AT39" s="208">
        <v>191000</v>
      </c>
      <c r="AU39" s="550" t="s">
        <v>280</v>
      </c>
      <c r="AV39" s="550" t="s">
        <v>281</v>
      </c>
      <c r="AW39" s="550">
        <v>130571.12</v>
      </c>
      <c r="AX39" s="635">
        <v>0</v>
      </c>
      <c r="AY39" s="480">
        <f>AW39-AK39</f>
        <v>130200.61</v>
      </c>
    </row>
    <row r="40" spans="1:51" ht="16.5" thickBot="1">
      <c r="B40" s="479" t="s">
        <v>4</v>
      </c>
      <c r="C40" s="480">
        <f>SUM(Q40:AB40)</f>
        <v>-142882.10207324801</v>
      </c>
      <c r="D40" s="480">
        <f>SUM(E40:AB40)</f>
        <v>-240404.19576738396</v>
      </c>
      <c r="E40" s="487">
        <v>-5680.8542615657343</v>
      </c>
      <c r="F40" s="487">
        <v>-4282.8770231876824</v>
      </c>
      <c r="G40" s="487">
        <v>-3189.27953244215</v>
      </c>
      <c r="H40" s="487">
        <v>-2608.3999015891645</v>
      </c>
      <c r="I40" s="487">
        <v>-2198.9256197082468</v>
      </c>
      <c r="J40" s="487">
        <v>-1903.9632456599886</v>
      </c>
      <c r="K40" s="487">
        <v>-1681.6633701728074</v>
      </c>
      <c r="L40" s="487">
        <v>-1454.2466262483115</v>
      </c>
      <c r="M40" s="487">
        <v>-1184.2456071727854</v>
      </c>
      <c r="N40" s="487">
        <v>-694.77667377287275</v>
      </c>
      <c r="O40" s="546">
        <f>((O38+O41)*(O37/12))+(((O39+O42)/2)*(O37/12))</f>
        <v>-39463.659422358884</v>
      </c>
      <c r="P40" s="487">
        <f t="shared" ref="P40:T40" si="76">((P38+P41)*(P37/12))+(((P39+P42)/2)*(P37/12))</f>
        <v>-33179.202410257429</v>
      </c>
      <c r="Q40" s="487">
        <f>((Q38+Q41)*(Q37/12))+(((Q39+Q42)/2)*(Q37/12))</f>
        <v>-24542.860758193601</v>
      </c>
      <c r="R40" s="487">
        <f t="shared" si="76"/>
        <v>-16659.675251065419</v>
      </c>
      <c r="S40" s="487">
        <f t="shared" si="76"/>
        <v>-10815.687855785192</v>
      </c>
      <c r="T40" s="487">
        <f t="shared" si="76"/>
        <v>-6973.7412544061872</v>
      </c>
      <c r="U40" s="487">
        <f>((U38+U41)*(U37/12))+(((U39+U42)/2)*(U37/12))</f>
        <v>-4160.873319198643</v>
      </c>
      <c r="V40" s="487">
        <f>((V38+V41)*(V37/12))+(((V39+V42)/2)*(V37/12))</f>
        <v>-2587.8543397624576</v>
      </c>
      <c r="W40" s="487">
        <f t="shared" ref="W40" si="77">((W38+W41)*(W37/12))+(((W39+W42)/2)*(W37/12))</f>
        <v>-1632.5866412570899</v>
      </c>
      <c r="X40" s="487">
        <f t="shared" ref="X40:Z40" si="78">((X38+X41)*(X37/12))+(((X39+X42)/2)*(X37/12))</f>
        <v>-619.17965711123838</v>
      </c>
      <c r="Y40" s="487">
        <f t="shared" si="78"/>
        <v>652.17235920629469</v>
      </c>
      <c r="Z40" s="487">
        <f t="shared" si="78"/>
        <v>3410.4020375124419</v>
      </c>
      <c r="AA40" s="546">
        <f>((AA38+AA41)*(AA37/12))+(((AA39+AA42)/2)*(AA37/12))</f>
        <v>-43398.340670916543</v>
      </c>
      <c r="AB40" s="487">
        <f>((AB38+AB41)*(AB37/12))+(((AB39+AB42)/2)*(AB37/12))</f>
        <v>-35553.876722270346</v>
      </c>
      <c r="AC40" s="546">
        <f>((AC38+AC41)*(AC37/12))+(((AC39+AC42)/2)*(AC37/12))</f>
        <v>-26909.310702821749</v>
      </c>
      <c r="AD40" s="546">
        <f>((AD38+AD41)*(AD37/12))+(((AD39+AD42)/2)*(AD37/12))</f>
        <v>-18930.221319123411</v>
      </c>
      <c r="AF40" s="154" t="str">
        <f>AF39</f>
        <v>Large Customer Refund</v>
      </c>
      <c r="AG40" s="547">
        <f>AG38</f>
        <v>805110</v>
      </c>
      <c r="AH40" s="547" t="str">
        <f t="shared" ref="AH40:AI40" si="79">AH38</f>
        <v>GD</v>
      </c>
      <c r="AI40" s="547" t="str">
        <f t="shared" si="79"/>
        <v>WA</v>
      </c>
      <c r="AJ40" s="462">
        <f>AK39</f>
        <v>370.51</v>
      </c>
      <c r="AK40" s="471">
        <v>0</v>
      </c>
      <c r="AM40" s="480" t="str">
        <f>_xll.GLW_Segment_Description(AG40,2,2)</f>
        <v>AMORTIZE RECOVERABLE GAS COSTS</v>
      </c>
      <c r="AS40" s="636" t="s">
        <v>156</v>
      </c>
      <c r="AT40" s="209">
        <v>805110</v>
      </c>
      <c r="AU40" s="637" t="s">
        <v>280</v>
      </c>
      <c r="AV40" s="637" t="s">
        <v>281</v>
      </c>
      <c r="AW40" s="637">
        <v>0</v>
      </c>
      <c r="AX40" s="638">
        <v>130571.12</v>
      </c>
      <c r="AY40" s="480">
        <f>AX40-AJ40</f>
        <v>130200.61</v>
      </c>
    </row>
    <row r="41" spans="1:51" ht="16.5" thickBot="1">
      <c r="B41" s="479" t="s">
        <v>255</v>
      </c>
      <c r="C41" s="480">
        <f t="shared" ref="C41:C42" si="80">SUM(Q41:AB41)</f>
        <v>-14771212.550000001</v>
      </c>
      <c r="D41" s="480">
        <f>SUM(E41:AB41)</f>
        <v>-28953396.510000002</v>
      </c>
      <c r="E41" s="480">
        <v>0</v>
      </c>
      <c r="F41" s="480">
        <v>0</v>
      </c>
      <c r="G41" s="480">
        <v>0</v>
      </c>
      <c r="H41" s="480">
        <v>0</v>
      </c>
      <c r="I41" s="480">
        <v>0</v>
      </c>
      <c r="J41" s="480">
        <v>0</v>
      </c>
      <c r="K41" s="480">
        <v>0</v>
      </c>
      <c r="L41" s="480">
        <v>0</v>
      </c>
      <c r="M41" s="480">
        <v>0</v>
      </c>
      <c r="N41" s="480">
        <v>0</v>
      </c>
      <c r="O41" s="592">
        <v>-14182183.960000001</v>
      </c>
      <c r="P41" s="480">
        <v>0</v>
      </c>
      <c r="Q41" s="480">
        <v>0</v>
      </c>
      <c r="R41" s="480">
        <v>0</v>
      </c>
      <c r="S41" s="480">
        <v>0</v>
      </c>
      <c r="T41" s="480">
        <v>0</v>
      </c>
      <c r="U41" s="480">
        <v>0</v>
      </c>
      <c r="V41" s="480">
        <v>0</v>
      </c>
      <c r="W41" s="480">
        <v>0</v>
      </c>
      <c r="X41" s="480">
        <v>0</v>
      </c>
      <c r="Y41" s="480">
        <v>0</v>
      </c>
      <c r="Z41" s="480">
        <v>0</v>
      </c>
      <c r="AA41" s="592">
        <v>-14771212.550000001</v>
      </c>
      <c r="AB41" s="480">
        <v>0</v>
      </c>
      <c r="AC41" s="549">
        <v>0</v>
      </c>
      <c r="AD41" s="549">
        <v>0</v>
      </c>
      <c r="AF41" s="511"/>
      <c r="AG41" s="525"/>
      <c r="AH41" s="512"/>
      <c r="AI41" s="512"/>
      <c r="AJ41" s="512" t="s">
        <v>159</v>
      </c>
      <c r="AK41" s="513">
        <f>SUM(AJ35:AJ40)-SUM(AK35:AK40)</f>
        <v>0</v>
      </c>
    </row>
    <row r="42" spans="1:51">
      <c r="B42" s="479" t="s">
        <v>148</v>
      </c>
      <c r="C42" s="480">
        <f t="shared" si="80"/>
        <v>130571.12</v>
      </c>
      <c r="D42" s="491">
        <f>SUM(E42:AB42)</f>
        <v>320004.39</v>
      </c>
      <c r="E42" s="480">
        <v>0</v>
      </c>
      <c r="F42" s="480">
        <v>0</v>
      </c>
      <c r="G42" s="480">
        <v>0</v>
      </c>
      <c r="H42" s="480">
        <v>0</v>
      </c>
      <c r="I42" s="480">
        <v>0</v>
      </c>
      <c r="J42" s="480">
        <v>0</v>
      </c>
      <c r="K42" s="480">
        <v>0</v>
      </c>
      <c r="L42" s="480">
        <v>0</v>
      </c>
      <c r="M42" s="480">
        <v>0</v>
      </c>
      <c r="N42" s="480">
        <v>0</v>
      </c>
      <c r="O42" s="549">
        <v>189433.27</v>
      </c>
      <c r="P42" s="480">
        <v>0</v>
      </c>
      <c r="Q42" s="480">
        <v>0</v>
      </c>
      <c r="R42" s="480">
        <v>0</v>
      </c>
      <c r="S42" s="480">
        <v>0</v>
      </c>
      <c r="T42" s="480">
        <v>0</v>
      </c>
      <c r="U42" s="480">
        <v>0</v>
      </c>
      <c r="V42" s="480">
        <v>0</v>
      </c>
      <c r="W42" s="480">
        <v>0</v>
      </c>
      <c r="X42" s="480">
        <v>0</v>
      </c>
      <c r="Y42" s="480">
        <v>0</v>
      </c>
      <c r="Z42" s="480">
        <v>0</v>
      </c>
      <c r="AA42" s="625">
        <v>0</v>
      </c>
      <c r="AB42" s="625">
        <v>130571.12</v>
      </c>
      <c r="AC42" s="549">
        <v>0</v>
      </c>
      <c r="AD42" s="625">
        <f>-158.62-25.94-185.95</f>
        <v>-370.51</v>
      </c>
    </row>
    <row r="43" spans="1:51" ht="16.5" thickBot="1">
      <c r="B43" s="479" t="s">
        <v>56</v>
      </c>
      <c r="C43" s="533">
        <f>SUM(C39:C42)</f>
        <v>1217063.29529675</v>
      </c>
      <c r="D43" s="533">
        <f>SUM(D38:D42)</f>
        <v>-8772939.4477731958</v>
      </c>
      <c r="E43" s="533">
        <v>-1799942.4443073752</v>
      </c>
      <c r="F43" s="533">
        <f t="shared" ref="F43:P43" si="81">SUM(F38:F42)</f>
        <v>-1367080.388300563</v>
      </c>
      <c r="G43" s="533">
        <f t="shared" si="81"/>
        <v>-991269.16134300514</v>
      </c>
      <c r="H43" s="533">
        <f t="shared" si="81"/>
        <v>-820633.96798459429</v>
      </c>
      <c r="I43" s="533">
        <f t="shared" si="81"/>
        <v>-706831.28344430251</v>
      </c>
      <c r="J43" s="533">
        <f t="shared" si="81"/>
        <v>-615740.82707996247</v>
      </c>
      <c r="K43" s="533">
        <f>SUM(K38:K42)</f>
        <v>-539081.43298013532</v>
      </c>
      <c r="L43" s="533">
        <f t="shared" si="81"/>
        <v>-459570.5002163836</v>
      </c>
      <c r="M43" s="533">
        <f t="shared" si="81"/>
        <v>-353667.8760235564</v>
      </c>
      <c r="N43" s="533">
        <f t="shared" si="81"/>
        <v>-123445.19123732927</v>
      </c>
      <c r="O43" s="533">
        <f>SUM(O38:O42)</f>
        <v>-12794629.54065969</v>
      </c>
      <c r="P43" s="533">
        <f t="shared" si="81"/>
        <v>-9990002.7430699486</v>
      </c>
      <c r="Q43" s="533">
        <f>SUM(Q38:Q42)</f>
        <v>-6863930.3518781429</v>
      </c>
      <c r="R43" s="533">
        <f t="shared" ref="R43:V43" si="82">SUM(R38:R42)</f>
        <v>-4576506.6383892084</v>
      </c>
      <c r="S43" s="533">
        <f>SUM(S38:S42)</f>
        <v>-2850780.7220049934</v>
      </c>
      <c r="T43" s="533">
        <f t="shared" si="82"/>
        <v>-1667508.1164393995</v>
      </c>
      <c r="U43" s="533">
        <f t="shared" si="82"/>
        <v>-1028322.8285985981</v>
      </c>
      <c r="V43" s="533">
        <f t="shared" si="82"/>
        <v>-648348.69566836057</v>
      </c>
      <c r="W43" s="533">
        <f>SUM(W38:W42)</f>
        <v>-342730.3402196177</v>
      </c>
      <c r="X43" s="533">
        <f t="shared" ref="X43:Z43" si="83">SUM(X38:X42)</f>
        <v>-33149.237686728884</v>
      </c>
      <c r="Y43" s="533">
        <f t="shared" si="83"/>
        <v>429057.38532247738</v>
      </c>
      <c r="Z43" s="533">
        <f t="shared" si="83"/>
        <v>1518525.1996199901</v>
      </c>
      <c r="AA43" s="533">
        <f>SUM(AA38:AA42)</f>
        <v>-11530857.691050928</v>
      </c>
      <c r="AB43" s="533">
        <f>SUM(AB38:AB42)</f>
        <v>-8772939.4477731995</v>
      </c>
      <c r="AC43" s="593">
        <f>SUM(AC38:AC42)</f>
        <v>-6449815.9068760211</v>
      </c>
      <c r="AD43" s="593">
        <f>SUM(AD38:AD42)</f>
        <v>-4259121.6475951439</v>
      </c>
      <c r="AF43" s="356"/>
      <c r="AG43" s="523"/>
      <c r="AH43" s="356"/>
      <c r="AI43" s="356"/>
      <c r="AJ43" s="379"/>
      <c r="AK43" s="379"/>
      <c r="AL43" s="550"/>
      <c r="AM43" s="550"/>
      <c r="AN43" s="550"/>
      <c r="AO43" s="550"/>
    </row>
    <row r="44" spans="1:51" ht="16.5" thickTop="1">
      <c r="B44" s="479" t="s">
        <v>256</v>
      </c>
      <c r="D44" s="480">
        <f>_xll.Get_Balance(AB36,"YTD","USD","Total","A","","001",$A$36,"GD","WA","DL")</f>
        <v>-8772480.3499999996</v>
      </c>
      <c r="E44" s="480">
        <v>-1799942.22</v>
      </c>
      <c r="F44" s="480">
        <f>_xll.Get_Balance(F36,"YTD","USD","Total","A","","001",$A$36,"GD","WA","DL")</f>
        <v>-1367080.17</v>
      </c>
      <c r="G44" s="480">
        <f>_xll.Get_Balance(G36,"YTD","USD","Total","A","","001",$A$36,"GD","WA","DL")</f>
        <v>-991268.94</v>
      </c>
      <c r="H44" s="480">
        <f>_xll.Get_Balance(H36,"YTD","USD","Total","A","","001",$A$36,"GD","WA","DL")</f>
        <v>-820633.75</v>
      </c>
      <c r="I44" s="480">
        <f>_xll.Get_Balance(I36,"YTD","USD","Total","A","","001",$A$36,"GD","WA","DL")</f>
        <v>-706831.07</v>
      </c>
      <c r="J44" s="480">
        <f>_xll.Get_Balance(J36,"YTD","USD","Total","A","","001",$A$36,"GD","WA","DL")</f>
        <v>-615740.61</v>
      </c>
      <c r="K44" s="480">
        <f>_xll.Get_Balance(K36,"YTD","USD","Total","A","","001",$A$36,"GD","WA","DL")</f>
        <v>-539081.21</v>
      </c>
      <c r="L44" s="480">
        <f>_xll.Get_Balance(L36,"YTD","USD","Total","A","","001",$A$36,"GD","WA","DL")</f>
        <v>-459570.28</v>
      </c>
      <c r="M44" s="480">
        <f>_xll.Get_Balance(M36,"YTD","USD","Total","A","","001",$A$36,"GD","WA","DL")</f>
        <v>-353667.66</v>
      </c>
      <c r="N44" s="480">
        <f>_xll.Get_Balance(N36,"YTD","USD","Total","A","","001",$A$36,"GD","WA","DL")</f>
        <v>-123444.98</v>
      </c>
      <c r="O44" s="480">
        <f>_xll.Get_Balance(O36,"YTD","USD","Total","A","","001",$A$36,"GD","WA","DL")</f>
        <v>-12794629.33</v>
      </c>
      <c r="P44" s="480">
        <f>_xll.Get_Balance(P36,"YTD","USD","Total","A","","001",$A$36,"GD","WA","DL")</f>
        <v>-9990002.5299999993</v>
      </c>
      <c r="Q44" s="480">
        <f>_xll.Get_Balance(Q36,"YTD","USD","Total","A","","001",$A$36,"GD","WA","DL")</f>
        <v>-6863930.1399999997</v>
      </c>
      <c r="R44" s="480">
        <f>_xll.Get_Balance(R36,"YTD","USD","Total","A","","001",$A$36,"GD","WA","DL")</f>
        <v>-4576506.43</v>
      </c>
      <c r="S44" s="480">
        <f>_xll.Get_Balance(S36,"YTD","USD","Total","A","","001",$A$36,"GD","WA","DL")</f>
        <v>-2850780.51</v>
      </c>
      <c r="T44" s="480">
        <f>_xll.Get_Balance(T36,"YTD","USD","Total","A","","001",$A$36,"GD","WA","DL")</f>
        <v>-1667507.9</v>
      </c>
      <c r="U44" s="480">
        <f>_xll.Get_Balance(U36,"YTD","USD","Total","A","","001",$A$36,"GD","WA","DL")</f>
        <v>-1028322.61</v>
      </c>
      <c r="V44" s="480">
        <f>_xll.Get_Balance(V36,"YTD","USD","Total","A","","001",$A$36,"GD","WA","DL")</f>
        <v>-648348.48</v>
      </c>
      <c r="W44" s="480">
        <f>_xll.Get_Balance(W36,"YTD","USD","Total","A","","001",$A$36,"GD","WA","DL")</f>
        <v>-342730.12</v>
      </c>
      <c r="X44" s="480">
        <f>_xll.Get_Balance(X36,"YTD","USD","Total","A","","001",$A$36,"GD","WA","DL")</f>
        <v>-33149.019999999997</v>
      </c>
      <c r="Y44" s="480">
        <f>_xll.Get_Balance(Y36,"YTD","USD","Total","A","","001",$A$36,"GD","WA","DL")</f>
        <v>429057.6</v>
      </c>
      <c r="Z44" s="480">
        <f>_xll.Get_Balance(Z36,"YTD","USD","Total","A","","001",$A$36,"GD","WA","DL")</f>
        <v>1518525.41</v>
      </c>
      <c r="AA44" s="480">
        <f>_xll.Get_Balance(AA36,"YTD","USD","Total","A","","001",$A$36,"GD","WA","DL")</f>
        <v>-11530628.439999999</v>
      </c>
      <c r="AB44" s="480">
        <f>_xll.Get_Balance(AB36,"YTD","USD","Total","A","","001",$A$36,"GD","WA","DL")</f>
        <v>-8772480.3499999996</v>
      </c>
      <c r="AC44" s="549">
        <f>_xll.Get_Balance(AC36,"YTD","USD","Total","A","","001",$A$36,"GD","WA","DL")</f>
        <v>-6449815.9100000001</v>
      </c>
      <c r="AD44" s="549">
        <f>_xll.Get_Balance(AD36,"YTD","USD","Total","A","","001",$A$36,"GD","WA","DL")</f>
        <v>-6449815.9100000001</v>
      </c>
      <c r="AF44" s="356"/>
      <c r="AG44" s="523"/>
      <c r="AH44" s="356"/>
      <c r="AI44" s="356"/>
      <c r="AJ44" s="379"/>
      <c r="AK44" s="379"/>
      <c r="AL44" s="550"/>
      <c r="AM44" s="550"/>
      <c r="AN44" s="550"/>
      <c r="AO44" s="550"/>
    </row>
    <row r="45" spans="1:51">
      <c r="B45" s="479" t="s">
        <v>243</v>
      </c>
      <c r="E45" s="480">
        <v>-0.22430737526156008</v>
      </c>
      <c r="F45" s="480">
        <f t="shared" ref="F45:M45" si="84">F43-F44</f>
        <v>-0.21830056305043399</v>
      </c>
      <c r="G45" s="480">
        <f t="shared" si="84"/>
        <v>-0.22134300519246608</v>
      </c>
      <c r="H45" s="480">
        <f t="shared" si="84"/>
        <v>-0.2179845942882821</v>
      </c>
      <c r="I45" s="480">
        <f>I43-I44</f>
        <v>-0.21344430255703628</v>
      </c>
      <c r="J45" s="480">
        <f t="shared" si="84"/>
        <v>-0.21707996248733252</v>
      </c>
      <c r="K45" s="480">
        <f>K43-K44</f>
        <v>-0.22298013535328209</v>
      </c>
      <c r="L45" s="480">
        <f>L43-L44</f>
        <v>-0.2202163835754618</v>
      </c>
      <c r="M45" s="480">
        <f t="shared" si="84"/>
        <v>-0.2160235564224422</v>
      </c>
      <c r="N45" s="480">
        <f>N43-N44</f>
        <v>-0.21123732927662786</v>
      </c>
      <c r="O45" s="480">
        <f>O43-O44</f>
        <v>-0.2106596902012825</v>
      </c>
      <c r="P45" s="480">
        <f>P43-P44</f>
        <v>-0.21306994929909706</v>
      </c>
      <c r="Q45" s="480">
        <f>Q43-Q44</f>
        <v>-0.21187814325094223</v>
      </c>
      <c r="R45" s="480">
        <f t="shared" ref="R45:T45" si="85">R43-R44</f>
        <v>-0.20838920865207911</v>
      </c>
      <c r="S45" s="480">
        <f>S43-S44</f>
        <v>-0.21200499357655644</v>
      </c>
      <c r="T45" s="480">
        <f t="shared" si="85"/>
        <v>-0.21643939963541925</v>
      </c>
      <c r="U45" s="480">
        <f>U43-U44</f>
        <v>-0.21859859814867377</v>
      </c>
      <c r="V45" s="480">
        <f t="shared" ref="V45" si="86">V43-V44</f>
        <v>-0.21566836058627814</v>
      </c>
      <c r="W45" s="480">
        <f>W43-W44</f>
        <v>-0.22021961770951748</v>
      </c>
      <c r="X45" s="480">
        <f>X43-X44</f>
        <v>-0.21768672888720175</v>
      </c>
      <c r="Y45" s="480">
        <f t="shared" ref="Y45" si="87">Y43-Y44</f>
        <v>-0.21467752259923145</v>
      </c>
      <c r="Z45" s="480">
        <f>Z43-Z44</f>
        <v>-0.21038000984117389</v>
      </c>
      <c r="AA45" s="480">
        <f>AA43-AA44</f>
        <v>-229.25105092860758</v>
      </c>
      <c r="AB45" s="480">
        <f>AB43-AB44</f>
        <v>-459.09777319990098</v>
      </c>
      <c r="AC45" s="549">
        <f>AC43-AC44</f>
        <v>3.1239790841937065E-3</v>
      </c>
      <c r="AD45" s="549">
        <f>AD43-AD44</f>
        <v>2190694.2624048563</v>
      </c>
    </row>
    <row r="46" spans="1:51">
      <c r="AC46" s="549"/>
      <c r="AD46" s="549"/>
    </row>
    <row r="47" spans="1:51" hidden="1" outlineLevel="1">
      <c r="A47" s="481" t="s">
        <v>311</v>
      </c>
      <c r="E47" s="530"/>
      <c r="F47" s="530"/>
      <c r="G47" s="530"/>
      <c r="H47" s="530"/>
      <c r="I47" s="530"/>
      <c r="J47" s="530"/>
      <c r="K47" s="530"/>
      <c r="L47" s="530"/>
      <c r="M47" s="530"/>
      <c r="N47" s="530"/>
      <c r="O47" s="530"/>
      <c r="P47" s="530"/>
      <c r="Q47" s="530"/>
      <c r="R47" s="530"/>
      <c r="S47" s="530"/>
      <c r="T47" s="530"/>
      <c r="U47" s="530"/>
      <c r="V47" s="530"/>
      <c r="W47" s="530"/>
      <c r="X47" s="530"/>
      <c r="Y47" s="530"/>
      <c r="Z47" s="530"/>
      <c r="AA47" s="530"/>
      <c r="AB47" s="530"/>
      <c r="AC47" s="624"/>
      <c r="AD47" s="624"/>
    </row>
    <row r="48" spans="1:51" hidden="1" outlineLevel="1">
      <c r="A48" s="482">
        <v>191025</v>
      </c>
      <c r="B48" s="483" t="s">
        <v>252</v>
      </c>
      <c r="C48" s="484" t="s">
        <v>248</v>
      </c>
      <c r="D48" s="484" t="s">
        <v>249</v>
      </c>
      <c r="E48" s="482">
        <v>201601</v>
      </c>
      <c r="F48" s="482">
        <f>E48+1</f>
        <v>201602</v>
      </c>
      <c r="G48" s="482">
        <f t="shared" ref="G48:P48" si="88">F48+1</f>
        <v>201603</v>
      </c>
      <c r="H48" s="482">
        <f t="shared" si="88"/>
        <v>201604</v>
      </c>
      <c r="I48" s="482">
        <f t="shared" si="88"/>
        <v>201605</v>
      </c>
      <c r="J48" s="482">
        <f t="shared" si="88"/>
        <v>201606</v>
      </c>
      <c r="K48" s="482">
        <f t="shared" si="88"/>
        <v>201607</v>
      </c>
      <c r="L48" s="482">
        <f t="shared" si="88"/>
        <v>201608</v>
      </c>
      <c r="M48" s="482">
        <f t="shared" si="88"/>
        <v>201609</v>
      </c>
      <c r="N48" s="482">
        <f t="shared" si="88"/>
        <v>201610</v>
      </c>
      <c r="O48" s="482">
        <f t="shared" si="88"/>
        <v>201611</v>
      </c>
      <c r="P48" s="482">
        <f t="shared" si="88"/>
        <v>201612</v>
      </c>
      <c r="Q48" s="482">
        <f>Q3</f>
        <v>201701</v>
      </c>
      <c r="R48" s="482">
        <f>Q48+1</f>
        <v>201702</v>
      </c>
      <c r="S48" s="482">
        <f t="shared" ref="S48" si="89">R48+1</f>
        <v>201703</v>
      </c>
      <c r="T48" s="482">
        <f t="shared" ref="T48" si="90">S48+1</f>
        <v>201704</v>
      </c>
      <c r="U48" s="482">
        <f t="shared" ref="U48" si="91">T48+1</f>
        <v>201705</v>
      </c>
      <c r="V48" s="482">
        <f t="shared" ref="V48" si="92">U48+1</f>
        <v>201706</v>
      </c>
      <c r="W48" s="482">
        <f t="shared" ref="W48" si="93">V48+1</f>
        <v>201707</v>
      </c>
      <c r="X48" s="482">
        <f t="shared" ref="X48" si="94">W48+1</f>
        <v>201708</v>
      </c>
      <c r="Y48" s="482">
        <f t="shared" ref="Y48" si="95">X48+1</f>
        <v>201709</v>
      </c>
      <c r="Z48" s="482">
        <f t="shared" ref="Z48" si="96">Y48+1</f>
        <v>201710</v>
      </c>
      <c r="AA48" s="482">
        <f t="shared" ref="AA48" si="97">Z48+1</f>
        <v>201711</v>
      </c>
      <c r="AB48" s="482">
        <f t="shared" ref="AB48" si="98">AA48+1</f>
        <v>201712</v>
      </c>
      <c r="AC48" s="572">
        <f>AC3</f>
        <v>201801</v>
      </c>
      <c r="AD48" s="572">
        <f>AD3</f>
        <v>201802</v>
      </c>
      <c r="AJ48" s="549"/>
    </row>
    <row r="49" spans="1:33" hidden="1" outlineLevel="1">
      <c r="A49" s="481"/>
      <c r="B49" s="479" t="s">
        <v>37</v>
      </c>
      <c r="C49" s="488">
        <f>SUM(Q49:AB49)</f>
        <v>130617072</v>
      </c>
      <c r="D49" s="488">
        <f t="shared" ref="D49:D57" si="99">SUM(E49:AB49)</f>
        <v>239260942</v>
      </c>
      <c r="E49" s="535">
        <v>20140968</v>
      </c>
      <c r="F49" s="535">
        <v>14297044</v>
      </c>
      <c r="G49" s="535">
        <v>12238194</v>
      </c>
      <c r="H49" s="535">
        <v>5348802</v>
      </c>
      <c r="I49" s="535">
        <v>3384728</v>
      </c>
      <c r="J49" s="535">
        <v>2765049</v>
      </c>
      <c r="K49" s="535">
        <v>2292583</v>
      </c>
      <c r="L49" s="535">
        <v>2354714</v>
      </c>
      <c r="M49" s="535">
        <v>3123052</v>
      </c>
      <c r="N49" s="535">
        <v>7137333</v>
      </c>
      <c r="O49" s="535">
        <v>11352396</v>
      </c>
      <c r="P49" s="535">
        <v>24209007</v>
      </c>
      <c r="Q49" s="598">
        <v>27259641</v>
      </c>
      <c r="R49" s="598">
        <f>Feb!$G23</f>
        <v>18179866</v>
      </c>
      <c r="S49" s="598">
        <f>Mar!$G23</f>
        <v>14316138</v>
      </c>
      <c r="T49" s="598">
        <f>Apr!$G23</f>
        <v>9641125</v>
      </c>
      <c r="U49" s="598">
        <f>May!$G23</f>
        <v>4941679</v>
      </c>
      <c r="V49" s="598">
        <f>Jun!$G23</f>
        <v>2542069</v>
      </c>
      <c r="W49" s="598">
        <f>Jul!$G23</f>
        <v>2070483</v>
      </c>
      <c r="X49" s="598">
        <f>Aug!$G23</f>
        <v>2080707</v>
      </c>
      <c r="Y49" s="598">
        <f>Sep!$G23</f>
        <v>3147236</v>
      </c>
      <c r="Z49" s="598">
        <f>Oct!$G23</f>
        <v>8835836</v>
      </c>
      <c r="AA49" s="598">
        <f>Nov!$G23</f>
        <v>14838696</v>
      </c>
      <c r="AB49" s="598">
        <f>Dec!$G23</f>
        <v>22763596</v>
      </c>
      <c r="AC49" s="598">
        <f>Jan!G23</f>
        <v>20257484</v>
      </c>
      <c r="AD49" s="551">
        <f>Feb!G23</f>
        <v>18179866</v>
      </c>
    </row>
    <row r="50" spans="1:33" hidden="1" outlineLevel="1">
      <c r="A50" s="481"/>
      <c r="B50" s="554" t="s">
        <v>305</v>
      </c>
      <c r="C50" s="488">
        <f t="shared" ref="C50:C57" si="100">SUM(Q50:AB50)</f>
        <v>180105</v>
      </c>
      <c r="D50" s="488">
        <f t="shared" si="99"/>
        <v>332422</v>
      </c>
      <c r="E50" s="535">
        <v>17893</v>
      </c>
      <c r="F50" s="535">
        <v>14593</v>
      </c>
      <c r="G50" s="535">
        <v>18603</v>
      </c>
      <c r="H50" s="535">
        <v>12171</v>
      </c>
      <c r="I50" s="535">
        <v>5734</v>
      </c>
      <c r="J50" s="535">
        <v>4482</v>
      </c>
      <c r="K50" s="535">
        <v>3610</v>
      </c>
      <c r="L50" s="535">
        <v>2820</v>
      </c>
      <c r="M50" s="535">
        <v>4729</v>
      </c>
      <c r="N50" s="535">
        <v>12809</v>
      </c>
      <c r="O50" s="535">
        <v>19581</v>
      </c>
      <c r="P50" s="535">
        <v>35292</v>
      </c>
      <c r="Q50" s="598">
        <v>40615</v>
      </c>
      <c r="R50" s="598">
        <f>Feb!$G24</f>
        <v>21014</v>
      </c>
      <c r="S50" s="598">
        <f>Mar!$G24</f>
        <v>22738</v>
      </c>
      <c r="T50" s="598">
        <f>Apr!$G24</f>
        <v>15697</v>
      </c>
      <c r="U50" s="598">
        <f>May!$G24</f>
        <v>8078</v>
      </c>
      <c r="V50" s="598">
        <f>Jun!$G24</f>
        <v>3619</v>
      </c>
      <c r="W50" s="598">
        <f>Jul!$G24</f>
        <v>2296</v>
      </c>
      <c r="X50" s="598">
        <f>Aug!$G24</f>
        <v>2393</v>
      </c>
      <c r="Y50" s="598">
        <f>Sep!$G24</f>
        <v>3920</v>
      </c>
      <c r="Z50" s="598">
        <f>Oct!$G24</f>
        <v>13952</v>
      </c>
      <c r="AA50" s="598">
        <f>Nov!$G24</f>
        <v>20740</v>
      </c>
      <c r="AB50" s="598">
        <f>Dec!$G24</f>
        <v>25043</v>
      </c>
      <c r="AC50" s="598">
        <f>Jan!G24</f>
        <v>22671</v>
      </c>
      <c r="AD50" s="551">
        <f>Feb!G24</f>
        <v>21014</v>
      </c>
    </row>
    <row r="51" spans="1:33" hidden="1" outlineLevel="1">
      <c r="A51" s="481"/>
      <c r="B51" s="479" t="s">
        <v>38</v>
      </c>
      <c r="C51" s="488">
        <f t="shared" si="100"/>
        <v>51732297</v>
      </c>
      <c r="D51" s="488">
        <f t="shared" si="99"/>
        <v>96291598</v>
      </c>
      <c r="E51" s="535">
        <v>6568112</v>
      </c>
      <c r="F51" s="535">
        <v>5200734</v>
      </c>
      <c r="G51" s="535">
        <v>4795258</v>
      </c>
      <c r="H51" s="535">
        <v>2668983</v>
      </c>
      <c r="I51" s="535">
        <v>2221542</v>
      </c>
      <c r="J51" s="535">
        <v>1675034</v>
      </c>
      <c r="K51" s="535">
        <v>1510014</v>
      </c>
      <c r="L51" s="535">
        <v>1583471</v>
      </c>
      <c r="M51" s="535">
        <v>2056535</v>
      </c>
      <c r="N51" s="535">
        <v>3586972</v>
      </c>
      <c r="O51" s="535">
        <v>4116109</v>
      </c>
      <c r="P51" s="535">
        <v>8576537</v>
      </c>
      <c r="Q51" s="598">
        <v>8738107</v>
      </c>
      <c r="R51" s="598">
        <f>Feb!$G25</f>
        <v>7202971</v>
      </c>
      <c r="S51" s="598">
        <f>Mar!$G25</f>
        <v>5603968</v>
      </c>
      <c r="T51" s="598">
        <f>Apr!$G25</f>
        <v>4021494</v>
      </c>
      <c r="U51" s="598">
        <f>May!$G25</f>
        <v>2425238</v>
      </c>
      <c r="V51" s="598">
        <f>Jun!$G25</f>
        <v>1878375</v>
      </c>
      <c r="W51" s="598">
        <f>Jul!$G25</f>
        <v>1446879</v>
      </c>
      <c r="X51" s="598">
        <f>Aug!$G25</f>
        <v>1463939</v>
      </c>
      <c r="Y51" s="598">
        <f>Sep!$G25</f>
        <v>2165313</v>
      </c>
      <c r="Z51" s="598">
        <f>Oct!$G25</f>
        <v>3629858</v>
      </c>
      <c r="AA51" s="598">
        <f>Nov!$G25</f>
        <v>5325716</v>
      </c>
      <c r="AB51" s="598">
        <f>Dec!$G25</f>
        <v>7830439</v>
      </c>
      <c r="AC51" s="598">
        <f>Jan!G25</f>
        <v>6608892</v>
      </c>
      <c r="AD51" s="551">
        <f>Feb!G25</f>
        <v>7202971</v>
      </c>
    </row>
    <row r="52" spans="1:33" hidden="1" outlineLevel="1">
      <c r="A52" s="481"/>
      <c r="B52" s="479" t="s">
        <v>39</v>
      </c>
      <c r="C52" s="488">
        <f t="shared" si="100"/>
        <v>197715</v>
      </c>
      <c r="D52" s="488">
        <f t="shared" si="99"/>
        <v>197715</v>
      </c>
      <c r="E52" s="535">
        <v>0</v>
      </c>
      <c r="F52" s="535">
        <v>0</v>
      </c>
      <c r="G52" s="535">
        <v>0</v>
      </c>
      <c r="H52" s="535">
        <v>0</v>
      </c>
      <c r="I52" s="535">
        <v>0</v>
      </c>
      <c r="J52" s="535">
        <v>0</v>
      </c>
      <c r="K52" s="535">
        <v>0</v>
      </c>
      <c r="L52" s="535">
        <v>0</v>
      </c>
      <c r="M52" s="535">
        <v>0</v>
      </c>
      <c r="N52" s="535">
        <v>0</v>
      </c>
      <c r="O52" s="535">
        <v>0</v>
      </c>
      <c r="P52" s="535">
        <v>0</v>
      </c>
      <c r="Q52" s="598">
        <v>0</v>
      </c>
      <c r="R52" s="598">
        <f>Feb!$G26</f>
        <v>21563</v>
      </c>
      <c r="S52" s="598">
        <f>Mar!$G26</f>
        <v>0</v>
      </c>
      <c r="T52" s="598">
        <f>Apr!$G26</f>
        <v>0</v>
      </c>
      <c r="U52" s="598">
        <f>May!$G26</f>
        <v>0</v>
      </c>
      <c r="V52" s="598">
        <f>Jun!$G26</f>
        <v>0</v>
      </c>
      <c r="W52" s="598">
        <f>Jul!$G26</f>
        <v>0</v>
      </c>
      <c r="X52" s="598">
        <f>Aug!$G26</f>
        <v>0</v>
      </c>
      <c r="Y52" s="598">
        <f>Sep!$G26</f>
        <v>0</v>
      </c>
      <c r="Z52" s="598">
        <f>Oct!$G26</f>
        <v>0</v>
      </c>
      <c r="AA52" s="598">
        <f>Nov!$G26</f>
        <v>153941</v>
      </c>
      <c r="AB52" s="598">
        <f>Dec!$G26</f>
        <v>22211</v>
      </c>
      <c r="AC52" s="598">
        <f>Jan!G26</f>
        <v>10558</v>
      </c>
      <c r="AD52" s="551">
        <f>Feb!G26</f>
        <v>21563</v>
      </c>
    </row>
    <row r="53" spans="1:33" hidden="1" outlineLevel="1">
      <c r="A53" s="481"/>
      <c r="B53" s="479" t="s">
        <v>40</v>
      </c>
      <c r="C53" s="488">
        <f t="shared" si="100"/>
        <v>3946445</v>
      </c>
      <c r="D53" s="488">
        <f t="shared" si="99"/>
        <v>7596040</v>
      </c>
      <c r="E53" s="535">
        <v>345863</v>
      </c>
      <c r="F53" s="535">
        <v>408568</v>
      </c>
      <c r="G53" s="535">
        <v>361566</v>
      </c>
      <c r="H53" s="535">
        <v>227877</v>
      </c>
      <c r="I53" s="535">
        <v>311290</v>
      </c>
      <c r="J53" s="535">
        <v>225272</v>
      </c>
      <c r="K53" s="535">
        <v>266816</v>
      </c>
      <c r="L53" s="535">
        <v>259403</v>
      </c>
      <c r="M53" s="535">
        <v>291879</v>
      </c>
      <c r="N53" s="535">
        <v>401880</v>
      </c>
      <c r="O53" s="535">
        <v>314956</v>
      </c>
      <c r="P53" s="535">
        <v>234225</v>
      </c>
      <c r="Q53" s="598">
        <v>284721</v>
      </c>
      <c r="R53" s="598">
        <f>Feb!$G27</f>
        <v>448875</v>
      </c>
      <c r="S53" s="598">
        <f>Mar!$G27</f>
        <v>334116</v>
      </c>
      <c r="T53" s="598">
        <f>Apr!$G27</f>
        <v>288026</v>
      </c>
      <c r="U53" s="598">
        <f>May!$G27</f>
        <v>302382</v>
      </c>
      <c r="V53" s="598">
        <f>Jun!$G27</f>
        <v>289055</v>
      </c>
      <c r="W53" s="598">
        <f>Jul!$G27</f>
        <v>274504</v>
      </c>
      <c r="X53" s="598">
        <f>Aug!$G27</f>
        <v>291721</v>
      </c>
      <c r="Y53" s="598">
        <f>Sep!$G27</f>
        <v>348558</v>
      </c>
      <c r="Z53" s="598">
        <f>Oct!$G27</f>
        <v>248414</v>
      </c>
      <c r="AA53" s="598">
        <f>Nov!$G27</f>
        <v>458380</v>
      </c>
      <c r="AB53" s="598">
        <f>Dec!$G27</f>
        <v>377693</v>
      </c>
      <c r="AC53" s="598">
        <f>Jan!G27</f>
        <v>362835</v>
      </c>
      <c r="AD53" s="551">
        <f>Feb!G27</f>
        <v>448875</v>
      </c>
    </row>
    <row r="54" spans="1:33" hidden="1" outlineLevel="1">
      <c r="A54" s="481"/>
      <c r="B54" s="479" t="s">
        <v>41</v>
      </c>
      <c r="C54" s="488">
        <f t="shared" si="100"/>
        <v>338304</v>
      </c>
      <c r="D54" s="488">
        <f t="shared" si="99"/>
        <v>919691</v>
      </c>
      <c r="E54" s="535">
        <v>83853</v>
      </c>
      <c r="F54" s="535">
        <v>67179</v>
      </c>
      <c r="G54" s="535">
        <v>59583</v>
      </c>
      <c r="H54" s="535">
        <v>54523</v>
      </c>
      <c r="I54" s="535">
        <v>42598</v>
      </c>
      <c r="J54" s="535">
        <v>35139</v>
      </c>
      <c r="K54" s="535">
        <v>27605</v>
      </c>
      <c r="L54" s="535">
        <v>25524</v>
      </c>
      <c r="M54" s="535">
        <v>26763</v>
      </c>
      <c r="N54" s="535">
        <v>37231</v>
      </c>
      <c r="O54" s="535">
        <v>51431</v>
      </c>
      <c r="P54" s="535">
        <v>69958</v>
      </c>
      <c r="Q54" s="598">
        <v>64203</v>
      </c>
      <c r="R54" s="598">
        <f>Feb!$G28</f>
        <v>48826</v>
      </c>
      <c r="S54" s="598">
        <f>Mar!$G28</f>
        <v>53363</v>
      </c>
      <c r="T54" s="598">
        <f>Apr!$G28</f>
        <v>35134</v>
      </c>
      <c r="U54" s="598">
        <f>May!$G28</f>
        <v>29064</v>
      </c>
      <c r="V54" s="598">
        <f>Jun!$G28</f>
        <v>17666</v>
      </c>
      <c r="W54" s="598">
        <f>Jul!$G28</f>
        <v>44343</v>
      </c>
      <c r="X54" s="598">
        <f>Aug!$G28</f>
        <v>24662</v>
      </c>
      <c r="Y54" s="598">
        <f>Sep!$G28</f>
        <v>26763</v>
      </c>
      <c r="Z54" s="598">
        <f>Oct!$G28</f>
        <v>34226</v>
      </c>
      <c r="AA54" s="598">
        <f>Nov!$G28</f>
        <v>-87780</v>
      </c>
      <c r="AB54" s="598">
        <f>Dec!$G28</f>
        <v>47834</v>
      </c>
      <c r="AC54" s="598">
        <f>Jan!G28</f>
        <v>65295</v>
      </c>
      <c r="AD54" s="551">
        <f>Feb!G28</f>
        <v>48826</v>
      </c>
    </row>
    <row r="55" spans="1:33" hidden="1" outlineLevel="1">
      <c r="A55" s="481"/>
      <c r="B55" s="479" t="s">
        <v>42</v>
      </c>
      <c r="C55" s="488">
        <f t="shared" si="100"/>
        <v>0</v>
      </c>
      <c r="D55" s="488">
        <f t="shared" si="99"/>
        <v>0</v>
      </c>
      <c r="E55" s="535">
        <v>0</v>
      </c>
      <c r="F55" s="535">
        <v>0</v>
      </c>
      <c r="G55" s="535">
        <v>0</v>
      </c>
      <c r="H55" s="535">
        <v>0</v>
      </c>
      <c r="I55" s="535">
        <v>0</v>
      </c>
      <c r="J55" s="535">
        <v>0</v>
      </c>
      <c r="K55" s="535">
        <v>0</v>
      </c>
      <c r="L55" s="535">
        <v>0</v>
      </c>
      <c r="M55" s="535">
        <v>0</v>
      </c>
      <c r="N55" s="535">
        <v>0</v>
      </c>
      <c r="O55" s="535">
        <v>0</v>
      </c>
      <c r="P55" s="535">
        <v>0</v>
      </c>
      <c r="Q55" s="598">
        <v>0</v>
      </c>
      <c r="R55" s="598">
        <f>Feb!$G29</f>
        <v>0</v>
      </c>
      <c r="S55" s="598">
        <f>Mar!$G29</f>
        <v>0</v>
      </c>
      <c r="T55" s="598">
        <f>Apr!$G29</f>
        <v>0</v>
      </c>
      <c r="U55" s="598">
        <f>May!$G29</f>
        <v>0</v>
      </c>
      <c r="V55" s="598">
        <f>Jun!$G29</f>
        <v>0</v>
      </c>
      <c r="W55" s="598">
        <f>Jul!$G29</f>
        <v>0</v>
      </c>
      <c r="X55" s="598">
        <f>Aug!$G29</f>
        <v>0</v>
      </c>
      <c r="Y55" s="598">
        <f>Sep!$G29</f>
        <v>0</v>
      </c>
      <c r="Z55" s="598">
        <f>Oct!$G29</f>
        <v>0</v>
      </c>
      <c r="AA55" s="598">
        <f>Nov!$G29</f>
        <v>0</v>
      </c>
      <c r="AB55" s="598">
        <f>Dec!$G29</f>
        <v>0</v>
      </c>
      <c r="AC55" s="598">
        <f>Jan!G29</f>
        <v>0</v>
      </c>
      <c r="AD55" s="551">
        <f>Feb!G29</f>
        <v>0</v>
      </c>
    </row>
    <row r="56" spans="1:33" hidden="1" outlineLevel="1">
      <c r="A56" s="481"/>
      <c r="B56" s="479" t="s">
        <v>43</v>
      </c>
      <c r="C56" s="488">
        <f t="shared" si="100"/>
        <v>969606</v>
      </c>
      <c r="D56" s="488">
        <f t="shared" si="99"/>
        <v>1943800</v>
      </c>
      <c r="E56" s="535">
        <v>203731</v>
      </c>
      <c r="F56" s="535">
        <v>102322</v>
      </c>
      <c r="G56" s="535">
        <v>89942</v>
      </c>
      <c r="H56" s="535">
        <v>82073</v>
      </c>
      <c r="I56" s="535">
        <v>57685</v>
      </c>
      <c r="J56" s="535">
        <v>51713</v>
      </c>
      <c r="K56" s="535">
        <v>45567</v>
      </c>
      <c r="L56" s="535">
        <v>37963</v>
      </c>
      <c r="M56" s="535">
        <v>46700</v>
      </c>
      <c r="N56" s="535">
        <v>59610</v>
      </c>
      <c r="O56" s="535">
        <v>85100</v>
      </c>
      <c r="P56" s="535">
        <v>111788</v>
      </c>
      <c r="Q56" s="598">
        <v>160387</v>
      </c>
      <c r="R56" s="598">
        <f>Feb!$G30</f>
        <v>117328</v>
      </c>
      <c r="S56" s="598">
        <f>Mar!$G30</f>
        <v>102871</v>
      </c>
      <c r="T56" s="598">
        <f>Apr!$G30</f>
        <v>88850</v>
      </c>
      <c r="U56" s="598">
        <f>May!$G30</f>
        <v>71877</v>
      </c>
      <c r="V56" s="598">
        <f>Jun!$G30</f>
        <v>53882</v>
      </c>
      <c r="W56" s="598">
        <f>Jul!$G30</f>
        <v>67673</v>
      </c>
      <c r="X56" s="598">
        <f>Aug!$G30</f>
        <v>23786</v>
      </c>
      <c r="Y56" s="598">
        <f>Sep!$G30</f>
        <v>31578</v>
      </c>
      <c r="Z56" s="598">
        <f>Oct!$G30</f>
        <v>40231</v>
      </c>
      <c r="AA56" s="598">
        <f>Nov!$G30</f>
        <v>98095</v>
      </c>
      <c r="AB56" s="598">
        <f>Dec!$G30</f>
        <v>113048</v>
      </c>
      <c r="AC56" s="598">
        <f>Jan!G30</f>
        <v>139102</v>
      </c>
      <c r="AD56" s="551">
        <f>Feb!G30</f>
        <v>117328</v>
      </c>
    </row>
    <row r="57" spans="1:33" hidden="1" outlineLevel="1">
      <c r="A57" s="481"/>
      <c r="B57" s="479" t="s">
        <v>74</v>
      </c>
      <c r="C57" s="488">
        <f t="shared" si="100"/>
        <v>36278484</v>
      </c>
      <c r="D57" s="488">
        <f t="shared" si="99"/>
        <v>67193084</v>
      </c>
      <c r="E57" s="535">
        <v>3346687</v>
      </c>
      <c r="F57" s="535">
        <v>2956295</v>
      </c>
      <c r="G57" s="535">
        <v>2822744</v>
      </c>
      <c r="H57" s="535">
        <v>2379815</v>
      </c>
      <c r="I57" s="535">
        <v>2359261</v>
      </c>
      <c r="J57" s="535">
        <v>2149880</v>
      </c>
      <c r="K57" s="535">
        <v>1956378</v>
      </c>
      <c r="L57" s="535">
        <v>1966117</v>
      </c>
      <c r="M57" s="535">
        <v>1915306</v>
      </c>
      <c r="N57" s="535">
        <v>2505633</v>
      </c>
      <c r="O57" s="535">
        <v>2750386</v>
      </c>
      <c r="P57" s="535">
        <v>3806098</v>
      </c>
      <c r="Q57" s="598">
        <v>4261630</v>
      </c>
      <c r="R57" s="598">
        <f>Feb!$G31</f>
        <v>3567188</v>
      </c>
      <c r="S57" s="598">
        <f>Mar!$G31</f>
        <v>3381923</v>
      </c>
      <c r="T57" s="598">
        <f>Apr!$G31</f>
        <v>2868630</v>
      </c>
      <c r="U57" s="598">
        <f>May!$G31</f>
        <v>2501903</v>
      </c>
      <c r="V57" s="598">
        <f>Jun!$G31</f>
        <v>2531843</v>
      </c>
      <c r="W57" s="598">
        <f>Jul!$G31</f>
        <v>2144434</v>
      </c>
      <c r="X57" s="598">
        <f>Aug!$G31</f>
        <v>2338940</v>
      </c>
      <c r="Y57" s="598">
        <f>Sep!$G31</f>
        <v>2209861</v>
      </c>
      <c r="Z57" s="598">
        <f>Oct!$G31</f>
        <v>3085921</v>
      </c>
      <c r="AA57" s="598">
        <f>Nov!$G31</f>
        <v>3418526</v>
      </c>
      <c r="AB57" s="598">
        <f>Dec!$G31</f>
        <v>3967685</v>
      </c>
      <c r="AC57" s="598">
        <f>Jan!G31</f>
        <v>3629622</v>
      </c>
      <c r="AD57" s="551">
        <f>Feb!G31</f>
        <v>3567188</v>
      </c>
    </row>
    <row r="58" spans="1:33" ht="16.5" hidden="1" outlineLevel="1" thickBot="1">
      <c r="A58" s="481"/>
      <c r="B58" s="479" t="s">
        <v>21</v>
      </c>
      <c r="C58" s="534">
        <f>SUM(C49:C57)</f>
        <v>224260028</v>
      </c>
      <c r="D58" s="534">
        <f>SUM(D49:D57)</f>
        <v>413735292</v>
      </c>
      <c r="E58" s="534">
        <v>30707107</v>
      </c>
      <c r="F58" s="534">
        <f t="shared" ref="F58:P58" si="101">SUM(F49:F57)</f>
        <v>23046735</v>
      </c>
      <c r="G58" s="534">
        <f t="shared" si="101"/>
        <v>20385890</v>
      </c>
      <c r="H58" s="534">
        <f t="shared" si="101"/>
        <v>10774244</v>
      </c>
      <c r="I58" s="534">
        <f t="shared" si="101"/>
        <v>8382838</v>
      </c>
      <c r="J58" s="534">
        <f t="shared" si="101"/>
        <v>6906569</v>
      </c>
      <c r="K58" s="534">
        <f>SUM(K49:K57)</f>
        <v>6102573</v>
      </c>
      <c r="L58" s="534">
        <f t="shared" si="101"/>
        <v>6230012</v>
      </c>
      <c r="M58" s="534">
        <f t="shared" si="101"/>
        <v>7464964</v>
      </c>
      <c r="N58" s="534">
        <f>SUM(N49:N57)</f>
        <v>13741468</v>
      </c>
      <c r="O58" s="534">
        <f t="shared" si="101"/>
        <v>18689959</v>
      </c>
      <c r="P58" s="534">
        <f t="shared" si="101"/>
        <v>37042905</v>
      </c>
      <c r="Q58" s="534">
        <f t="shared" ref="Q58:V58" si="102">SUM(Q49:Q57)</f>
        <v>40809304</v>
      </c>
      <c r="R58" s="534">
        <f t="shared" si="102"/>
        <v>29607631</v>
      </c>
      <c r="S58" s="534">
        <f t="shared" si="102"/>
        <v>23815117</v>
      </c>
      <c r="T58" s="534">
        <f t="shared" si="102"/>
        <v>16958956</v>
      </c>
      <c r="U58" s="534">
        <f t="shared" si="102"/>
        <v>10280221</v>
      </c>
      <c r="V58" s="534">
        <f t="shared" si="102"/>
        <v>7316509</v>
      </c>
      <c r="W58" s="534">
        <f>SUM(W49:W57)</f>
        <v>6050612</v>
      </c>
      <c r="X58" s="534">
        <f t="shared" ref="X58:Y58" si="103">SUM(X49:X57)</f>
        <v>6226148</v>
      </c>
      <c r="Y58" s="534">
        <f t="shared" si="103"/>
        <v>7933229</v>
      </c>
      <c r="Z58" s="534">
        <f>SUM(Z49:Z57)</f>
        <v>15888438</v>
      </c>
      <c r="AA58" s="534">
        <f t="shared" ref="AA58:AB58" si="104">SUM(AA49:AA57)</f>
        <v>24226314</v>
      </c>
      <c r="AB58" s="534">
        <f t="shared" si="104"/>
        <v>35147549</v>
      </c>
      <c r="AC58" s="534">
        <f t="shared" ref="AC58" si="105">SUM(AC49:AC57)</f>
        <v>31096459</v>
      </c>
      <c r="AD58" s="623">
        <f>SUM(AD49:AD57)</f>
        <v>29607631</v>
      </c>
    </row>
    <row r="59" spans="1:33" ht="16.5" hidden="1" outlineLevel="1" thickTop="1">
      <c r="A59" s="481"/>
      <c r="B59" s="479" t="s">
        <v>264</v>
      </c>
      <c r="C59" s="488">
        <f>SUM(Q59:AB59)</f>
        <v>225197372</v>
      </c>
      <c r="D59" s="488">
        <f>SUM(E59:AB59)</f>
        <v>414672636</v>
      </c>
      <c r="E59" s="488">
        <v>30707107</v>
      </c>
      <c r="F59" s="488">
        <v>23046735</v>
      </c>
      <c r="G59" s="488">
        <v>20385890</v>
      </c>
      <c r="H59" s="488">
        <v>10774244</v>
      </c>
      <c r="I59" s="488">
        <v>8382838</v>
      </c>
      <c r="J59" s="488">
        <v>6906569</v>
      </c>
      <c r="K59" s="488">
        <v>6102573</v>
      </c>
      <c r="L59" s="488">
        <v>6230012</v>
      </c>
      <c r="M59" s="488">
        <v>7464964</v>
      </c>
      <c r="N59" s="488">
        <v>13741468</v>
      </c>
      <c r="O59" s="488">
        <v>18689959</v>
      </c>
      <c r="P59" s="488">
        <v>37042905</v>
      </c>
      <c r="Q59" s="599">
        <v>40809304</v>
      </c>
      <c r="R59" s="599">
        <v>30544975</v>
      </c>
      <c r="S59" s="599">
        <v>23815117</v>
      </c>
      <c r="T59" s="599">
        <v>16958956</v>
      </c>
      <c r="U59" s="599">
        <v>10280221</v>
      </c>
      <c r="V59" s="599">
        <v>7316509</v>
      </c>
      <c r="W59" s="599">
        <v>6050612</v>
      </c>
      <c r="X59" s="599">
        <v>6226148</v>
      </c>
      <c r="Y59" s="599">
        <v>7933229</v>
      </c>
      <c r="Z59" s="599">
        <v>15888438</v>
      </c>
      <c r="AA59" s="599">
        <v>24226314</v>
      </c>
      <c r="AB59" s="599">
        <v>35147549</v>
      </c>
      <c r="AC59" s="599">
        <v>31096459</v>
      </c>
      <c r="AD59" s="552">
        <v>31096459</v>
      </c>
      <c r="AE59" s="566"/>
    </row>
    <row r="60" spans="1:33" hidden="1" outlineLevel="1">
      <c r="A60" s="481" t="s">
        <v>22</v>
      </c>
      <c r="E60" s="530"/>
      <c r="F60" s="530"/>
      <c r="G60" s="530"/>
      <c r="H60" s="530"/>
      <c r="I60" s="530"/>
      <c r="J60" s="530"/>
      <c r="K60" s="530"/>
      <c r="L60" s="530"/>
      <c r="M60" s="530"/>
      <c r="N60" s="530"/>
      <c r="O60" s="530"/>
      <c r="P60" s="530"/>
      <c r="Q60" s="530"/>
      <c r="R60" s="530"/>
      <c r="S60" s="530"/>
      <c r="T60" s="530"/>
      <c r="U60" s="530"/>
      <c r="V60" s="530"/>
      <c r="W60" s="530"/>
      <c r="X60" s="530"/>
      <c r="Y60" s="530"/>
      <c r="Z60" s="530"/>
      <c r="AA60" s="530"/>
      <c r="AB60" s="530"/>
      <c r="AC60" s="624"/>
      <c r="AD60" s="624"/>
      <c r="AG60" s="531"/>
    </row>
    <row r="61" spans="1:33" hidden="1" outlineLevel="1">
      <c r="A61" s="482">
        <v>191025</v>
      </c>
      <c r="B61" s="483" t="s">
        <v>252</v>
      </c>
      <c r="E61" s="482">
        <v>201601</v>
      </c>
      <c r="F61" s="482">
        <f>E61+1</f>
        <v>201602</v>
      </c>
      <c r="G61" s="482">
        <f t="shared" ref="G61:P61" si="106">F61+1</f>
        <v>201603</v>
      </c>
      <c r="H61" s="482">
        <f t="shared" si="106"/>
        <v>201604</v>
      </c>
      <c r="I61" s="482">
        <f t="shared" si="106"/>
        <v>201605</v>
      </c>
      <c r="J61" s="482">
        <f t="shared" si="106"/>
        <v>201606</v>
      </c>
      <c r="K61" s="482">
        <f t="shared" si="106"/>
        <v>201607</v>
      </c>
      <c r="L61" s="482">
        <f t="shared" si="106"/>
        <v>201608</v>
      </c>
      <c r="M61" s="482">
        <f t="shared" si="106"/>
        <v>201609</v>
      </c>
      <c r="N61" s="482">
        <f t="shared" si="106"/>
        <v>201610</v>
      </c>
      <c r="O61" s="482">
        <f t="shared" si="106"/>
        <v>201611</v>
      </c>
      <c r="P61" s="482">
        <f t="shared" si="106"/>
        <v>201612</v>
      </c>
      <c r="Q61" s="482">
        <f>Q3</f>
        <v>201701</v>
      </c>
      <c r="R61" s="482">
        <f>Q61+1</f>
        <v>201702</v>
      </c>
      <c r="S61" s="482">
        <f t="shared" ref="S61" si="107">R61+1</f>
        <v>201703</v>
      </c>
      <c r="T61" s="482">
        <f t="shared" ref="T61" si="108">S61+1</f>
        <v>201704</v>
      </c>
      <c r="U61" s="482">
        <f t="shared" ref="U61" si="109">T61+1</f>
        <v>201705</v>
      </c>
      <c r="V61" s="482">
        <f t="shared" ref="V61" si="110">U61+1</f>
        <v>201706</v>
      </c>
      <c r="W61" s="482">
        <f t="shared" ref="W61" si="111">V61+1</f>
        <v>201707</v>
      </c>
      <c r="X61" s="482">
        <f t="shared" ref="X61" si="112">W61+1</f>
        <v>201708</v>
      </c>
      <c r="Y61" s="482">
        <f t="shared" ref="Y61" si="113">X61+1</f>
        <v>201709</v>
      </c>
      <c r="Z61" s="482">
        <f t="shared" ref="Z61" si="114">Y61+1</f>
        <v>201710</v>
      </c>
      <c r="AA61" s="482">
        <f t="shared" ref="AA61" si="115">Z61+1</f>
        <v>201711</v>
      </c>
      <c r="AB61" s="482">
        <f t="shared" ref="AB61" si="116">AA61+1</f>
        <v>201712</v>
      </c>
      <c r="AC61" s="572">
        <f>AC3</f>
        <v>201801</v>
      </c>
      <c r="AD61" s="572">
        <f>AD3</f>
        <v>201802</v>
      </c>
    </row>
    <row r="62" spans="1:33" hidden="1" outlineLevel="1">
      <c r="A62" s="481"/>
      <c r="B62" s="479" t="s">
        <v>37</v>
      </c>
      <c r="E62" s="492">
        <v>1.2999999999999999E-4</v>
      </c>
      <c r="F62" s="492">
        <v>1.2999999999999999E-4</v>
      </c>
      <c r="G62" s="492">
        <v>1.2999999999999999E-4</v>
      </c>
      <c r="H62" s="492">
        <v>1.2999999999999999E-4</v>
      </c>
      <c r="I62" s="492">
        <v>1.2999999999999999E-4</v>
      </c>
      <c r="J62" s="492">
        <v>1.2999999999999999E-4</v>
      </c>
      <c r="K62" s="492">
        <v>1.2999999999999999E-4</v>
      </c>
      <c r="L62" s="492">
        <v>1.2999999999999999E-4</v>
      </c>
      <c r="M62" s="492">
        <v>1.2999999999999999E-4</v>
      </c>
      <c r="N62" s="492">
        <v>1.2999999999999999E-4</v>
      </c>
      <c r="O62" s="492" t="s">
        <v>307</v>
      </c>
      <c r="P62" s="492" t="s">
        <v>307</v>
      </c>
      <c r="Q62" s="595">
        <v>1.0000000000000001E-5</v>
      </c>
      <c r="R62" s="595">
        <v>1.0000000000000001E-5</v>
      </c>
      <c r="S62" s="595">
        <v>1.0000000000000001E-5</v>
      </c>
      <c r="T62" s="595">
        <v>1.0000000000000001E-5</v>
      </c>
      <c r="U62" s="595">
        <v>1.0000000000000001E-5</v>
      </c>
      <c r="V62" s="595">
        <v>1.0000000000000001E-5</v>
      </c>
      <c r="W62" s="595">
        <v>1.0000000000000001E-5</v>
      </c>
      <c r="X62" s="595">
        <v>1.0000000000000001E-5</v>
      </c>
      <c r="Y62" s="595">
        <v>1.0000000000000001E-5</v>
      </c>
      <c r="Z62" s="595">
        <v>1.0000000000000001E-5</v>
      </c>
      <c r="AA62" s="629" t="s">
        <v>307</v>
      </c>
      <c r="AB62" s="629" t="s">
        <v>307</v>
      </c>
      <c r="AC62" s="630" t="s">
        <v>321</v>
      </c>
      <c r="AD62" s="630" t="s">
        <v>321</v>
      </c>
    </row>
    <row r="63" spans="1:33" hidden="1" outlineLevel="1">
      <c r="A63" s="481"/>
      <c r="B63" s="554" t="s">
        <v>305</v>
      </c>
      <c r="E63" s="492">
        <v>1.2999999999999999E-4</v>
      </c>
      <c r="F63" s="492">
        <v>1.2999999999999999E-4</v>
      </c>
      <c r="G63" s="492">
        <v>1.2999999999999999E-4</v>
      </c>
      <c r="H63" s="492">
        <v>1.2999999999999999E-4</v>
      </c>
      <c r="I63" s="492">
        <v>1.2999999999999999E-4</v>
      </c>
      <c r="J63" s="492">
        <v>1.2999999999999999E-4</v>
      </c>
      <c r="K63" s="492">
        <v>1.2999999999999999E-4</v>
      </c>
      <c r="L63" s="492">
        <v>1.2999999999999999E-4</v>
      </c>
      <c r="M63" s="492">
        <v>1.2999999999999999E-4</v>
      </c>
      <c r="N63" s="492">
        <v>1.2999999999999999E-4</v>
      </c>
      <c r="O63" s="492" t="s">
        <v>307</v>
      </c>
      <c r="P63" s="492" t="s">
        <v>307</v>
      </c>
      <c r="Q63" s="595">
        <v>1.0000000000000001E-5</v>
      </c>
      <c r="R63" s="595">
        <v>1.0000000000000001E-5</v>
      </c>
      <c r="S63" s="595">
        <v>1.0000000000000001E-5</v>
      </c>
      <c r="T63" s="595">
        <v>1.0000000000000001E-5</v>
      </c>
      <c r="U63" s="595">
        <v>1.0000000000000001E-5</v>
      </c>
      <c r="V63" s="595">
        <v>1.0000000000000001E-5</v>
      </c>
      <c r="W63" s="595">
        <v>1.0000000000000001E-5</v>
      </c>
      <c r="X63" s="595">
        <v>1.0000000000000001E-5</v>
      </c>
      <c r="Y63" s="595">
        <v>1.0000000000000001E-5</v>
      </c>
      <c r="Z63" s="595">
        <v>1.0000000000000001E-5</v>
      </c>
      <c r="AA63" s="629" t="s">
        <v>307</v>
      </c>
      <c r="AB63" s="629" t="s">
        <v>307</v>
      </c>
      <c r="AC63" s="630" t="s">
        <v>321</v>
      </c>
      <c r="AD63" s="630" t="s">
        <v>321</v>
      </c>
    </row>
    <row r="64" spans="1:33" hidden="1" outlineLevel="1">
      <c r="A64" s="481"/>
      <c r="B64" s="479" t="s">
        <v>38</v>
      </c>
      <c r="E64" s="492">
        <v>1.2999999999999999E-4</v>
      </c>
      <c r="F64" s="492">
        <v>1.2999999999999999E-4</v>
      </c>
      <c r="G64" s="492">
        <v>1.2999999999999999E-4</v>
      </c>
      <c r="H64" s="492">
        <v>1.2999999999999999E-4</v>
      </c>
      <c r="I64" s="492">
        <v>1.2999999999999999E-4</v>
      </c>
      <c r="J64" s="492">
        <v>1.2999999999999999E-4</v>
      </c>
      <c r="K64" s="492">
        <v>1.2999999999999999E-4</v>
      </c>
      <c r="L64" s="492">
        <v>1.2999999999999999E-4</v>
      </c>
      <c r="M64" s="492">
        <v>1.2999999999999999E-4</v>
      </c>
      <c r="N64" s="492">
        <v>1.2999999999999999E-4</v>
      </c>
      <c r="O64" s="492" t="s">
        <v>307</v>
      </c>
      <c r="P64" s="492" t="s">
        <v>307</v>
      </c>
      <c r="Q64" s="595">
        <v>1.0000000000000001E-5</v>
      </c>
      <c r="R64" s="595">
        <v>1.0000000000000001E-5</v>
      </c>
      <c r="S64" s="595">
        <v>1.0000000000000001E-5</v>
      </c>
      <c r="T64" s="595">
        <v>1.0000000000000001E-5</v>
      </c>
      <c r="U64" s="595">
        <v>1.0000000000000001E-5</v>
      </c>
      <c r="V64" s="595">
        <v>1.0000000000000001E-5</v>
      </c>
      <c r="W64" s="595">
        <v>1.0000000000000001E-5</v>
      </c>
      <c r="X64" s="595">
        <v>1.0000000000000001E-5</v>
      </c>
      <c r="Y64" s="595">
        <v>1.0000000000000001E-5</v>
      </c>
      <c r="Z64" s="595">
        <v>1.0000000000000001E-5</v>
      </c>
      <c r="AA64" s="629" t="s">
        <v>307</v>
      </c>
      <c r="AB64" s="629" t="s">
        <v>307</v>
      </c>
      <c r="AC64" s="630" t="s">
        <v>321</v>
      </c>
      <c r="AD64" s="630" t="s">
        <v>321</v>
      </c>
    </row>
    <row r="65" spans="1:39" hidden="1" outlineLevel="1">
      <c r="A65" s="481"/>
      <c r="B65" s="479" t="s">
        <v>39</v>
      </c>
      <c r="E65" s="492">
        <v>1.2999999999999999E-4</v>
      </c>
      <c r="F65" s="492">
        <v>1.2999999999999999E-4</v>
      </c>
      <c r="G65" s="492">
        <v>1.2999999999999999E-4</v>
      </c>
      <c r="H65" s="492">
        <v>1.2999999999999999E-4</v>
      </c>
      <c r="I65" s="492">
        <v>1.2999999999999999E-4</v>
      </c>
      <c r="J65" s="492">
        <v>1.2999999999999999E-4</v>
      </c>
      <c r="K65" s="492">
        <v>1.2999999999999999E-4</v>
      </c>
      <c r="L65" s="492">
        <v>1.2999999999999999E-4</v>
      </c>
      <c r="M65" s="492">
        <v>1.2999999999999999E-4</v>
      </c>
      <c r="N65" s="492">
        <v>1.2999999999999999E-4</v>
      </c>
      <c r="O65" s="492" t="s">
        <v>307</v>
      </c>
      <c r="P65" s="492" t="s">
        <v>307</v>
      </c>
      <c r="Q65" s="595">
        <v>1.0000000000000001E-5</v>
      </c>
      <c r="R65" s="595">
        <v>1.0000000000000001E-5</v>
      </c>
      <c r="S65" s="595">
        <v>1.0000000000000001E-5</v>
      </c>
      <c r="T65" s="595">
        <v>1.0000000000000001E-5</v>
      </c>
      <c r="U65" s="595">
        <v>1.0000000000000001E-5</v>
      </c>
      <c r="V65" s="595">
        <v>1.0000000000000001E-5</v>
      </c>
      <c r="W65" s="595">
        <v>1.0000000000000001E-5</v>
      </c>
      <c r="X65" s="595">
        <v>1.0000000000000001E-5</v>
      </c>
      <c r="Y65" s="595">
        <v>1.0000000000000001E-5</v>
      </c>
      <c r="Z65" s="595">
        <v>1.0000000000000001E-5</v>
      </c>
      <c r="AA65" s="629" t="s">
        <v>307</v>
      </c>
      <c r="AB65" s="629" t="s">
        <v>307</v>
      </c>
      <c r="AC65" s="630" t="s">
        <v>321</v>
      </c>
      <c r="AD65" s="630" t="s">
        <v>321</v>
      </c>
    </row>
    <row r="66" spans="1:39" hidden="1" outlineLevel="1">
      <c r="A66" s="481"/>
      <c r="B66" s="479" t="s">
        <v>40</v>
      </c>
      <c r="E66" s="492">
        <v>1.2999999999999999E-4</v>
      </c>
      <c r="F66" s="492">
        <v>1.2999999999999999E-4</v>
      </c>
      <c r="G66" s="492">
        <v>1.2999999999999999E-4</v>
      </c>
      <c r="H66" s="492">
        <v>1.2999999999999999E-4</v>
      </c>
      <c r="I66" s="492">
        <v>1.2999999999999999E-4</v>
      </c>
      <c r="J66" s="492">
        <v>1.2999999999999999E-4</v>
      </c>
      <c r="K66" s="492">
        <v>1.2999999999999999E-4</v>
      </c>
      <c r="L66" s="492">
        <v>1.2999999999999999E-4</v>
      </c>
      <c r="M66" s="492">
        <v>1.2999999999999999E-4</v>
      </c>
      <c r="N66" s="492">
        <v>1.2999999999999999E-4</v>
      </c>
      <c r="O66" s="492" t="s">
        <v>307</v>
      </c>
      <c r="P66" s="492" t="s">
        <v>307</v>
      </c>
      <c r="Q66" s="595">
        <v>1.0000000000000001E-5</v>
      </c>
      <c r="R66" s="595">
        <v>1.0000000000000001E-5</v>
      </c>
      <c r="S66" s="595">
        <v>1.0000000000000001E-5</v>
      </c>
      <c r="T66" s="595">
        <v>1.0000000000000001E-5</v>
      </c>
      <c r="U66" s="595">
        <v>1.0000000000000001E-5</v>
      </c>
      <c r="V66" s="595">
        <v>1.0000000000000001E-5</v>
      </c>
      <c r="W66" s="595">
        <v>1.0000000000000001E-5</v>
      </c>
      <c r="X66" s="595">
        <v>1.0000000000000001E-5</v>
      </c>
      <c r="Y66" s="595">
        <v>1.0000000000000001E-5</v>
      </c>
      <c r="Z66" s="595">
        <v>1.0000000000000001E-5</v>
      </c>
      <c r="AA66" s="629" t="s">
        <v>307</v>
      </c>
      <c r="AB66" s="629" t="s">
        <v>307</v>
      </c>
      <c r="AC66" s="630" t="s">
        <v>321</v>
      </c>
      <c r="AD66" s="630" t="s">
        <v>321</v>
      </c>
    </row>
    <row r="67" spans="1:39" hidden="1" outlineLevel="1">
      <c r="A67" s="481"/>
      <c r="B67" s="479" t="s">
        <v>41</v>
      </c>
      <c r="E67" s="492">
        <v>1.2999999999999999E-4</v>
      </c>
      <c r="F67" s="492">
        <v>1.2999999999999999E-4</v>
      </c>
      <c r="G67" s="492">
        <v>1.2999999999999999E-4</v>
      </c>
      <c r="H67" s="492">
        <v>1.2999999999999999E-4</v>
      </c>
      <c r="I67" s="492">
        <v>1.2999999999999999E-4</v>
      </c>
      <c r="J67" s="492">
        <v>1.2999999999999999E-4</v>
      </c>
      <c r="K67" s="492">
        <v>1.2999999999999999E-4</v>
      </c>
      <c r="L67" s="492">
        <v>1.2999999999999999E-4</v>
      </c>
      <c r="M67" s="492">
        <v>1.2999999999999999E-4</v>
      </c>
      <c r="N67" s="492">
        <v>1.2999999999999999E-4</v>
      </c>
      <c r="O67" s="492" t="s">
        <v>307</v>
      </c>
      <c r="P67" s="492" t="s">
        <v>307</v>
      </c>
      <c r="Q67" s="595">
        <v>1.0000000000000001E-5</v>
      </c>
      <c r="R67" s="595">
        <v>1.0000000000000001E-5</v>
      </c>
      <c r="S67" s="595">
        <v>1.0000000000000001E-5</v>
      </c>
      <c r="T67" s="595">
        <v>1.0000000000000001E-5</v>
      </c>
      <c r="U67" s="595">
        <v>1.0000000000000001E-5</v>
      </c>
      <c r="V67" s="595">
        <v>1.0000000000000001E-5</v>
      </c>
      <c r="W67" s="595">
        <v>1.0000000000000001E-5</v>
      </c>
      <c r="X67" s="595">
        <v>1.0000000000000001E-5</v>
      </c>
      <c r="Y67" s="595">
        <v>1.0000000000000001E-5</v>
      </c>
      <c r="Z67" s="595">
        <v>1.0000000000000001E-5</v>
      </c>
      <c r="AA67" s="629" t="s">
        <v>307</v>
      </c>
      <c r="AB67" s="629" t="s">
        <v>307</v>
      </c>
      <c r="AC67" s="630" t="s">
        <v>321</v>
      </c>
      <c r="AD67" s="630" t="s">
        <v>321</v>
      </c>
    </row>
    <row r="68" spans="1:39" ht="16.5" hidden="1" outlineLevel="1" thickBot="1">
      <c r="A68" s="481"/>
      <c r="B68" s="479" t="s">
        <v>42</v>
      </c>
      <c r="E68" s="492">
        <v>1.2999999999999999E-4</v>
      </c>
      <c r="F68" s="492">
        <v>1.2999999999999999E-4</v>
      </c>
      <c r="G68" s="492">
        <v>1.2999999999999999E-4</v>
      </c>
      <c r="H68" s="492">
        <v>1.2999999999999999E-4</v>
      </c>
      <c r="I68" s="492">
        <v>1.2999999999999999E-4</v>
      </c>
      <c r="J68" s="492">
        <v>1.2999999999999999E-4</v>
      </c>
      <c r="K68" s="492">
        <v>1.2999999999999999E-4</v>
      </c>
      <c r="L68" s="492">
        <v>1.2999999999999999E-4</v>
      </c>
      <c r="M68" s="492">
        <v>1.2999999999999999E-4</v>
      </c>
      <c r="N68" s="492">
        <v>1.2999999999999999E-4</v>
      </c>
      <c r="O68" s="492" t="s">
        <v>307</v>
      </c>
      <c r="P68" s="492" t="s">
        <v>307</v>
      </c>
      <c r="Q68" s="595">
        <v>1.0000000000000001E-5</v>
      </c>
      <c r="R68" s="595">
        <v>1.0000000000000001E-5</v>
      </c>
      <c r="S68" s="595">
        <v>1.0000000000000001E-5</v>
      </c>
      <c r="T68" s="595">
        <v>1.0000000000000001E-5</v>
      </c>
      <c r="U68" s="595">
        <v>1.0000000000000001E-5</v>
      </c>
      <c r="V68" s="595">
        <v>1.0000000000000001E-5</v>
      </c>
      <c r="W68" s="595">
        <v>1.0000000000000001E-5</v>
      </c>
      <c r="X68" s="595">
        <v>1.0000000000000001E-5</v>
      </c>
      <c r="Y68" s="595">
        <v>1.0000000000000001E-5</v>
      </c>
      <c r="Z68" s="595">
        <v>1.0000000000000001E-5</v>
      </c>
      <c r="AA68" s="629" t="s">
        <v>307</v>
      </c>
      <c r="AB68" s="629" t="s">
        <v>307</v>
      </c>
      <c r="AC68" s="630" t="s">
        <v>321</v>
      </c>
      <c r="AD68" s="630" t="s">
        <v>321</v>
      </c>
    </row>
    <row r="69" spans="1:39" ht="16.5" hidden="1" outlineLevel="1" thickBot="1">
      <c r="A69" s="481"/>
      <c r="B69" s="479" t="s">
        <v>43</v>
      </c>
      <c r="E69" s="492">
        <v>1.2999999999999999E-4</v>
      </c>
      <c r="F69" s="492">
        <v>1.2999999999999999E-4</v>
      </c>
      <c r="G69" s="492">
        <v>1.2999999999999999E-4</v>
      </c>
      <c r="H69" s="492">
        <v>1.2999999999999999E-4</v>
      </c>
      <c r="I69" s="492">
        <v>1.2999999999999999E-4</v>
      </c>
      <c r="J69" s="492">
        <v>1.2999999999999999E-4</v>
      </c>
      <c r="K69" s="492">
        <v>1.2999999999999999E-4</v>
      </c>
      <c r="L69" s="492">
        <v>1.2999999999999999E-4</v>
      </c>
      <c r="M69" s="492">
        <v>1.2999999999999999E-4</v>
      </c>
      <c r="N69" s="492">
        <v>1.2999999999999999E-4</v>
      </c>
      <c r="O69" s="492" t="s">
        <v>307</v>
      </c>
      <c r="P69" s="492" t="s">
        <v>307</v>
      </c>
      <c r="Q69" s="595">
        <v>1.0000000000000001E-5</v>
      </c>
      <c r="R69" s="595">
        <v>1.0000000000000001E-5</v>
      </c>
      <c r="S69" s="595">
        <v>1.0000000000000001E-5</v>
      </c>
      <c r="T69" s="595">
        <v>1.0000000000000001E-5</v>
      </c>
      <c r="U69" s="595">
        <v>1.0000000000000001E-5</v>
      </c>
      <c r="V69" s="595">
        <v>1.0000000000000001E-5</v>
      </c>
      <c r="W69" s="595">
        <v>1.0000000000000001E-5</v>
      </c>
      <c r="X69" s="595">
        <v>1.0000000000000001E-5</v>
      </c>
      <c r="Y69" s="595">
        <v>1.0000000000000001E-5</v>
      </c>
      <c r="Z69" s="595">
        <v>1.0000000000000001E-5</v>
      </c>
      <c r="AA69" s="629" t="s">
        <v>307</v>
      </c>
      <c r="AB69" s="629" t="s">
        <v>307</v>
      </c>
      <c r="AC69" s="630" t="s">
        <v>321</v>
      </c>
      <c r="AD69" s="630" t="s">
        <v>321</v>
      </c>
      <c r="AF69" s="517">
        <f>AF4</f>
        <v>201802</v>
      </c>
      <c r="AG69" s="526"/>
      <c r="AH69" s="518"/>
      <c r="AI69" s="622" t="s">
        <v>319</v>
      </c>
      <c r="AJ69" s="518"/>
      <c r="AK69" s="519"/>
    </row>
    <row r="70" spans="1:39" hidden="1" outlineLevel="1">
      <c r="A70" s="481"/>
      <c r="B70" s="479" t="s">
        <v>74</v>
      </c>
      <c r="E70" s="492">
        <v>2.0000000000000002E-5</v>
      </c>
      <c r="F70" s="492">
        <v>2.0000000000000002E-5</v>
      </c>
      <c r="G70" s="492">
        <v>2.0000000000000002E-5</v>
      </c>
      <c r="H70" s="492">
        <v>2.0000000000000002E-5</v>
      </c>
      <c r="I70" s="492">
        <v>2.0000000000000002E-5</v>
      </c>
      <c r="J70" s="492">
        <v>2.0000000000000002E-5</v>
      </c>
      <c r="K70" s="492">
        <v>2.0000000000000002E-5</v>
      </c>
      <c r="L70" s="492">
        <v>2.0000000000000002E-5</v>
      </c>
      <c r="M70" s="492">
        <v>2.0000000000000002E-5</v>
      </c>
      <c r="N70" s="492">
        <v>2.0000000000000002E-5</v>
      </c>
      <c r="O70" s="492" t="s">
        <v>307</v>
      </c>
      <c r="P70" s="492" t="s">
        <v>307</v>
      </c>
      <c r="Q70" s="595">
        <v>0</v>
      </c>
      <c r="R70" s="595">
        <v>0</v>
      </c>
      <c r="S70" s="595">
        <v>0</v>
      </c>
      <c r="T70" s="595">
        <v>0</v>
      </c>
      <c r="U70" s="595">
        <v>0</v>
      </c>
      <c r="V70" s="595">
        <v>0</v>
      </c>
      <c r="W70" s="595">
        <v>0</v>
      </c>
      <c r="X70" s="595">
        <v>0</v>
      </c>
      <c r="Y70" s="595">
        <v>0</v>
      </c>
      <c r="Z70" s="595">
        <v>0</v>
      </c>
      <c r="AA70" s="629" t="s">
        <v>307</v>
      </c>
      <c r="AB70" s="629" t="s">
        <v>307</v>
      </c>
      <c r="AC70" s="630" t="s">
        <v>321</v>
      </c>
      <c r="AD70" s="630" t="s">
        <v>321</v>
      </c>
      <c r="AF70" s="153" t="s">
        <v>292</v>
      </c>
      <c r="AG70" s="208">
        <v>191025</v>
      </c>
      <c r="AH70" s="7" t="s">
        <v>280</v>
      </c>
      <c r="AI70" s="7" t="s">
        <v>281</v>
      </c>
      <c r="AJ70" s="470">
        <v>0</v>
      </c>
      <c r="AK70" s="460">
        <f>IF((SUMIF(E72:AB72,AF69,E74:AB74))&lt;0,-(SUMIF(E72:AB72,AF69,E74:AB74)),0)</f>
        <v>0</v>
      </c>
      <c r="AM70" s="480" t="str">
        <f>_xll.GLW_Segment_Description(AG70,2,2)</f>
        <v>WA GRC JACKSON PRAIRIE DEFERRAL</v>
      </c>
    </row>
    <row r="71" spans="1:39" hidden="1" outlineLevel="1">
      <c r="A71" s="481" t="s">
        <v>283</v>
      </c>
      <c r="E71" s="489"/>
      <c r="F71" s="489"/>
      <c r="G71" s="489"/>
      <c r="H71" s="489"/>
      <c r="I71" s="489"/>
      <c r="J71" s="489"/>
      <c r="K71" s="489"/>
      <c r="L71" s="489"/>
      <c r="M71" s="489"/>
      <c r="N71" s="489"/>
      <c r="O71" s="489"/>
      <c r="P71" s="489"/>
      <c r="Q71" s="489"/>
      <c r="R71" s="489"/>
      <c r="S71" s="489"/>
      <c r="T71" s="489"/>
      <c r="U71" s="489"/>
      <c r="V71" s="489"/>
      <c r="W71" s="489"/>
      <c r="X71" s="489"/>
      <c r="Y71" s="489"/>
      <c r="Z71" s="489"/>
      <c r="AA71" s="489"/>
      <c r="AB71" s="489"/>
      <c r="AC71" s="489"/>
      <c r="AD71" s="553"/>
      <c r="AF71" s="153" t="s">
        <v>293</v>
      </c>
      <c r="AG71" s="208">
        <v>805110</v>
      </c>
      <c r="AH71" s="7" t="s">
        <v>280</v>
      </c>
      <c r="AI71" s="7" t="s">
        <v>281</v>
      </c>
      <c r="AJ71" s="470">
        <f>IF((SUMIF(E72:AB72,AF69,E74:AB74))&lt;0,-(SUMIF(E72:AB72,AF69,E74:AB74)),0)</f>
        <v>0</v>
      </c>
      <c r="AK71" s="460">
        <f>AJ70</f>
        <v>0</v>
      </c>
      <c r="AM71" s="480" t="str">
        <f>_xll.GLW_Segment_Description(AG71,2,2)</f>
        <v>AMORTIZE RECOVERABLE GAS COSTS</v>
      </c>
    </row>
    <row r="72" spans="1:39" s="481" customFormat="1" hidden="1" outlineLevel="1">
      <c r="A72" s="482">
        <v>191025</v>
      </c>
      <c r="B72" s="483" t="s">
        <v>252</v>
      </c>
      <c r="C72" s="484" t="s">
        <v>248</v>
      </c>
      <c r="D72" s="485" t="s">
        <v>249</v>
      </c>
      <c r="E72" s="482">
        <v>201601</v>
      </c>
      <c r="F72" s="482">
        <f>E72+1</f>
        <v>201602</v>
      </c>
      <c r="G72" s="482">
        <f t="shared" ref="G72:P72" si="117">F72+1</f>
        <v>201603</v>
      </c>
      <c r="H72" s="482">
        <f t="shared" si="117"/>
        <v>201604</v>
      </c>
      <c r="I72" s="482">
        <f t="shared" si="117"/>
        <v>201605</v>
      </c>
      <c r="J72" s="482">
        <f t="shared" si="117"/>
        <v>201606</v>
      </c>
      <c r="K72" s="482">
        <f t="shared" si="117"/>
        <v>201607</v>
      </c>
      <c r="L72" s="482">
        <f t="shared" si="117"/>
        <v>201608</v>
      </c>
      <c r="M72" s="482">
        <f t="shared" si="117"/>
        <v>201609</v>
      </c>
      <c r="N72" s="482">
        <f t="shared" si="117"/>
        <v>201610</v>
      </c>
      <c r="O72" s="482">
        <f t="shared" si="117"/>
        <v>201611</v>
      </c>
      <c r="P72" s="482">
        <f t="shared" si="117"/>
        <v>201612</v>
      </c>
      <c r="Q72" s="482">
        <f>Q3</f>
        <v>201701</v>
      </c>
      <c r="R72" s="482">
        <f>Q72+1</f>
        <v>201702</v>
      </c>
      <c r="S72" s="482">
        <f t="shared" ref="S72" si="118">R72+1</f>
        <v>201703</v>
      </c>
      <c r="T72" s="482">
        <f t="shared" ref="T72" si="119">S72+1</f>
        <v>201704</v>
      </c>
      <c r="U72" s="482">
        <f t="shared" ref="U72" si="120">T72+1</f>
        <v>201705</v>
      </c>
      <c r="V72" s="482">
        <f t="shared" ref="V72" si="121">U72+1</f>
        <v>201706</v>
      </c>
      <c r="W72" s="482">
        <f t="shared" ref="W72" si="122">V72+1</f>
        <v>201707</v>
      </c>
      <c r="X72" s="482">
        <f t="shared" ref="X72" si="123">W72+1</f>
        <v>201708</v>
      </c>
      <c r="Y72" s="482">
        <f t="shared" ref="Y72" si="124">X72+1</f>
        <v>201709</v>
      </c>
      <c r="Z72" s="482">
        <f t="shared" ref="Z72" si="125">Y72+1</f>
        <v>201710</v>
      </c>
      <c r="AA72" s="482">
        <f t="shared" ref="AA72" si="126">Z72+1</f>
        <v>201711</v>
      </c>
      <c r="AB72" s="482">
        <f t="shared" ref="AB72" si="127">AA72+1</f>
        <v>201712</v>
      </c>
      <c r="AC72" s="482">
        <f>AC3</f>
        <v>201801</v>
      </c>
      <c r="AD72" s="572">
        <f>AD3</f>
        <v>201802</v>
      </c>
      <c r="AE72" s="565"/>
      <c r="AF72" s="153" t="s">
        <v>265</v>
      </c>
      <c r="AG72" s="208">
        <v>191025</v>
      </c>
      <c r="AH72" s="7" t="s">
        <v>280</v>
      </c>
      <c r="AI72" s="7" t="s">
        <v>281</v>
      </c>
      <c r="AJ72" s="470">
        <f>IF((SUMIF(E72:AB72,AF69,E75:AB75))&gt;0,(SUMIF(E72:AB72,AF69,E75:AB75)),0)</f>
        <v>0</v>
      </c>
      <c r="AK72" s="460">
        <v>0</v>
      </c>
      <c r="AM72" s="480" t="str">
        <f>_xll.GLW_Segment_Description(AG72,2,2)</f>
        <v>WA GRC JACKSON PRAIRIE DEFERRAL</v>
      </c>
    </row>
    <row r="73" spans="1:39" ht="16.5" hidden="1" outlineLevel="1" thickBot="1">
      <c r="A73" s="490"/>
      <c r="B73" s="479" t="s">
        <v>250</v>
      </c>
      <c r="D73" s="480">
        <f>E73</f>
        <v>-18146.93566000001</v>
      </c>
      <c r="E73" s="480">
        <v>-18146.93566000001</v>
      </c>
      <c r="F73" s="480">
        <f t="shared" ref="F73:M73" si="128">E76</f>
        <v>-14523.147320000011</v>
      </c>
      <c r="G73" s="480">
        <f t="shared" si="128"/>
        <v>-11852.264220000012</v>
      </c>
      <c r="H73" s="480">
        <f t="shared" si="128"/>
        <v>-9512.6003600000113</v>
      </c>
      <c r="I73" s="480">
        <f t="shared" si="128"/>
        <v>-8373.7282900000118</v>
      </c>
      <c r="J73" s="480">
        <f t="shared" si="128"/>
        <v>-7543.4780600000122</v>
      </c>
      <c r="K73" s="480">
        <f t="shared" si="128"/>
        <v>-6882.1108900000127</v>
      </c>
      <c r="L73" s="480">
        <f t="shared" si="128"/>
        <v>-6303.9779800000124</v>
      </c>
      <c r="M73" s="480">
        <f t="shared" si="128"/>
        <v>-5710.3492900000119</v>
      </c>
      <c r="N73" s="480">
        <f>M76</f>
        <v>-4950.5876300000118</v>
      </c>
      <c r="O73" s="480">
        <f>N76</f>
        <v>-3439.8164200000119</v>
      </c>
      <c r="P73" s="480">
        <f>O76</f>
        <v>-4198.8164200000119</v>
      </c>
      <c r="Q73" s="480">
        <f>P76</f>
        <v>-4496.8164200000119</v>
      </c>
      <c r="R73" s="480">
        <f>Q76</f>
        <v>-3535.3396800000119</v>
      </c>
      <c r="S73" s="480">
        <f t="shared" ref="S73" si="129">R76</f>
        <v>-3274.9352500000118</v>
      </c>
      <c r="T73" s="480">
        <f t="shared" ref="T73" si="130">S76</f>
        <v>-3070.6033100000118</v>
      </c>
      <c r="U73" s="480">
        <f t="shared" ref="U73" si="131">T76</f>
        <v>-2929.7000500000117</v>
      </c>
      <c r="V73" s="480">
        <f t="shared" ref="V73" si="132">U76</f>
        <v>-2851.9168700000118</v>
      </c>
      <c r="W73" s="480">
        <f t="shared" ref="W73" si="133">V76</f>
        <v>-2804.0702100000117</v>
      </c>
      <c r="X73" s="549">
        <f t="shared" ref="X73" si="134">W76</f>
        <v>-2765.0084300000117</v>
      </c>
      <c r="Y73" s="480">
        <f t="shared" ref="Y73" si="135">X76</f>
        <v>-2726.1363500000116</v>
      </c>
      <c r="Z73" s="549">
        <f>Y76</f>
        <v>-2668.9026700000118</v>
      </c>
      <c r="AA73" s="549">
        <f>Z76</f>
        <v>-2540.8775000000119</v>
      </c>
      <c r="AB73" s="480">
        <f>AA76</f>
        <v>-9.9075000000120781</v>
      </c>
      <c r="AC73" s="480">
        <f>AA76</f>
        <v>-9.9075000000120781</v>
      </c>
      <c r="AD73" s="549">
        <f>AB76</f>
        <v>-9.9075000000120781</v>
      </c>
      <c r="AF73" s="153" t="s">
        <v>265</v>
      </c>
      <c r="AG73" s="208">
        <v>426500</v>
      </c>
      <c r="AH73" s="7" t="s">
        <v>318</v>
      </c>
      <c r="AI73" s="7" t="s">
        <v>318</v>
      </c>
      <c r="AJ73" s="470">
        <v>0</v>
      </c>
      <c r="AK73" s="460">
        <f>AJ72</f>
        <v>0</v>
      </c>
      <c r="AM73" s="480" t="str">
        <f>_xll.GLW_Segment_Description(AG73,2,2)</f>
        <v>MISC INCOME DEDUCTIONS-OTHER DEDUCT</v>
      </c>
    </row>
    <row r="74" spans="1:39" ht="16.5" hidden="1" outlineLevel="1" thickBot="1">
      <c r="B74" s="479" t="s">
        <v>23</v>
      </c>
      <c r="C74" s="480">
        <f>SUM(Q74:AB74)</f>
        <v>1276.9389200000001</v>
      </c>
      <c r="D74" s="480">
        <f>SUM(E74:AB74)</f>
        <v>14927.058159999997</v>
      </c>
      <c r="E74" s="549">
        <v>3623.7883399999996</v>
      </c>
      <c r="F74" s="549">
        <v>2670.8831</v>
      </c>
      <c r="G74" s="549">
        <v>2339.6638599999997</v>
      </c>
      <c r="H74" s="549">
        <v>1138.8720699999999</v>
      </c>
      <c r="I74" s="549">
        <v>830.25022999999999</v>
      </c>
      <c r="J74" s="549">
        <v>661.36716999999987</v>
      </c>
      <c r="K74" s="549">
        <v>578.13290999999992</v>
      </c>
      <c r="L74" s="549">
        <v>593.62869000000012</v>
      </c>
      <c r="M74" s="549">
        <v>759.76165999999989</v>
      </c>
      <c r="N74" s="549">
        <v>1510.7712100000001</v>
      </c>
      <c r="O74" s="549">
        <v>-759</v>
      </c>
      <c r="P74" s="549">
        <v>-298</v>
      </c>
      <c r="Q74" s="549">
        <f>SUMPRODUCT(Q49:Q57,Q62:Q70)</f>
        <v>365.47674000000006</v>
      </c>
      <c r="R74" s="549">
        <f>SUMPRODUCT(R49:R57,R62:R70)</f>
        <v>260.40443000000005</v>
      </c>
      <c r="S74" s="549">
        <f>SUMPRODUCT(S49:S57,S62:S70)</f>
        <v>204.33194</v>
      </c>
      <c r="T74" s="549">
        <f>SUMPRODUCT(T49:T57,T62:T70)</f>
        <v>140.90325999999999</v>
      </c>
      <c r="U74" s="549">
        <f t="shared" ref="U74" si="136">SUMPRODUCT(U49:U57,U62:U70)</f>
        <v>77.783180000000016</v>
      </c>
      <c r="V74" s="549">
        <f>SUMPRODUCT(V49:V57,V62:V70)</f>
        <v>47.84666</v>
      </c>
      <c r="W74" s="549">
        <f>SUMPRODUCT(W49:W57,W62:W70)</f>
        <v>39.061780000000006</v>
      </c>
      <c r="X74" s="549">
        <f>SUMPRODUCT(X49:X57,X62:X70)</f>
        <v>38.872079999999997</v>
      </c>
      <c r="Y74" s="549">
        <f>SUMPRODUCT(Y49:Y57,Y62:Y70)</f>
        <v>57.23368</v>
      </c>
      <c r="Z74" s="549">
        <f>SUMPRODUCT(Z49:Z57,Z62:Z70)</f>
        <v>128.02517</v>
      </c>
      <c r="AA74" s="554">
        <v>-83</v>
      </c>
      <c r="AB74" s="549">
        <v>0</v>
      </c>
      <c r="AC74" s="549">
        <v>0</v>
      </c>
      <c r="AD74" s="549">
        <v>0</v>
      </c>
      <c r="AF74" s="600"/>
      <c r="AG74" s="526"/>
      <c r="AH74" s="518"/>
      <c r="AI74" s="518"/>
      <c r="AJ74" s="518" t="s">
        <v>159</v>
      </c>
      <c r="AK74" s="519">
        <f>SUM(AJ70:AJ73)-SUM(AK70:AK73)</f>
        <v>0</v>
      </c>
    </row>
    <row r="75" spans="1:39" hidden="1" outlineLevel="1">
      <c r="B75" s="479" t="s">
        <v>148</v>
      </c>
      <c r="C75" s="480">
        <f>SUM(Q75:AB75)</f>
        <v>3209.97</v>
      </c>
      <c r="D75" s="491">
        <f>SUM(E75:AB75)</f>
        <v>3209.97</v>
      </c>
      <c r="E75" s="480">
        <v>0</v>
      </c>
      <c r="F75" s="480">
        <v>0</v>
      </c>
      <c r="G75" s="480">
        <v>0</v>
      </c>
      <c r="H75" s="480">
        <v>0</v>
      </c>
      <c r="I75" s="480">
        <v>0</v>
      </c>
      <c r="J75" s="480">
        <v>0</v>
      </c>
      <c r="K75" s="480">
        <v>0</v>
      </c>
      <c r="L75" s="480">
        <v>0</v>
      </c>
      <c r="M75" s="480">
        <v>0</v>
      </c>
      <c r="N75" s="480">
        <v>0</v>
      </c>
      <c r="O75" s="480">
        <v>0</v>
      </c>
      <c r="P75" s="480">
        <v>0</v>
      </c>
      <c r="Q75" s="480">
        <f>298+298</f>
        <v>596</v>
      </c>
      <c r="R75" s="480">
        <v>0</v>
      </c>
      <c r="S75" s="480">
        <v>0</v>
      </c>
      <c r="T75" s="480">
        <v>0</v>
      </c>
      <c r="U75" s="480">
        <v>0</v>
      </c>
      <c r="V75" s="480">
        <v>0</v>
      </c>
      <c r="W75" s="480">
        <v>0</v>
      </c>
      <c r="X75" s="480">
        <v>0</v>
      </c>
      <c r="Y75" s="480">
        <v>0</v>
      </c>
      <c r="Z75" s="480">
        <v>0</v>
      </c>
      <c r="AA75" s="549">
        <v>2613.9699999999998</v>
      </c>
      <c r="AB75" s="480">
        <v>0</v>
      </c>
      <c r="AC75" s="480">
        <v>0</v>
      </c>
      <c r="AD75" s="549">
        <v>0</v>
      </c>
    </row>
    <row r="76" spans="1:39" ht="16.5" hidden="1" outlineLevel="1" thickBot="1">
      <c r="B76" s="479" t="s">
        <v>56</v>
      </c>
      <c r="C76" s="533">
        <f>SUM(C74:C75)</f>
        <v>4486.9089199999999</v>
      </c>
      <c r="D76" s="533">
        <f>SUM(D73:D75)</f>
        <v>-9.9075000000134423</v>
      </c>
      <c r="E76" s="533">
        <v>-14523.147320000011</v>
      </c>
      <c r="F76" s="533">
        <f t="shared" ref="F76:P76" si="137">SUM(F73:F75)</f>
        <v>-11852.264220000012</v>
      </c>
      <c r="G76" s="533">
        <f t="shared" si="137"/>
        <v>-9512.6003600000113</v>
      </c>
      <c r="H76" s="533">
        <f t="shared" si="137"/>
        <v>-8373.7282900000118</v>
      </c>
      <c r="I76" s="533">
        <f t="shared" si="137"/>
        <v>-7543.4780600000122</v>
      </c>
      <c r="J76" s="533">
        <f t="shared" si="137"/>
        <v>-6882.1108900000127</v>
      </c>
      <c r="K76" s="533">
        <f t="shared" si="137"/>
        <v>-6303.9779800000124</v>
      </c>
      <c r="L76" s="533">
        <f t="shared" si="137"/>
        <v>-5710.3492900000119</v>
      </c>
      <c r="M76" s="533">
        <f t="shared" si="137"/>
        <v>-4950.5876300000118</v>
      </c>
      <c r="N76" s="533">
        <f t="shared" si="137"/>
        <v>-3439.8164200000119</v>
      </c>
      <c r="O76" s="533">
        <f t="shared" si="137"/>
        <v>-4198.8164200000119</v>
      </c>
      <c r="P76" s="533">
        <f t="shared" si="137"/>
        <v>-4496.8164200000119</v>
      </c>
      <c r="Q76" s="533">
        <f>SUM(Q73:Q75)</f>
        <v>-3535.3396800000119</v>
      </c>
      <c r="R76" s="533">
        <f>SUM(R73:R75)</f>
        <v>-3274.9352500000118</v>
      </c>
      <c r="S76" s="533">
        <f t="shared" ref="S76:AB76" si="138">SUM(S73:S75)</f>
        <v>-3070.6033100000118</v>
      </c>
      <c r="T76" s="533">
        <f t="shared" si="138"/>
        <v>-2929.7000500000117</v>
      </c>
      <c r="U76" s="533">
        <f t="shared" si="138"/>
        <v>-2851.9168700000118</v>
      </c>
      <c r="V76" s="533">
        <f t="shared" si="138"/>
        <v>-2804.0702100000117</v>
      </c>
      <c r="W76" s="533">
        <f t="shared" si="138"/>
        <v>-2765.0084300000117</v>
      </c>
      <c r="X76" s="533">
        <f t="shared" si="138"/>
        <v>-2726.1363500000116</v>
      </c>
      <c r="Y76" s="533">
        <f t="shared" si="138"/>
        <v>-2668.9026700000118</v>
      </c>
      <c r="Z76" s="533">
        <f t="shared" si="138"/>
        <v>-2540.8775000000119</v>
      </c>
      <c r="AA76" s="533">
        <f t="shared" si="138"/>
        <v>-9.9075000000120781</v>
      </c>
      <c r="AB76" s="533">
        <f t="shared" si="138"/>
        <v>-9.9075000000120781</v>
      </c>
      <c r="AC76" s="533">
        <f t="shared" ref="AC76:AD76" si="139">SUM(AC73:AC75)</f>
        <v>-9.9075000000120781</v>
      </c>
      <c r="AD76" s="593">
        <f t="shared" si="139"/>
        <v>-9.9075000000120781</v>
      </c>
    </row>
    <row r="77" spans="1:39" ht="16.5" hidden="1" outlineLevel="1" thickTop="1">
      <c r="B77" s="479" t="s">
        <v>256</v>
      </c>
      <c r="D77" s="480">
        <f>_xll.Get_Balance(AB72,"YTD","USD","Total","A","","001",$A$72,"GD","WA","DL")</f>
        <v>0</v>
      </c>
      <c r="E77" s="480">
        <v>-14523.15</v>
      </c>
      <c r="F77" s="480">
        <f>_xll.Get_Balance(F72,"YTD","USD","Total","A","","001",$A$72,"GD","WA","DL")</f>
        <v>-11852.27</v>
      </c>
      <c r="G77" s="480">
        <f>_xll.Get_Balance(G72,"YTD","USD","Total","A","","001",$A$72,"GD","WA","DL")</f>
        <v>-9512.61</v>
      </c>
      <c r="H77" s="480">
        <f>_xll.Get_Balance(H72,"YTD","USD","Total","A","","001",$A$72,"GD","WA","DL")</f>
        <v>-8373.74</v>
      </c>
      <c r="I77" s="480">
        <f>_xll.Get_Balance(I72,"YTD","USD","Total","A","","001",$A$72,"GD","WA","DL")</f>
        <v>-7543.49</v>
      </c>
      <c r="J77" s="480">
        <f>_xll.Get_Balance(J72,"YTD","USD","Total","A","","001",$A$72,"GD","WA","DL")</f>
        <v>-6882.12</v>
      </c>
      <c r="K77" s="480">
        <f>_xll.Get_Balance(K72,"YTD","USD","Total","A","","001",$A$72,"GD","WA","DL")</f>
        <v>-6303.99</v>
      </c>
      <c r="L77" s="480">
        <f>_xll.Get_Balance(L72,"YTD","USD","Total","A","","001",$A$72,"GD","WA","DL")</f>
        <v>-5710.36</v>
      </c>
      <c r="M77" s="480">
        <f>_xll.Get_Balance(M72,"YTD","USD","Total","A","","001",$A$72,"GD","WA","DL")</f>
        <v>-4950.6000000000004</v>
      </c>
      <c r="N77" s="480">
        <f>_xll.Get_Balance(N72,"YTD","USD","Total","A","","001",$A$72,"GD","WA","DL")</f>
        <v>-3439.83</v>
      </c>
      <c r="O77" s="480">
        <f>_xll.Get_Balance(O72,"YTD","USD","Total","A","","001",$A$72,"GD","WA","DL")</f>
        <v>-4198.83</v>
      </c>
      <c r="P77" s="480">
        <f>_xll.Get_Balance(P72,"YTD","USD","Total","A","","001",$A$72,"GD","WA","DL")</f>
        <v>-4496.83</v>
      </c>
      <c r="Q77" s="480">
        <f>_xll.Get_Balance(Q72,"YTD","USD","Total","A","","001",$A$72,"GD","WA","DL")</f>
        <v>-3535.35</v>
      </c>
      <c r="R77" s="480">
        <f>_xll.Get_Balance(R72,"YTD","USD","Total","A","","001",$A$72,"GD","WA","DL")</f>
        <v>-3265.04</v>
      </c>
      <c r="S77" s="480">
        <f>_xll.Get_Balance(S72,"YTD","USD","Total","A","","001",$A$72,"GD","WA","DL")</f>
        <v>-3060.71</v>
      </c>
      <c r="T77" s="480">
        <f>_xll.Get_Balance(T72,"YTD","USD","Total","A","","001",$A$72,"GD","WA","DL")</f>
        <v>-2919.81</v>
      </c>
      <c r="U77" s="480">
        <f>_xll.Get_Balance(U72,"YTD","USD","Total","A","","001",$A$72,"GD","WA","DL")</f>
        <v>-2842.03</v>
      </c>
      <c r="V77" s="480">
        <f>_xll.Get_Balance(V72,"YTD","USD","Total","A","","001",$A$72,"GD","WA","DL")</f>
        <v>-2794.18</v>
      </c>
      <c r="W77" s="480">
        <f>_xll.Get_Balance(W72,"YTD","USD","Total","A","","001",$A$72,"GD","WA","DL")</f>
        <v>-2755.12</v>
      </c>
      <c r="X77" s="480">
        <f>_xll.Get_Balance(X72,"YTD","USD","Total","A","","001",$A$72,"GD","WA","DL")</f>
        <v>-2716.25</v>
      </c>
      <c r="Y77" s="480">
        <f>_xll.Get_Balance(Y72,"YTD","USD","Total","A","","001",$A$72,"GD","WA","DL")</f>
        <v>-2659.02</v>
      </c>
      <c r="Z77" s="549">
        <f>_xll.Get_Balance(Z72,"YTD","USD","Total","A","","001",$A$72,"GD","WA","DL")</f>
        <v>-2530.9899999999998</v>
      </c>
      <c r="AA77" s="480">
        <f>_xll.Get_Balance(AA72,"YTD","USD","Total","A","","001",$A$72,"GD","WA","DL")</f>
        <v>0</v>
      </c>
      <c r="AB77" s="480">
        <f>_xll.Get_Balance(AB72,"YTD","USD","Total","A","","001",$A$72,"GD","WA","DL")</f>
        <v>0</v>
      </c>
      <c r="AC77" s="480">
        <f>_xll.Get_Balance(AC72,"YTD","USD","Total","A","","001",$A$72,"GD","WA","DL")</f>
        <v>0</v>
      </c>
      <c r="AD77" s="549">
        <f>_xll.Get_Balance(AD72,"YTD","USD","Total","A","","001",$A$72,"GD","WA","DL")</f>
        <v>0</v>
      </c>
    </row>
    <row r="78" spans="1:39" hidden="1" outlineLevel="1">
      <c r="B78" s="479" t="s">
        <v>243</v>
      </c>
      <c r="E78" s="480">
        <v>2.6799999886861769E-3</v>
      </c>
      <c r="F78" s="480">
        <f t="shared" ref="F78:P78" si="140">F76-F77</f>
        <v>5.7799999885901343E-3</v>
      </c>
      <c r="G78" s="480">
        <f t="shared" si="140"/>
        <v>9.6399999893037602E-3</v>
      </c>
      <c r="H78" s="480">
        <f t="shared" si="140"/>
        <v>1.1709999987942865E-2</v>
      </c>
      <c r="I78" s="480">
        <f t="shared" si="140"/>
        <v>1.1939999987589545E-2</v>
      </c>
      <c r="J78" s="480">
        <f t="shared" si="140"/>
        <v>9.1099999872312765E-3</v>
      </c>
      <c r="K78" s="480">
        <f t="shared" si="140"/>
        <v>1.2019999987387564E-2</v>
      </c>
      <c r="L78" s="480">
        <f t="shared" si="140"/>
        <v>1.0709999987739138E-2</v>
      </c>
      <c r="M78" s="480">
        <f t="shared" si="140"/>
        <v>1.2369999988550262E-2</v>
      </c>
      <c r="N78" s="480">
        <f t="shared" si="140"/>
        <v>1.3579999987996416E-2</v>
      </c>
      <c r="O78" s="480">
        <f t="shared" si="140"/>
        <v>1.3579999987996416E-2</v>
      </c>
      <c r="P78" s="480">
        <f t="shared" si="140"/>
        <v>1.3579999987996416E-2</v>
      </c>
      <c r="Q78" s="480">
        <f>Q76-Q77</f>
        <v>1.0319999988041673E-2</v>
      </c>
      <c r="R78" s="480">
        <f t="shared" ref="R78:AB78" si="141">R76-R77</f>
        <v>-9.8952500000118562</v>
      </c>
      <c r="S78" s="480">
        <f t="shared" si="141"/>
        <v>-9.893310000011752</v>
      </c>
      <c r="T78" s="480">
        <f t="shared" si="141"/>
        <v>-9.8900500000117972</v>
      </c>
      <c r="U78" s="480">
        <f t="shared" si="141"/>
        <v>-9.8868700000116405</v>
      </c>
      <c r="V78" s="480">
        <f t="shared" si="141"/>
        <v>-9.890210000011848</v>
      </c>
      <c r="W78" s="480">
        <f>W76-W77</f>
        <v>-9.8884300000117946</v>
      </c>
      <c r="X78" s="480">
        <f t="shared" si="141"/>
        <v>-9.8863500000115891</v>
      </c>
      <c r="Y78" s="480">
        <f t="shared" si="141"/>
        <v>-9.8826700000117853</v>
      </c>
      <c r="Z78" s="480">
        <f t="shared" si="141"/>
        <v>-9.8875000000120963</v>
      </c>
      <c r="AA78" s="480">
        <f t="shared" si="141"/>
        <v>-9.9075000000120781</v>
      </c>
      <c r="AB78" s="480">
        <f t="shared" si="141"/>
        <v>-9.9075000000120781</v>
      </c>
      <c r="AC78" s="480">
        <f t="shared" ref="AC78:AD78" si="142">AC76-AC77</f>
        <v>-9.9075000000120781</v>
      </c>
      <c r="AD78" s="549">
        <f t="shared" si="142"/>
        <v>-9.9075000000120781</v>
      </c>
    </row>
    <row r="79" spans="1:39" collapsed="1"/>
  </sheetData>
  <conditionalFormatting sqref="L26:P26 E59:P59 E26:I26">
    <cfRule type="cellIs" dxfId="206" priority="47" operator="notEqual">
      <formula>E25</formula>
    </cfRule>
  </conditionalFormatting>
  <conditionalFormatting sqref="AK74 AK41 AK11">
    <cfRule type="cellIs" dxfId="205" priority="35" operator="notEqual">
      <formula>0</formula>
    </cfRule>
  </conditionalFormatting>
  <conditionalFormatting sqref="D59">
    <cfRule type="cellIs" dxfId="204" priority="31" operator="notEqual">
      <formula>D58</formula>
    </cfRule>
  </conditionalFormatting>
  <conditionalFormatting sqref="C59">
    <cfRule type="cellIs" dxfId="203" priority="30" operator="notEqual">
      <formula>C58</formula>
    </cfRule>
  </conditionalFormatting>
  <conditionalFormatting sqref="D26">
    <cfRule type="cellIs" dxfId="202" priority="29" operator="notEqual">
      <formula>D25</formula>
    </cfRule>
  </conditionalFormatting>
  <conditionalFormatting sqref="C26">
    <cfRule type="cellIs" dxfId="201" priority="28" operator="notEqual">
      <formula>C25</formula>
    </cfRule>
  </conditionalFormatting>
  <conditionalFormatting sqref="J26">
    <cfRule type="cellIs" dxfId="200" priority="13" operator="notEqual">
      <formula>J25</formula>
    </cfRule>
  </conditionalFormatting>
  <conditionalFormatting sqref="K26">
    <cfRule type="cellIs" dxfId="199" priority="12" operator="notEqual">
      <formula>K25</formula>
    </cfRule>
  </conditionalFormatting>
  <conditionalFormatting sqref="Q59:U59 Q26:U26 X26:AB26 X59:Y59 AA59:AB59">
    <cfRule type="cellIs" dxfId="198" priority="11" operator="notEqual">
      <formula>Q25</formula>
    </cfRule>
  </conditionalFormatting>
  <conditionalFormatting sqref="V26">
    <cfRule type="cellIs" dxfId="197" priority="10" operator="notEqual">
      <formula>V25</formula>
    </cfRule>
  </conditionalFormatting>
  <conditionalFormatting sqref="V59">
    <cfRule type="cellIs" dxfId="196" priority="8" operator="notEqual">
      <formula>V58</formula>
    </cfRule>
  </conditionalFormatting>
  <conditionalFormatting sqref="W26">
    <cfRule type="cellIs" dxfId="195" priority="7" operator="notEqual">
      <formula>W25</formula>
    </cfRule>
  </conditionalFormatting>
  <conditionalFormatting sqref="W59">
    <cfRule type="cellIs" dxfId="194" priority="6" operator="notEqual">
      <formula>W58</formula>
    </cfRule>
  </conditionalFormatting>
  <conditionalFormatting sqref="Z59">
    <cfRule type="cellIs" dxfId="193" priority="5" operator="notEqual">
      <formula>Z58</formula>
    </cfRule>
  </conditionalFormatting>
  <conditionalFormatting sqref="AD26 AD59">
    <cfRule type="cellIs" dxfId="192" priority="4" operator="notEqual">
      <formula>AD25</formula>
    </cfRule>
  </conditionalFormatting>
  <conditionalFormatting sqref="AE26 AE59">
    <cfRule type="cellIs" dxfId="191" priority="3" operator="notEqual">
      <formula>AE25</formula>
    </cfRule>
  </conditionalFormatting>
  <conditionalFormatting sqref="AC26">
    <cfRule type="cellIs" dxfId="190" priority="2" operator="notEqual">
      <formula>AC25</formula>
    </cfRule>
  </conditionalFormatting>
  <conditionalFormatting sqref="AC59">
    <cfRule type="cellIs" dxfId="189" priority="1" operator="notEqual">
      <formula>AC58</formula>
    </cfRule>
  </conditionalFormatting>
  <pageMargins left="0" right="0" top="0.75" bottom="0.75" header="0.3" footer="0.3"/>
  <pageSetup scale="45" orientation="landscape" r:id="rId1"/>
  <customProperties>
    <customPr name="xxe4aPID" r:id="rId2"/>
  </customProperties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CC66"/>
    <pageSetUpPr fitToPage="1"/>
  </sheetPr>
  <dimension ref="A1:AL84"/>
  <sheetViews>
    <sheetView showGridLines="0" tabSelected="1" zoomScale="70" zoomScaleNormal="70" zoomScaleSheetLayoutView="85" workbookViewId="0">
      <pane xSplit="2" ySplit="3" topLeftCell="C4" activePane="bottomRight" state="frozen"/>
      <selection activeCell="BD49" activeCellId="1" sqref="BD13 BD49"/>
      <selection pane="topRight" activeCell="BD49" activeCellId="1" sqref="BD13 BD49"/>
      <selection pane="bottomLeft" activeCell="BD49" activeCellId="1" sqref="BD13 BD49"/>
      <selection pane="bottomRight" activeCell="AC29" sqref="AC29"/>
    </sheetView>
  </sheetViews>
  <sheetFormatPr defaultColWidth="9.140625" defaultRowHeight="15.75" outlineLevelRow="1" outlineLevelCol="1"/>
  <cols>
    <col min="1" max="1" width="17.28515625" style="480" customWidth="1"/>
    <col min="2" max="2" width="18.7109375" style="479" customWidth="1"/>
    <col min="3" max="3" width="17.5703125" style="480" customWidth="1"/>
    <col min="4" max="4" width="16.28515625" style="480" customWidth="1"/>
    <col min="5" max="6" width="16.28515625" style="480" hidden="1" customWidth="1" outlineLevel="1"/>
    <col min="7" max="7" width="17.42578125" style="480" hidden="1" customWidth="1" outlineLevel="1"/>
    <col min="8" max="8" width="15.5703125" style="480" hidden="1" customWidth="1" outlineLevel="1"/>
    <col min="9" max="13" width="17.42578125" style="480" hidden="1" customWidth="1" outlineLevel="1"/>
    <col min="14" max="14" width="17.5703125" style="480" hidden="1" customWidth="1" outlineLevel="1"/>
    <col min="15" max="15" width="18.140625" style="480" hidden="1" customWidth="1" outlineLevel="1"/>
    <col min="16" max="16" width="17.7109375" style="480" hidden="1" customWidth="1" outlineLevel="1"/>
    <col min="17" max="17" width="18.7109375" style="480" hidden="1" customWidth="1" outlineLevel="1"/>
    <col min="18" max="18" width="19.140625" style="480" hidden="1" customWidth="1" outlineLevel="1"/>
    <col min="19" max="19" width="17.42578125" style="480" hidden="1" customWidth="1" outlineLevel="1"/>
    <col min="20" max="20" width="16.7109375" style="480" hidden="1" customWidth="1" outlineLevel="1"/>
    <col min="21" max="22" width="17.42578125" style="480" hidden="1" customWidth="1" outlineLevel="1"/>
    <col min="23" max="23" width="17.42578125" style="480" customWidth="1" collapsed="1"/>
    <col min="24" max="25" width="17.42578125" style="480" customWidth="1"/>
    <col min="26" max="26" width="16.28515625" style="480" customWidth="1"/>
    <col min="27" max="27" width="18.140625" style="480" customWidth="1"/>
    <col min="28" max="29" width="17.7109375" style="480" customWidth="1"/>
    <col min="30" max="30" width="3.42578125" style="550" customWidth="1"/>
    <col min="31" max="31" width="34.42578125" style="480" customWidth="1"/>
    <col min="32" max="32" width="14.42578125" style="520" bestFit="1" customWidth="1"/>
    <col min="33" max="33" width="4.7109375" style="480" bestFit="1" customWidth="1"/>
    <col min="34" max="34" width="5" style="480" bestFit="1" customWidth="1"/>
    <col min="35" max="35" width="18.28515625" style="480" customWidth="1"/>
    <col min="36" max="36" width="17.140625" style="480" bestFit="1" customWidth="1"/>
    <col min="37" max="37" width="0.42578125" style="480" customWidth="1"/>
    <col min="38" max="16384" width="9.140625" style="480"/>
  </cols>
  <sheetData>
    <row r="1" spans="1:38">
      <c r="A1" s="478" t="s">
        <v>261</v>
      </c>
      <c r="AE1" s="478" t="s">
        <v>295</v>
      </c>
      <c r="AH1" s="481" t="s">
        <v>314</v>
      </c>
      <c r="AI1" s="481"/>
    </row>
    <row r="2" spans="1:38">
      <c r="A2" s="481" t="s">
        <v>262</v>
      </c>
    </row>
    <row r="3" spans="1:38" s="481" customFormat="1" ht="32.25" thickBot="1">
      <c r="A3" s="482">
        <v>191010</v>
      </c>
      <c r="B3" s="483" t="s">
        <v>252</v>
      </c>
      <c r="C3" s="484" t="s">
        <v>248</v>
      </c>
      <c r="D3" s="485" t="s">
        <v>257</v>
      </c>
      <c r="E3" s="482">
        <v>201601</v>
      </c>
      <c r="F3" s="482">
        <f>E3+1</f>
        <v>201602</v>
      </c>
      <c r="G3" s="482">
        <f t="shared" ref="G3:O3" si="0">F3+1</f>
        <v>201603</v>
      </c>
      <c r="H3" s="482">
        <f t="shared" si="0"/>
        <v>201604</v>
      </c>
      <c r="I3" s="482">
        <f t="shared" si="0"/>
        <v>201605</v>
      </c>
      <c r="J3" s="482">
        <f t="shared" si="0"/>
        <v>201606</v>
      </c>
      <c r="K3" s="482">
        <f>J3+1</f>
        <v>201607</v>
      </c>
      <c r="L3" s="482">
        <f t="shared" si="0"/>
        <v>201608</v>
      </c>
      <c r="M3" s="482">
        <f t="shared" si="0"/>
        <v>201609</v>
      </c>
      <c r="N3" s="482">
        <f t="shared" si="0"/>
        <v>201610</v>
      </c>
      <c r="O3" s="482">
        <f t="shared" si="0"/>
        <v>201611</v>
      </c>
      <c r="P3" s="482">
        <f>O3+1</f>
        <v>201612</v>
      </c>
      <c r="Q3" s="482">
        <v>201701</v>
      </c>
      <c r="R3" s="482">
        <f>Q3+1</f>
        <v>201702</v>
      </c>
      <c r="S3" s="482">
        <f t="shared" ref="S3:V3" si="1">R3+1</f>
        <v>201703</v>
      </c>
      <c r="T3" s="482">
        <f t="shared" si="1"/>
        <v>201704</v>
      </c>
      <c r="U3" s="482">
        <f t="shared" si="1"/>
        <v>201705</v>
      </c>
      <c r="V3" s="482">
        <f t="shared" si="1"/>
        <v>201706</v>
      </c>
      <c r="W3" s="482">
        <f>V3+1</f>
        <v>201707</v>
      </c>
      <c r="X3" s="482">
        <f t="shared" ref="X3:AA3" si="2">W3+1</f>
        <v>201708</v>
      </c>
      <c r="Y3" s="482">
        <f t="shared" si="2"/>
        <v>201709</v>
      </c>
      <c r="Z3" s="482">
        <f t="shared" si="2"/>
        <v>201710</v>
      </c>
      <c r="AA3" s="482">
        <f t="shared" si="2"/>
        <v>201711</v>
      </c>
      <c r="AB3" s="482">
        <f>AA3+1</f>
        <v>201712</v>
      </c>
      <c r="AC3" s="482">
        <v>201801</v>
      </c>
      <c r="AD3" s="565"/>
      <c r="AF3" s="482"/>
    </row>
    <row r="4" spans="1:38" s="481" customFormat="1" ht="16.5" thickBot="1">
      <c r="B4" s="483" t="s">
        <v>253</v>
      </c>
      <c r="C4" s="480"/>
      <c r="E4" s="486">
        <v>3.2500000000000001E-2</v>
      </c>
      <c r="F4" s="486">
        <v>3.2500000000000001E-2</v>
      </c>
      <c r="G4" s="486">
        <v>3.2500000000000001E-2</v>
      </c>
      <c r="H4" s="486">
        <v>3.4599999999999999E-2</v>
      </c>
      <c r="I4" s="486">
        <v>3.4599999999999999E-2</v>
      </c>
      <c r="J4" s="486">
        <v>3.4599999999999999E-2</v>
      </c>
      <c r="K4" s="486">
        <v>3.5000000000000003E-2</v>
      </c>
      <c r="L4" s="571">
        <v>3.5000000000000003E-2</v>
      </c>
      <c r="M4" s="486">
        <v>3.5000000000000003E-2</v>
      </c>
      <c r="N4" s="486">
        <v>3.5000000000000003E-2</v>
      </c>
      <c r="O4" s="486">
        <v>3.5000000000000003E-2</v>
      </c>
      <c r="P4" s="486">
        <v>3.5000000000000003E-2</v>
      </c>
      <c r="Q4" s="596">
        <v>3.5000000000000003E-2</v>
      </c>
      <c r="R4" s="596">
        <v>3.5000000000000003E-2</v>
      </c>
      <c r="S4" s="596">
        <v>3.5000000000000003E-2</v>
      </c>
      <c r="T4" s="596">
        <v>3.7100000000000001E-2</v>
      </c>
      <c r="U4" s="596">
        <v>3.7100000000000001E-2</v>
      </c>
      <c r="V4" s="596">
        <v>3.7100000000000001E-2</v>
      </c>
      <c r="W4" s="596">
        <v>3.9600000000000003E-2</v>
      </c>
      <c r="X4" s="596">
        <v>3.9600000000000003E-2</v>
      </c>
      <c r="Y4" s="596">
        <v>3.9600000000000003E-2</v>
      </c>
      <c r="Z4" s="596">
        <v>4.2099999999999999E-2</v>
      </c>
      <c r="AA4" s="596">
        <v>4.2099999999999999E-2</v>
      </c>
      <c r="AB4" s="596">
        <v>4.2099999999999999E-2</v>
      </c>
      <c r="AC4" s="596">
        <v>4.2500000000000003E-2</v>
      </c>
      <c r="AD4" s="565"/>
      <c r="AE4" s="536">
        <v>201801</v>
      </c>
      <c r="AF4" s="521"/>
      <c r="AG4" s="509"/>
      <c r="AH4" s="509"/>
      <c r="AI4" s="509"/>
      <c r="AJ4" s="510"/>
    </row>
    <row r="5" spans="1:38">
      <c r="B5" s="479" t="s">
        <v>250</v>
      </c>
      <c r="D5" s="480">
        <f>E5</f>
        <v>-6508323.8685397729</v>
      </c>
      <c r="E5" s="480">
        <v>-6508323.8685397729</v>
      </c>
      <c r="F5" s="480">
        <f t="shared" ref="F5:P5" si="3">E13</f>
        <v>-8439847.1132167727</v>
      </c>
      <c r="G5" s="480">
        <f t="shared" si="3"/>
        <v>-9264796.9494047705</v>
      </c>
      <c r="H5" s="480">
        <f t="shared" si="3"/>
        <v>-10398819.535470769</v>
      </c>
      <c r="I5" s="480">
        <f t="shared" si="3"/>
        <v>-12153304.785960769</v>
      </c>
      <c r="J5" s="480">
        <f t="shared" si="3"/>
        <v>-12778894.072104771</v>
      </c>
      <c r="K5" s="480">
        <f>J13</f>
        <v>-14182183.944992768</v>
      </c>
      <c r="L5" s="480">
        <f t="shared" si="3"/>
        <v>-15130761.40771677</v>
      </c>
      <c r="M5" s="480">
        <f>L13</f>
        <v>-15660034.00335677</v>
      </c>
      <c r="N5" s="480">
        <f t="shared" si="3"/>
        <v>-16306032.832939774</v>
      </c>
      <c r="O5" s="480">
        <f>N13</f>
        <v>-16534597.329101773</v>
      </c>
      <c r="P5" s="480">
        <f t="shared" si="3"/>
        <v>-3075004.5709557864</v>
      </c>
      <c r="Q5" s="480">
        <f>P13</f>
        <v>-6818269.0378097855</v>
      </c>
      <c r="R5" s="480">
        <f>Q13</f>
        <v>-10248016.525328787</v>
      </c>
      <c r="S5" s="480">
        <f>R13</f>
        <v>-12338677.191237787</v>
      </c>
      <c r="T5" s="480">
        <f t="shared" ref="T5:V5" si="4">S13</f>
        <v>-13990367.081666788</v>
      </c>
      <c r="U5" s="549">
        <f t="shared" si="4"/>
        <v>-15173451.409781789</v>
      </c>
      <c r="V5" s="480">
        <f t="shared" si="4"/>
        <v>-15098116.96234579</v>
      </c>
      <c r="W5" s="480">
        <f>V13</f>
        <v>-14771177.38731979</v>
      </c>
      <c r="X5" s="549">
        <f t="shared" ref="X5" si="5">W13</f>
        <v>-15909772.702550791</v>
      </c>
      <c r="Y5" s="480">
        <f>X13</f>
        <v>-16977268.897435792</v>
      </c>
      <c r="Z5" s="480">
        <f t="shared" ref="Z5" si="6">Y13</f>
        <v>-18962414.798894793</v>
      </c>
      <c r="AA5" s="480">
        <f>Z13</f>
        <v>-21954910.563472789</v>
      </c>
      <c r="AB5" s="480">
        <f t="shared" ref="AB5:AC5" si="7">AA13</f>
        <v>-8189815.5396147836</v>
      </c>
      <c r="AC5" s="480">
        <f t="shared" si="7"/>
        <v>-11107523.78934879</v>
      </c>
      <c r="AE5" s="493" t="s">
        <v>284</v>
      </c>
      <c r="AF5" s="522">
        <v>419600</v>
      </c>
      <c r="AG5" s="494" t="s">
        <v>280</v>
      </c>
      <c r="AH5" s="494" t="s">
        <v>281</v>
      </c>
      <c r="AI5" s="514">
        <v>0</v>
      </c>
      <c r="AJ5" s="515">
        <f>IF(SUMIF(E3:AC3,AE4,E8:AC8)&gt;0,SUMIF(E3:AC3,AE4,E8:AC8),0)</f>
        <v>0</v>
      </c>
      <c r="AL5" s="480" t="str">
        <f>_xll.GLW_Segment_Description(AF5,2,2)</f>
        <v>INTEREST ON ENERGY DEFERRALS</v>
      </c>
    </row>
    <row r="6" spans="1:38">
      <c r="B6" s="479" t="s">
        <v>309</v>
      </c>
      <c r="C6" s="480">
        <f>SUM(Q6:AB6)</f>
        <v>-14998507.255011011</v>
      </c>
      <c r="D6" s="480">
        <f t="shared" ref="D6:D12" si="8">SUM(E6:AB6)</f>
        <v>-28170584.433512013</v>
      </c>
      <c r="E6" s="576">
        <v>-173856.58066100068</v>
      </c>
      <c r="F6" s="576">
        <v>105835.91384800058</v>
      </c>
      <c r="G6" s="576">
        <v>-604740.2805199977</v>
      </c>
      <c r="H6" s="576">
        <v>-2253526.4287800011</v>
      </c>
      <c r="I6" s="576">
        <v>-1368171.1781060011</v>
      </c>
      <c r="J6" s="576">
        <v>-2304890.4720699973</v>
      </c>
      <c r="K6" s="614">
        <v>-1924994.8295020012</v>
      </c>
      <c r="L6" s="614">
        <v>-1510253.5672820001</v>
      </c>
      <c r="M6" s="614">
        <v>-1421303.766953001</v>
      </c>
      <c r="N6" s="614">
        <v>-389419.70859999908</v>
      </c>
      <c r="O6" s="614">
        <v>-192874.3790970007</v>
      </c>
      <c r="P6" s="614">
        <v>-1133881.9007779993</v>
      </c>
      <c r="Q6" s="614">
        <v>-491376.17008000147</v>
      </c>
      <c r="R6" s="614">
        <v>-201411.09328799881</v>
      </c>
      <c r="S6" s="614">
        <v>-696753.01067200163</v>
      </c>
      <c r="T6" s="614">
        <v>-912928.80422000168</v>
      </c>
      <c r="U6" s="614">
        <v>-482101.19766700035</v>
      </c>
      <c r="V6" s="614">
        <v>-580245.48787200102</v>
      </c>
      <c r="W6" s="549">
        <v>-2217856.2503400007</v>
      </c>
      <c r="X6" s="549">
        <v>-2108794.2989039999</v>
      </c>
      <c r="Y6" s="549">
        <v>-2779163.5886399997</v>
      </c>
      <c r="Z6" s="549">
        <v>-2935887.7038159985</v>
      </c>
      <c r="AA6" s="549">
        <v>-386463.99829400051</v>
      </c>
      <c r="AB6" s="480">
        <v>-1205525.6512180055</v>
      </c>
      <c r="AC6" s="480">
        <f>Jan!$H$55</f>
        <v>-743591.89883300196</v>
      </c>
      <c r="AE6" s="495" t="s">
        <v>285</v>
      </c>
      <c r="AF6" s="523">
        <v>431600</v>
      </c>
      <c r="AG6" s="356" t="s">
        <v>280</v>
      </c>
      <c r="AH6" s="356" t="s">
        <v>281</v>
      </c>
      <c r="AI6" s="379">
        <f>IF(SUMIF(E3:AC3,AE4,E8:AC8)&lt;0,-SUMIF(E3:AC3,AE4,E8:AC8),0)</f>
        <v>43044.14</v>
      </c>
      <c r="AJ6" s="496">
        <v>0</v>
      </c>
      <c r="AL6" s="480" t="str">
        <f>_xll.GLW_Segment_Description(AF6,2,2)</f>
        <v>INTEREST EXPENSE ENERGY DEFERRALS</v>
      </c>
    </row>
    <row r="7" spans="1:38">
      <c r="B7" s="479" t="s">
        <v>251</v>
      </c>
      <c r="C7" s="480">
        <f t="shared" ref="C7:C11" si="9">SUM(Q7:AB7)</f>
        <v>-3531759.9092339999</v>
      </c>
      <c r="D7" s="480">
        <f t="shared" si="8"/>
        <v>-4469685.620381997</v>
      </c>
      <c r="E7" s="577">
        <v>-1737451.7240159996</v>
      </c>
      <c r="F7" s="577">
        <v>-906843.13003599993</v>
      </c>
      <c r="G7" s="577">
        <v>-502690.50554600032</v>
      </c>
      <c r="H7" s="577">
        <v>531507.01829000015</v>
      </c>
      <c r="I7" s="577">
        <v>778474.07196199952</v>
      </c>
      <c r="J7" s="577">
        <v>940413.5291820009</v>
      </c>
      <c r="K7" s="576">
        <v>1019103.1667780007</v>
      </c>
      <c r="L7" s="576">
        <v>1025818.8216420002</v>
      </c>
      <c r="M7" s="576">
        <v>821854.23736999987</v>
      </c>
      <c r="N7" s="576">
        <v>208678.05243800068</v>
      </c>
      <c r="O7" s="576">
        <v>-521813.363136</v>
      </c>
      <c r="P7" s="576">
        <v>-2594975.8860759991</v>
      </c>
      <c r="Q7" s="576">
        <v>-2913519.2274390003</v>
      </c>
      <c r="R7" s="576">
        <v>-1856358.6126210007</v>
      </c>
      <c r="S7" s="576">
        <v>-916596.2697570005</v>
      </c>
      <c r="T7" s="576">
        <v>-225142.70389499958</v>
      </c>
      <c r="U7" s="576">
        <v>604158.21510300005</v>
      </c>
      <c r="V7" s="576">
        <v>953286.75289800053</v>
      </c>
      <c r="W7" s="549">
        <v>1129801.1151090004</v>
      </c>
      <c r="X7" s="549">
        <v>1095472.3340190002</v>
      </c>
      <c r="Y7" s="549">
        <v>853220.47718099994</v>
      </c>
      <c r="Z7" s="549">
        <v>15042.059238000307</v>
      </c>
      <c r="AA7" s="549">
        <v>-592732.92055399995</v>
      </c>
      <c r="AB7" s="480">
        <v>-1678391.1285159995</v>
      </c>
      <c r="AC7" s="480">
        <f>Jan!$I$55</f>
        <v>-1348640.4203420002</v>
      </c>
      <c r="AE7" s="495" t="s">
        <v>286</v>
      </c>
      <c r="AF7" s="523">
        <v>191010</v>
      </c>
      <c r="AG7" s="356" t="s">
        <v>280</v>
      </c>
      <c r="AH7" s="356" t="s">
        <v>281</v>
      </c>
      <c r="AI7" s="379">
        <f>IF((SUMIF(E3:AC3,AE4,E6:AC6)+SUMIF(E3:AC3,AE4,E7:AC7)+SUMIF(E3:AC3,AE4,E8:AC8))&gt;0,(SUMIF(E3:AC3,AE4,E6:AC6)+SUMIF(E3:AC3,AE4,E7:AC7)+SUMIF(E3:AC3,AE4,E8:AC8)),0)</f>
        <v>0</v>
      </c>
      <c r="AJ7" s="496">
        <f>IF((SUMIF(E3:AC3,AE4,E6:AC6)+SUMIF(E3:AC3,AE4,E7:AC7)+SUMIF(E3:AC3,AE4,E8:AC8))&lt;0,-(SUMIF(E3:AC3,AE4,E6:AC6)+SUMIF(E3:AC3,AE4,E7:AC7)++SUMIF(E3:AC3,AE4,E8:AC8)),0)</f>
        <v>2135276.4591750023</v>
      </c>
      <c r="AL7" s="480" t="str">
        <f>_xll.GLW_Segment_Description(AF7,2,2)</f>
        <v>CURR UNRECOV PGA DEFERRED</v>
      </c>
    </row>
    <row r="8" spans="1:38">
      <c r="B8" s="479" t="s">
        <v>254</v>
      </c>
      <c r="C8" s="480">
        <f t="shared" si="9"/>
        <v>-530200.14</v>
      </c>
      <c r="D8" s="480">
        <f t="shared" si="8"/>
        <v>-912326.38</v>
      </c>
      <c r="E8" s="578">
        <v>-20214.939999999999</v>
      </c>
      <c r="F8" s="578">
        <v>-23942.62</v>
      </c>
      <c r="G8" s="578">
        <v>-26591.8</v>
      </c>
      <c r="H8" s="578">
        <v>-32465.84</v>
      </c>
      <c r="I8" s="578">
        <v>-35892.18</v>
      </c>
      <c r="J8" s="578">
        <v>-38812.93</v>
      </c>
      <c r="K8" s="618">
        <v>-42685.8</v>
      </c>
      <c r="L8" s="618">
        <v>-44837.85</v>
      </c>
      <c r="M8" s="618">
        <v>-46549.3</v>
      </c>
      <c r="N8" s="618">
        <v>-47822.84</v>
      </c>
      <c r="O8" s="618">
        <f>ROUND(((O5+O9+O10+O11)*(O4/12))+((SUM(O6:O7)/2)*(O4/12)),2)</f>
        <v>-7903.46</v>
      </c>
      <c r="P8" s="618">
        <v>-14406.68</v>
      </c>
      <c r="Q8" s="618">
        <f t="shared" ref="Q8:U8" si="10">ROUND(((Q5)*(Q4/12))+((SUM(Q6:Q7)/2)*(Q4/12)),2)</f>
        <v>-24852.09</v>
      </c>
      <c r="R8" s="618">
        <f t="shared" si="10"/>
        <v>-32890.959999999999</v>
      </c>
      <c r="S8" s="618">
        <f t="shared" si="10"/>
        <v>-38340.61</v>
      </c>
      <c r="T8" s="618">
        <f t="shared" si="10"/>
        <v>-45012.82</v>
      </c>
      <c r="U8" s="618">
        <f t="shared" si="10"/>
        <v>-46722.57</v>
      </c>
      <c r="V8" s="618">
        <f>ROUND(((V5)*(V4/12))+((SUM(V6:V7)/2)*(V4/12)),2)</f>
        <v>-46101.69</v>
      </c>
      <c r="W8" s="546">
        <f t="shared" ref="W8:Y8" si="11">ROUND(((W5)*(W4/12))+((SUM(W6:W7)/2)*(W4/12)),2)</f>
        <v>-50540.18</v>
      </c>
      <c r="X8" s="546">
        <f>ROUND(((X5)*(X4/12))+((SUM(X6:X7)/2)*(X4/12)),2)</f>
        <v>-54174.23</v>
      </c>
      <c r="Y8" s="546">
        <f t="shared" si="11"/>
        <v>-59202.79</v>
      </c>
      <c r="Z8" s="546">
        <f>ROUND(((Z5)*(Z4/12))+((SUM(Z6:Z7)/2)*(Z4/12)),2)</f>
        <v>-71650.12</v>
      </c>
      <c r="AA8" s="546">
        <f>ROUND(((AA5+AA9+AA10+AA11)*(AA4/12))+((SUM(AA6:AA7)/2)*(AA4/12)),2)</f>
        <v>-26920.61</v>
      </c>
      <c r="AB8" s="487">
        <f>ROUND(((AB5)*(AB4/12))+((SUM(AB6:AB7)/2)*(AB4/12)),2)</f>
        <v>-33791.47</v>
      </c>
      <c r="AC8" s="487">
        <f>ROUND(((AC5)*(AC4/12))+((SUM(AC6:AC7)/2)*(AC4/12)),2)</f>
        <v>-43044.14</v>
      </c>
      <c r="AE8" s="495" t="s">
        <v>287</v>
      </c>
      <c r="AF8" s="523">
        <v>805120</v>
      </c>
      <c r="AG8" s="356" t="s">
        <v>280</v>
      </c>
      <c r="AH8" s="356" t="s">
        <v>281</v>
      </c>
      <c r="AI8" s="379">
        <f>IF((SUMIF(E3:AC3,AE4,E6:AC6)+SUMIF(E3:AC3,AE4,E7:AC7))&lt;0,-(SUMIF(E3:AC3,AE4,E6:AC6)+SUMIF(E3:AC3,AE4,E7:AC7)),0)</f>
        <v>2092232.3191750022</v>
      </c>
      <c r="AJ8" s="496">
        <f>IF((SUMIF(E3:AC3,AE4,E6:AC6)+SUMIF(E3:AC3,AE4,E7:AC7))&gt;0,(SUMIF(E3:AC3,AE4,E6:AC6)+SUMIF(E3:AC3,AE4,E7:AC7)),0)</f>
        <v>0</v>
      </c>
      <c r="AL8" s="480" t="str">
        <f>_xll.GLW_Segment_Description(AF8,2,2)</f>
        <v>DEFER CURRENT UNRECOVERED GAS COSTS</v>
      </c>
    </row>
    <row r="9" spans="1:38">
      <c r="B9" s="479" t="s">
        <v>258</v>
      </c>
      <c r="C9" s="480">
        <f t="shared" si="9"/>
        <v>9937543.9160110056</v>
      </c>
      <c r="D9" s="480">
        <f t="shared" si="8"/>
        <v>24087163.011451997</v>
      </c>
      <c r="E9" s="480">
        <v>0</v>
      </c>
      <c r="F9" s="480">
        <v>0</v>
      </c>
      <c r="G9" s="480">
        <v>0</v>
      </c>
      <c r="H9" s="480">
        <v>0</v>
      </c>
      <c r="I9" s="480">
        <v>0</v>
      </c>
      <c r="J9" s="480">
        <v>0</v>
      </c>
      <c r="K9" s="480">
        <v>0</v>
      </c>
      <c r="L9" s="480">
        <v>0</v>
      </c>
      <c r="M9" s="480">
        <v>0</v>
      </c>
      <c r="N9" s="480">
        <v>0</v>
      </c>
      <c r="O9" s="588">
        <v>14149619.095440991</v>
      </c>
      <c r="P9" s="480">
        <v>0</v>
      </c>
      <c r="Q9" s="549">
        <v>0</v>
      </c>
      <c r="R9" s="549">
        <v>0</v>
      </c>
      <c r="S9" s="549">
        <v>0</v>
      </c>
      <c r="T9" s="549">
        <v>0</v>
      </c>
      <c r="U9" s="549">
        <v>0</v>
      </c>
      <c r="V9" s="549">
        <v>0</v>
      </c>
      <c r="W9" s="549">
        <v>0</v>
      </c>
      <c r="X9" s="549">
        <v>0</v>
      </c>
      <c r="Y9" s="549">
        <v>0</v>
      </c>
      <c r="Z9" s="549">
        <v>0</v>
      </c>
      <c r="AA9" s="615">
        <f>-SUM(K6:V6)</f>
        <v>9937543.9160110056</v>
      </c>
      <c r="AB9" s="480">
        <v>0</v>
      </c>
      <c r="AC9" s="480">
        <v>0</v>
      </c>
      <c r="AE9" s="495" t="s">
        <v>11</v>
      </c>
      <c r="AF9" s="523">
        <v>191010</v>
      </c>
      <c r="AG9" s="356" t="s">
        <v>280</v>
      </c>
      <c r="AH9" s="356" t="s">
        <v>281</v>
      </c>
      <c r="AI9" s="379">
        <f>IF((SUMIF(E3:AC3,AE4,E9:AC9)+SUMIF(E3:AC3,AE4,E10:AC10)+SUMIF(E3:AC3,AE4,E11:AC11)+SUMIF(E3:AC3,AE4,E12:AC12))&gt;0,(SUMIF(E3:AC3,AE4,E9:AC9)+SUMIF(E3:AC3,AE4,E10:AC10)+SUMIF(E3:AC3,AE4,E11:AC11)+SUMIF(E3:AC3,AE4,E12:AC12)),0)</f>
        <v>0</v>
      </c>
      <c r="AJ9" s="496">
        <v>0</v>
      </c>
      <c r="AL9" s="480" t="str">
        <f>_xll.GLW_Segment_Description(AF9,2,2)</f>
        <v>CURR UNRECOV PGA DEFERRED</v>
      </c>
    </row>
    <row r="10" spans="1:38" ht="16.5" thickBot="1">
      <c r="B10" s="479" t="s">
        <v>259</v>
      </c>
      <c r="C10" s="480">
        <f t="shared" si="9"/>
        <v>4395506.8166949991</v>
      </c>
      <c r="D10" s="480">
        <f t="shared" si="8"/>
        <v>4181620.6216329979</v>
      </c>
      <c r="E10" s="480">
        <v>0</v>
      </c>
      <c r="F10" s="480">
        <v>0</v>
      </c>
      <c r="G10" s="480">
        <v>0</v>
      </c>
      <c r="H10" s="480">
        <v>0</v>
      </c>
      <c r="I10" s="480">
        <v>0</v>
      </c>
      <c r="J10" s="480">
        <v>0</v>
      </c>
      <c r="K10" s="480">
        <v>0</v>
      </c>
      <c r="L10" s="480">
        <v>0</v>
      </c>
      <c r="M10" s="480">
        <v>0</v>
      </c>
      <c r="N10" s="480">
        <v>0</v>
      </c>
      <c r="O10" s="589">
        <v>-213886.19506200103</v>
      </c>
      <c r="P10" s="480">
        <v>0</v>
      </c>
      <c r="Q10" s="549">
        <v>0</v>
      </c>
      <c r="R10" s="549">
        <v>0</v>
      </c>
      <c r="S10" s="549">
        <v>0</v>
      </c>
      <c r="T10" s="549">
        <v>0</v>
      </c>
      <c r="U10" s="549">
        <v>0</v>
      </c>
      <c r="V10" s="549">
        <v>0</v>
      </c>
      <c r="W10" s="549">
        <v>0</v>
      </c>
      <c r="X10" s="549">
        <v>0</v>
      </c>
      <c r="Y10" s="549">
        <v>0</v>
      </c>
      <c r="Z10" s="549">
        <v>0</v>
      </c>
      <c r="AA10" s="617">
        <f>-SUM(K7:V7)</f>
        <v>4395506.8166949991</v>
      </c>
      <c r="AB10" s="480">
        <v>0</v>
      </c>
      <c r="AC10" s="480">
        <v>0</v>
      </c>
      <c r="AE10" s="497" t="str">
        <f>AE9</f>
        <v>Tracker Transfer</v>
      </c>
      <c r="AF10" s="524">
        <f>AF43</f>
        <v>191000</v>
      </c>
      <c r="AG10" s="524" t="str">
        <f>AG43</f>
        <v>GD</v>
      </c>
      <c r="AH10" s="524" t="str">
        <f>AH43</f>
        <v>WA</v>
      </c>
      <c r="AI10" s="498">
        <v>0</v>
      </c>
      <c r="AJ10" s="516">
        <f>AI9</f>
        <v>0</v>
      </c>
      <c r="AL10" s="480" t="str">
        <f>_xll.GLW_Segment_Description(AF10,2,2)</f>
        <v>RECOVERABLE GAS COSTS AMORTIZED</v>
      </c>
    </row>
    <row r="11" spans="1:38" ht="16.5" thickBot="1">
      <c r="B11" s="479" t="s">
        <v>260</v>
      </c>
      <c r="C11" s="480">
        <f t="shared" si="9"/>
        <v>438126.67</v>
      </c>
      <c r="D11" s="480">
        <f t="shared" si="8"/>
        <v>684577.32</v>
      </c>
      <c r="E11" s="480">
        <v>0</v>
      </c>
      <c r="F11" s="480">
        <v>0</v>
      </c>
      <c r="G11" s="480">
        <v>0</v>
      </c>
      <c r="H11" s="480">
        <v>0</v>
      </c>
      <c r="I11" s="480">
        <v>0</v>
      </c>
      <c r="J11" s="480">
        <v>0</v>
      </c>
      <c r="K11" s="480">
        <v>0</v>
      </c>
      <c r="L11" s="480">
        <v>0</v>
      </c>
      <c r="M11" s="480">
        <v>0</v>
      </c>
      <c r="N11" s="480">
        <v>0</v>
      </c>
      <c r="O11" s="590">
        <v>246450.64999999997</v>
      </c>
      <c r="P11" s="480">
        <v>0</v>
      </c>
      <c r="Q11" s="549">
        <v>0</v>
      </c>
      <c r="R11" s="549">
        <v>0</v>
      </c>
      <c r="S11" s="549">
        <v>0</v>
      </c>
      <c r="T11" s="549">
        <v>0</v>
      </c>
      <c r="U11" s="549">
        <v>0</v>
      </c>
      <c r="V11" s="549">
        <v>0</v>
      </c>
      <c r="W11" s="549">
        <v>0</v>
      </c>
      <c r="X11" s="549">
        <v>0</v>
      </c>
      <c r="Y11" s="549">
        <v>0</v>
      </c>
      <c r="Z11" s="549">
        <v>0</v>
      </c>
      <c r="AA11" s="619">
        <f>-SUM(K8:V8)</f>
        <v>438126.67</v>
      </c>
      <c r="AB11" s="480">
        <v>0</v>
      </c>
      <c r="AC11" s="480">
        <v>0</v>
      </c>
      <c r="AE11" s="511"/>
      <c r="AF11" s="525"/>
      <c r="AG11" s="512"/>
      <c r="AH11" s="512"/>
      <c r="AI11" s="512" t="s">
        <v>159</v>
      </c>
      <c r="AJ11" s="513">
        <f>SUM(AI5:AI10)-SUM(AJ5:AJ10)</f>
        <v>0</v>
      </c>
    </row>
    <row r="12" spans="1:38">
      <c r="B12" s="479" t="s">
        <v>148</v>
      </c>
      <c r="C12" s="480">
        <f>SUM(Q12:AB12)</f>
        <v>35.15</v>
      </c>
      <c r="D12" s="480">
        <f t="shared" si="8"/>
        <v>35.559999999999995</v>
      </c>
      <c r="E12" s="480">
        <v>0</v>
      </c>
      <c r="F12" s="480">
        <v>0</v>
      </c>
      <c r="G12" s="480">
        <v>0</v>
      </c>
      <c r="H12" s="480">
        <v>0</v>
      </c>
      <c r="I12" s="480">
        <v>0</v>
      </c>
      <c r="J12" s="480">
        <v>0</v>
      </c>
      <c r="K12" s="480">
        <v>0</v>
      </c>
      <c r="L12" s="480">
        <v>0</v>
      </c>
      <c r="M12" s="480">
        <v>0</v>
      </c>
      <c r="N12" s="480">
        <v>0</v>
      </c>
      <c r="O12" s="591">
        <v>0.41</v>
      </c>
      <c r="P12" s="480">
        <v>0</v>
      </c>
      <c r="Q12" s="549">
        <v>0</v>
      </c>
      <c r="R12" s="549">
        <v>0</v>
      </c>
      <c r="S12" s="549">
        <v>0</v>
      </c>
      <c r="T12" s="549">
        <v>0</v>
      </c>
      <c r="U12" s="549">
        <v>0</v>
      </c>
      <c r="V12" s="549">
        <v>0</v>
      </c>
      <c r="W12" s="549">
        <v>0</v>
      </c>
      <c r="X12" s="549">
        <v>0</v>
      </c>
      <c r="Y12" s="549">
        <v>0</v>
      </c>
      <c r="Z12" s="549">
        <v>0</v>
      </c>
      <c r="AA12" s="591">
        <v>35.15</v>
      </c>
      <c r="AB12" s="480">
        <v>0</v>
      </c>
      <c r="AC12" s="480">
        <v>0</v>
      </c>
    </row>
    <row r="13" spans="1:38" ht="16.5" thickBot="1">
      <c r="B13" s="479" t="s">
        <v>56</v>
      </c>
      <c r="C13" s="533">
        <f>SUM(C5:C12)</f>
        <v>-4289254.751539005</v>
      </c>
      <c r="D13" s="533">
        <f>SUM(D5:D12)</f>
        <v>-11107523.789348787</v>
      </c>
      <c r="E13" s="533">
        <v>-8439847.1132167727</v>
      </c>
      <c r="F13" s="533">
        <f>SUM(F5:F12)</f>
        <v>-9264796.9494047705</v>
      </c>
      <c r="G13" s="533">
        <f t="shared" ref="G13:N13" si="12">SUM(G5:G12)</f>
        <v>-10398819.535470769</v>
      </c>
      <c r="H13" s="533">
        <f t="shared" si="12"/>
        <v>-12153304.785960769</v>
      </c>
      <c r="I13" s="533">
        <f t="shared" si="12"/>
        <v>-12778894.072104771</v>
      </c>
      <c r="J13" s="533">
        <f>SUM(J5:J12)</f>
        <v>-14182183.944992768</v>
      </c>
      <c r="K13" s="533">
        <f>SUM(K5:K12)</f>
        <v>-15130761.40771677</v>
      </c>
      <c r="L13" s="533">
        <f t="shared" si="12"/>
        <v>-15660034.00335677</v>
      </c>
      <c r="M13" s="533">
        <f>SUM(M5:M12)</f>
        <v>-16306032.832939774</v>
      </c>
      <c r="N13" s="533">
        <f t="shared" si="12"/>
        <v>-16534597.329101773</v>
      </c>
      <c r="O13" s="587">
        <f>SUM(O5:O12)</f>
        <v>-3075004.5709557864</v>
      </c>
      <c r="P13" s="533">
        <f>SUM(P5:P12)</f>
        <v>-6818269.0378097855</v>
      </c>
      <c r="Q13" s="533">
        <f>SUM(Q5:Q12)</f>
        <v>-10248016.525328787</v>
      </c>
      <c r="R13" s="533">
        <f>SUM(R5:R12)</f>
        <v>-12338677.191237787</v>
      </c>
      <c r="S13" s="533">
        <f>SUM(S5:S12)</f>
        <v>-13990367.081666788</v>
      </c>
      <c r="T13" s="533">
        <f t="shared" ref="T13:U13" si="13">SUM(T5:T12)</f>
        <v>-15173451.409781789</v>
      </c>
      <c r="U13" s="533">
        <f t="shared" si="13"/>
        <v>-15098116.96234579</v>
      </c>
      <c r="V13" s="533">
        <f>SUM(V5:V12)</f>
        <v>-14771177.38731979</v>
      </c>
      <c r="W13" s="533">
        <f t="shared" ref="W13:X13" si="14">SUM(W5:W12)</f>
        <v>-15909772.702550791</v>
      </c>
      <c r="X13" s="533">
        <f t="shared" si="14"/>
        <v>-16977268.897435792</v>
      </c>
      <c r="Y13" s="533">
        <f>SUM(Y5:Y12)</f>
        <v>-18962414.798894793</v>
      </c>
      <c r="Z13" s="533">
        <f t="shared" ref="Z13" si="15">SUM(Z5:Z12)</f>
        <v>-21954910.563472789</v>
      </c>
      <c r="AA13" s="587">
        <f>SUM(AA5:AA12)</f>
        <v>-8189815.5396147836</v>
      </c>
      <c r="AB13" s="533">
        <f>SUM(AB5:AB12)</f>
        <v>-11107523.78934879</v>
      </c>
      <c r="AC13" s="533">
        <f>SUM(AC5:AC12)</f>
        <v>-13242800.248523792</v>
      </c>
    </row>
    <row r="14" spans="1:38" ht="16.5" thickTop="1">
      <c r="B14" s="479" t="s">
        <v>256</v>
      </c>
      <c r="D14" s="480">
        <f>_xll.Get_Balance(AB3,"YTD","USD","Total","A","","001",$A$3,"GD","WA","DL")</f>
        <v>-11107523.800000001</v>
      </c>
      <c r="E14" s="480">
        <v>-8432290.1199999992</v>
      </c>
      <c r="F14" s="480">
        <f>_xll.Get_Balance(F3,"YTD","USD","Total","A","","001",$A$3,"GD","WA","DL")</f>
        <v>-9264796.9499999993</v>
      </c>
      <c r="G14" s="480">
        <f>_xll.Get_Balance(G3,"YTD","USD","Total","A","","001",$A$3,"GD","WA","DL")</f>
        <v>-10398819.539999999</v>
      </c>
      <c r="H14" s="480">
        <f>_xll.Get_Balance(H3,"YTD","USD","Total","A","","001",$A$3,"GD","WA","DL")</f>
        <v>-12153304.789999999</v>
      </c>
      <c r="I14" s="480">
        <f>_xll.Get_Balance(I3,"YTD","USD","Total","A","","001",$A$3,"GD","WA","DL")</f>
        <v>-12778894.08</v>
      </c>
      <c r="J14" s="586">
        <f>_xll.Get_Balance(J3,"YTD","USD","Total","A","","001",$A$3,"GD","WA","DL")</f>
        <v>-14182183.949999999</v>
      </c>
      <c r="K14" s="480">
        <f>_xll.Get_Balance(K3,"YTD","USD","Total","A","","001",$A$3,"GD","WA","DL")</f>
        <v>-15130761.41</v>
      </c>
      <c r="L14" s="480">
        <f>_xll.Get_Balance(L3,"YTD","USD","Total","A","","001",$A$3,"GD","WA","DL")</f>
        <v>-15660034.01</v>
      </c>
      <c r="M14" s="480">
        <f>_xll.Get_Balance(M3,"YTD","USD","Total","A","","001",$A$3,"GD","WA","DL")</f>
        <v>-16306032.84</v>
      </c>
      <c r="N14" s="480">
        <f>_xll.Get_Balance(N3,"YTD","USD","Total","A","","001",$A$3,"GD","WA","DL")</f>
        <v>-16534597.34</v>
      </c>
      <c r="O14" s="480">
        <f>_xll.Get_Balance(O3,"YTD","USD","Total","A","","001",$A$3,"GD","WA","DL")</f>
        <v>-3075004.58</v>
      </c>
      <c r="P14" s="480">
        <f>_xll.Get_Balance(P3,"YTD","USD","Total","A","","001",$A$3,"GD","WA","DL")</f>
        <v>-6818269.0499999998</v>
      </c>
      <c r="Q14" s="480">
        <f>_xll.Get_Balance(Q3,"YTD","USD","Total","A","","001",$A$3,"GD","WA","DL")</f>
        <v>-10248016.539999999</v>
      </c>
      <c r="R14" s="480">
        <f>_xll.Get_Balance(R3,"YTD","USD","Total","A","","001",$A$3,"GD","WA","DL")</f>
        <v>-12338677.210000001</v>
      </c>
      <c r="S14" s="480">
        <f>_xll.Get_Balance(S3,"YTD","USD","Total","A","","001",$A$3,"GD","WA","DL")</f>
        <v>-13990367.1</v>
      </c>
      <c r="T14" s="480">
        <f>_xll.Get_Balance(T3,"YTD","USD","Total","A","","001",$A$3,"GD","WA","DL")</f>
        <v>-15173451.43</v>
      </c>
      <c r="U14" s="480">
        <f>_xll.Get_Balance(U3,"YTD","USD","Total","A","","001",$A$3,"GD","WA","DL")</f>
        <v>-15098116.98</v>
      </c>
      <c r="V14" s="616">
        <f>_xll.Get_Balance(V3,"YTD","USD","Total","A","","001",$A$3,"GD","WA","DL")</f>
        <v>-14771177.4</v>
      </c>
      <c r="W14" s="480">
        <f>_xll.Get_Balance(W3,"YTD","USD","Total","A","","001",$A$3,"GD","WA","DL")</f>
        <v>-15909772.720000001</v>
      </c>
      <c r="X14" s="480">
        <f>_xll.Get_Balance(X3,"YTD","USD","Total","A","","001",$A$3,"GD","WA","DL")</f>
        <v>-16977268.91</v>
      </c>
      <c r="Y14" s="480">
        <f>_xll.Get_Balance(Y3,"YTD","USD","Total","A","","001",$A$3,"GD","WA","DL")</f>
        <v>-18962414.809999999</v>
      </c>
      <c r="Z14" s="480">
        <f>_xll.Get_Balance(Z3,"YTD","USD","Total","A","","001",$A$3,"GD","WA","DL")</f>
        <v>-21954910.57</v>
      </c>
      <c r="AA14" s="480">
        <f>_xll.Get_Balance(AA3,"YTD","USD","Total","A","","001",$A$3,"GD","WA","DL")</f>
        <v>-8189815.5499999998</v>
      </c>
      <c r="AB14" s="480">
        <f>_xll.Get_Balance(AB3,"YTD","USD","Total","A","","001",$A$3,"GD","WA","DL")</f>
        <v>-11107523.800000001</v>
      </c>
      <c r="AC14" s="480">
        <f>_xll.Get_Balance(AC3,"YTD","USD","Total","A","","001",$A$3,"GD","WA","DL")</f>
        <v>-13242800.26</v>
      </c>
    </row>
    <row r="15" spans="1:38">
      <c r="B15" s="479" t="s">
        <v>243</v>
      </c>
      <c r="E15" s="480">
        <v>-7556.9932167734951</v>
      </c>
      <c r="F15" s="480">
        <f t="shared" ref="F15:N15" si="16">F13-F14</f>
        <v>5.9522874653339386E-4</v>
      </c>
      <c r="G15" s="480">
        <f t="shared" si="16"/>
        <v>4.5292302966117859E-3</v>
      </c>
      <c r="H15" s="480">
        <f t="shared" si="16"/>
        <v>4.0392298251390457E-3</v>
      </c>
      <c r="I15" s="480">
        <f t="shared" si="16"/>
        <v>7.895229384303093E-3</v>
      </c>
      <c r="J15" s="480">
        <f t="shared" si="16"/>
        <v>5.0072316080331802E-3</v>
      </c>
      <c r="K15" s="480">
        <f>K13-K14</f>
        <v>2.2832304239273071E-3</v>
      </c>
      <c r="L15" s="480">
        <f t="shared" si="16"/>
        <v>6.6432300955057144E-3</v>
      </c>
      <c r="M15" s="480">
        <f t="shared" si="16"/>
        <v>7.0602260529994965E-3</v>
      </c>
      <c r="N15" s="480">
        <f t="shared" si="16"/>
        <v>1.0898226872086525E-2</v>
      </c>
      <c r="O15" s="480">
        <f>O13-O14</f>
        <v>9.0442136861383915E-3</v>
      </c>
      <c r="P15" s="480">
        <f>P13-P14</f>
        <v>1.2190214358270168E-2</v>
      </c>
      <c r="Q15" s="480">
        <f>Q13-Q14</f>
        <v>1.4671212062239647E-2</v>
      </c>
      <c r="R15" s="480">
        <f t="shared" ref="R15:Z15" si="17">R13-R14</f>
        <v>1.8762214109301567E-2</v>
      </c>
      <c r="S15" s="480">
        <f t="shared" si="17"/>
        <v>1.8333211541175842E-2</v>
      </c>
      <c r="T15" s="480">
        <f t="shared" si="17"/>
        <v>2.021821029484272E-2</v>
      </c>
      <c r="U15" s="480">
        <f t="shared" si="17"/>
        <v>1.7654210329055786E-2</v>
      </c>
      <c r="V15" s="480">
        <f t="shared" si="17"/>
        <v>1.2680210173130035E-2</v>
      </c>
      <c r="W15" s="480">
        <f t="shared" si="17"/>
        <v>1.7449209466576576E-2</v>
      </c>
      <c r="X15" s="480">
        <f t="shared" si="17"/>
        <v>1.256420835852623E-2</v>
      </c>
      <c r="Y15" s="480">
        <f t="shared" si="17"/>
        <v>1.1105205863714218E-2</v>
      </c>
      <c r="Z15" s="480">
        <f t="shared" si="17"/>
        <v>6.5272115170955658E-3</v>
      </c>
      <c r="AA15" s="480">
        <f>AA13-AA14</f>
        <v>1.038521621376276E-2</v>
      </c>
      <c r="AB15" s="480">
        <f>AB13-AB14</f>
        <v>1.0651210322976112E-2</v>
      </c>
      <c r="AC15" s="480">
        <f>AC13-AC14</f>
        <v>1.147620752453804E-2</v>
      </c>
    </row>
    <row r="16" spans="1:38">
      <c r="A16" s="481" t="s">
        <v>263</v>
      </c>
    </row>
    <row r="17" spans="1:31">
      <c r="A17" s="481" t="s">
        <v>310</v>
      </c>
      <c r="E17" s="530"/>
      <c r="F17" s="530"/>
      <c r="G17" s="530"/>
      <c r="H17" s="530"/>
      <c r="I17" s="530"/>
      <c r="J17" s="530"/>
      <c r="K17" s="530"/>
      <c r="L17" s="530"/>
      <c r="M17" s="530"/>
      <c r="N17" s="530"/>
      <c r="O17" s="530"/>
      <c r="P17" s="530"/>
      <c r="Q17" s="530"/>
      <c r="R17" s="530"/>
      <c r="S17" s="530"/>
      <c r="T17" s="530"/>
      <c r="U17" s="530"/>
      <c r="V17" s="530"/>
      <c r="W17" s="530"/>
      <c r="X17" s="530"/>
      <c r="Y17" s="530"/>
      <c r="Z17" s="530"/>
      <c r="AA17" s="530"/>
      <c r="AB17" s="530"/>
      <c r="AC17" s="530"/>
    </row>
    <row r="18" spans="1:31">
      <c r="A18" s="482">
        <v>191000</v>
      </c>
      <c r="B18" s="483" t="s">
        <v>252</v>
      </c>
      <c r="C18" s="484" t="s">
        <v>248</v>
      </c>
      <c r="D18" s="484" t="s">
        <v>249</v>
      </c>
      <c r="E18" s="482">
        <v>201601</v>
      </c>
      <c r="F18" s="482">
        <f>E18+1</f>
        <v>201602</v>
      </c>
      <c r="G18" s="482">
        <f t="shared" ref="G18:P18" si="18">F18+1</f>
        <v>201603</v>
      </c>
      <c r="H18" s="482">
        <f t="shared" si="18"/>
        <v>201604</v>
      </c>
      <c r="I18" s="482">
        <f t="shared" si="18"/>
        <v>201605</v>
      </c>
      <c r="J18" s="482">
        <f t="shared" si="18"/>
        <v>201606</v>
      </c>
      <c r="K18" s="482">
        <f t="shared" si="18"/>
        <v>201607</v>
      </c>
      <c r="L18" s="482">
        <f t="shared" si="18"/>
        <v>201608</v>
      </c>
      <c r="M18" s="482">
        <f t="shared" si="18"/>
        <v>201609</v>
      </c>
      <c r="N18" s="482">
        <f t="shared" si="18"/>
        <v>201610</v>
      </c>
      <c r="O18" s="482">
        <f t="shared" si="18"/>
        <v>201611</v>
      </c>
      <c r="P18" s="482">
        <f t="shared" si="18"/>
        <v>201612</v>
      </c>
      <c r="Q18" s="482">
        <f>Q3</f>
        <v>201701</v>
      </c>
      <c r="R18" s="482">
        <f>Q18+1</f>
        <v>201702</v>
      </c>
      <c r="S18" s="482">
        <f t="shared" ref="S18:AC18" si="19">R18+1</f>
        <v>201703</v>
      </c>
      <c r="T18" s="482">
        <f t="shared" si="19"/>
        <v>201704</v>
      </c>
      <c r="U18" s="482">
        <f t="shared" si="19"/>
        <v>201705</v>
      </c>
      <c r="V18" s="482">
        <f t="shared" si="19"/>
        <v>201706</v>
      </c>
      <c r="W18" s="482">
        <f t="shared" si="19"/>
        <v>201707</v>
      </c>
      <c r="X18" s="482">
        <f t="shared" si="19"/>
        <v>201708</v>
      </c>
      <c r="Y18" s="482">
        <f t="shared" si="19"/>
        <v>201709</v>
      </c>
      <c r="Z18" s="482">
        <f t="shared" si="19"/>
        <v>201710</v>
      </c>
      <c r="AA18" s="482">
        <f t="shared" si="19"/>
        <v>201711</v>
      </c>
      <c r="AB18" s="482">
        <f t="shared" si="19"/>
        <v>201712</v>
      </c>
      <c r="AC18" s="482">
        <f t="shared" si="19"/>
        <v>201713</v>
      </c>
    </row>
    <row r="19" spans="1:31">
      <c r="A19" s="481"/>
      <c r="B19" s="479" t="s">
        <v>37</v>
      </c>
      <c r="C19" s="480">
        <f>SUM(Q19:AB19)</f>
        <v>130617072</v>
      </c>
      <c r="D19" s="488">
        <f t="shared" ref="D19:D27" si="20">SUM(E19:AB19)</f>
        <v>239260942</v>
      </c>
      <c r="E19" s="535">
        <v>20140968</v>
      </c>
      <c r="F19" s="535">
        <v>14297044</v>
      </c>
      <c r="G19" s="535">
        <v>12238194</v>
      </c>
      <c r="H19" s="535">
        <v>5348802</v>
      </c>
      <c r="I19" s="535">
        <v>3384728</v>
      </c>
      <c r="J19" s="535">
        <v>2765049</v>
      </c>
      <c r="K19" s="535">
        <v>2292583</v>
      </c>
      <c r="L19" s="535">
        <v>2354714</v>
      </c>
      <c r="M19" s="535">
        <v>3123052</v>
      </c>
      <c r="N19" s="535">
        <v>7137333</v>
      </c>
      <c r="O19" s="535">
        <v>11352396</v>
      </c>
      <c r="P19" s="535">
        <v>24209007</v>
      </c>
      <c r="Q19" s="598">
        <v>27259641</v>
      </c>
      <c r="R19" s="598">
        <f>Feb!$G23</f>
        <v>18179866</v>
      </c>
      <c r="S19" s="598">
        <f>Mar!$G23</f>
        <v>14316138</v>
      </c>
      <c r="T19" s="598">
        <f>Apr!$G23</f>
        <v>9641125</v>
      </c>
      <c r="U19" s="598">
        <f>May!$G23</f>
        <v>4941679</v>
      </c>
      <c r="V19" s="598">
        <f>Jun!$G23</f>
        <v>2542069</v>
      </c>
      <c r="W19" s="598">
        <f>Jul!$G23</f>
        <v>2070483</v>
      </c>
      <c r="X19" s="598">
        <f>Aug!$G23</f>
        <v>2080707</v>
      </c>
      <c r="Y19" s="598">
        <f>Sep!G23</f>
        <v>3147236</v>
      </c>
      <c r="Z19" s="598">
        <f>Oct!G23</f>
        <v>8835836</v>
      </c>
      <c r="AA19" s="598">
        <f>Nov!G23</f>
        <v>14838696</v>
      </c>
      <c r="AB19" s="598">
        <f>Dec!$G23</f>
        <v>22763596</v>
      </c>
      <c r="AC19" s="598">
        <f>Jan!G23</f>
        <v>20257484</v>
      </c>
    </row>
    <row r="20" spans="1:31">
      <c r="A20" s="481"/>
      <c r="B20" s="554" t="s">
        <v>305</v>
      </c>
      <c r="C20" s="480">
        <f t="shared" ref="C20:C27" si="21">SUM(Q20:AB20)</f>
        <v>180105</v>
      </c>
      <c r="D20" s="488">
        <f t="shared" si="20"/>
        <v>332422</v>
      </c>
      <c r="E20" s="535">
        <v>17893</v>
      </c>
      <c r="F20" s="535">
        <v>14593</v>
      </c>
      <c r="G20" s="535">
        <v>18603</v>
      </c>
      <c r="H20" s="535">
        <v>12171</v>
      </c>
      <c r="I20" s="535">
        <v>5734</v>
      </c>
      <c r="J20" s="535">
        <v>4482</v>
      </c>
      <c r="K20" s="535">
        <v>3610</v>
      </c>
      <c r="L20" s="535">
        <v>2820</v>
      </c>
      <c r="M20" s="535">
        <v>4729</v>
      </c>
      <c r="N20" s="535">
        <v>12809</v>
      </c>
      <c r="O20" s="535">
        <v>19581</v>
      </c>
      <c r="P20" s="535">
        <v>35292</v>
      </c>
      <c r="Q20" s="598">
        <v>40615</v>
      </c>
      <c r="R20" s="598">
        <f>Feb!$G24</f>
        <v>21014</v>
      </c>
      <c r="S20" s="598">
        <f>Mar!$G24</f>
        <v>22738</v>
      </c>
      <c r="T20" s="598">
        <f>Apr!$G24</f>
        <v>15697</v>
      </c>
      <c r="U20" s="598">
        <f>May!$G24</f>
        <v>8078</v>
      </c>
      <c r="V20" s="598">
        <f>Jun!$G24</f>
        <v>3619</v>
      </c>
      <c r="W20" s="598">
        <f>Jul!$G24</f>
        <v>2296</v>
      </c>
      <c r="X20" s="598">
        <f>Aug!$G24</f>
        <v>2393</v>
      </c>
      <c r="Y20" s="598">
        <f>Sep!G24</f>
        <v>3920</v>
      </c>
      <c r="Z20" s="598">
        <f>Oct!G24</f>
        <v>13952</v>
      </c>
      <c r="AA20" s="598">
        <f>Nov!G24</f>
        <v>20740</v>
      </c>
      <c r="AB20" s="598">
        <f>Dec!$G24</f>
        <v>25043</v>
      </c>
      <c r="AC20" s="598">
        <f>Jan!G24</f>
        <v>22671</v>
      </c>
      <c r="AE20" s="262"/>
    </row>
    <row r="21" spans="1:31">
      <c r="A21" s="481"/>
      <c r="B21" s="479" t="s">
        <v>38</v>
      </c>
      <c r="C21" s="480">
        <f t="shared" si="21"/>
        <v>51732297</v>
      </c>
      <c r="D21" s="488">
        <f t="shared" si="20"/>
        <v>96291598</v>
      </c>
      <c r="E21" s="535">
        <v>6568112</v>
      </c>
      <c r="F21" s="535">
        <v>5200734</v>
      </c>
      <c r="G21" s="535">
        <v>4795258</v>
      </c>
      <c r="H21" s="535">
        <v>2668983</v>
      </c>
      <c r="I21" s="535">
        <v>2221542</v>
      </c>
      <c r="J21" s="535">
        <v>1675034</v>
      </c>
      <c r="K21" s="535">
        <v>1510014</v>
      </c>
      <c r="L21" s="535">
        <v>1583471</v>
      </c>
      <c r="M21" s="535">
        <v>2056535</v>
      </c>
      <c r="N21" s="535">
        <v>3586972</v>
      </c>
      <c r="O21" s="535">
        <v>4116109</v>
      </c>
      <c r="P21" s="535">
        <v>8576537</v>
      </c>
      <c r="Q21" s="598">
        <v>8738107</v>
      </c>
      <c r="R21" s="598">
        <f>Feb!$G25</f>
        <v>7202971</v>
      </c>
      <c r="S21" s="598">
        <f>Mar!$G25</f>
        <v>5603968</v>
      </c>
      <c r="T21" s="598">
        <f>Apr!$G25</f>
        <v>4021494</v>
      </c>
      <c r="U21" s="598">
        <f>May!$G25</f>
        <v>2425238</v>
      </c>
      <c r="V21" s="598">
        <f>Jun!$G25</f>
        <v>1878375</v>
      </c>
      <c r="W21" s="598">
        <f>Jul!$G25</f>
        <v>1446879</v>
      </c>
      <c r="X21" s="598">
        <f>Aug!$G25</f>
        <v>1463939</v>
      </c>
      <c r="Y21" s="598">
        <f>Sep!G25</f>
        <v>2165313</v>
      </c>
      <c r="Z21" s="598">
        <f>Oct!G25</f>
        <v>3629858</v>
      </c>
      <c r="AA21" s="598">
        <f>Nov!G25</f>
        <v>5325716</v>
      </c>
      <c r="AB21" s="598">
        <f>Dec!$G25</f>
        <v>7830439</v>
      </c>
      <c r="AC21" s="598">
        <f>Jan!G25</f>
        <v>6608892</v>
      </c>
      <c r="AE21" s="262"/>
    </row>
    <row r="22" spans="1:31" hidden="1" outlineLevel="1">
      <c r="A22" s="481"/>
      <c r="B22" s="563" t="s">
        <v>39</v>
      </c>
      <c r="C22" s="480">
        <f t="shared" si="21"/>
        <v>0</v>
      </c>
      <c r="D22" s="488">
        <f t="shared" si="20"/>
        <v>0</v>
      </c>
      <c r="E22" s="535"/>
      <c r="F22" s="535"/>
      <c r="G22" s="535"/>
      <c r="H22" s="535"/>
      <c r="I22" s="535"/>
      <c r="J22" s="535"/>
      <c r="K22" s="535"/>
      <c r="L22" s="535"/>
      <c r="M22" s="535"/>
      <c r="N22" s="535"/>
      <c r="O22" s="535"/>
      <c r="P22" s="535"/>
      <c r="Q22" s="598"/>
      <c r="R22" s="598"/>
      <c r="S22" s="598"/>
      <c r="T22" s="598"/>
      <c r="U22" s="598"/>
      <c r="V22" s="598"/>
      <c r="W22" s="598"/>
      <c r="X22" s="598"/>
      <c r="Y22" s="598">
        <f>Sep!G26</f>
        <v>0</v>
      </c>
      <c r="Z22" s="598">
        <f>Oct!G26</f>
        <v>0</v>
      </c>
      <c r="AA22" s="598"/>
      <c r="AB22" s="598"/>
      <c r="AC22" s="598"/>
      <c r="AE22" s="262"/>
    </row>
    <row r="23" spans="1:31" collapsed="1">
      <c r="A23" s="481"/>
      <c r="B23" s="479" t="s">
        <v>40</v>
      </c>
      <c r="C23" s="480">
        <f t="shared" si="21"/>
        <v>3946445</v>
      </c>
      <c r="D23" s="488">
        <f t="shared" si="20"/>
        <v>7596040</v>
      </c>
      <c r="E23" s="535">
        <v>345863</v>
      </c>
      <c r="F23" s="535">
        <v>408568</v>
      </c>
      <c r="G23" s="535">
        <v>361566</v>
      </c>
      <c r="H23" s="535">
        <v>227877</v>
      </c>
      <c r="I23" s="535">
        <v>311290</v>
      </c>
      <c r="J23" s="535">
        <v>225272</v>
      </c>
      <c r="K23" s="535">
        <v>266816</v>
      </c>
      <c r="L23" s="535">
        <v>259403</v>
      </c>
      <c r="M23" s="535">
        <v>291879</v>
      </c>
      <c r="N23" s="535">
        <v>401880</v>
      </c>
      <c r="O23" s="535">
        <v>314956</v>
      </c>
      <c r="P23" s="535">
        <v>234225</v>
      </c>
      <c r="Q23" s="598">
        <v>284721</v>
      </c>
      <c r="R23" s="598">
        <f>Feb!$G27</f>
        <v>448875</v>
      </c>
      <c r="S23" s="598">
        <f>Mar!$G27</f>
        <v>334116</v>
      </c>
      <c r="T23" s="598">
        <f>Apr!$G27</f>
        <v>288026</v>
      </c>
      <c r="U23" s="598">
        <f>May!$G27</f>
        <v>302382</v>
      </c>
      <c r="V23" s="598">
        <f>Jun!$G27</f>
        <v>289055</v>
      </c>
      <c r="W23" s="598">
        <f>Jul!$G27</f>
        <v>274504</v>
      </c>
      <c r="X23" s="598">
        <f>Aug!$G27</f>
        <v>291721</v>
      </c>
      <c r="Y23" s="598">
        <f>Sep!G27</f>
        <v>348558</v>
      </c>
      <c r="Z23" s="598">
        <f>Oct!G27</f>
        <v>248414</v>
      </c>
      <c r="AA23" s="598">
        <f>Nov!G27</f>
        <v>458380</v>
      </c>
      <c r="AB23" s="598">
        <f>Dec!$G27</f>
        <v>377693</v>
      </c>
      <c r="AC23" s="598">
        <f>Jan!G27</f>
        <v>362835</v>
      </c>
      <c r="AE23" s="262"/>
    </row>
    <row r="24" spans="1:31" hidden="1" outlineLevel="1">
      <c r="A24" s="481"/>
      <c r="B24" s="563" t="s">
        <v>41</v>
      </c>
      <c r="C24" s="480">
        <f t="shared" si="21"/>
        <v>0</v>
      </c>
      <c r="D24" s="488">
        <f t="shared" si="20"/>
        <v>0</v>
      </c>
      <c r="E24" s="535"/>
      <c r="F24" s="535"/>
      <c r="G24" s="535"/>
      <c r="H24" s="535"/>
      <c r="I24" s="535"/>
      <c r="J24" s="535"/>
      <c r="K24" s="535"/>
      <c r="L24" s="535"/>
      <c r="M24" s="535"/>
      <c r="N24" s="535"/>
      <c r="O24" s="535"/>
      <c r="P24" s="535"/>
      <c r="Q24" s="598"/>
      <c r="R24" s="598"/>
      <c r="S24" s="598"/>
      <c r="T24" s="598"/>
      <c r="U24" s="598"/>
      <c r="V24" s="598"/>
      <c r="W24" s="598"/>
      <c r="X24" s="598"/>
      <c r="Y24" s="598"/>
      <c r="Z24" s="598"/>
      <c r="AA24" s="598"/>
      <c r="AB24" s="598"/>
      <c r="AC24" s="598"/>
      <c r="AE24" s="262"/>
    </row>
    <row r="25" spans="1:31" collapsed="1">
      <c r="A25" s="481"/>
      <c r="B25" s="554" t="s">
        <v>42</v>
      </c>
      <c r="C25" s="480">
        <f t="shared" si="21"/>
        <v>0</v>
      </c>
      <c r="D25" s="488">
        <f t="shared" si="20"/>
        <v>0</v>
      </c>
      <c r="E25" s="535">
        <v>0</v>
      </c>
      <c r="F25" s="535">
        <v>0</v>
      </c>
      <c r="G25" s="535">
        <v>0</v>
      </c>
      <c r="H25" s="535">
        <v>0</v>
      </c>
      <c r="I25" s="535">
        <v>0</v>
      </c>
      <c r="J25" s="535">
        <v>0</v>
      </c>
      <c r="K25" s="535">
        <v>0</v>
      </c>
      <c r="L25" s="535">
        <v>0</v>
      </c>
      <c r="M25" s="535">
        <v>0</v>
      </c>
      <c r="N25" s="535">
        <v>0</v>
      </c>
      <c r="O25" s="535">
        <v>0</v>
      </c>
      <c r="P25" s="535">
        <v>0</v>
      </c>
      <c r="Q25" s="598">
        <v>0</v>
      </c>
      <c r="R25" s="598">
        <f>Feb!$G29</f>
        <v>0</v>
      </c>
      <c r="S25" s="598">
        <f>Mar!$G29</f>
        <v>0</v>
      </c>
      <c r="T25" s="598">
        <f>Apr!$G29</f>
        <v>0</v>
      </c>
      <c r="U25" s="598">
        <f>May!$G29</f>
        <v>0</v>
      </c>
      <c r="V25" s="598">
        <f>Jun!$G29</f>
        <v>0</v>
      </c>
      <c r="W25" s="598">
        <f>Jul!$G29</f>
        <v>0</v>
      </c>
      <c r="X25" s="598">
        <f>Aug!$G29</f>
        <v>0</v>
      </c>
      <c r="Y25" s="598">
        <f>Sep!G29</f>
        <v>0</v>
      </c>
      <c r="Z25" s="598">
        <f>Oct!G29</f>
        <v>0</v>
      </c>
      <c r="AA25" s="598">
        <f>Nov!G29</f>
        <v>0</v>
      </c>
      <c r="AB25" s="598">
        <f>Dec!$G29</f>
        <v>0</v>
      </c>
      <c r="AC25" s="598">
        <f>Jan!G29</f>
        <v>0</v>
      </c>
      <c r="AE25" s="262"/>
    </row>
    <row r="26" spans="1:31" hidden="1" outlineLevel="1">
      <c r="A26" s="481"/>
      <c r="B26" s="563" t="s">
        <v>43</v>
      </c>
      <c r="C26" s="480">
        <f t="shared" si="21"/>
        <v>0</v>
      </c>
      <c r="D26" s="488">
        <f t="shared" si="20"/>
        <v>0</v>
      </c>
      <c r="E26" s="535"/>
      <c r="F26" s="535"/>
      <c r="G26" s="535"/>
      <c r="H26" s="535"/>
      <c r="I26" s="535"/>
      <c r="J26" s="535"/>
      <c r="K26" s="535"/>
      <c r="L26" s="535"/>
      <c r="M26" s="535"/>
      <c r="N26" s="535"/>
      <c r="O26" s="535"/>
      <c r="P26" s="535"/>
      <c r="Q26" s="598"/>
      <c r="R26" s="598"/>
      <c r="S26" s="598"/>
      <c r="T26" s="598"/>
      <c r="U26" s="598"/>
      <c r="V26" s="598"/>
      <c r="W26" s="598"/>
      <c r="X26" s="598"/>
      <c r="Y26" s="598"/>
      <c r="Z26" s="598"/>
      <c r="AA26" s="598"/>
      <c r="AB26" s="598"/>
      <c r="AC26" s="598"/>
      <c r="AE26" s="262"/>
    </row>
    <row r="27" spans="1:31" collapsed="1">
      <c r="A27" s="481"/>
      <c r="B27" s="479" t="s">
        <v>74</v>
      </c>
      <c r="C27" s="480">
        <f t="shared" si="21"/>
        <v>36278484</v>
      </c>
      <c r="D27" s="488">
        <f t="shared" si="20"/>
        <v>67193084</v>
      </c>
      <c r="E27" s="535">
        <v>3346687</v>
      </c>
      <c r="F27" s="535">
        <v>2956295</v>
      </c>
      <c r="G27" s="535">
        <v>2822744</v>
      </c>
      <c r="H27" s="535">
        <v>2379815</v>
      </c>
      <c r="I27" s="535">
        <v>2359261</v>
      </c>
      <c r="J27" s="535">
        <v>2149880</v>
      </c>
      <c r="K27" s="535">
        <v>1956378</v>
      </c>
      <c r="L27" s="535">
        <v>1966117</v>
      </c>
      <c r="M27" s="535">
        <v>1915306</v>
      </c>
      <c r="N27" s="535">
        <v>2505633</v>
      </c>
      <c r="O27" s="535">
        <v>2750386</v>
      </c>
      <c r="P27" s="535">
        <v>3806098</v>
      </c>
      <c r="Q27" s="598">
        <v>4261630</v>
      </c>
      <c r="R27" s="598">
        <f>Feb!$G31</f>
        <v>3567188</v>
      </c>
      <c r="S27" s="598">
        <f>Mar!$G31</f>
        <v>3381923</v>
      </c>
      <c r="T27" s="598">
        <f>Apr!$G31</f>
        <v>2868630</v>
      </c>
      <c r="U27" s="598">
        <f>May!$G31</f>
        <v>2501903</v>
      </c>
      <c r="V27" s="598">
        <f>Jun!$G31</f>
        <v>2531843</v>
      </c>
      <c r="W27" s="598">
        <f>Jul!$G31</f>
        <v>2144434</v>
      </c>
      <c r="X27" s="598">
        <f>Aug!$G31</f>
        <v>2338940</v>
      </c>
      <c r="Y27" s="598">
        <f>Sep!G31</f>
        <v>2209861</v>
      </c>
      <c r="Z27" s="598">
        <f>Oct!G31</f>
        <v>3085921</v>
      </c>
      <c r="AA27" s="598">
        <f>Nov!G31</f>
        <v>3418526</v>
      </c>
      <c r="AB27" s="598">
        <f>Dec!$G31</f>
        <v>3967685</v>
      </c>
      <c r="AC27" s="598">
        <f>Jan!G31</f>
        <v>3629622</v>
      </c>
      <c r="AE27" s="262"/>
    </row>
    <row r="28" spans="1:31" ht="16.5" thickBot="1">
      <c r="A28" s="481"/>
      <c r="B28" s="479" t="s">
        <v>21</v>
      </c>
      <c r="C28" s="534">
        <f>SUM(C19:C27)</f>
        <v>222754403</v>
      </c>
      <c r="D28" s="534">
        <f>SUM(D19:D27)</f>
        <v>410674086</v>
      </c>
      <c r="E28" s="534">
        <v>30419523</v>
      </c>
      <c r="F28" s="534">
        <f t="shared" ref="F28:P28" si="22">SUM(F19:F27)</f>
        <v>22877234</v>
      </c>
      <c r="G28" s="534">
        <f t="shared" si="22"/>
        <v>20236365</v>
      </c>
      <c r="H28" s="534">
        <f t="shared" si="22"/>
        <v>10637648</v>
      </c>
      <c r="I28" s="534">
        <f t="shared" si="22"/>
        <v>8282555</v>
      </c>
      <c r="J28" s="534">
        <f>SUM(J19:J27)</f>
        <v>6819717</v>
      </c>
      <c r="K28" s="534">
        <f>SUM(K19:K27)</f>
        <v>6029401</v>
      </c>
      <c r="L28" s="534">
        <f t="shared" si="22"/>
        <v>6166525</v>
      </c>
      <c r="M28" s="534">
        <f>SUM(M19:M27)</f>
        <v>7391501</v>
      </c>
      <c r="N28" s="534">
        <f t="shared" si="22"/>
        <v>13644627</v>
      </c>
      <c r="O28" s="534">
        <f t="shared" si="22"/>
        <v>18553428</v>
      </c>
      <c r="P28" s="534">
        <f t="shared" si="22"/>
        <v>36861159</v>
      </c>
      <c r="Q28" s="534">
        <f>SUM(Q19:Q27)</f>
        <v>40584714</v>
      </c>
      <c r="R28" s="534">
        <f t="shared" ref="R28:U28" si="23">SUM(R19:R27)</f>
        <v>29419914</v>
      </c>
      <c r="S28" s="534">
        <f t="shared" si="23"/>
        <v>23658883</v>
      </c>
      <c r="T28" s="534">
        <f t="shared" si="23"/>
        <v>16834972</v>
      </c>
      <c r="U28" s="534">
        <f t="shared" si="23"/>
        <v>10179280</v>
      </c>
      <c r="V28" s="534">
        <f>SUM(V19:V27)</f>
        <v>7244961</v>
      </c>
      <c r="W28" s="534">
        <f>SUM(W19:W27)</f>
        <v>5938596</v>
      </c>
      <c r="X28" s="534">
        <f t="shared" ref="X28" si="24">SUM(X19:X27)</f>
        <v>6177700</v>
      </c>
      <c r="Y28" s="534">
        <f>SUM(Y19:Y27)</f>
        <v>7874888</v>
      </c>
      <c r="Z28" s="534">
        <f>SUM(Z19:Z27)</f>
        <v>15813981</v>
      </c>
      <c r="AA28" s="534">
        <f t="shared" ref="AA28:AB28" si="25">SUM(AA19:AA27)</f>
        <v>24062058</v>
      </c>
      <c r="AB28" s="534">
        <f t="shared" si="25"/>
        <v>34964456</v>
      </c>
      <c r="AC28" s="623">
        <f>SUM(AC19:AC27)</f>
        <v>30881504</v>
      </c>
      <c r="AE28" s="262"/>
    </row>
    <row r="29" spans="1:31" ht="16.5" thickTop="1">
      <c r="A29" s="481"/>
      <c r="B29" s="479" t="s">
        <v>264</v>
      </c>
      <c r="C29" s="488">
        <f>SUM(Q29:AB29)</f>
        <v>223692149</v>
      </c>
      <c r="D29" s="488">
        <f>SUM(E29:AB29)</f>
        <v>411611832</v>
      </c>
      <c r="E29" s="488">
        <v>30419523</v>
      </c>
      <c r="F29" s="488">
        <v>22877234</v>
      </c>
      <c r="G29" s="488">
        <v>20236365</v>
      </c>
      <c r="H29" s="488">
        <v>10637648</v>
      </c>
      <c r="I29" s="488">
        <v>8282555</v>
      </c>
      <c r="J29" s="488">
        <v>6819717</v>
      </c>
      <c r="K29" s="488">
        <v>6029401</v>
      </c>
      <c r="L29" s="552">
        <v>6166525</v>
      </c>
      <c r="M29" s="488">
        <v>7391501</v>
      </c>
      <c r="N29" s="488">
        <v>13644627</v>
      </c>
      <c r="O29" s="488">
        <v>18553428</v>
      </c>
      <c r="P29" s="488">
        <v>36861159</v>
      </c>
      <c r="Q29" s="488">
        <v>40584714</v>
      </c>
      <c r="R29" s="488">
        <v>30357660</v>
      </c>
      <c r="S29" s="488">
        <v>23658883</v>
      </c>
      <c r="T29" s="488">
        <v>16834972</v>
      </c>
      <c r="U29" s="488">
        <v>10179280</v>
      </c>
      <c r="V29" s="488">
        <v>7244961</v>
      </c>
      <c r="W29" s="488">
        <v>5938596</v>
      </c>
      <c r="X29" s="552">
        <v>6177700</v>
      </c>
      <c r="Y29" s="552">
        <v>7874888</v>
      </c>
      <c r="Z29" s="552">
        <v>15813981</v>
      </c>
      <c r="AA29" s="552">
        <v>24062058</v>
      </c>
      <c r="AB29" s="488">
        <v>34964456</v>
      </c>
      <c r="AC29" s="552">
        <v>30881504</v>
      </c>
      <c r="AD29" s="566"/>
    </row>
    <row r="30" spans="1:31">
      <c r="A30" s="481" t="s">
        <v>22</v>
      </c>
      <c r="E30" s="530"/>
      <c r="F30" s="530"/>
      <c r="G30" s="530"/>
      <c r="H30" s="530"/>
      <c r="I30" s="530"/>
      <c r="J30" s="530"/>
      <c r="K30" s="530"/>
      <c r="L30" s="530"/>
      <c r="M30" s="530"/>
      <c r="N30" s="530"/>
      <c r="O30" s="530"/>
      <c r="P30" s="530"/>
      <c r="Q30" s="530"/>
      <c r="R30" s="530"/>
      <c r="S30" s="530"/>
      <c r="T30" s="530"/>
      <c r="U30" s="530"/>
      <c r="V30" s="530"/>
      <c r="W30" s="530"/>
      <c r="X30" s="530"/>
      <c r="Y30" s="530"/>
      <c r="Z30" s="530"/>
      <c r="AA30" s="530"/>
      <c r="AB30" s="530"/>
      <c r="AC30" s="624"/>
    </row>
    <row r="31" spans="1:31">
      <c r="A31" s="482">
        <v>191000</v>
      </c>
      <c r="B31" s="483" t="s">
        <v>252</v>
      </c>
      <c r="E31" s="482">
        <v>201601</v>
      </c>
      <c r="F31" s="482">
        <f>E31+1</f>
        <v>201602</v>
      </c>
      <c r="G31" s="482">
        <f t="shared" ref="G31:P31" si="26">F31+1</f>
        <v>201603</v>
      </c>
      <c r="H31" s="482">
        <f t="shared" si="26"/>
        <v>201604</v>
      </c>
      <c r="I31" s="482">
        <f t="shared" si="26"/>
        <v>201605</v>
      </c>
      <c r="J31" s="482">
        <f t="shared" si="26"/>
        <v>201606</v>
      </c>
      <c r="K31" s="482">
        <f t="shared" si="26"/>
        <v>201607</v>
      </c>
      <c r="L31" s="482">
        <f t="shared" si="26"/>
        <v>201608</v>
      </c>
      <c r="M31" s="482">
        <f t="shared" si="26"/>
        <v>201609</v>
      </c>
      <c r="N31" s="482">
        <f t="shared" si="26"/>
        <v>201610</v>
      </c>
      <c r="O31" s="482">
        <f t="shared" si="26"/>
        <v>201611</v>
      </c>
      <c r="P31" s="482">
        <f t="shared" si="26"/>
        <v>201612</v>
      </c>
      <c r="Q31" s="482">
        <f>Q3</f>
        <v>201701</v>
      </c>
      <c r="R31" s="482">
        <f>Q31+1</f>
        <v>201702</v>
      </c>
      <c r="S31" s="482">
        <f t="shared" ref="S31:AB31" si="27">R31+1</f>
        <v>201703</v>
      </c>
      <c r="T31" s="482">
        <f t="shared" si="27"/>
        <v>201704</v>
      </c>
      <c r="U31" s="482">
        <f t="shared" si="27"/>
        <v>201705</v>
      </c>
      <c r="V31" s="482">
        <f t="shared" si="27"/>
        <v>201706</v>
      </c>
      <c r="W31" s="482">
        <f t="shared" si="27"/>
        <v>201707</v>
      </c>
      <c r="X31" s="482">
        <f t="shared" si="27"/>
        <v>201708</v>
      </c>
      <c r="Y31" s="482">
        <f t="shared" si="27"/>
        <v>201709</v>
      </c>
      <c r="Z31" s="482">
        <f t="shared" si="27"/>
        <v>201710</v>
      </c>
      <c r="AA31" s="482">
        <f t="shared" si="27"/>
        <v>201711</v>
      </c>
      <c r="AB31" s="482">
        <f t="shared" si="27"/>
        <v>201712</v>
      </c>
      <c r="AC31" s="572">
        <f>AC3</f>
        <v>201801</v>
      </c>
    </row>
    <row r="32" spans="1:31">
      <c r="A32" s="481"/>
      <c r="B32" s="479" t="s">
        <v>37</v>
      </c>
      <c r="E32" s="492">
        <v>2.571E-2</v>
      </c>
      <c r="F32" s="492">
        <v>2.571E-2</v>
      </c>
      <c r="G32" s="492">
        <v>2.571E-2</v>
      </c>
      <c r="H32" s="492">
        <v>2.571E-2</v>
      </c>
      <c r="I32" s="492">
        <v>2.571E-2</v>
      </c>
      <c r="J32" s="492">
        <v>2.571E-2</v>
      </c>
      <c r="K32" s="492">
        <v>2.571E-2</v>
      </c>
      <c r="L32" s="492">
        <v>2.571E-2</v>
      </c>
      <c r="M32" s="492">
        <v>2.571E-2</v>
      </c>
      <c r="N32" s="492">
        <v>2.571E-2</v>
      </c>
      <c r="O32" s="492" t="s">
        <v>307</v>
      </c>
      <c r="P32" s="492" t="s">
        <v>307</v>
      </c>
      <c r="Q32" s="595">
        <v>9.1740000000000002E-2</v>
      </c>
      <c r="R32" s="595">
        <v>9.1740000000000002E-2</v>
      </c>
      <c r="S32" s="595">
        <v>9.1740000000000002E-2</v>
      </c>
      <c r="T32" s="595">
        <v>9.1740000000000002E-2</v>
      </c>
      <c r="U32" s="595">
        <v>9.1740000000000002E-2</v>
      </c>
      <c r="V32" s="595">
        <v>9.1740000000000002E-2</v>
      </c>
      <c r="W32" s="595">
        <v>9.1740000000000002E-2</v>
      </c>
      <c r="X32" s="595">
        <v>9.1740000000000002E-2</v>
      </c>
      <c r="Y32" s="595">
        <v>9.1740000000000002E-2</v>
      </c>
      <c r="Z32" s="595">
        <v>9.1740000000000002E-2</v>
      </c>
      <c r="AA32" s="629" t="s">
        <v>307</v>
      </c>
      <c r="AB32" s="629" t="s">
        <v>307</v>
      </c>
      <c r="AC32" s="595">
        <v>9.0670000000000001E-2</v>
      </c>
    </row>
    <row r="33" spans="1:38">
      <c r="A33" s="481"/>
      <c r="B33" s="479" t="s">
        <v>305</v>
      </c>
      <c r="E33" s="492">
        <v>2.571E-2</v>
      </c>
      <c r="F33" s="492">
        <v>2.571E-2</v>
      </c>
      <c r="G33" s="492">
        <v>2.571E-2</v>
      </c>
      <c r="H33" s="492">
        <v>2.571E-2</v>
      </c>
      <c r="I33" s="492">
        <v>2.571E-2</v>
      </c>
      <c r="J33" s="492">
        <v>2.571E-2</v>
      </c>
      <c r="K33" s="492">
        <v>2.571E-2</v>
      </c>
      <c r="L33" s="492">
        <v>2.571E-2</v>
      </c>
      <c r="M33" s="492">
        <v>2.571E-2</v>
      </c>
      <c r="N33" s="492">
        <v>2.571E-2</v>
      </c>
      <c r="O33" s="492" t="s">
        <v>307</v>
      </c>
      <c r="P33" s="492" t="s">
        <v>307</v>
      </c>
      <c r="Q33" s="595">
        <v>9.1740000000000002E-2</v>
      </c>
      <c r="R33" s="595">
        <v>9.1740000000000002E-2</v>
      </c>
      <c r="S33" s="595">
        <v>9.1740000000000002E-2</v>
      </c>
      <c r="T33" s="595">
        <v>9.1740000000000002E-2</v>
      </c>
      <c r="U33" s="595">
        <v>9.1740000000000002E-2</v>
      </c>
      <c r="V33" s="595">
        <v>9.1740000000000002E-2</v>
      </c>
      <c r="W33" s="595">
        <v>9.1740000000000002E-2</v>
      </c>
      <c r="X33" s="595">
        <v>9.1740000000000002E-2</v>
      </c>
      <c r="Y33" s="595">
        <v>9.1740000000000002E-2</v>
      </c>
      <c r="Z33" s="595">
        <v>9.1740000000000002E-2</v>
      </c>
      <c r="AA33" s="629" t="s">
        <v>307</v>
      </c>
      <c r="AB33" s="629" t="s">
        <v>307</v>
      </c>
      <c r="AC33" s="595">
        <v>9.0670000000000001E-2</v>
      </c>
    </row>
    <row r="34" spans="1:38">
      <c r="A34" s="481"/>
      <c r="B34" s="479" t="s">
        <v>38</v>
      </c>
      <c r="E34" s="492">
        <v>1.372E-2</v>
      </c>
      <c r="F34" s="492">
        <v>1.372E-2</v>
      </c>
      <c r="G34" s="492">
        <v>1.372E-2</v>
      </c>
      <c r="H34" s="492">
        <v>1.372E-2</v>
      </c>
      <c r="I34" s="492">
        <v>1.372E-2</v>
      </c>
      <c r="J34" s="492">
        <v>1.372E-2</v>
      </c>
      <c r="K34" s="492">
        <v>1.372E-2</v>
      </c>
      <c r="L34" s="492">
        <v>1.372E-2</v>
      </c>
      <c r="M34" s="492">
        <v>1.372E-2</v>
      </c>
      <c r="N34" s="492">
        <v>1.372E-2</v>
      </c>
      <c r="O34" s="492" t="s">
        <v>307</v>
      </c>
      <c r="P34" s="492" t="s">
        <v>307</v>
      </c>
      <c r="Q34" s="595">
        <v>7.2489999999999999E-2</v>
      </c>
      <c r="R34" s="595">
        <v>7.2489999999999999E-2</v>
      </c>
      <c r="S34" s="595">
        <v>7.2489999999999999E-2</v>
      </c>
      <c r="T34" s="595">
        <v>7.2489999999999999E-2</v>
      </c>
      <c r="U34" s="595">
        <v>7.2489999999999999E-2</v>
      </c>
      <c r="V34" s="595">
        <v>7.2489999999999999E-2</v>
      </c>
      <c r="W34" s="595">
        <v>7.2489999999999999E-2</v>
      </c>
      <c r="X34" s="595">
        <v>7.2489999999999999E-2</v>
      </c>
      <c r="Y34" s="595">
        <v>7.2489999999999999E-2</v>
      </c>
      <c r="Z34" s="595">
        <v>7.2489999999999999E-2</v>
      </c>
      <c r="AA34" s="629" t="s">
        <v>307</v>
      </c>
      <c r="AB34" s="629" t="s">
        <v>307</v>
      </c>
      <c r="AC34" s="595">
        <v>7.4749999999999997E-2</v>
      </c>
    </row>
    <row r="35" spans="1:38" hidden="1" outlineLevel="1">
      <c r="A35" s="481"/>
      <c r="B35" s="563" t="s">
        <v>39</v>
      </c>
      <c r="E35" s="492"/>
      <c r="F35" s="492"/>
      <c r="G35" s="492"/>
      <c r="H35" s="492"/>
      <c r="I35" s="492"/>
      <c r="J35" s="492"/>
      <c r="K35" s="492"/>
      <c r="L35" s="492"/>
      <c r="M35" s="492"/>
      <c r="N35" s="492"/>
      <c r="O35" s="492"/>
      <c r="P35" s="492"/>
      <c r="Q35" s="595"/>
      <c r="R35" s="595"/>
      <c r="S35" s="595"/>
      <c r="T35" s="595"/>
      <c r="U35" s="595"/>
      <c r="V35" s="595"/>
      <c r="W35" s="595"/>
      <c r="X35" s="595"/>
      <c r="Y35" s="595"/>
      <c r="Z35" s="595"/>
      <c r="AA35" s="629"/>
      <c r="AB35" s="629"/>
      <c r="AC35" s="595"/>
    </row>
    <row r="36" spans="1:38" collapsed="1">
      <c r="A36" s="481"/>
      <c r="B36" s="479" t="s">
        <v>40</v>
      </c>
      <c r="E36" s="492">
        <v>-5.2900000000000004E-3</v>
      </c>
      <c r="F36" s="492">
        <v>-5.2900000000000004E-3</v>
      </c>
      <c r="G36" s="492">
        <v>-5.2900000000000004E-3</v>
      </c>
      <c r="H36" s="492">
        <v>-5.2900000000000004E-3</v>
      </c>
      <c r="I36" s="492">
        <v>-5.2900000000000004E-3</v>
      </c>
      <c r="J36" s="492">
        <v>-5.2900000000000004E-3</v>
      </c>
      <c r="K36" s="492">
        <v>-5.2900000000000004E-3</v>
      </c>
      <c r="L36" s="492">
        <v>-5.2900000000000004E-3</v>
      </c>
      <c r="M36" s="492">
        <v>-5.2900000000000004E-3</v>
      </c>
      <c r="N36" s="492">
        <v>-5.2900000000000004E-3</v>
      </c>
      <c r="O36" s="492" t="s">
        <v>307</v>
      </c>
      <c r="P36" s="492" t="s">
        <v>307</v>
      </c>
      <c r="Q36" s="595">
        <v>4.4479999999999999E-2</v>
      </c>
      <c r="R36" s="595">
        <v>4.4479999999999999E-2</v>
      </c>
      <c r="S36" s="595">
        <v>4.4479999999999999E-2</v>
      </c>
      <c r="T36" s="595">
        <v>4.4479999999999999E-2</v>
      </c>
      <c r="U36" s="595">
        <v>4.4479999999999999E-2</v>
      </c>
      <c r="V36" s="595">
        <v>4.4479999999999999E-2</v>
      </c>
      <c r="W36" s="595">
        <v>4.4479999999999999E-2</v>
      </c>
      <c r="X36" s="595">
        <v>4.4479999999999999E-2</v>
      </c>
      <c r="Y36" s="595">
        <v>4.4479999999999999E-2</v>
      </c>
      <c r="Z36" s="595">
        <v>4.4479999999999999E-2</v>
      </c>
      <c r="AA36" s="629" t="s">
        <v>307</v>
      </c>
      <c r="AB36" s="629" t="s">
        <v>307</v>
      </c>
      <c r="AC36" s="595">
        <v>4.7449999999999999E-2</v>
      </c>
    </row>
    <row r="37" spans="1:38" hidden="1" outlineLevel="1">
      <c r="A37" s="481"/>
      <c r="B37" s="563" t="s">
        <v>41</v>
      </c>
      <c r="E37" s="492"/>
      <c r="F37" s="492"/>
      <c r="G37" s="492"/>
      <c r="H37" s="492"/>
      <c r="I37" s="492"/>
      <c r="J37" s="492"/>
      <c r="K37" s="492"/>
      <c r="L37" s="492"/>
      <c r="M37" s="492"/>
      <c r="N37" s="492"/>
      <c r="O37" s="492"/>
      <c r="P37" s="492"/>
      <c r="Q37" s="595"/>
      <c r="R37" s="595"/>
      <c r="S37" s="595"/>
      <c r="T37" s="595"/>
      <c r="U37" s="595"/>
      <c r="V37" s="595"/>
      <c r="W37" s="595"/>
      <c r="X37" s="595"/>
      <c r="Y37" s="595"/>
      <c r="Z37" s="595"/>
      <c r="AA37" s="629"/>
      <c r="AB37" s="629"/>
      <c r="AC37" s="595"/>
    </row>
    <row r="38" spans="1:38" ht="16.5" collapsed="1" thickBot="1">
      <c r="A38" s="481"/>
      <c r="B38" s="479" t="s">
        <v>42</v>
      </c>
      <c r="E38" s="492">
        <v>1.635E-2</v>
      </c>
      <c r="F38" s="492">
        <v>1.635E-2</v>
      </c>
      <c r="G38" s="492">
        <v>1.635E-2</v>
      </c>
      <c r="H38" s="492">
        <v>1.635E-2</v>
      </c>
      <c r="I38" s="492">
        <v>1.635E-2</v>
      </c>
      <c r="J38" s="492">
        <v>1.635E-2</v>
      </c>
      <c r="K38" s="492">
        <v>1.635E-2</v>
      </c>
      <c r="L38" s="492">
        <v>1.635E-2</v>
      </c>
      <c r="M38" s="492">
        <v>1.635E-2</v>
      </c>
      <c r="N38" s="492">
        <v>1.635E-2</v>
      </c>
      <c r="O38" s="492" t="s">
        <v>307</v>
      </c>
      <c r="P38" s="492" t="s">
        <v>307</v>
      </c>
      <c r="Q38" s="595">
        <v>8.8340000000000002E-2</v>
      </c>
      <c r="R38" s="595">
        <v>8.8340000000000002E-2</v>
      </c>
      <c r="S38" s="595">
        <v>8.8340000000000002E-2</v>
      </c>
      <c r="T38" s="595">
        <v>8.8340000000000002E-2</v>
      </c>
      <c r="U38" s="595">
        <v>8.8340000000000002E-2</v>
      </c>
      <c r="V38" s="595">
        <v>8.8340000000000002E-2</v>
      </c>
      <c r="W38" s="595">
        <v>8.8340000000000002E-2</v>
      </c>
      <c r="X38" s="595">
        <v>8.8340000000000002E-2</v>
      </c>
      <c r="Y38" s="595">
        <v>8.8340000000000002E-2</v>
      </c>
      <c r="Z38" s="595">
        <v>8.8340000000000002E-2</v>
      </c>
      <c r="AA38" s="629" t="s">
        <v>307</v>
      </c>
      <c r="AB38" s="629" t="s">
        <v>307</v>
      </c>
      <c r="AC38" s="595" t="s">
        <v>321</v>
      </c>
    </row>
    <row r="39" spans="1:38" ht="16.5" hidden="1" outlineLevel="1" thickBot="1">
      <c r="A39" s="481"/>
      <c r="B39" s="563" t="s">
        <v>43</v>
      </c>
      <c r="E39" s="492"/>
      <c r="F39" s="492"/>
      <c r="G39" s="492"/>
      <c r="H39" s="492"/>
      <c r="I39" s="492"/>
      <c r="J39" s="492"/>
      <c r="K39" s="492"/>
      <c r="L39" s="492"/>
      <c r="M39" s="492"/>
      <c r="N39" s="492"/>
      <c r="O39" s="492"/>
      <c r="P39" s="492"/>
      <c r="Q39" s="595"/>
      <c r="R39" s="595"/>
      <c r="S39" s="595"/>
      <c r="T39" s="595"/>
      <c r="U39" s="595"/>
      <c r="V39" s="595"/>
      <c r="W39" s="595"/>
      <c r="X39" s="595"/>
      <c r="Y39" s="595"/>
      <c r="Z39" s="595"/>
      <c r="AA39" s="629"/>
      <c r="AB39" s="629"/>
      <c r="AC39" s="595"/>
      <c r="AE39" s="481"/>
      <c r="AF39" s="482"/>
      <c r="AG39" s="481"/>
      <c r="AH39" s="481"/>
      <c r="AI39" s="481"/>
      <c r="AJ39" s="481"/>
    </row>
    <row r="40" spans="1:38" ht="16.5" collapsed="1" thickBot="1">
      <c r="A40" s="481"/>
      <c r="B40" s="479" t="s">
        <v>74</v>
      </c>
      <c r="E40" s="492">
        <v>0</v>
      </c>
      <c r="F40" s="492">
        <v>0</v>
      </c>
      <c r="G40" s="492">
        <v>0</v>
      </c>
      <c r="H40" s="492">
        <v>0</v>
      </c>
      <c r="I40" s="492">
        <v>0</v>
      </c>
      <c r="J40" s="492">
        <v>0</v>
      </c>
      <c r="K40" s="492">
        <v>0</v>
      </c>
      <c r="L40" s="492">
        <v>0</v>
      </c>
      <c r="M40" s="492">
        <v>0</v>
      </c>
      <c r="N40" s="492">
        <v>0</v>
      </c>
      <c r="O40" s="492" t="s">
        <v>307</v>
      </c>
      <c r="P40" s="492" t="s">
        <v>307</v>
      </c>
      <c r="Q40" s="595">
        <v>0</v>
      </c>
      <c r="R40" s="595">
        <v>0</v>
      </c>
      <c r="S40" s="595">
        <v>0</v>
      </c>
      <c r="T40" s="595">
        <v>0</v>
      </c>
      <c r="U40" s="595">
        <v>0</v>
      </c>
      <c r="V40" s="595">
        <v>0</v>
      </c>
      <c r="W40" s="595">
        <v>0</v>
      </c>
      <c r="X40" s="595">
        <v>0</v>
      </c>
      <c r="Y40" s="595">
        <v>0</v>
      </c>
      <c r="Z40" s="595">
        <v>0</v>
      </c>
      <c r="AA40" s="629" t="s">
        <v>307</v>
      </c>
      <c r="AB40" s="629" t="s">
        <v>307</v>
      </c>
      <c r="AC40" s="595" t="s">
        <v>321</v>
      </c>
      <c r="AE40" s="508">
        <f>AE4</f>
        <v>201801</v>
      </c>
      <c r="AF40" s="521"/>
      <c r="AG40" s="509"/>
      <c r="AH40" s="509"/>
      <c r="AI40" s="509"/>
      <c r="AJ40" s="510"/>
    </row>
    <row r="41" spans="1:38">
      <c r="A41" s="481" t="s">
        <v>283</v>
      </c>
      <c r="E41" s="489"/>
      <c r="F41" s="489"/>
      <c r="G41" s="489"/>
      <c r="H41" s="489"/>
      <c r="I41" s="489"/>
      <c r="J41" s="489"/>
      <c r="K41" s="489"/>
      <c r="L41" s="489"/>
      <c r="M41" s="489"/>
      <c r="N41" s="489"/>
      <c r="O41" s="489"/>
      <c r="P41" s="489"/>
      <c r="Q41" s="489"/>
      <c r="R41" s="489"/>
      <c r="S41" s="489"/>
      <c r="T41" s="489"/>
      <c r="U41" s="489"/>
      <c r="V41" s="489"/>
      <c r="W41" s="489"/>
      <c r="X41" s="489"/>
      <c r="Y41" s="489"/>
      <c r="Z41" s="489"/>
      <c r="AA41" s="489"/>
      <c r="AB41" s="489"/>
      <c r="AC41" s="553"/>
      <c r="AE41" s="493" t="s">
        <v>288</v>
      </c>
      <c r="AF41" s="522">
        <v>419600</v>
      </c>
      <c r="AG41" s="494" t="s">
        <v>280</v>
      </c>
      <c r="AH41" s="494" t="s">
        <v>281</v>
      </c>
      <c r="AI41" s="514">
        <v>0</v>
      </c>
      <c r="AJ41" s="515">
        <f>IF(SUMIF(E3:AC3,AE4,E46:AC46)&gt;0,SUMIF(E3:AC3,AE4,E46:AC46),0)</f>
        <v>0</v>
      </c>
      <c r="AL41" s="480" t="str">
        <f>_xll.GLW_Segment_Description(AF41,2,2)</f>
        <v>INTEREST ON ENERGY DEFERRALS</v>
      </c>
    </row>
    <row r="42" spans="1:38" s="481" customFormat="1">
      <c r="A42" s="482">
        <v>191000</v>
      </c>
      <c r="B42" s="483" t="s">
        <v>252</v>
      </c>
      <c r="C42" s="484" t="s">
        <v>248</v>
      </c>
      <c r="D42" s="485" t="s">
        <v>249</v>
      </c>
      <c r="E42" s="482">
        <v>201601</v>
      </c>
      <c r="F42" s="482">
        <f>E42+1</f>
        <v>201602</v>
      </c>
      <c r="G42" s="482">
        <f t="shared" ref="G42:P42" si="28">F42+1</f>
        <v>201603</v>
      </c>
      <c r="H42" s="482">
        <f t="shared" si="28"/>
        <v>201604</v>
      </c>
      <c r="I42" s="482">
        <f t="shared" si="28"/>
        <v>201605</v>
      </c>
      <c r="J42" s="482">
        <f t="shared" si="28"/>
        <v>201606</v>
      </c>
      <c r="K42" s="482">
        <f t="shared" si="28"/>
        <v>201607</v>
      </c>
      <c r="L42" s="482">
        <f t="shared" si="28"/>
        <v>201608</v>
      </c>
      <c r="M42" s="482">
        <f t="shared" si="28"/>
        <v>201609</v>
      </c>
      <c r="N42" s="482">
        <f t="shared" si="28"/>
        <v>201610</v>
      </c>
      <c r="O42" s="482">
        <f t="shared" si="28"/>
        <v>201611</v>
      </c>
      <c r="P42" s="482">
        <f t="shared" si="28"/>
        <v>201612</v>
      </c>
      <c r="Q42" s="482">
        <f>Q3</f>
        <v>201701</v>
      </c>
      <c r="R42" s="482">
        <f>Q42+1</f>
        <v>201702</v>
      </c>
      <c r="S42" s="482">
        <f t="shared" ref="S42:AB42" si="29">R42+1</f>
        <v>201703</v>
      </c>
      <c r="T42" s="482">
        <f t="shared" si="29"/>
        <v>201704</v>
      </c>
      <c r="U42" s="482">
        <f t="shared" si="29"/>
        <v>201705</v>
      </c>
      <c r="V42" s="482">
        <f t="shared" si="29"/>
        <v>201706</v>
      </c>
      <c r="W42" s="482">
        <f t="shared" si="29"/>
        <v>201707</v>
      </c>
      <c r="X42" s="482">
        <f t="shared" si="29"/>
        <v>201708</v>
      </c>
      <c r="Y42" s="482">
        <f t="shared" si="29"/>
        <v>201709</v>
      </c>
      <c r="Z42" s="482">
        <f t="shared" si="29"/>
        <v>201710</v>
      </c>
      <c r="AA42" s="482">
        <f t="shared" si="29"/>
        <v>201711</v>
      </c>
      <c r="AB42" s="482">
        <f t="shared" si="29"/>
        <v>201712</v>
      </c>
      <c r="AC42" s="572">
        <f>AC3</f>
        <v>201801</v>
      </c>
      <c r="AD42" s="565"/>
      <c r="AE42" s="495" t="s">
        <v>289</v>
      </c>
      <c r="AF42" s="523">
        <v>431600</v>
      </c>
      <c r="AG42" s="356" t="s">
        <v>280</v>
      </c>
      <c r="AH42" s="356" t="s">
        <v>281</v>
      </c>
      <c r="AI42" s="379">
        <f>IF(SUMIF(E42:AC42,AE40,E46:AC46)&lt;0,-SUMIF(E42:AC42,AE40,E46:AC46),0)</f>
        <v>27247.245480275709</v>
      </c>
      <c r="AJ42" s="496">
        <v>0</v>
      </c>
      <c r="AL42" s="480" t="str">
        <f>_xll.GLW_Segment_Description(AF42,2,2)</f>
        <v>INTEREST EXPENSE ENERGY DEFERRALS</v>
      </c>
    </row>
    <row r="43" spans="1:38" s="481" customFormat="1">
      <c r="B43" s="483" t="s">
        <v>253</v>
      </c>
      <c r="C43" s="480"/>
      <c r="E43" s="486">
        <v>3.2500000000000001E-2</v>
      </c>
      <c r="F43" s="486">
        <v>3.2500000000000001E-2</v>
      </c>
      <c r="G43" s="486">
        <v>3.2500000000000001E-2</v>
      </c>
      <c r="H43" s="486">
        <v>3.4599999999999999E-2</v>
      </c>
      <c r="I43" s="486">
        <v>3.4599999999999999E-2</v>
      </c>
      <c r="J43" s="486">
        <v>3.4599999999999999E-2</v>
      </c>
      <c r="K43" s="486">
        <v>3.5000000000000003E-2</v>
      </c>
      <c r="L43" s="571">
        <v>3.5000000000000003E-2</v>
      </c>
      <c r="M43" s="571">
        <v>3.5000000000000003E-2</v>
      </c>
      <c r="N43" s="571">
        <v>3.5000000000000003E-2</v>
      </c>
      <c r="O43" s="571">
        <v>3.5000000000000003E-2</v>
      </c>
      <c r="P43" s="571">
        <v>3.5000000000000003E-2</v>
      </c>
      <c r="Q43" s="596">
        <v>3.5000000000000003E-2</v>
      </c>
      <c r="R43" s="596">
        <v>3.5000000000000003E-2</v>
      </c>
      <c r="S43" s="596">
        <v>3.5000000000000003E-2</v>
      </c>
      <c r="T43" s="596">
        <v>3.7100000000000001E-2</v>
      </c>
      <c r="U43" s="596">
        <v>3.7100000000000001E-2</v>
      </c>
      <c r="V43" s="596">
        <v>3.7100000000000001E-2</v>
      </c>
      <c r="W43" s="596">
        <v>3.9600000000000003E-2</v>
      </c>
      <c r="X43" s="596">
        <v>3.9600000000000003E-2</v>
      </c>
      <c r="Y43" s="596">
        <v>3.9600000000000003E-2</v>
      </c>
      <c r="Z43" s="596">
        <v>4.2099999999999999E-2</v>
      </c>
      <c r="AA43" s="596">
        <v>4.2099999999999999E-2</v>
      </c>
      <c r="AB43" s="596">
        <v>4.2099999999999999E-2</v>
      </c>
      <c r="AC43" s="596">
        <f>AC4</f>
        <v>4.2500000000000003E-2</v>
      </c>
      <c r="AD43" s="565"/>
      <c r="AE43" s="495" t="s">
        <v>290</v>
      </c>
      <c r="AF43" s="523">
        <v>191000</v>
      </c>
      <c r="AG43" s="356" t="s">
        <v>280</v>
      </c>
      <c r="AH43" s="356" t="s">
        <v>281</v>
      </c>
      <c r="AI43" s="379">
        <f>IF((SUMIF(E42:AC42,AE40,E45:AC45)+SUMIF(E42:AC42,AE40,E46:AC46))&gt;0,(SUMIF(E42:AC42,AE40,E45:AC45)+SUMIF(E42:AC42,AE40,E46:AC46)),0)</f>
        <v>2322785.6061197245</v>
      </c>
      <c r="AJ43" s="496">
        <f>IF((SUMIF(E42:AC42,AE40,E45:AC45)+SUMIF(E42:AC42,AE40,E46:AC46))&lt;0,-(SUMIF(E42:AC42,AE40,E45:AC45)+SUMIF(E42:AC42,AE40,E46:AC46)),0)</f>
        <v>0</v>
      </c>
      <c r="AL43" s="480" t="str">
        <f>_xll.GLW_Segment_Description(AF43,2,2)</f>
        <v>RECOVERABLE GAS COSTS AMORTIZED</v>
      </c>
    </row>
    <row r="44" spans="1:38">
      <c r="A44" s="490"/>
      <c r="B44" s="479" t="s">
        <v>250</v>
      </c>
      <c r="D44" s="480">
        <f>E44</f>
        <v>-2400830.7877258095</v>
      </c>
      <c r="E44" s="480">
        <v>-2400830.7877258095</v>
      </c>
      <c r="F44" s="480">
        <f t="shared" ref="F44:I44" si="30">E49</f>
        <v>-1799942.4443073752</v>
      </c>
      <c r="G44" s="480">
        <f t="shared" si="30"/>
        <v>-1367080.388300563</v>
      </c>
      <c r="H44" s="480">
        <f t="shared" si="30"/>
        <v>-991269.16134300514</v>
      </c>
      <c r="I44" s="480">
        <f t="shared" si="30"/>
        <v>-820633.96798459429</v>
      </c>
      <c r="J44" s="480">
        <f>I49</f>
        <v>-706831.28344430251</v>
      </c>
      <c r="K44" s="480">
        <f t="shared" ref="K44:R44" si="31">J49</f>
        <v>-615740.82707996247</v>
      </c>
      <c r="L44" s="480">
        <f t="shared" si="31"/>
        <v>-539081.43298013532</v>
      </c>
      <c r="M44" s="480">
        <f t="shared" si="31"/>
        <v>-459570.5002163836</v>
      </c>
      <c r="N44" s="480">
        <f t="shared" si="31"/>
        <v>-353667.8760235564</v>
      </c>
      <c r="O44" s="549">
        <f t="shared" si="31"/>
        <v>-123445.19123732927</v>
      </c>
      <c r="P44" s="480">
        <f t="shared" si="31"/>
        <v>-12794629.54065969</v>
      </c>
      <c r="Q44" s="480">
        <f>P49</f>
        <v>-9990002.7430699486</v>
      </c>
      <c r="R44" s="480">
        <f t="shared" si="31"/>
        <v>-6863930.3518781429</v>
      </c>
      <c r="S44" s="480">
        <f>R49</f>
        <v>-4668866.4634117605</v>
      </c>
      <c r="T44" s="480">
        <f t="shared" ref="T44:U44" si="32">S49</f>
        <v>-2943409.929850528</v>
      </c>
      <c r="U44" s="549">
        <f t="shared" si="32"/>
        <v>-1760423.7029191898</v>
      </c>
      <c r="V44" s="480">
        <f>U49</f>
        <v>-1121525.6790999216</v>
      </c>
      <c r="W44" s="480">
        <f t="shared" ref="W44:AC44" si="33">V49</f>
        <v>-741839.6983158174</v>
      </c>
      <c r="X44" s="549">
        <f t="shared" si="33"/>
        <v>-436529.86317581113</v>
      </c>
      <c r="Y44" s="480">
        <f t="shared" si="33"/>
        <v>-127258.29906867775</v>
      </c>
      <c r="Z44" s="480">
        <f t="shared" si="33"/>
        <v>334637.76403796807</v>
      </c>
      <c r="AA44" s="549">
        <f t="shared" si="33"/>
        <v>1423774.3228308077</v>
      </c>
      <c r="AB44" s="480">
        <f t="shared" si="33"/>
        <v>-11625940.985499512</v>
      </c>
      <c r="AC44" s="480">
        <f t="shared" si="33"/>
        <v>-8868356.3261131402</v>
      </c>
      <c r="AE44" s="495" t="s">
        <v>291</v>
      </c>
      <c r="AF44" s="523">
        <v>805110</v>
      </c>
      <c r="AG44" s="356" t="s">
        <v>280</v>
      </c>
      <c r="AH44" s="356" t="s">
        <v>281</v>
      </c>
      <c r="AI44" s="379">
        <f>IF((SUMIF(E42:AC42,AE40,E45:AC45))&lt;0,-(SUMIF(E42:AC42,AE40,E45:AC45)),0)</f>
        <v>0</v>
      </c>
      <c r="AJ44" s="496">
        <f>IF((SUMIF(E42:AC42,AE40,E45:AC45))&gt;0,(SUMIF(E42:AC42,AE40,E45:AC45)),0)</f>
        <v>2350032.8516000002</v>
      </c>
      <c r="AL44" s="480" t="str">
        <f>_xll.GLW_Segment_Description(AF44,2,2)</f>
        <v>AMORTIZE RECOVERABLE GAS COSTS</v>
      </c>
    </row>
    <row r="45" spans="1:38">
      <c r="B45" s="479" t="s">
        <v>23</v>
      </c>
      <c r="C45" s="480">
        <f>SUM(Q45:AB45)</f>
        <v>15908361.497619998</v>
      </c>
      <c r="D45" s="491">
        <f>SUM(E45:AB45)</f>
        <v>22409462.325969998</v>
      </c>
      <c r="E45" s="480">
        <v>606569.19767999998</v>
      </c>
      <c r="F45" s="480">
        <v>437144.93303000001</v>
      </c>
      <c r="G45" s="480">
        <v>379000.50648999994</v>
      </c>
      <c r="H45" s="480">
        <v>173243.59325999999</v>
      </c>
      <c r="I45" s="480">
        <v>116001.61016</v>
      </c>
      <c r="J45" s="480">
        <v>92994.419610000012</v>
      </c>
      <c r="K45" s="480">
        <v>78341.057469999985</v>
      </c>
      <c r="L45" s="480">
        <v>80965.179390000005</v>
      </c>
      <c r="M45" s="480">
        <v>107086.8698</v>
      </c>
      <c r="N45" s="480">
        <v>230917.46145999999</v>
      </c>
      <c r="O45" s="549">
        <v>1361030</v>
      </c>
      <c r="P45" s="480">
        <f>2837806</f>
        <v>2837806</v>
      </c>
      <c r="Q45" s="480">
        <f>SUMPRODUCT(Q19:Q27,Q32:Q40)</f>
        <v>3150615.2519499999</v>
      </c>
      <c r="R45" s="480">
        <f t="shared" ref="R45:U45" si="34">SUMPRODUCT(R19:R27,R32:R40)</f>
        <v>2211858.0589899998</v>
      </c>
      <c r="S45" s="480">
        <f t="shared" si="34"/>
        <v>1736541.60424</v>
      </c>
      <c r="T45" s="480">
        <f t="shared" si="34"/>
        <v>1190246.3468200001</v>
      </c>
      <c r="U45" s="480">
        <f t="shared" si="34"/>
        <v>643346.16116000002</v>
      </c>
      <c r="V45" s="480">
        <f>SUMPRODUCT(V19:V27,V32:V40)</f>
        <v>382561.98726999998</v>
      </c>
      <c r="W45" s="480">
        <f t="shared" ref="W45" si="35">SUMPRODUCT(W19:W27,W32:W40)</f>
        <v>307250.94208999997</v>
      </c>
      <c r="X45" s="480">
        <f>SUMPRODUCT(X19:X27,X32:X40)</f>
        <v>310200.28219000006</v>
      </c>
      <c r="Y45" s="480">
        <f>SUMPRODUCT(Y19:Y27,Y32:Y40)</f>
        <v>461554.45064999996</v>
      </c>
      <c r="Z45" s="480">
        <f>SUMPRODUCT(Z19:Z27,Z32:Z40)</f>
        <v>1086057.4122600001</v>
      </c>
      <c r="AA45" s="549">
        <v>1765228</v>
      </c>
      <c r="AB45" s="549">
        <v>2662901</v>
      </c>
      <c r="AC45" s="549">
        <f>SUMPRODUCT(AC19:AC27,AC32:AC40)</f>
        <v>2350032.8516000002</v>
      </c>
      <c r="AE45" s="153" t="s">
        <v>156</v>
      </c>
      <c r="AF45" s="208">
        <f>AF43</f>
        <v>191000</v>
      </c>
      <c r="AG45" s="208" t="str">
        <f t="shared" ref="AG45:AH46" si="36">AG43</f>
        <v>GD</v>
      </c>
      <c r="AH45" s="208" t="str">
        <f t="shared" si="36"/>
        <v>WA</v>
      </c>
      <c r="AI45" s="470">
        <f>IF(SUMIF(E42:AC42,AE40,E48:AC48)&gt;0,SUMIF(E42:AC42,AE40,E48:AC48),0)</f>
        <v>0</v>
      </c>
      <c r="AJ45" s="460">
        <v>0</v>
      </c>
      <c r="AL45" s="480" t="str">
        <f>_xll.GLW_Segment_Description(AF45,2,2)</f>
        <v>RECOVERABLE GAS COSTS AMORTIZED</v>
      </c>
    </row>
    <row r="46" spans="1:38" ht="16.5" thickBot="1">
      <c r="B46" s="479" t="s">
        <v>4</v>
      </c>
      <c r="C46" s="480">
        <f>SUM(Q46:AB46)</f>
        <v>-146073.65066318968</v>
      </c>
      <c r="D46" s="480">
        <f>SUM(E46:AB46)</f>
        <v>-243595.74435732575</v>
      </c>
      <c r="E46" s="487">
        <v>-5680.8542615657343</v>
      </c>
      <c r="F46" s="487">
        <v>-4282.8770231876824</v>
      </c>
      <c r="G46" s="487">
        <v>-3189.27953244215</v>
      </c>
      <c r="H46" s="487">
        <v>-2608.3999015891645</v>
      </c>
      <c r="I46" s="487">
        <v>-2198.9256197082468</v>
      </c>
      <c r="J46" s="487">
        <v>-1903.9632456599886</v>
      </c>
      <c r="K46" s="487">
        <v>-1681.6633701728074</v>
      </c>
      <c r="L46" s="487">
        <v>-1454.2466262483115</v>
      </c>
      <c r="M46" s="487">
        <v>-1184.2456071727854</v>
      </c>
      <c r="N46" s="487">
        <v>-694.77667377287275</v>
      </c>
      <c r="O46" s="546">
        <f>((O44+O47)*(O43/12))+(((O45+O48)/2)*(O43/12))</f>
        <v>-39463.659422358884</v>
      </c>
      <c r="P46" s="487">
        <f t="shared" ref="P46:T46" si="37">((P44+P47)*(P43/12))+(((P45+P48)/2)*(P43/12))</f>
        <v>-33179.202410257429</v>
      </c>
      <c r="Q46" s="487">
        <f>((Q44+Q47)*(Q43/12))+(((Q45+Q48)/2)*(Q43/12))</f>
        <v>-24542.860758193601</v>
      </c>
      <c r="R46" s="487">
        <f t="shared" si="37"/>
        <v>-16794.170523617504</v>
      </c>
      <c r="S46" s="487">
        <f t="shared" si="37"/>
        <v>-11085.070678767635</v>
      </c>
      <c r="T46" s="487">
        <f t="shared" si="37"/>
        <v>-7260.119888661965</v>
      </c>
      <c r="U46" s="487">
        <f>((U44+U47)*(U43/12))+(((U45+U48)/2)*(U43/12))</f>
        <v>-4448.1373407319952</v>
      </c>
      <c r="V46" s="487">
        <f>((V44+V47)*(V43/12))+(((V45+V48)/2)*(V43/12))</f>
        <v>-2876.0064858957162</v>
      </c>
      <c r="W46" s="487">
        <f t="shared" ref="W46:AB46" si="38">((W44+W47)*(W43/12))+(((W45+W48)/2)*(W43/12))</f>
        <v>-1941.1069499936975</v>
      </c>
      <c r="X46" s="487">
        <f t="shared" si="38"/>
        <v>-928.7180828666767</v>
      </c>
      <c r="Y46" s="487">
        <f t="shared" si="38"/>
        <v>341.61245664586335</v>
      </c>
      <c r="Z46" s="487">
        <f t="shared" si="38"/>
        <v>3079.1465328392883</v>
      </c>
      <c r="AA46" s="546">
        <f>((AA44+AA47)*(AA43/12))+(((AA45+AA48)/2)*(AA43/12))</f>
        <v>-43730.758330318589</v>
      </c>
      <c r="AB46" s="487">
        <f t="shared" si="38"/>
        <v>-35887.460613627452</v>
      </c>
      <c r="AC46" s="546">
        <f>((AC44+AC47)*(AC43/12))+(((AC45+AC48)/2)*(AC43/12))</f>
        <v>-27247.245480275709</v>
      </c>
      <c r="AE46" s="154" t="str">
        <f>AE45</f>
        <v>Large Customer Refund</v>
      </c>
      <c r="AF46" s="547">
        <f>AF44</f>
        <v>805110</v>
      </c>
      <c r="AG46" s="547" t="str">
        <f t="shared" si="36"/>
        <v>GD</v>
      </c>
      <c r="AH46" s="547" t="str">
        <f t="shared" si="36"/>
        <v>WA</v>
      </c>
      <c r="AI46" s="462">
        <f>AJ45</f>
        <v>0</v>
      </c>
      <c r="AJ46" s="471">
        <f>AI45</f>
        <v>0</v>
      </c>
      <c r="AL46" s="480" t="str">
        <f>_xll.GLW_Segment_Description(AF46,2,2)</f>
        <v>AMORTIZE RECOVERABLE GAS COSTS</v>
      </c>
    </row>
    <row r="47" spans="1:38" ht="16.5" thickBot="1">
      <c r="B47" s="479" t="s">
        <v>255</v>
      </c>
      <c r="C47" s="480">
        <f t="shared" ref="C47:C48" si="39">SUM(Q47:AB47)</f>
        <v>-14771212.550000001</v>
      </c>
      <c r="D47" s="480">
        <f>SUM(E47:AB47)</f>
        <v>-28953396.510000002</v>
      </c>
      <c r="E47" s="480">
        <v>0</v>
      </c>
      <c r="F47" s="480">
        <v>0</v>
      </c>
      <c r="G47" s="480">
        <v>0</v>
      </c>
      <c r="H47" s="480">
        <v>0</v>
      </c>
      <c r="I47" s="480">
        <v>0</v>
      </c>
      <c r="J47" s="480">
        <v>0</v>
      </c>
      <c r="K47" s="480">
        <v>0</v>
      </c>
      <c r="L47" s="480">
        <v>0</v>
      </c>
      <c r="M47" s="480">
        <v>0</v>
      </c>
      <c r="N47" s="480">
        <v>0</v>
      </c>
      <c r="O47" s="592">
        <v>-14182183.960000001</v>
      </c>
      <c r="P47" s="480">
        <v>0</v>
      </c>
      <c r="Q47" s="480">
        <v>0</v>
      </c>
      <c r="R47" s="480">
        <v>0</v>
      </c>
      <c r="S47" s="480">
        <v>0</v>
      </c>
      <c r="T47" s="480">
        <v>0</v>
      </c>
      <c r="U47" s="480">
        <v>0</v>
      </c>
      <c r="V47" s="480">
        <v>0</v>
      </c>
      <c r="W47" s="480">
        <v>0</v>
      </c>
      <c r="X47" s="480">
        <v>0</v>
      </c>
      <c r="Y47" s="480">
        <v>0</v>
      </c>
      <c r="Z47" s="480">
        <v>0</v>
      </c>
      <c r="AA47" s="592">
        <v>-14771212.550000001</v>
      </c>
      <c r="AB47" s="480">
        <v>0</v>
      </c>
      <c r="AC47" s="549">
        <v>0</v>
      </c>
      <c r="AE47" s="511"/>
      <c r="AF47" s="525"/>
      <c r="AG47" s="512"/>
      <c r="AH47" s="512"/>
      <c r="AI47" s="512" t="s">
        <v>159</v>
      </c>
      <c r="AJ47" s="513">
        <f>SUM(AI41:AI46)-SUM(AJ41:AJ46)</f>
        <v>0</v>
      </c>
    </row>
    <row r="48" spans="1:38" ht="16.5" thickBot="1">
      <c r="B48" s="479" t="s">
        <v>148</v>
      </c>
      <c r="C48" s="480">
        <f t="shared" si="39"/>
        <v>130571.12</v>
      </c>
      <c r="D48" s="491">
        <f>SUM(E48:AB48)</f>
        <v>320004.39</v>
      </c>
      <c r="E48" s="480">
        <v>0</v>
      </c>
      <c r="F48" s="480">
        <v>0</v>
      </c>
      <c r="G48" s="480">
        <v>0</v>
      </c>
      <c r="H48" s="480">
        <v>0</v>
      </c>
      <c r="I48" s="480">
        <v>0</v>
      </c>
      <c r="J48" s="480">
        <v>0</v>
      </c>
      <c r="K48" s="480">
        <v>0</v>
      </c>
      <c r="L48" s="480">
        <v>0</v>
      </c>
      <c r="M48" s="480">
        <v>0</v>
      </c>
      <c r="N48" s="480">
        <v>0</v>
      </c>
      <c r="O48" s="549">
        <v>189433.27</v>
      </c>
      <c r="P48" s="480">
        <v>0</v>
      </c>
      <c r="Q48" s="480">
        <v>0</v>
      </c>
      <c r="R48" s="480">
        <v>0</v>
      </c>
      <c r="S48" s="480">
        <v>0</v>
      </c>
      <c r="T48" s="480">
        <v>0</v>
      </c>
      <c r="U48" s="480">
        <v>0</v>
      </c>
      <c r="V48" s="480">
        <v>0</v>
      </c>
      <c r="W48" s="480">
        <v>0</v>
      </c>
      <c r="X48" s="480">
        <v>0</v>
      </c>
      <c r="Y48" s="480">
        <v>0</v>
      </c>
      <c r="Z48" s="480">
        <v>0</v>
      </c>
      <c r="AA48" s="625">
        <v>0</v>
      </c>
      <c r="AB48" s="625">
        <v>130571.12</v>
      </c>
      <c r="AC48" s="549">
        <v>0</v>
      </c>
    </row>
    <row r="49" spans="1:38" ht="16.5" thickBot="1">
      <c r="B49" s="479" t="s">
        <v>56</v>
      </c>
      <c r="C49" s="533">
        <f>SUM(C45:C48)</f>
        <v>1121646.4169568075</v>
      </c>
      <c r="D49" s="533">
        <f>SUM(D44:D48)</f>
        <v>-8868356.3261131383</v>
      </c>
      <c r="E49" s="533">
        <v>-1799942.4443073752</v>
      </c>
      <c r="F49" s="533">
        <f t="shared" ref="F49:P49" si="40">SUM(F44:F48)</f>
        <v>-1367080.388300563</v>
      </c>
      <c r="G49" s="533">
        <f t="shared" si="40"/>
        <v>-991269.16134300514</v>
      </c>
      <c r="H49" s="533">
        <f t="shared" si="40"/>
        <v>-820633.96798459429</v>
      </c>
      <c r="I49" s="533">
        <f t="shared" si="40"/>
        <v>-706831.28344430251</v>
      </c>
      <c r="J49" s="533">
        <f t="shared" si="40"/>
        <v>-615740.82707996247</v>
      </c>
      <c r="K49" s="533">
        <f>SUM(K44:K48)</f>
        <v>-539081.43298013532</v>
      </c>
      <c r="L49" s="533">
        <f t="shared" si="40"/>
        <v>-459570.5002163836</v>
      </c>
      <c r="M49" s="533">
        <f t="shared" si="40"/>
        <v>-353667.8760235564</v>
      </c>
      <c r="N49" s="533">
        <f t="shared" si="40"/>
        <v>-123445.19123732927</v>
      </c>
      <c r="O49" s="533">
        <f>SUM(O44:O48)</f>
        <v>-12794629.54065969</v>
      </c>
      <c r="P49" s="533">
        <f t="shared" si="40"/>
        <v>-9990002.7430699486</v>
      </c>
      <c r="Q49" s="533">
        <f>SUM(Q44:Q48)</f>
        <v>-6863930.3518781429</v>
      </c>
      <c r="R49" s="533">
        <f t="shared" ref="R49:V49" si="41">SUM(R44:R48)</f>
        <v>-4668866.4634117605</v>
      </c>
      <c r="S49" s="533">
        <f>SUM(S44:S48)</f>
        <v>-2943409.929850528</v>
      </c>
      <c r="T49" s="533">
        <f t="shared" si="41"/>
        <v>-1760423.7029191898</v>
      </c>
      <c r="U49" s="533">
        <f t="shared" si="41"/>
        <v>-1121525.6790999216</v>
      </c>
      <c r="V49" s="533">
        <f t="shared" si="41"/>
        <v>-741839.6983158174</v>
      </c>
      <c r="W49" s="533">
        <f>SUM(W44:W48)</f>
        <v>-436529.86317581113</v>
      </c>
      <c r="X49" s="533">
        <f t="shared" ref="X49:Z49" si="42">SUM(X44:X48)</f>
        <v>-127258.29906867775</v>
      </c>
      <c r="Y49" s="533">
        <f t="shared" si="42"/>
        <v>334637.76403796807</v>
      </c>
      <c r="Z49" s="533">
        <f t="shared" si="42"/>
        <v>1423774.3228308077</v>
      </c>
      <c r="AA49" s="533">
        <f>SUM(AA44:AA48)</f>
        <v>-11625940.985499512</v>
      </c>
      <c r="AB49" s="533">
        <f>SUM(AB44:AB48)</f>
        <v>-8868356.3261131402</v>
      </c>
      <c r="AC49" s="593">
        <f>SUM(AC44:AC48)</f>
        <v>-6545570.7199934153</v>
      </c>
      <c r="AE49" s="493" t="s">
        <v>289</v>
      </c>
      <c r="AF49" s="522">
        <v>431600</v>
      </c>
      <c r="AG49" s="494" t="s">
        <v>280</v>
      </c>
      <c r="AH49" s="494" t="s">
        <v>281</v>
      </c>
      <c r="AI49" s="514">
        <f>-AB51</f>
        <v>95875.976113140583</v>
      </c>
      <c r="AJ49" s="515">
        <v>0</v>
      </c>
      <c r="AL49" s="480" t="s">
        <v>320</v>
      </c>
    </row>
    <row r="50" spans="1:38" ht="17.25" thickTop="1" thickBot="1">
      <c r="B50" s="479" t="s">
        <v>256</v>
      </c>
      <c r="D50" s="480">
        <f>_xll.Get_Balance(AB42,"YTD","USD","Total","A","","001",$A$42,"GD","WA","DL")</f>
        <v>-8772480.3499999996</v>
      </c>
      <c r="E50" s="480">
        <v>-1799942.22</v>
      </c>
      <c r="F50" s="480">
        <f>_xll.Get_Balance(F42,"YTD","USD","Total","A","","001",$A$42,"GD","WA","DL")</f>
        <v>-1367080.17</v>
      </c>
      <c r="G50" s="480">
        <f>_xll.Get_Balance(G42,"YTD","USD","Total","A","","001",$A$42,"GD","WA","DL")</f>
        <v>-991268.94</v>
      </c>
      <c r="H50" s="480">
        <f>_xll.Get_Balance(H42,"YTD","USD","Total","A","","001",$A$42,"GD","WA","DL")</f>
        <v>-820633.75</v>
      </c>
      <c r="I50" s="480">
        <f>_xll.Get_Balance(I42,"YTD","USD","Total","A","","001",$A$42,"GD","WA","DL")</f>
        <v>-706831.07</v>
      </c>
      <c r="J50" s="480">
        <f>_xll.Get_Balance(J42,"YTD","USD","Total","A","","001",$A$42,"GD","WA","DL")</f>
        <v>-615740.61</v>
      </c>
      <c r="K50" s="480">
        <f>_xll.Get_Balance(K42,"YTD","USD","Total","A","","001",$A$42,"GD","WA","DL")</f>
        <v>-539081.21</v>
      </c>
      <c r="L50" s="480">
        <f>_xll.Get_Balance(L42,"YTD","USD","Total","A","","001",$A$42,"GD","WA","DL")</f>
        <v>-459570.28</v>
      </c>
      <c r="M50" s="480">
        <f>_xll.Get_Balance(M42,"YTD","USD","Total","A","","001",$A$42,"GD","WA","DL")</f>
        <v>-353667.66</v>
      </c>
      <c r="N50" s="480">
        <f>_xll.Get_Balance(N42,"YTD","USD","Total","A","","001",$A$42,"GD","WA","DL")</f>
        <v>-123444.98</v>
      </c>
      <c r="O50" s="480">
        <f>_xll.Get_Balance(O42,"YTD","USD","Total","A","","001",$A$42,"GD","WA","DL")</f>
        <v>-12794629.33</v>
      </c>
      <c r="P50" s="480">
        <f>_xll.Get_Balance(P42,"YTD","USD","Total","A","","001",$A$42,"GD","WA","DL")</f>
        <v>-9990002.5299999993</v>
      </c>
      <c r="Q50" s="480">
        <f>_xll.Get_Balance(Q42,"YTD","USD","Total","A","","001",$A$42,"GD","WA","DL")</f>
        <v>-6863930.1399999997</v>
      </c>
      <c r="R50" s="480">
        <f>_xll.Get_Balance(R42,"YTD","USD","Total","A","","001",$A$42,"GD","WA","DL")</f>
        <v>-4576506.43</v>
      </c>
      <c r="S50" s="480">
        <f>_xll.Get_Balance(S42,"YTD","USD","Total","A","","001",$A$42,"GD","WA","DL")</f>
        <v>-2850780.51</v>
      </c>
      <c r="T50" s="480">
        <f>_xll.Get_Balance(T42,"YTD","USD","Total","A","","001",$A$42,"GD","WA","DL")</f>
        <v>-1667507.9</v>
      </c>
      <c r="U50" s="480">
        <f>_xll.Get_Balance(U42,"YTD","USD","Total","A","","001",$A$42,"GD","WA","DL")</f>
        <v>-1028322.61</v>
      </c>
      <c r="V50" s="480">
        <f>_xll.Get_Balance(V42,"YTD","USD","Total","A","","001",$A$42,"GD","WA","DL")</f>
        <v>-648348.48</v>
      </c>
      <c r="W50" s="480">
        <f>_xll.Get_Balance(W42,"YTD","USD","Total","A","","001",$A$42,"GD","WA","DL")</f>
        <v>-342730.12</v>
      </c>
      <c r="X50" s="480">
        <f>_xll.Get_Balance(X42,"YTD","USD","Total","A","","001",$A$42,"GD","WA","DL")</f>
        <v>-33149.019999999997</v>
      </c>
      <c r="Y50" s="480">
        <f>_xll.Get_Balance(Y42,"YTD","USD","Total","A","","001",$A$42,"GD","WA","DL")</f>
        <v>429057.6</v>
      </c>
      <c r="Z50" s="480">
        <f>_xll.Get_Balance(Z42,"YTD","USD","Total","A","","001",$A$42,"GD","WA","DL")</f>
        <v>1518525.41</v>
      </c>
      <c r="AA50" s="480">
        <f>_xll.Get_Balance(AA42,"YTD","USD","Total","A","","001",$A$42,"GD","WA","DL")</f>
        <v>-11530628.439999999</v>
      </c>
      <c r="AB50" s="480">
        <f>_xll.Get_Balance(AB42,"YTD","USD","Total","A","","001",$A$42,"GD","WA","DL")</f>
        <v>-8772480.3499999996</v>
      </c>
      <c r="AC50" s="549">
        <f>_xll.Get_Balance(AC42,"YTD","USD","Total","A","","001",$A$42,"GD","WA","DL")</f>
        <v>-6449815.9100000001</v>
      </c>
      <c r="AE50" s="497" t="s">
        <v>290</v>
      </c>
      <c r="AF50" s="524">
        <v>191000</v>
      </c>
      <c r="AG50" s="626" t="s">
        <v>280</v>
      </c>
      <c r="AH50" s="626" t="s">
        <v>281</v>
      </c>
      <c r="AI50" s="498">
        <f>IF((SUMIF(E48:AC48,AE46,E51:AC51))&lt;0,-(SUMIF(E48:AC48,AE46,E51:AC51)),0)</f>
        <v>0</v>
      </c>
      <c r="AJ50" s="516">
        <f>AI49</f>
        <v>95875.976113140583</v>
      </c>
      <c r="AL50" s="480" t="s">
        <v>320</v>
      </c>
    </row>
    <row r="51" spans="1:38">
      <c r="B51" s="479" t="s">
        <v>243</v>
      </c>
      <c r="E51" s="480">
        <v>-0.22430737526156008</v>
      </c>
      <c r="F51" s="480">
        <f t="shared" ref="F51:M51" si="43">F49-F50</f>
        <v>-0.21830056305043399</v>
      </c>
      <c r="G51" s="480">
        <f t="shared" si="43"/>
        <v>-0.22134300519246608</v>
      </c>
      <c r="H51" s="480">
        <f t="shared" si="43"/>
        <v>-0.2179845942882821</v>
      </c>
      <c r="I51" s="480">
        <f>I49-I50</f>
        <v>-0.21344430255703628</v>
      </c>
      <c r="J51" s="480">
        <f t="shared" si="43"/>
        <v>-0.21707996248733252</v>
      </c>
      <c r="K51" s="480">
        <f>K49-K50</f>
        <v>-0.22298013535328209</v>
      </c>
      <c r="L51" s="480">
        <f>L49-L50</f>
        <v>-0.2202163835754618</v>
      </c>
      <c r="M51" s="480">
        <f t="shared" si="43"/>
        <v>-0.2160235564224422</v>
      </c>
      <c r="N51" s="480">
        <f>N49-N50</f>
        <v>-0.21123732927662786</v>
      </c>
      <c r="O51" s="480">
        <f>O49-O50</f>
        <v>-0.2106596902012825</v>
      </c>
      <c r="P51" s="480">
        <f>P49-P50</f>
        <v>-0.21306994929909706</v>
      </c>
      <c r="Q51" s="480">
        <f>Q49-Q50</f>
        <v>-0.21187814325094223</v>
      </c>
      <c r="R51" s="480">
        <f t="shared" ref="R51:T51" si="44">R49-R50</f>
        <v>-92360.033411760814</v>
      </c>
      <c r="S51" s="480">
        <f>S49-S50</f>
        <v>-92629.41985052824</v>
      </c>
      <c r="T51" s="480">
        <f t="shared" si="44"/>
        <v>-92915.802919189911</v>
      </c>
      <c r="U51" s="480">
        <f>U49-U50</f>
        <v>-93203.069099921617</v>
      </c>
      <c r="V51" s="480">
        <f t="shared" ref="V51" si="45">V49-V50</f>
        <v>-93491.218315817416</v>
      </c>
      <c r="W51" s="480">
        <f>W49-W50</f>
        <v>-93799.743175811134</v>
      </c>
      <c r="X51" s="480">
        <f>X49-X50</f>
        <v>-94109.279068677744</v>
      </c>
      <c r="Y51" s="480">
        <f t="shared" ref="Y51" si="46">Y49-Y50</f>
        <v>-94419.83596203191</v>
      </c>
      <c r="Z51" s="480">
        <f>Z49-Z50</f>
        <v>-94751.087169192266</v>
      </c>
      <c r="AA51" s="480">
        <f>AA49-AA50</f>
        <v>-95312.545499512926</v>
      </c>
      <c r="AB51" s="480">
        <f>AB49-AB50</f>
        <v>-95875.976113140583</v>
      </c>
      <c r="AC51" s="549">
        <f>AC49-AC50</f>
        <v>-95754.80999341514</v>
      </c>
    </row>
    <row r="52" spans="1:38">
      <c r="AC52" s="549"/>
    </row>
    <row r="53" spans="1:38">
      <c r="A53" s="481" t="s">
        <v>311</v>
      </c>
      <c r="E53" s="530"/>
      <c r="F53" s="530"/>
      <c r="G53" s="530"/>
      <c r="H53" s="530"/>
      <c r="I53" s="530"/>
      <c r="J53" s="530"/>
      <c r="K53" s="530"/>
      <c r="L53" s="530"/>
      <c r="M53" s="530"/>
      <c r="N53" s="530"/>
      <c r="O53" s="530"/>
      <c r="P53" s="530"/>
      <c r="Q53" s="530"/>
      <c r="R53" s="530"/>
      <c r="S53" s="530"/>
      <c r="T53" s="530"/>
      <c r="U53" s="530"/>
      <c r="V53" s="530"/>
      <c r="W53" s="530"/>
      <c r="X53" s="530"/>
      <c r="Y53" s="530"/>
      <c r="Z53" s="530"/>
      <c r="AA53" s="530"/>
      <c r="AB53" s="530"/>
      <c r="AC53" s="624"/>
    </row>
    <row r="54" spans="1:38">
      <c r="A54" s="482">
        <v>191025</v>
      </c>
      <c r="B54" s="483" t="s">
        <v>252</v>
      </c>
      <c r="C54" s="484" t="s">
        <v>248</v>
      </c>
      <c r="D54" s="484" t="s">
        <v>249</v>
      </c>
      <c r="E54" s="482">
        <v>201601</v>
      </c>
      <c r="F54" s="482">
        <f>E54+1</f>
        <v>201602</v>
      </c>
      <c r="G54" s="482">
        <f t="shared" ref="G54:P54" si="47">F54+1</f>
        <v>201603</v>
      </c>
      <c r="H54" s="482">
        <f t="shared" si="47"/>
        <v>201604</v>
      </c>
      <c r="I54" s="482">
        <f t="shared" si="47"/>
        <v>201605</v>
      </c>
      <c r="J54" s="482">
        <f t="shared" si="47"/>
        <v>201606</v>
      </c>
      <c r="K54" s="482">
        <f t="shared" si="47"/>
        <v>201607</v>
      </c>
      <c r="L54" s="482">
        <f t="shared" si="47"/>
        <v>201608</v>
      </c>
      <c r="M54" s="482">
        <f t="shared" si="47"/>
        <v>201609</v>
      </c>
      <c r="N54" s="482">
        <f t="shared" si="47"/>
        <v>201610</v>
      </c>
      <c r="O54" s="482">
        <f t="shared" si="47"/>
        <v>201611</v>
      </c>
      <c r="P54" s="482">
        <f t="shared" si="47"/>
        <v>201612</v>
      </c>
      <c r="Q54" s="482">
        <f>Q3</f>
        <v>201701</v>
      </c>
      <c r="R54" s="482">
        <f>Q54+1</f>
        <v>201702</v>
      </c>
      <c r="S54" s="482">
        <f t="shared" ref="S54:AB54" si="48">R54+1</f>
        <v>201703</v>
      </c>
      <c r="T54" s="482">
        <f t="shared" si="48"/>
        <v>201704</v>
      </c>
      <c r="U54" s="482">
        <f t="shared" si="48"/>
        <v>201705</v>
      </c>
      <c r="V54" s="482">
        <f t="shared" si="48"/>
        <v>201706</v>
      </c>
      <c r="W54" s="482">
        <f t="shared" si="48"/>
        <v>201707</v>
      </c>
      <c r="X54" s="482">
        <f t="shared" si="48"/>
        <v>201708</v>
      </c>
      <c r="Y54" s="482">
        <f t="shared" si="48"/>
        <v>201709</v>
      </c>
      <c r="Z54" s="482">
        <f t="shared" si="48"/>
        <v>201710</v>
      </c>
      <c r="AA54" s="482">
        <f t="shared" si="48"/>
        <v>201711</v>
      </c>
      <c r="AB54" s="482">
        <f t="shared" si="48"/>
        <v>201712</v>
      </c>
      <c r="AC54" s="572">
        <f>AC3</f>
        <v>201801</v>
      </c>
      <c r="AI54" s="549"/>
    </row>
    <row r="55" spans="1:38">
      <c r="A55" s="481"/>
      <c r="B55" s="479" t="s">
        <v>37</v>
      </c>
      <c r="C55" s="488">
        <f>SUM(Q55:AB55)</f>
        <v>130617072</v>
      </c>
      <c r="D55" s="488">
        <f t="shared" ref="D55:D63" si="49">SUM(E55:AB55)</f>
        <v>239260942</v>
      </c>
      <c r="E55" s="535">
        <v>20140968</v>
      </c>
      <c r="F55" s="535">
        <v>14297044</v>
      </c>
      <c r="G55" s="535">
        <v>12238194</v>
      </c>
      <c r="H55" s="535">
        <v>5348802</v>
      </c>
      <c r="I55" s="535">
        <v>3384728</v>
      </c>
      <c r="J55" s="535">
        <v>2765049</v>
      </c>
      <c r="K55" s="535">
        <v>2292583</v>
      </c>
      <c r="L55" s="535">
        <v>2354714</v>
      </c>
      <c r="M55" s="535">
        <v>3123052</v>
      </c>
      <c r="N55" s="535">
        <v>7137333</v>
      </c>
      <c r="O55" s="535">
        <v>11352396</v>
      </c>
      <c r="P55" s="535">
        <v>24209007</v>
      </c>
      <c r="Q55" s="598">
        <v>27259641</v>
      </c>
      <c r="R55" s="598">
        <f>Feb!$G23</f>
        <v>18179866</v>
      </c>
      <c r="S55" s="598">
        <f>Mar!$G23</f>
        <v>14316138</v>
      </c>
      <c r="T55" s="598">
        <f>Apr!$G23</f>
        <v>9641125</v>
      </c>
      <c r="U55" s="598">
        <f>May!$G23</f>
        <v>4941679</v>
      </c>
      <c r="V55" s="598">
        <f>Jun!$G23</f>
        <v>2542069</v>
      </c>
      <c r="W55" s="598">
        <f>Jul!$G23</f>
        <v>2070483</v>
      </c>
      <c r="X55" s="598">
        <f>Aug!$G23</f>
        <v>2080707</v>
      </c>
      <c r="Y55" s="598">
        <f>Sep!$G23</f>
        <v>3147236</v>
      </c>
      <c r="Z55" s="598">
        <f>Oct!$G23</f>
        <v>8835836</v>
      </c>
      <c r="AA55" s="598">
        <f>Nov!$G23</f>
        <v>14838696</v>
      </c>
      <c r="AB55" s="598">
        <f>Dec!$G23</f>
        <v>22763596</v>
      </c>
      <c r="AC55" s="551">
        <f>Jan!G23</f>
        <v>20257484</v>
      </c>
    </row>
    <row r="56" spans="1:38">
      <c r="A56" s="481"/>
      <c r="B56" s="554" t="s">
        <v>305</v>
      </c>
      <c r="C56" s="488">
        <f t="shared" ref="C56:C63" si="50">SUM(Q56:AB56)</f>
        <v>180105</v>
      </c>
      <c r="D56" s="488">
        <f t="shared" si="49"/>
        <v>332422</v>
      </c>
      <c r="E56" s="535">
        <v>17893</v>
      </c>
      <c r="F56" s="535">
        <v>14593</v>
      </c>
      <c r="G56" s="535">
        <v>18603</v>
      </c>
      <c r="H56" s="535">
        <v>12171</v>
      </c>
      <c r="I56" s="535">
        <v>5734</v>
      </c>
      <c r="J56" s="535">
        <v>4482</v>
      </c>
      <c r="K56" s="535">
        <v>3610</v>
      </c>
      <c r="L56" s="535">
        <v>2820</v>
      </c>
      <c r="M56" s="535">
        <v>4729</v>
      </c>
      <c r="N56" s="535">
        <v>12809</v>
      </c>
      <c r="O56" s="535">
        <v>19581</v>
      </c>
      <c r="P56" s="535">
        <v>35292</v>
      </c>
      <c r="Q56" s="598">
        <v>40615</v>
      </c>
      <c r="R56" s="598">
        <f>Feb!$G24</f>
        <v>21014</v>
      </c>
      <c r="S56" s="598">
        <f>Mar!$G24</f>
        <v>22738</v>
      </c>
      <c r="T56" s="598">
        <f>Apr!$G24</f>
        <v>15697</v>
      </c>
      <c r="U56" s="598">
        <f>May!$G24</f>
        <v>8078</v>
      </c>
      <c r="V56" s="598">
        <f>Jun!$G24</f>
        <v>3619</v>
      </c>
      <c r="W56" s="598">
        <f>Jul!$G24</f>
        <v>2296</v>
      </c>
      <c r="X56" s="598">
        <f>Aug!$G24</f>
        <v>2393</v>
      </c>
      <c r="Y56" s="598">
        <f>Sep!$G24</f>
        <v>3920</v>
      </c>
      <c r="Z56" s="598">
        <f>Oct!$G24</f>
        <v>13952</v>
      </c>
      <c r="AA56" s="598">
        <f>Nov!$G24</f>
        <v>20740</v>
      </c>
      <c r="AB56" s="598">
        <f>Dec!$G24</f>
        <v>25043</v>
      </c>
      <c r="AC56" s="551">
        <f>Jan!G24</f>
        <v>22671</v>
      </c>
    </row>
    <row r="57" spans="1:38">
      <c r="A57" s="481"/>
      <c r="B57" s="479" t="s">
        <v>38</v>
      </c>
      <c r="C57" s="488">
        <f t="shared" si="50"/>
        <v>51732297</v>
      </c>
      <c r="D57" s="488">
        <f t="shared" si="49"/>
        <v>96291598</v>
      </c>
      <c r="E57" s="535">
        <v>6568112</v>
      </c>
      <c r="F57" s="535">
        <v>5200734</v>
      </c>
      <c r="G57" s="535">
        <v>4795258</v>
      </c>
      <c r="H57" s="535">
        <v>2668983</v>
      </c>
      <c r="I57" s="535">
        <v>2221542</v>
      </c>
      <c r="J57" s="535">
        <v>1675034</v>
      </c>
      <c r="K57" s="535">
        <v>1510014</v>
      </c>
      <c r="L57" s="535">
        <v>1583471</v>
      </c>
      <c r="M57" s="535">
        <v>2056535</v>
      </c>
      <c r="N57" s="535">
        <v>3586972</v>
      </c>
      <c r="O57" s="535">
        <v>4116109</v>
      </c>
      <c r="P57" s="535">
        <v>8576537</v>
      </c>
      <c r="Q57" s="598">
        <v>8738107</v>
      </c>
      <c r="R57" s="598">
        <f>Feb!$G25</f>
        <v>7202971</v>
      </c>
      <c r="S57" s="598">
        <f>Mar!$G25</f>
        <v>5603968</v>
      </c>
      <c r="T57" s="598">
        <f>Apr!$G25</f>
        <v>4021494</v>
      </c>
      <c r="U57" s="598">
        <f>May!$G25</f>
        <v>2425238</v>
      </c>
      <c r="V57" s="598">
        <f>Jun!$G25</f>
        <v>1878375</v>
      </c>
      <c r="W57" s="598">
        <f>Jul!$G25</f>
        <v>1446879</v>
      </c>
      <c r="X57" s="598">
        <f>Aug!$G25</f>
        <v>1463939</v>
      </c>
      <c r="Y57" s="598">
        <f>Sep!$G25</f>
        <v>2165313</v>
      </c>
      <c r="Z57" s="598">
        <f>Oct!$G25</f>
        <v>3629858</v>
      </c>
      <c r="AA57" s="598">
        <f>Nov!$G25</f>
        <v>5325716</v>
      </c>
      <c r="AB57" s="598">
        <f>Dec!$G25</f>
        <v>7830439</v>
      </c>
      <c r="AC57" s="551">
        <f>Jan!G25</f>
        <v>6608892</v>
      </c>
    </row>
    <row r="58" spans="1:38">
      <c r="A58" s="481"/>
      <c r="B58" s="479" t="s">
        <v>39</v>
      </c>
      <c r="C58" s="488">
        <f t="shared" si="50"/>
        <v>197715</v>
      </c>
      <c r="D58" s="488">
        <f t="shared" si="49"/>
        <v>197715</v>
      </c>
      <c r="E58" s="535">
        <v>0</v>
      </c>
      <c r="F58" s="535">
        <v>0</v>
      </c>
      <c r="G58" s="535">
        <v>0</v>
      </c>
      <c r="H58" s="535">
        <v>0</v>
      </c>
      <c r="I58" s="535">
        <v>0</v>
      </c>
      <c r="J58" s="535">
        <v>0</v>
      </c>
      <c r="K58" s="535">
        <v>0</v>
      </c>
      <c r="L58" s="535">
        <v>0</v>
      </c>
      <c r="M58" s="535">
        <v>0</v>
      </c>
      <c r="N58" s="535">
        <v>0</v>
      </c>
      <c r="O58" s="535">
        <v>0</v>
      </c>
      <c r="P58" s="535">
        <v>0</v>
      </c>
      <c r="Q58" s="598">
        <v>0</v>
      </c>
      <c r="R58" s="598">
        <f>Feb!$G26</f>
        <v>21563</v>
      </c>
      <c r="S58" s="598">
        <f>Mar!$G26</f>
        <v>0</v>
      </c>
      <c r="T58" s="598">
        <f>Apr!$G26</f>
        <v>0</v>
      </c>
      <c r="U58" s="598">
        <f>May!$G26</f>
        <v>0</v>
      </c>
      <c r="V58" s="598">
        <f>Jun!$G26</f>
        <v>0</v>
      </c>
      <c r="W58" s="598">
        <f>Jul!$G26</f>
        <v>0</v>
      </c>
      <c r="X58" s="598">
        <f>Aug!$G26</f>
        <v>0</v>
      </c>
      <c r="Y58" s="598">
        <f>Sep!$G26</f>
        <v>0</v>
      </c>
      <c r="Z58" s="598">
        <f>Oct!$G26</f>
        <v>0</v>
      </c>
      <c r="AA58" s="598">
        <f>Nov!$G26</f>
        <v>153941</v>
      </c>
      <c r="AB58" s="598">
        <f>Dec!$G26</f>
        <v>22211</v>
      </c>
      <c r="AC58" s="551">
        <f>Jan!G26</f>
        <v>10558</v>
      </c>
    </row>
    <row r="59" spans="1:38">
      <c r="A59" s="481"/>
      <c r="B59" s="479" t="s">
        <v>40</v>
      </c>
      <c r="C59" s="488">
        <f t="shared" si="50"/>
        <v>3946445</v>
      </c>
      <c r="D59" s="488">
        <f t="shared" si="49"/>
        <v>7596040</v>
      </c>
      <c r="E59" s="535">
        <v>345863</v>
      </c>
      <c r="F59" s="535">
        <v>408568</v>
      </c>
      <c r="G59" s="535">
        <v>361566</v>
      </c>
      <c r="H59" s="535">
        <v>227877</v>
      </c>
      <c r="I59" s="535">
        <v>311290</v>
      </c>
      <c r="J59" s="535">
        <v>225272</v>
      </c>
      <c r="K59" s="535">
        <v>266816</v>
      </c>
      <c r="L59" s="535">
        <v>259403</v>
      </c>
      <c r="M59" s="535">
        <v>291879</v>
      </c>
      <c r="N59" s="535">
        <v>401880</v>
      </c>
      <c r="O59" s="535">
        <v>314956</v>
      </c>
      <c r="P59" s="535">
        <v>234225</v>
      </c>
      <c r="Q59" s="598">
        <v>284721</v>
      </c>
      <c r="R59" s="598">
        <f>Feb!$G27</f>
        <v>448875</v>
      </c>
      <c r="S59" s="598">
        <f>Mar!$G27</f>
        <v>334116</v>
      </c>
      <c r="T59" s="598">
        <f>Apr!$G27</f>
        <v>288026</v>
      </c>
      <c r="U59" s="598">
        <f>May!$G27</f>
        <v>302382</v>
      </c>
      <c r="V59" s="598">
        <f>Jun!$G27</f>
        <v>289055</v>
      </c>
      <c r="W59" s="598">
        <f>Jul!$G27</f>
        <v>274504</v>
      </c>
      <c r="X59" s="598">
        <f>Aug!$G27</f>
        <v>291721</v>
      </c>
      <c r="Y59" s="598">
        <f>Sep!$G27</f>
        <v>348558</v>
      </c>
      <c r="Z59" s="598">
        <f>Oct!$G27</f>
        <v>248414</v>
      </c>
      <c r="AA59" s="598">
        <f>Nov!$G27</f>
        <v>458380</v>
      </c>
      <c r="AB59" s="598">
        <f>Dec!$G27</f>
        <v>377693</v>
      </c>
      <c r="AC59" s="551">
        <f>Jan!G27</f>
        <v>362835</v>
      </c>
    </row>
    <row r="60" spans="1:38">
      <c r="A60" s="481"/>
      <c r="B60" s="479" t="s">
        <v>41</v>
      </c>
      <c r="C60" s="488">
        <f t="shared" si="50"/>
        <v>338304</v>
      </c>
      <c r="D60" s="488">
        <f t="shared" si="49"/>
        <v>919691</v>
      </c>
      <c r="E60" s="535">
        <v>83853</v>
      </c>
      <c r="F60" s="535">
        <v>67179</v>
      </c>
      <c r="G60" s="535">
        <v>59583</v>
      </c>
      <c r="H60" s="535">
        <v>54523</v>
      </c>
      <c r="I60" s="535">
        <v>42598</v>
      </c>
      <c r="J60" s="535">
        <v>35139</v>
      </c>
      <c r="K60" s="535">
        <v>27605</v>
      </c>
      <c r="L60" s="535">
        <v>25524</v>
      </c>
      <c r="M60" s="535">
        <v>26763</v>
      </c>
      <c r="N60" s="535">
        <v>37231</v>
      </c>
      <c r="O60" s="535">
        <v>51431</v>
      </c>
      <c r="P60" s="535">
        <v>69958</v>
      </c>
      <c r="Q60" s="598">
        <v>64203</v>
      </c>
      <c r="R60" s="598">
        <f>Feb!$G28</f>
        <v>48826</v>
      </c>
      <c r="S60" s="598">
        <f>Mar!$G28</f>
        <v>53363</v>
      </c>
      <c r="T60" s="598">
        <f>Apr!$G28</f>
        <v>35134</v>
      </c>
      <c r="U60" s="598">
        <f>May!$G28</f>
        <v>29064</v>
      </c>
      <c r="V60" s="598">
        <f>Jun!$G28</f>
        <v>17666</v>
      </c>
      <c r="W60" s="598">
        <f>Jul!$G28</f>
        <v>44343</v>
      </c>
      <c r="X60" s="598">
        <f>Aug!$G28</f>
        <v>24662</v>
      </c>
      <c r="Y60" s="598">
        <f>Sep!$G28</f>
        <v>26763</v>
      </c>
      <c r="Z60" s="598">
        <f>Oct!$G28</f>
        <v>34226</v>
      </c>
      <c r="AA60" s="598">
        <f>Nov!$G28</f>
        <v>-87780</v>
      </c>
      <c r="AB60" s="598">
        <f>Dec!$G28</f>
        <v>47834</v>
      </c>
      <c r="AC60" s="551">
        <f>Jan!G28</f>
        <v>65295</v>
      </c>
    </row>
    <row r="61" spans="1:38">
      <c r="A61" s="481"/>
      <c r="B61" s="479" t="s">
        <v>42</v>
      </c>
      <c r="C61" s="488">
        <f t="shared" si="50"/>
        <v>0</v>
      </c>
      <c r="D61" s="488">
        <f t="shared" si="49"/>
        <v>0</v>
      </c>
      <c r="E61" s="535">
        <v>0</v>
      </c>
      <c r="F61" s="535">
        <v>0</v>
      </c>
      <c r="G61" s="535">
        <v>0</v>
      </c>
      <c r="H61" s="535">
        <v>0</v>
      </c>
      <c r="I61" s="535">
        <v>0</v>
      </c>
      <c r="J61" s="535">
        <v>0</v>
      </c>
      <c r="K61" s="535">
        <v>0</v>
      </c>
      <c r="L61" s="535">
        <v>0</v>
      </c>
      <c r="M61" s="535">
        <v>0</v>
      </c>
      <c r="N61" s="535">
        <v>0</v>
      </c>
      <c r="O61" s="535">
        <v>0</v>
      </c>
      <c r="P61" s="535">
        <v>0</v>
      </c>
      <c r="Q61" s="598">
        <v>0</v>
      </c>
      <c r="R61" s="598">
        <f>Feb!$G29</f>
        <v>0</v>
      </c>
      <c r="S61" s="598">
        <f>Mar!$G29</f>
        <v>0</v>
      </c>
      <c r="T61" s="598">
        <f>Apr!$G29</f>
        <v>0</v>
      </c>
      <c r="U61" s="598">
        <f>May!$G29</f>
        <v>0</v>
      </c>
      <c r="V61" s="598">
        <f>Jun!$G29</f>
        <v>0</v>
      </c>
      <c r="W61" s="598">
        <f>Jul!$G29</f>
        <v>0</v>
      </c>
      <c r="X61" s="598">
        <f>Aug!$G29</f>
        <v>0</v>
      </c>
      <c r="Y61" s="598">
        <f>Sep!$G29</f>
        <v>0</v>
      </c>
      <c r="Z61" s="598">
        <f>Oct!$G29</f>
        <v>0</v>
      </c>
      <c r="AA61" s="598">
        <f>Nov!$G29</f>
        <v>0</v>
      </c>
      <c r="AB61" s="598">
        <f>Dec!$G29</f>
        <v>0</v>
      </c>
      <c r="AC61" s="551">
        <f>Jan!G29</f>
        <v>0</v>
      </c>
    </row>
    <row r="62" spans="1:38">
      <c r="A62" s="481"/>
      <c r="B62" s="479" t="s">
        <v>43</v>
      </c>
      <c r="C62" s="488">
        <f t="shared" si="50"/>
        <v>969606</v>
      </c>
      <c r="D62" s="488">
        <f t="shared" si="49"/>
        <v>1943800</v>
      </c>
      <c r="E62" s="535">
        <v>203731</v>
      </c>
      <c r="F62" s="535">
        <v>102322</v>
      </c>
      <c r="G62" s="535">
        <v>89942</v>
      </c>
      <c r="H62" s="535">
        <v>82073</v>
      </c>
      <c r="I62" s="535">
        <v>57685</v>
      </c>
      <c r="J62" s="535">
        <v>51713</v>
      </c>
      <c r="K62" s="535">
        <v>45567</v>
      </c>
      <c r="L62" s="535">
        <v>37963</v>
      </c>
      <c r="M62" s="535">
        <v>46700</v>
      </c>
      <c r="N62" s="535">
        <v>59610</v>
      </c>
      <c r="O62" s="535">
        <v>85100</v>
      </c>
      <c r="P62" s="535">
        <v>111788</v>
      </c>
      <c r="Q62" s="598">
        <v>160387</v>
      </c>
      <c r="R62" s="598">
        <f>Feb!$G30</f>
        <v>117328</v>
      </c>
      <c r="S62" s="598">
        <f>Mar!$G30</f>
        <v>102871</v>
      </c>
      <c r="T62" s="598">
        <f>Apr!$G30</f>
        <v>88850</v>
      </c>
      <c r="U62" s="598">
        <f>May!$G30</f>
        <v>71877</v>
      </c>
      <c r="V62" s="598">
        <f>Jun!$G30</f>
        <v>53882</v>
      </c>
      <c r="W62" s="598">
        <f>Jul!$G30</f>
        <v>67673</v>
      </c>
      <c r="X62" s="598">
        <f>Aug!$G30</f>
        <v>23786</v>
      </c>
      <c r="Y62" s="598">
        <f>Sep!$G30</f>
        <v>31578</v>
      </c>
      <c r="Z62" s="598">
        <f>Oct!$G30</f>
        <v>40231</v>
      </c>
      <c r="AA62" s="598">
        <f>Nov!$G30</f>
        <v>98095</v>
      </c>
      <c r="AB62" s="598">
        <f>Dec!$G30</f>
        <v>113048</v>
      </c>
      <c r="AC62" s="551">
        <f>Jan!G30</f>
        <v>139102</v>
      </c>
    </row>
    <row r="63" spans="1:38">
      <c r="A63" s="481"/>
      <c r="B63" s="479" t="s">
        <v>74</v>
      </c>
      <c r="C63" s="488">
        <f t="shared" si="50"/>
        <v>36278484</v>
      </c>
      <c r="D63" s="488">
        <f t="shared" si="49"/>
        <v>67193084</v>
      </c>
      <c r="E63" s="535">
        <v>3346687</v>
      </c>
      <c r="F63" s="535">
        <v>2956295</v>
      </c>
      <c r="G63" s="535">
        <v>2822744</v>
      </c>
      <c r="H63" s="535">
        <v>2379815</v>
      </c>
      <c r="I63" s="535">
        <v>2359261</v>
      </c>
      <c r="J63" s="535">
        <v>2149880</v>
      </c>
      <c r="K63" s="535">
        <v>1956378</v>
      </c>
      <c r="L63" s="535">
        <v>1966117</v>
      </c>
      <c r="M63" s="535">
        <v>1915306</v>
      </c>
      <c r="N63" s="535">
        <v>2505633</v>
      </c>
      <c r="O63" s="535">
        <v>2750386</v>
      </c>
      <c r="P63" s="535">
        <v>3806098</v>
      </c>
      <c r="Q63" s="598">
        <v>4261630</v>
      </c>
      <c r="R63" s="598">
        <f>Feb!$G31</f>
        <v>3567188</v>
      </c>
      <c r="S63" s="598">
        <f>Mar!$G31</f>
        <v>3381923</v>
      </c>
      <c r="T63" s="598">
        <f>Apr!$G31</f>
        <v>2868630</v>
      </c>
      <c r="U63" s="598">
        <f>May!$G31</f>
        <v>2501903</v>
      </c>
      <c r="V63" s="598">
        <f>Jun!$G31</f>
        <v>2531843</v>
      </c>
      <c r="W63" s="598">
        <f>Jul!$G31</f>
        <v>2144434</v>
      </c>
      <c r="X63" s="598">
        <f>Aug!$G31</f>
        <v>2338940</v>
      </c>
      <c r="Y63" s="598">
        <f>Sep!$G31</f>
        <v>2209861</v>
      </c>
      <c r="Z63" s="598">
        <f>Oct!$G31</f>
        <v>3085921</v>
      </c>
      <c r="AA63" s="598">
        <f>Nov!$G31</f>
        <v>3418526</v>
      </c>
      <c r="AB63" s="598">
        <f>Dec!$G31</f>
        <v>3967685</v>
      </c>
      <c r="AC63" s="551">
        <f>Jan!G31</f>
        <v>3629622</v>
      </c>
    </row>
    <row r="64" spans="1:38" ht="16.5" thickBot="1">
      <c r="A64" s="481"/>
      <c r="B64" s="479" t="s">
        <v>21</v>
      </c>
      <c r="C64" s="534">
        <f>SUM(C55:C63)</f>
        <v>224260028</v>
      </c>
      <c r="D64" s="534">
        <f>SUM(D55:D63)</f>
        <v>413735292</v>
      </c>
      <c r="E64" s="534">
        <v>30707107</v>
      </c>
      <c r="F64" s="534">
        <f t="shared" ref="F64:V64" si="51">SUM(F55:F63)</f>
        <v>23046735</v>
      </c>
      <c r="G64" s="534">
        <f t="shared" si="51"/>
        <v>20385890</v>
      </c>
      <c r="H64" s="534">
        <f t="shared" si="51"/>
        <v>10774244</v>
      </c>
      <c r="I64" s="534">
        <f t="shared" si="51"/>
        <v>8382838</v>
      </c>
      <c r="J64" s="534">
        <f t="shared" si="51"/>
        <v>6906569</v>
      </c>
      <c r="K64" s="534">
        <f>SUM(K55:K63)</f>
        <v>6102573</v>
      </c>
      <c r="L64" s="534">
        <f t="shared" si="51"/>
        <v>6230012</v>
      </c>
      <c r="M64" s="534">
        <f t="shared" si="51"/>
        <v>7464964</v>
      </c>
      <c r="N64" s="534">
        <f>SUM(N55:N63)</f>
        <v>13741468</v>
      </c>
      <c r="O64" s="534">
        <f t="shared" si="51"/>
        <v>18689959</v>
      </c>
      <c r="P64" s="534">
        <f t="shared" si="51"/>
        <v>37042905</v>
      </c>
      <c r="Q64" s="534">
        <f t="shared" si="51"/>
        <v>40809304</v>
      </c>
      <c r="R64" s="534">
        <f t="shared" si="51"/>
        <v>29607631</v>
      </c>
      <c r="S64" s="534">
        <f t="shared" si="51"/>
        <v>23815117</v>
      </c>
      <c r="T64" s="534">
        <f t="shared" si="51"/>
        <v>16958956</v>
      </c>
      <c r="U64" s="534">
        <f t="shared" si="51"/>
        <v>10280221</v>
      </c>
      <c r="V64" s="534">
        <f t="shared" si="51"/>
        <v>7316509</v>
      </c>
      <c r="W64" s="534">
        <f>SUM(W55:W63)</f>
        <v>6050612</v>
      </c>
      <c r="X64" s="534">
        <f t="shared" ref="X64:Y64" si="52">SUM(X55:X63)</f>
        <v>6226148</v>
      </c>
      <c r="Y64" s="534">
        <f t="shared" si="52"/>
        <v>7933229</v>
      </c>
      <c r="Z64" s="534">
        <f>SUM(Z55:Z63)</f>
        <v>15888438</v>
      </c>
      <c r="AA64" s="534">
        <f t="shared" ref="AA64:AC64" si="53">SUM(AA55:AA63)</f>
        <v>24226314</v>
      </c>
      <c r="AB64" s="534">
        <f t="shared" si="53"/>
        <v>35147549</v>
      </c>
      <c r="AC64" s="623">
        <f t="shared" si="53"/>
        <v>31096459</v>
      </c>
    </row>
    <row r="65" spans="1:38" ht="16.5" thickTop="1">
      <c r="A65" s="481"/>
      <c r="B65" s="479" t="s">
        <v>264</v>
      </c>
      <c r="C65" s="488">
        <f>SUM(Q65:AB65)</f>
        <v>225197372</v>
      </c>
      <c r="D65" s="488">
        <f>SUM(E65:AB65)</f>
        <v>414672636</v>
      </c>
      <c r="E65" s="488">
        <v>30707107</v>
      </c>
      <c r="F65" s="488">
        <v>23046735</v>
      </c>
      <c r="G65" s="488">
        <v>20385890</v>
      </c>
      <c r="H65" s="488">
        <v>10774244</v>
      </c>
      <c r="I65" s="488">
        <v>8382838</v>
      </c>
      <c r="J65" s="488">
        <v>6906569</v>
      </c>
      <c r="K65" s="488">
        <v>6102573</v>
      </c>
      <c r="L65" s="488">
        <v>6230012</v>
      </c>
      <c r="M65" s="488">
        <v>7464964</v>
      </c>
      <c r="N65" s="488">
        <v>13741468</v>
      </c>
      <c r="O65" s="488">
        <v>18689959</v>
      </c>
      <c r="P65" s="488">
        <v>37042905</v>
      </c>
      <c r="Q65" s="599">
        <v>40809304</v>
      </c>
      <c r="R65" s="599">
        <v>30544975</v>
      </c>
      <c r="S65" s="599">
        <v>23815117</v>
      </c>
      <c r="T65" s="599">
        <v>16958956</v>
      </c>
      <c r="U65" s="599">
        <v>10280221</v>
      </c>
      <c r="V65" s="599">
        <v>7316509</v>
      </c>
      <c r="W65" s="599">
        <v>6050612</v>
      </c>
      <c r="X65" s="599">
        <v>6226148</v>
      </c>
      <c r="Y65" s="599">
        <v>7933229</v>
      </c>
      <c r="Z65" s="599">
        <v>15888438</v>
      </c>
      <c r="AA65" s="599">
        <v>24226314</v>
      </c>
      <c r="AB65" s="599">
        <v>35147549</v>
      </c>
      <c r="AC65" s="552">
        <v>31096459</v>
      </c>
      <c r="AD65" s="566"/>
    </row>
    <row r="66" spans="1:38">
      <c r="A66" s="481" t="s">
        <v>22</v>
      </c>
      <c r="E66" s="530"/>
      <c r="F66" s="530"/>
      <c r="G66" s="530"/>
      <c r="H66" s="530"/>
      <c r="I66" s="530"/>
      <c r="J66" s="530"/>
      <c r="K66" s="530"/>
      <c r="L66" s="530"/>
      <c r="M66" s="530"/>
      <c r="N66" s="530"/>
      <c r="O66" s="530"/>
      <c r="P66" s="530"/>
      <c r="Q66" s="530"/>
      <c r="R66" s="530"/>
      <c r="S66" s="530"/>
      <c r="T66" s="530"/>
      <c r="U66" s="530"/>
      <c r="V66" s="530"/>
      <c r="W66" s="530"/>
      <c r="X66" s="530"/>
      <c r="Y66" s="530"/>
      <c r="Z66" s="530"/>
      <c r="AA66" s="530"/>
      <c r="AB66" s="530"/>
      <c r="AC66" s="624"/>
      <c r="AF66" s="531"/>
    </row>
    <row r="67" spans="1:38">
      <c r="A67" s="482">
        <v>191025</v>
      </c>
      <c r="B67" s="483" t="s">
        <v>252</v>
      </c>
      <c r="E67" s="482">
        <v>201601</v>
      </c>
      <c r="F67" s="482">
        <f>E67+1</f>
        <v>201602</v>
      </c>
      <c r="G67" s="482">
        <f t="shared" ref="G67:P67" si="54">F67+1</f>
        <v>201603</v>
      </c>
      <c r="H67" s="482">
        <f t="shared" si="54"/>
        <v>201604</v>
      </c>
      <c r="I67" s="482">
        <f t="shared" si="54"/>
        <v>201605</v>
      </c>
      <c r="J67" s="482">
        <f t="shared" si="54"/>
        <v>201606</v>
      </c>
      <c r="K67" s="482">
        <f t="shared" si="54"/>
        <v>201607</v>
      </c>
      <c r="L67" s="482">
        <f t="shared" si="54"/>
        <v>201608</v>
      </c>
      <c r="M67" s="482">
        <f t="shared" si="54"/>
        <v>201609</v>
      </c>
      <c r="N67" s="482">
        <f t="shared" si="54"/>
        <v>201610</v>
      </c>
      <c r="O67" s="482">
        <f t="shared" si="54"/>
        <v>201611</v>
      </c>
      <c r="P67" s="482">
        <f t="shared" si="54"/>
        <v>201612</v>
      </c>
      <c r="Q67" s="482">
        <f>Q3</f>
        <v>201701</v>
      </c>
      <c r="R67" s="482">
        <f>Q67+1</f>
        <v>201702</v>
      </c>
      <c r="S67" s="482">
        <f t="shared" ref="S67:AB67" si="55">R67+1</f>
        <v>201703</v>
      </c>
      <c r="T67" s="482">
        <f t="shared" si="55"/>
        <v>201704</v>
      </c>
      <c r="U67" s="482">
        <f t="shared" si="55"/>
        <v>201705</v>
      </c>
      <c r="V67" s="482">
        <f t="shared" si="55"/>
        <v>201706</v>
      </c>
      <c r="W67" s="482">
        <f t="shared" si="55"/>
        <v>201707</v>
      </c>
      <c r="X67" s="482">
        <f t="shared" si="55"/>
        <v>201708</v>
      </c>
      <c r="Y67" s="482">
        <f t="shared" si="55"/>
        <v>201709</v>
      </c>
      <c r="Z67" s="482">
        <f t="shared" si="55"/>
        <v>201710</v>
      </c>
      <c r="AA67" s="482">
        <f t="shared" si="55"/>
        <v>201711</v>
      </c>
      <c r="AB67" s="482">
        <f t="shared" si="55"/>
        <v>201712</v>
      </c>
      <c r="AC67" s="572">
        <f>AC3</f>
        <v>201801</v>
      </c>
    </row>
    <row r="68" spans="1:38">
      <c r="A68" s="481"/>
      <c r="B68" s="479" t="s">
        <v>37</v>
      </c>
      <c r="E68" s="492">
        <v>1.2999999999999999E-4</v>
      </c>
      <c r="F68" s="492">
        <v>1.2999999999999999E-4</v>
      </c>
      <c r="G68" s="492">
        <v>1.2999999999999999E-4</v>
      </c>
      <c r="H68" s="492">
        <v>1.2999999999999999E-4</v>
      </c>
      <c r="I68" s="492">
        <v>1.2999999999999999E-4</v>
      </c>
      <c r="J68" s="492">
        <v>1.2999999999999999E-4</v>
      </c>
      <c r="K68" s="492">
        <v>1.2999999999999999E-4</v>
      </c>
      <c r="L68" s="492">
        <v>1.2999999999999999E-4</v>
      </c>
      <c r="M68" s="492">
        <v>1.2999999999999999E-4</v>
      </c>
      <c r="N68" s="492">
        <v>1.2999999999999999E-4</v>
      </c>
      <c r="O68" s="492" t="s">
        <v>307</v>
      </c>
      <c r="P68" s="492" t="s">
        <v>307</v>
      </c>
      <c r="Q68" s="595">
        <v>1.0000000000000001E-5</v>
      </c>
      <c r="R68" s="595">
        <v>1.0000000000000001E-5</v>
      </c>
      <c r="S68" s="595">
        <v>1.0000000000000001E-5</v>
      </c>
      <c r="T68" s="595">
        <v>1.0000000000000001E-5</v>
      </c>
      <c r="U68" s="595">
        <v>1.0000000000000001E-5</v>
      </c>
      <c r="V68" s="595">
        <v>1.0000000000000001E-5</v>
      </c>
      <c r="W68" s="595">
        <v>1.0000000000000001E-5</v>
      </c>
      <c r="X68" s="595">
        <v>1.0000000000000001E-5</v>
      </c>
      <c r="Y68" s="595">
        <v>1.0000000000000001E-5</v>
      </c>
      <c r="Z68" s="595">
        <v>1.0000000000000001E-5</v>
      </c>
      <c r="AA68" s="629" t="s">
        <v>307</v>
      </c>
      <c r="AB68" s="629" t="s">
        <v>307</v>
      </c>
      <c r="AC68" s="630" t="s">
        <v>321</v>
      </c>
    </row>
    <row r="69" spans="1:38">
      <c r="A69" s="481"/>
      <c r="B69" s="554" t="s">
        <v>305</v>
      </c>
      <c r="E69" s="492">
        <v>1.2999999999999999E-4</v>
      </c>
      <c r="F69" s="492">
        <v>1.2999999999999999E-4</v>
      </c>
      <c r="G69" s="492">
        <v>1.2999999999999999E-4</v>
      </c>
      <c r="H69" s="492">
        <v>1.2999999999999999E-4</v>
      </c>
      <c r="I69" s="492">
        <v>1.2999999999999999E-4</v>
      </c>
      <c r="J69" s="492">
        <v>1.2999999999999999E-4</v>
      </c>
      <c r="K69" s="492">
        <v>1.2999999999999999E-4</v>
      </c>
      <c r="L69" s="492">
        <v>1.2999999999999999E-4</v>
      </c>
      <c r="M69" s="492">
        <v>1.2999999999999999E-4</v>
      </c>
      <c r="N69" s="492">
        <v>1.2999999999999999E-4</v>
      </c>
      <c r="O69" s="492" t="s">
        <v>307</v>
      </c>
      <c r="P69" s="492" t="s">
        <v>307</v>
      </c>
      <c r="Q69" s="595">
        <v>1.0000000000000001E-5</v>
      </c>
      <c r="R69" s="595">
        <v>1.0000000000000001E-5</v>
      </c>
      <c r="S69" s="595">
        <v>1.0000000000000001E-5</v>
      </c>
      <c r="T69" s="595">
        <v>1.0000000000000001E-5</v>
      </c>
      <c r="U69" s="595">
        <v>1.0000000000000001E-5</v>
      </c>
      <c r="V69" s="595">
        <v>1.0000000000000001E-5</v>
      </c>
      <c r="W69" s="595">
        <v>1.0000000000000001E-5</v>
      </c>
      <c r="X69" s="595">
        <v>1.0000000000000001E-5</v>
      </c>
      <c r="Y69" s="595">
        <v>1.0000000000000001E-5</v>
      </c>
      <c r="Z69" s="595">
        <v>1.0000000000000001E-5</v>
      </c>
      <c r="AA69" s="629" t="s">
        <v>307</v>
      </c>
      <c r="AB69" s="629" t="s">
        <v>307</v>
      </c>
      <c r="AC69" s="630" t="s">
        <v>321</v>
      </c>
    </row>
    <row r="70" spans="1:38">
      <c r="A70" s="481"/>
      <c r="B70" s="479" t="s">
        <v>38</v>
      </c>
      <c r="E70" s="492">
        <v>1.2999999999999999E-4</v>
      </c>
      <c r="F70" s="492">
        <v>1.2999999999999999E-4</v>
      </c>
      <c r="G70" s="492">
        <v>1.2999999999999999E-4</v>
      </c>
      <c r="H70" s="492">
        <v>1.2999999999999999E-4</v>
      </c>
      <c r="I70" s="492">
        <v>1.2999999999999999E-4</v>
      </c>
      <c r="J70" s="492">
        <v>1.2999999999999999E-4</v>
      </c>
      <c r="K70" s="492">
        <v>1.2999999999999999E-4</v>
      </c>
      <c r="L70" s="492">
        <v>1.2999999999999999E-4</v>
      </c>
      <c r="M70" s="492">
        <v>1.2999999999999999E-4</v>
      </c>
      <c r="N70" s="492">
        <v>1.2999999999999999E-4</v>
      </c>
      <c r="O70" s="492" t="s">
        <v>307</v>
      </c>
      <c r="P70" s="492" t="s">
        <v>307</v>
      </c>
      <c r="Q70" s="595">
        <v>1.0000000000000001E-5</v>
      </c>
      <c r="R70" s="595">
        <v>1.0000000000000001E-5</v>
      </c>
      <c r="S70" s="595">
        <v>1.0000000000000001E-5</v>
      </c>
      <c r="T70" s="595">
        <v>1.0000000000000001E-5</v>
      </c>
      <c r="U70" s="595">
        <v>1.0000000000000001E-5</v>
      </c>
      <c r="V70" s="595">
        <v>1.0000000000000001E-5</v>
      </c>
      <c r="W70" s="595">
        <v>1.0000000000000001E-5</v>
      </c>
      <c r="X70" s="595">
        <v>1.0000000000000001E-5</v>
      </c>
      <c r="Y70" s="595">
        <v>1.0000000000000001E-5</v>
      </c>
      <c r="Z70" s="595">
        <v>1.0000000000000001E-5</v>
      </c>
      <c r="AA70" s="629" t="s">
        <v>307</v>
      </c>
      <c r="AB70" s="629" t="s">
        <v>307</v>
      </c>
      <c r="AC70" s="630" t="s">
        <v>321</v>
      </c>
    </row>
    <row r="71" spans="1:38">
      <c r="A71" s="481"/>
      <c r="B71" s="479" t="s">
        <v>39</v>
      </c>
      <c r="E71" s="492">
        <v>1.2999999999999999E-4</v>
      </c>
      <c r="F71" s="492">
        <v>1.2999999999999999E-4</v>
      </c>
      <c r="G71" s="492">
        <v>1.2999999999999999E-4</v>
      </c>
      <c r="H71" s="492">
        <v>1.2999999999999999E-4</v>
      </c>
      <c r="I71" s="492">
        <v>1.2999999999999999E-4</v>
      </c>
      <c r="J71" s="492">
        <v>1.2999999999999999E-4</v>
      </c>
      <c r="K71" s="492">
        <v>1.2999999999999999E-4</v>
      </c>
      <c r="L71" s="492">
        <v>1.2999999999999999E-4</v>
      </c>
      <c r="M71" s="492">
        <v>1.2999999999999999E-4</v>
      </c>
      <c r="N71" s="492">
        <v>1.2999999999999999E-4</v>
      </c>
      <c r="O71" s="492" t="s">
        <v>307</v>
      </c>
      <c r="P71" s="492" t="s">
        <v>307</v>
      </c>
      <c r="Q71" s="595">
        <v>1.0000000000000001E-5</v>
      </c>
      <c r="R71" s="595">
        <v>1.0000000000000001E-5</v>
      </c>
      <c r="S71" s="595">
        <v>1.0000000000000001E-5</v>
      </c>
      <c r="T71" s="595">
        <v>1.0000000000000001E-5</v>
      </c>
      <c r="U71" s="595">
        <v>1.0000000000000001E-5</v>
      </c>
      <c r="V71" s="595">
        <v>1.0000000000000001E-5</v>
      </c>
      <c r="W71" s="595">
        <v>1.0000000000000001E-5</v>
      </c>
      <c r="X71" s="595">
        <v>1.0000000000000001E-5</v>
      </c>
      <c r="Y71" s="595">
        <v>1.0000000000000001E-5</v>
      </c>
      <c r="Z71" s="595">
        <v>1.0000000000000001E-5</v>
      </c>
      <c r="AA71" s="629" t="s">
        <v>307</v>
      </c>
      <c r="AB71" s="629" t="s">
        <v>307</v>
      </c>
      <c r="AC71" s="630" t="s">
        <v>321</v>
      </c>
    </row>
    <row r="72" spans="1:38">
      <c r="A72" s="481"/>
      <c r="B72" s="479" t="s">
        <v>40</v>
      </c>
      <c r="E72" s="492">
        <v>1.2999999999999999E-4</v>
      </c>
      <c r="F72" s="492">
        <v>1.2999999999999999E-4</v>
      </c>
      <c r="G72" s="492">
        <v>1.2999999999999999E-4</v>
      </c>
      <c r="H72" s="492">
        <v>1.2999999999999999E-4</v>
      </c>
      <c r="I72" s="492">
        <v>1.2999999999999999E-4</v>
      </c>
      <c r="J72" s="492">
        <v>1.2999999999999999E-4</v>
      </c>
      <c r="K72" s="492">
        <v>1.2999999999999999E-4</v>
      </c>
      <c r="L72" s="492">
        <v>1.2999999999999999E-4</v>
      </c>
      <c r="M72" s="492">
        <v>1.2999999999999999E-4</v>
      </c>
      <c r="N72" s="492">
        <v>1.2999999999999999E-4</v>
      </c>
      <c r="O72" s="492" t="s">
        <v>307</v>
      </c>
      <c r="P72" s="492" t="s">
        <v>307</v>
      </c>
      <c r="Q72" s="595">
        <v>1.0000000000000001E-5</v>
      </c>
      <c r="R72" s="595">
        <v>1.0000000000000001E-5</v>
      </c>
      <c r="S72" s="595">
        <v>1.0000000000000001E-5</v>
      </c>
      <c r="T72" s="595">
        <v>1.0000000000000001E-5</v>
      </c>
      <c r="U72" s="595">
        <v>1.0000000000000001E-5</v>
      </c>
      <c r="V72" s="595">
        <v>1.0000000000000001E-5</v>
      </c>
      <c r="W72" s="595">
        <v>1.0000000000000001E-5</v>
      </c>
      <c r="X72" s="595">
        <v>1.0000000000000001E-5</v>
      </c>
      <c r="Y72" s="595">
        <v>1.0000000000000001E-5</v>
      </c>
      <c r="Z72" s="595">
        <v>1.0000000000000001E-5</v>
      </c>
      <c r="AA72" s="629" t="s">
        <v>307</v>
      </c>
      <c r="AB72" s="629" t="s">
        <v>307</v>
      </c>
      <c r="AC72" s="630" t="s">
        <v>321</v>
      </c>
    </row>
    <row r="73" spans="1:38">
      <c r="A73" s="481"/>
      <c r="B73" s="479" t="s">
        <v>41</v>
      </c>
      <c r="E73" s="492">
        <v>1.2999999999999999E-4</v>
      </c>
      <c r="F73" s="492">
        <v>1.2999999999999999E-4</v>
      </c>
      <c r="G73" s="492">
        <v>1.2999999999999999E-4</v>
      </c>
      <c r="H73" s="492">
        <v>1.2999999999999999E-4</v>
      </c>
      <c r="I73" s="492">
        <v>1.2999999999999999E-4</v>
      </c>
      <c r="J73" s="492">
        <v>1.2999999999999999E-4</v>
      </c>
      <c r="K73" s="492">
        <v>1.2999999999999999E-4</v>
      </c>
      <c r="L73" s="492">
        <v>1.2999999999999999E-4</v>
      </c>
      <c r="M73" s="492">
        <v>1.2999999999999999E-4</v>
      </c>
      <c r="N73" s="492">
        <v>1.2999999999999999E-4</v>
      </c>
      <c r="O73" s="492" t="s">
        <v>307</v>
      </c>
      <c r="P73" s="492" t="s">
        <v>307</v>
      </c>
      <c r="Q73" s="595">
        <v>1.0000000000000001E-5</v>
      </c>
      <c r="R73" s="595">
        <v>1.0000000000000001E-5</v>
      </c>
      <c r="S73" s="595">
        <v>1.0000000000000001E-5</v>
      </c>
      <c r="T73" s="595">
        <v>1.0000000000000001E-5</v>
      </c>
      <c r="U73" s="595">
        <v>1.0000000000000001E-5</v>
      </c>
      <c r="V73" s="595">
        <v>1.0000000000000001E-5</v>
      </c>
      <c r="W73" s="595">
        <v>1.0000000000000001E-5</v>
      </c>
      <c r="X73" s="595">
        <v>1.0000000000000001E-5</v>
      </c>
      <c r="Y73" s="595">
        <v>1.0000000000000001E-5</v>
      </c>
      <c r="Z73" s="595">
        <v>1.0000000000000001E-5</v>
      </c>
      <c r="AA73" s="629" t="s">
        <v>307</v>
      </c>
      <c r="AB73" s="629" t="s">
        <v>307</v>
      </c>
      <c r="AC73" s="630" t="s">
        <v>321</v>
      </c>
    </row>
    <row r="74" spans="1:38" ht="16.5" thickBot="1">
      <c r="A74" s="481"/>
      <c r="B74" s="479" t="s">
        <v>42</v>
      </c>
      <c r="E74" s="492">
        <v>1.2999999999999999E-4</v>
      </c>
      <c r="F74" s="492">
        <v>1.2999999999999999E-4</v>
      </c>
      <c r="G74" s="492">
        <v>1.2999999999999999E-4</v>
      </c>
      <c r="H74" s="492">
        <v>1.2999999999999999E-4</v>
      </c>
      <c r="I74" s="492">
        <v>1.2999999999999999E-4</v>
      </c>
      <c r="J74" s="492">
        <v>1.2999999999999999E-4</v>
      </c>
      <c r="K74" s="492">
        <v>1.2999999999999999E-4</v>
      </c>
      <c r="L74" s="492">
        <v>1.2999999999999999E-4</v>
      </c>
      <c r="M74" s="492">
        <v>1.2999999999999999E-4</v>
      </c>
      <c r="N74" s="492">
        <v>1.2999999999999999E-4</v>
      </c>
      <c r="O74" s="492" t="s">
        <v>307</v>
      </c>
      <c r="P74" s="492" t="s">
        <v>307</v>
      </c>
      <c r="Q74" s="595">
        <v>1.0000000000000001E-5</v>
      </c>
      <c r="R74" s="595">
        <v>1.0000000000000001E-5</v>
      </c>
      <c r="S74" s="595">
        <v>1.0000000000000001E-5</v>
      </c>
      <c r="T74" s="595">
        <v>1.0000000000000001E-5</v>
      </c>
      <c r="U74" s="595">
        <v>1.0000000000000001E-5</v>
      </c>
      <c r="V74" s="595">
        <v>1.0000000000000001E-5</v>
      </c>
      <c r="W74" s="595">
        <v>1.0000000000000001E-5</v>
      </c>
      <c r="X74" s="595">
        <v>1.0000000000000001E-5</v>
      </c>
      <c r="Y74" s="595">
        <v>1.0000000000000001E-5</v>
      </c>
      <c r="Z74" s="595">
        <v>1.0000000000000001E-5</v>
      </c>
      <c r="AA74" s="629" t="s">
        <v>307</v>
      </c>
      <c r="AB74" s="629" t="s">
        <v>307</v>
      </c>
      <c r="AC74" s="630" t="s">
        <v>321</v>
      </c>
    </row>
    <row r="75" spans="1:38" ht="16.5" thickBot="1">
      <c r="A75" s="481"/>
      <c r="B75" s="479" t="s">
        <v>43</v>
      </c>
      <c r="E75" s="492">
        <v>1.2999999999999999E-4</v>
      </c>
      <c r="F75" s="492">
        <v>1.2999999999999999E-4</v>
      </c>
      <c r="G75" s="492">
        <v>1.2999999999999999E-4</v>
      </c>
      <c r="H75" s="492">
        <v>1.2999999999999999E-4</v>
      </c>
      <c r="I75" s="492">
        <v>1.2999999999999999E-4</v>
      </c>
      <c r="J75" s="492">
        <v>1.2999999999999999E-4</v>
      </c>
      <c r="K75" s="492">
        <v>1.2999999999999999E-4</v>
      </c>
      <c r="L75" s="492">
        <v>1.2999999999999999E-4</v>
      </c>
      <c r="M75" s="492">
        <v>1.2999999999999999E-4</v>
      </c>
      <c r="N75" s="492">
        <v>1.2999999999999999E-4</v>
      </c>
      <c r="O75" s="492" t="s">
        <v>307</v>
      </c>
      <c r="P75" s="492" t="s">
        <v>307</v>
      </c>
      <c r="Q75" s="595">
        <v>1.0000000000000001E-5</v>
      </c>
      <c r="R75" s="595">
        <v>1.0000000000000001E-5</v>
      </c>
      <c r="S75" s="595">
        <v>1.0000000000000001E-5</v>
      </c>
      <c r="T75" s="595">
        <v>1.0000000000000001E-5</v>
      </c>
      <c r="U75" s="595">
        <v>1.0000000000000001E-5</v>
      </c>
      <c r="V75" s="595">
        <v>1.0000000000000001E-5</v>
      </c>
      <c r="W75" s="595">
        <v>1.0000000000000001E-5</v>
      </c>
      <c r="X75" s="595">
        <v>1.0000000000000001E-5</v>
      </c>
      <c r="Y75" s="595">
        <v>1.0000000000000001E-5</v>
      </c>
      <c r="Z75" s="595">
        <v>1.0000000000000001E-5</v>
      </c>
      <c r="AA75" s="629" t="s">
        <v>307</v>
      </c>
      <c r="AB75" s="629" t="s">
        <v>307</v>
      </c>
      <c r="AC75" s="630" t="s">
        <v>321</v>
      </c>
      <c r="AE75" s="517">
        <f>AE4</f>
        <v>201801</v>
      </c>
      <c r="AF75" s="526"/>
      <c r="AG75" s="518"/>
      <c r="AH75" s="622" t="s">
        <v>319</v>
      </c>
      <c r="AI75" s="518"/>
      <c r="AJ75" s="519"/>
    </row>
    <row r="76" spans="1:38">
      <c r="A76" s="481"/>
      <c r="B76" s="479" t="s">
        <v>74</v>
      </c>
      <c r="E76" s="492">
        <v>2.0000000000000002E-5</v>
      </c>
      <c r="F76" s="492">
        <v>2.0000000000000002E-5</v>
      </c>
      <c r="G76" s="492">
        <v>2.0000000000000002E-5</v>
      </c>
      <c r="H76" s="492">
        <v>2.0000000000000002E-5</v>
      </c>
      <c r="I76" s="492">
        <v>2.0000000000000002E-5</v>
      </c>
      <c r="J76" s="492">
        <v>2.0000000000000002E-5</v>
      </c>
      <c r="K76" s="492">
        <v>2.0000000000000002E-5</v>
      </c>
      <c r="L76" s="492">
        <v>2.0000000000000002E-5</v>
      </c>
      <c r="M76" s="492">
        <v>2.0000000000000002E-5</v>
      </c>
      <c r="N76" s="492">
        <v>2.0000000000000002E-5</v>
      </c>
      <c r="O76" s="492" t="s">
        <v>307</v>
      </c>
      <c r="P76" s="492" t="s">
        <v>307</v>
      </c>
      <c r="Q76" s="595">
        <v>0</v>
      </c>
      <c r="R76" s="595">
        <v>0</v>
      </c>
      <c r="S76" s="595">
        <v>0</v>
      </c>
      <c r="T76" s="595">
        <v>0</v>
      </c>
      <c r="U76" s="595">
        <v>0</v>
      </c>
      <c r="V76" s="595">
        <v>0</v>
      </c>
      <c r="W76" s="595">
        <v>0</v>
      </c>
      <c r="X76" s="595">
        <v>0</v>
      </c>
      <c r="Y76" s="595">
        <v>0</v>
      </c>
      <c r="Z76" s="595">
        <v>0</v>
      </c>
      <c r="AA76" s="629" t="s">
        <v>307</v>
      </c>
      <c r="AB76" s="629" t="s">
        <v>307</v>
      </c>
      <c r="AC76" s="630" t="s">
        <v>321</v>
      </c>
      <c r="AE76" s="153" t="s">
        <v>292</v>
      </c>
      <c r="AF76" s="208">
        <v>191025</v>
      </c>
      <c r="AG76" s="7" t="s">
        <v>280</v>
      </c>
      <c r="AH76" s="7" t="s">
        <v>281</v>
      </c>
      <c r="AI76" s="470">
        <v>0</v>
      </c>
      <c r="AJ76" s="460">
        <f>IF((SUMIF(E78:AB78,AE75,E80:AB80))&lt;0,-(SUMIF(E78:AB78,AE75,E80:AB80)),0)</f>
        <v>0</v>
      </c>
      <c r="AL76" s="480" t="str">
        <f>_xll.GLW_Segment_Description(AF76,2,2)</f>
        <v>WA GRC JACKSON PRAIRIE DEFERRAL</v>
      </c>
    </row>
    <row r="77" spans="1:38">
      <c r="A77" s="481" t="s">
        <v>283</v>
      </c>
      <c r="E77" s="489"/>
      <c r="F77" s="489"/>
      <c r="G77" s="489"/>
      <c r="H77" s="489"/>
      <c r="I77" s="489"/>
      <c r="J77" s="489"/>
      <c r="K77" s="489"/>
      <c r="L77" s="489"/>
      <c r="M77" s="489"/>
      <c r="N77" s="489"/>
      <c r="O77" s="489"/>
      <c r="P77" s="489"/>
      <c r="Q77" s="489"/>
      <c r="R77" s="489"/>
      <c r="S77" s="489"/>
      <c r="T77" s="489"/>
      <c r="U77" s="489"/>
      <c r="V77" s="489"/>
      <c r="W77" s="489"/>
      <c r="X77" s="489"/>
      <c r="Y77" s="489"/>
      <c r="Z77" s="489"/>
      <c r="AA77" s="489"/>
      <c r="AB77" s="489"/>
      <c r="AC77" s="489"/>
      <c r="AE77" s="153" t="s">
        <v>293</v>
      </c>
      <c r="AF77" s="208">
        <v>805110</v>
      </c>
      <c r="AG77" s="7" t="s">
        <v>280</v>
      </c>
      <c r="AH77" s="7" t="s">
        <v>281</v>
      </c>
      <c r="AI77" s="470">
        <f>IF((SUMIF(E78:AB78,AE75,E80:AB80))&lt;0,-(SUMIF(E78:AB78,AE75,E80:AB80)),0)</f>
        <v>0</v>
      </c>
      <c r="AJ77" s="460">
        <f>AI76</f>
        <v>0</v>
      </c>
      <c r="AL77" s="480" t="str">
        <f>_xll.GLW_Segment_Description(AF77,2,2)</f>
        <v>AMORTIZE RECOVERABLE GAS COSTS</v>
      </c>
    </row>
    <row r="78" spans="1:38" s="481" customFormat="1">
      <c r="A78" s="482">
        <v>191025</v>
      </c>
      <c r="B78" s="483" t="s">
        <v>252</v>
      </c>
      <c r="C78" s="484" t="s">
        <v>248</v>
      </c>
      <c r="D78" s="485" t="s">
        <v>249</v>
      </c>
      <c r="E78" s="482">
        <v>201601</v>
      </c>
      <c r="F78" s="482">
        <f>E78+1</f>
        <v>201602</v>
      </c>
      <c r="G78" s="482">
        <f t="shared" ref="G78:P78" si="56">F78+1</f>
        <v>201603</v>
      </c>
      <c r="H78" s="482">
        <f t="shared" si="56"/>
        <v>201604</v>
      </c>
      <c r="I78" s="482">
        <f t="shared" si="56"/>
        <v>201605</v>
      </c>
      <c r="J78" s="482">
        <f t="shared" si="56"/>
        <v>201606</v>
      </c>
      <c r="K78" s="482">
        <f t="shared" si="56"/>
        <v>201607</v>
      </c>
      <c r="L78" s="482">
        <f t="shared" si="56"/>
        <v>201608</v>
      </c>
      <c r="M78" s="482">
        <f t="shared" si="56"/>
        <v>201609</v>
      </c>
      <c r="N78" s="482">
        <f t="shared" si="56"/>
        <v>201610</v>
      </c>
      <c r="O78" s="482">
        <f t="shared" si="56"/>
        <v>201611</v>
      </c>
      <c r="P78" s="482">
        <f t="shared" si="56"/>
        <v>201612</v>
      </c>
      <c r="Q78" s="482">
        <f>Q3</f>
        <v>201701</v>
      </c>
      <c r="R78" s="482">
        <f>Q78+1</f>
        <v>201702</v>
      </c>
      <c r="S78" s="482">
        <f t="shared" ref="S78:AB78" si="57">R78+1</f>
        <v>201703</v>
      </c>
      <c r="T78" s="482">
        <f t="shared" si="57"/>
        <v>201704</v>
      </c>
      <c r="U78" s="482">
        <f t="shared" si="57"/>
        <v>201705</v>
      </c>
      <c r="V78" s="482">
        <f t="shared" si="57"/>
        <v>201706</v>
      </c>
      <c r="W78" s="482">
        <f t="shared" si="57"/>
        <v>201707</v>
      </c>
      <c r="X78" s="482">
        <f t="shared" si="57"/>
        <v>201708</v>
      </c>
      <c r="Y78" s="482">
        <f t="shared" si="57"/>
        <v>201709</v>
      </c>
      <c r="Z78" s="482">
        <f t="shared" si="57"/>
        <v>201710</v>
      </c>
      <c r="AA78" s="482">
        <f t="shared" si="57"/>
        <v>201711</v>
      </c>
      <c r="AB78" s="482">
        <f t="shared" si="57"/>
        <v>201712</v>
      </c>
      <c r="AC78" s="482">
        <f>AC3</f>
        <v>201801</v>
      </c>
      <c r="AD78" s="565"/>
      <c r="AE78" s="153" t="s">
        <v>265</v>
      </c>
      <c r="AF78" s="208">
        <v>191025</v>
      </c>
      <c r="AG78" s="7" t="s">
        <v>280</v>
      </c>
      <c r="AH78" s="7" t="s">
        <v>281</v>
      </c>
      <c r="AI78" s="470">
        <f>IF((SUMIF(E78:AB78,AE75,E81:AB81))&gt;0,(SUMIF(E78:AB78,AE75,E81:AB81)),0)</f>
        <v>0</v>
      </c>
      <c r="AJ78" s="460">
        <v>0</v>
      </c>
      <c r="AL78" s="480" t="str">
        <f>_xll.GLW_Segment_Description(AF78,2,2)</f>
        <v>WA GRC JACKSON PRAIRIE DEFERRAL</v>
      </c>
    </row>
    <row r="79" spans="1:38" ht="16.5" thickBot="1">
      <c r="A79" s="490"/>
      <c r="B79" s="479" t="s">
        <v>250</v>
      </c>
      <c r="D79" s="480">
        <f>E79</f>
        <v>-18146.93566000001</v>
      </c>
      <c r="E79" s="480">
        <v>-18146.93566000001</v>
      </c>
      <c r="F79" s="480">
        <f t="shared" ref="F79:M79" si="58">E82</f>
        <v>-14523.147320000011</v>
      </c>
      <c r="G79" s="480">
        <f t="shared" si="58"/>
        <v>-11852.264220000012</v>
      </c>
      <c r="H79" s="480">
        <f t="shared" si="58"/>
        <v>-9512.6003600000113</v>
      </c>
      <c r="I79" s="480">
        <f t="shared" si="58"/>
        <v>-8373.7282900000118</v>
      </c>
      <c r="J79" s="480">
        <f t="shared" si="58"/>
        <v>-7543.4780600000122</v>
      </c>
      <c r="K79" s="480">
        <f t="shared" si="58"/>
        <v>-6882.1108900000127</v>
      </c>
      <c r="L79" s="480">
        <f t="shared" si="58"/>
        <v>-6303.9779800000124</v>
      </c>
      <c r="M79" s="480">
        <f t="shared" si="58"/>
        <v>-5710.3492900000119</v>
      </c>
      <c r="N79" s="480">
        <f>M82</f>
        <v>-4950.5876300000118</v>
      </c>
      <c r="O79" s="480">
        <f>N82</f>
        <v>-3439.8164200000119</v>
      </c>
      <c r="P79" s="480">
        <f>O82</f>
        <v>-4198.8164200000119</v>
      </c>
      <c r="Q79" s="480">
        <f>P82</f>
        <v>-4496.8164200000119</v>
      </c>
      <c r="R79" s="480">
        <f>Q82</f>
        <v>-3535.3396800000119</v>
      </c>
      <c r="S79" s="480">
        <f t="shared" ref="S79:Y79" si="59">R82</f>
        <v>-3274.9352500000118</v>
      </c>
      <c r="T79" s="480">
        <f t="shared" si="59"/>
        <v>-3070.6033100000118</v>
      </c>
      <c r="U79" s="480">
        <f t="shared" si="59"/>
        <v>-2929.7000500000117</v>
      </c>
      <c r="V79" s="480">
        <f t="shared" si="59"/>
        <v>-2851.9168700000118</v>
      </c>
      <c r="W79" s="480">
        <f t="shared" si="59"/>
        <v>-2804.0702100000117</v>
      </c>
      <c r="X79" s="549">
        <f t="shared" si="59"/>
        <v>-2765.0084300000117</v>
      </c>
      <c r="Y79" s="480">
        <f t="shared" si="59"/>
        <v>-2726.1363500000116</v>
      </c>
      <c r="Z79" s="549">
        <f>Y82</f>
        <v>-2668.9026700000118</v>
      </c>
      <c r="AA79" s="549">
        <f>Z82</f>
        <v>-2540.8775000000119</v>
      </c>
      <c r="AB79" s="480">
        <f>AA82</f>
        <v>-9.9075000000120781</v>
      </c>
      <c r="AC79" s="480">
        <f>AB82</f>
        <v>-9.9075000000120781</v>
      </c>
      <c r="AE79" s="153" t="s">
        <v>265</v>
      </c>
      <c r="AF79" s="208">
        <v>426500</v>
      </c>
      <c r="AG79" s="7" t="s">
        <v>318</v>
      </c>
      <c r="AH79" s="7" t="s">
        <v>318</v>
      </c>
      <c r="AI79" s="470">
        <v>0</v>
      </c>
      <c r="AJ79" s="460">
        <f>AI78</f>
        <v>0</v>
      </c>
      <c r="AL79" s="480" t="str">
        <f>_xll.GLW_Segment_Description(AF79,2,2)</f>
        <v>MISC INCOME DEDUCTIONS-OTHER DEDUCT</v>
      </c>
    </row>
    <row r="80" spans="1:38" ht="16.5" thickBot="1">
      <c r="B80" s="479" t="s">
        <v>23</v>
      </c>
      <c r="C80" s="480">
        <f>SUM(Q80:AB80)</f>
        <v>1276.9389200000001</v>
      </c>
      <c r="D80" s="480">
        <f>SUM(E80:AB80)</f>
        <v>14927.058159999997</v>
      </c>
      <c r="E80" s="549">
        <v>3623.7883399999996</v>
      </c>
      <c r="F80" s="549">
        <v>2670.8831</v>
      </c>
      <c r="G80" s="549">
        <v>2339.6638599999997</v>
      </c>
      <c r="H80" s="549">
        <v>1138.8720699999999</v>
      </c>
      <c r="I80" s="549">
        <v>830.25022999999999</v>
      </c>
      <c r="J80" s="549">
        <v>661.36716999999987</v>
      </c>
      <c r="K80" s="549">
        <v>578.13290999999992</v>
      </c>
      <c r="L80" s="549">
        <v>593.62869000000012</v>
      </c>
      <c r="M80" s="549">
        <v>759.76165999999989</v>
      </c>
      <c r="N80" s="549">
        <v>1510.7712100000001</v>
      </c>
      <c r="O80" s="549">
        <v>-759</v>
      </c>
      <c r="P80" s="549">
        <v>-298</v>
      </c>
      <c r="Q80" s="549">
        <f>SUMPRODUCT(Q55:Q63,Q68:Q76)</f>
        <v>365.47674000000006</v>
      </c>
      <c r="R80" s="549">
        <f>SUMPRODUCT(R55:R63,R68:R76)</f>
        <v>260.40443000000005</v>
      </c>
      <c r="S80" s="549">
        <f>SUMPRODUCT(S55:S63,S68:S76)</f>
        <v>204.33194</v>
      </c>
      <c r="T80" s="549">
        <f>SUMPRODUCT(T55:T63,T68:T76)</f>
        <v>140.90325999999999</v>
      </c>
      <c r="U80" s="549">
        <f t="shared" ref="U80" si="60">SUMPRODUCT(U55:U63,U68:U76)</f>
        <v>77.783180000000016</v>
      </c>
      <c r="V80" s="549">
        <f>SUMPRODUCT(V55:V63,V68:V76)</f>
        <v>47.84666</v>
      </c>
      <c r="W80" s="549">
        <f>SUMPRODUCT(W55:W63,W68:W76)</f>
        <v>39.061780000000006</v>
      </c>
      <c r="X80" s="549">
        <f>SUMPRODUCT(X55:X63,X68:X76)</f>
        <v>38.872079999999997</v>
      </c>
      <c r="Y80" s="549">
        <f>SUMPRODUCT(Y55:Y63,Y68:Y76)</f>
        <v>57.23368</v>
      </c>
      <c r="Z80" s="549">
        <f>SUMPRODUCT(Z55:Z63,Z68:Z76)</f>
        <v>128.02517</v>
      </c>
      <c r="AA80" s="554">
        <v>-83</v>
      </c>
      <c r="AB80" s="549">
        <v>0</v>
      </c>
      <c r="AC80" s="549">
        <v>0</v>
      </c>
      <c r="AE80" s="600"/>
      <c r="AF80" s="526"/>
      <c r="AG80" s="518"/>
      <c r="AH80" s="518"/>
      <c r="AI80" s="518" t="s">
        <v>159</v>
      </c>
      <c r="AJ80" s="519">
        <f>SUM(AI76:AI79)-SUM(AJ76:AJ79)</f>
        <v>0</v>
      </c>
    </row>
    <row r="81" spans="2:29">
      <c r="B81" s="479" t="s">
        <v>148</v>
      </c>
      <c r="C81" s="480">
        <f>SUM(Q81:AB81)</f>
        <v>3209.97</v>
      </c>
      <c r="D81" s="491">
        <f>SUM(E81:AB81)</f>
        <v>3209.97</v>
      </c>
      <c r="E81" s="480">
        <v>0</v>
      </c>
      <c r="F81" s="480">
        <v>0</v>
      </c>
      <c r="G81" s="480">
        <v>0</v>
      </c>
      <c r="H81" s="480">
        <v>0</v>
      </c>
      <c r="I81" s="480">
        <v>0</v>
      </c>
      <c r="J81" s="480">
        <v>0</v>
      </c>
      <c r="K81" s="480">
        <v>0</v>
      </c>
      <c r="L81" s="480">
        <v>0</v>
      </c>
      <c r="M81" s="480">
        <v>0</v>
      </c>
      <c r="N81" s="480">
        <v>0</v>
      </c>
      <c r="O81" s="480">
        <v>0</v>
      </c>
      <c r="P81" s="480">
        <v>0</v>
      </c>
      <c r="Q81" s="480">
        <f>298+298</f>
        <v>596</v>
      </c>
      <c r="R81" s="480">
        <v>0</v>
      </c>
      <c r="S81" s="480">
        <v>0</v>
      </c>
      <c r="T81" s="480">
        <v>0</v>
      </c>
      <c r="U81" s="480">
        <v>0</v>
      </c>
      <c r="V81" s="480">
        <v>0</v>
      </c>
      <c r="W81" s="480">
        <v>0</v>
      </c>
      <c r="X81" s="480">
        <v>0</v>
      </c>
      <c r="Y81" s="480">
        <v>0</v>
      </c>
      <c r="Z81" s="480">
        <v>0</v>
      </c>
      <c r="AA81" s="549">
        <v>2613.9699999999998</v>
      </c>
      <c r="AB81" s="480">
        <v>0</v>
      </c>
      <c r="AC81" s="480">
        <v>0</v>
      </c>
    </row>
    <row r="82" spans="2:29" ht="16.5" thickBot="1">
      <c r="B82" s="479" t="s">
        <v>56</v>
      </c>
      <c r="C82" s="533">
        <f>SUM(C80:C81)</f>
        <v>4486.9089199999999</v>
      </c>
      <c r="D82" s="533">
        <f>SUM(D79:D81)</f>
        <v>-9.9075000000134423</v>
      </c>
      <c r="E82" s="533">
        <v>-14523.147320000011</v>
      </c>
      <c r="F82" s="533">
        <f t="shared" ref="F82:P82" si="61">SUM(F79:F81)</f>
        <v>-11852.264220000012</v>
      </c>
      <c r="G82" s="533">
        <f t="shared" si="61"/>
        <v>-9512.6003600000113</v>
      </c>
      <c r="H82" s="533">
        <f t="shared" si="61"/>
        <v>-8373.7282900000118</v>
      </c>
      <c r="I82" s="533">
        <f t="shared" si="61"/>
        <v>-7543.4780600000122</v>
      </c>
      <c r="J82" s="533">
        <f t="shared" si="61"/>
        <v>-6882.1108900000127</v>
      </c>
      <c r="K82" s="533">
        <f t="shared" si="61"/>
        <v>-6303.9779800000124</v>
      </c>
      <c r="L82" s="533">
        <f t="shared" si="61"/>
        <v>-5710.3492900000119</v>
      </c>
      <c r="M82" s="533">
        <f t="shared" si="61"/>
        <v>-4950.5876300000118</v>
      </c>
      <c r="N82" s="533">
        <f t="shared" si="61"/>
        <v>-3439.8164200000119</v>
      </c>
      <c r="O82" s="533">
        <f t="shared" si="61"/>
        <v>-4198.8164200000119</v>
      </c>
      <c r="P82" s="533">
        <f t="shared" si="61"/>
        <v>-4496.8164200000119</v>
      </c>
      <c r="Q82" s="533">
        <f>SUM(Q79:Q81)</f>
        <v>-3535.3396800000119</v>
      </c>
      <c r="R82" s="533">
        <f>SUM(R79:R81)</f>
        <v>-3274.9352500000118</v>
      </c>
      <c r="S82" s="533">
        <f t="shared" ref="S82:AC82" si="62">SUM(S79:S81)</f>
        <v>-3070.6033100000118</v>
      </c>
      <c r="T82" s="533">
        <f t="shared" si="62"/>
        <v>-2929.7000500000117</v>
      </c>
      <c r="U82" s="533">
        <f t="shared" si="62"/>
        <v>-2851.9168700000118</v>
      </c>
      <c r="V82" s="533">
        <f t="shared" si="62"/>
        <v>-2804.0702100000117</v>
      </c>
      <c r="W82" s="533">
        <f t="shared" si="62"/>
        <v>-2765.0084300000117</v>
      </c>
      <c r="X82" s="533">
        <f t="shared" si="62"/>
        <v>-2726.1363500000116</v>
      </c>
      <c r="Y82" s="533">
        <f t="shared" si="62"/>
        <v>-2668.9026700000118</v>
      </c>
      <c r="Z82" s="533">
        <f t="shared" si="62"/>
        <v>-2540.8775000000119</v>
      </c>
      <c r="AA82" s="533">
        <f t="shared" si="62"/>
        <v>-9.9075000000120781</v>
      </c>
      <c r="AB82" s="533">
        <f t="shared" si="62"/>
        <v>-9.9075000000120781</v>
      </c>
      <c r="AC82" s="533">
        <f t="shared" si="62"/>
        <v>-9.9075000000120781</v>
      </c>
    </row>
    <row r="83" spans="2:29" ht="16.5" thickTop="1">
      <c r="B83" s="479" t="s">
        <v>256</v>
      </c>
      <c r="D83" s="480">
        <f>_xll.Get_Balance(AB78,"YTD","USD","Total","A","","001",$A$78,"GD","WA","DL")</f>
        <v>0</v>
      </c>
      <c r="E83" s="480">
        <v>-14523.15</v>
      </c>
      <c r="F83" s="480">
        <f>_xll.Get_Balance(F78,"YTD","USD","Total","A","","001",$A$78,"GD","WA","DL")</f>
        <v>-11852.27</v>
      </c>
      <c r="G83" s="480">
        <f>_xll.Get_Balance(G78,"YTD","USD","Total","A","","001",$A$78,"GD","WA","DL")</f>
        <v>-9512.61</v>
      </c>
      <c r="H83" s="480">
        <f>_xll.Get_Balance(H78,"YTD","USD","Total","A","","001",$A$78,"GD","WA","DL")</f>
        <v>-8373.74</v>
      </c>
      <c r="I83" s="480">
        <f>_xll.Get_Balance(I78,"YTD","USD","Total","A","","001",$A$78,"GD","WA","DL")</f>
        <v>-7543.49</v>
      </c>
      <c r="J83" s="480">
        <f>_xll.Get_Balance(J78,"YTD","USD","Total","A","","001",$A$78,"GD","WA","DL")</f>
        <v>-6882.12</v>
      </c>
      <c r="K83" s="480">
        <f>_xll.Get_Balance(K78,"YTD","USD","Total","A","","001",$A$78,"GD","WA","DL")</f>
        <v>-6303.99</v>
      </c>
      <c r="L83" s="480">
        <f>_xll.Get_Balance(L78,"YTD","USD","Total","A","","001",$A$78,"GD","WA","DL")</f>
        <v>-5710.36</v>
      </c>
      <c r="M83" s="480">
        <f>_xll.Get_Balance(M78,"YTD","USD","Total","A","","001",$A$78,"GD","WA","DL")</f>
        <v>-4950.6000000000004</v>
      </c>
      <c r="N83" s="480">
        <f>_xll.Get_Balance(N78,"YTD","USD","Total","A","","001",$A$78,"GD","WA","DL")</f>
        <v>-3439.83</v>
      </c>
      <c r="O83" s="480">
        <f>_xll.Get_Balance(O78,"YTD","USD","Total","A","","001",$A$78,"GD","WA","DL")</f>
        <v>-4198.83</v>
      </c>
      <c r="P83" s="480">
        <f>_xll.Get_Balance(P78,"YTD","USD","Total","A","","001",$A$78,"GD","WA","DL")</f>
        <v>-4496.83</v>
      </c>
      <c r="Q83" s="480">
        <f>_xll.Get_Balance(Q78,"YTD","USD","Total","A","","001",$A$78,"GD","WA","DL")</f>
        <v>-3535.35</v>
      </c>
      <c r="R83" s="480">
        <f>_xll.Get_Balance(R78,"YTD","USD","Total","A","","001",$A$78,"GD","WA","DL")</f>
        <v>-3265.04</v>
      </c>
      <c r="S83" s="480">
        <f>_xll.Get_Balance(S78,"YTD","USD","Total","A","","001",$A$78,"GD","WA","DL")</f>
        <v>-3060.71</v>
      </c>
      <c r="T83" s="480">
        <f>_xll.Get_Balance(T78,"YTD","USD","Total","A","","001",$A$78,"GD","WA","DL")</f>
        <v>-2919.81</v>
      </c>
      <c r="U83" s="480">
        <f>_xll.Get_Balance(U78,"YTD","USD","Total","A","","001",$A$78,"GD","WA","DL")</f>
        <v>-2842.03</v>
      </c>
      <c r="V83" s="480">
        <f>_xll.Get_Balance(V78,"YTD","USD","Total","A","","001",$A$78,"GD","WA","DL")</f>
        <v>-2794.18</v>
      </c>
      <c r="W83" s="480">
        <f>_xll.Get_Balance(W78,"YTD","USD","Total","A","","001",$A$78,"GD","WA","DL")</f>
        <v>-2755.12</v>
      </c>
      <c r="X83" s="480">
        <f>_xll.Get_Balance(X78,"YTD","USD","Total","A","","001",$A$78,"GD","WA","DL")</f>
        <v>-2716.25</v>
      </c>
      <c r="Y83" s="480">
        <f>_xll.Get_Balance(Y78,"YTD","USD","Total","A","","001",$A$78,"GD","WA","DL")</f>
        <v>-2659.02</v>
      </c>
      <c r="Z83" s="549">
        <f>_xll.Get_Balance(Z78,"YTD","USD","Total","A","","001",$A$78,"GD","WA","DL")</f>
        <v>-2530.9899999999998</v>
      </c>
      <c r="AA83" s="480">
        <f>_xll.Get_Balance(AA78,"YTD","USD","Total","A","","001",$A$78,"GD","WA","DL")</f>
        <v>0</v>
      </c>
      <c r="AB83" s="480">
        <f>_xll.Get_Balance(AB78,"YTD","USD","Total","A","","001",$A$78,"GD","WA","DL")</f>
        <v>0</v>
      </c>
      <c r="AC83" s="480">
        <f>_xll.Get_Balance(AC78,"YTD","USD","Total","A","","001",$A$78,"GD","WA","DL")</f>
        <v>0</v>
      </c>
    </row>
    <row r="84" spans="2:29">
      <c r="B84" s="479" t="s">
        <v>243</v>
      </c>
      <c r="E84" s="480">
        <v>2.6799999886861769E-3</v>
      </c>
      <c r="F84" s="480">
        <f t="shared" ref="F84:P84" si="63">F82-F83</f>
        <v>5.7799999885901343E-3</v>
      </c>
      <c r="G84" s="480">
        <f t="shared" si="63"/>
        <v>9.6399999893037602E-3</v>
      </c>
      <c r="H84" s="480">
        <f t="shared" si="63"/>
        <v>1.1709999987942865E-2</v>
      </c>
      <c r="I84" s="480">
        <f t="shared" si="63"/>
        <v>1.1939999987589545E-2</v>
      </c>
      <c r="J84" s="480">
        <f t="shared" si="63"/>
        <v>9.1099999872312765E-3</v>
      </c>
      <c r="K84" s="480">
        <f t="shared" si="63"/>
        <v>1.2019999987387564E-2</v>
      </c>
      <c r="L84" s="480">
        <f t="shared" si="63"/>
        <v>1.0709999987739138E-2</v>
      </c>
      <c r="M84" s="480">
        <f t="shared" si="63"/>
        <v>1.2369999988550262E-2</v>
      </c>
      <c r="N84" s="480">
        <f t="shared" si="63"/>
        <v>1.3579999987996416E-2</v>
      </c>
      <c r="O84" s="480">
        <f t="shared" si="63"/>
        <v>1.3579999987996416E-2</v>
      </c>
      <c r="P84" s="480">
        <f t="shared" si="63"/>
        <v>1.3579999987996416E-2</v>
      </c>
      <c r="Q84" s="480">
        <f>Q82-Q83</f>
        <v>1.0319999988041673E-2</v>
      </c>
      <c r="R84" s="480">
        <f t="shared" ref="R84:AC84" si="64">R82-R83</f>
        <v>-9.8952500000118562</v>
      </c>
      <c r="S84" s="480">
        <f t="shared" si="64"/>
        <v>-9.893310000011752</v>
      </c>
      <c r="T84" s="480">
        <f t="shared" si="64"/>
        <v>-9.8900500000117972</v>
      </c>
      <c r="U84" s="480">
        <f t="shared" si="64"/>
        <v>-9.8868700000116405</v>
      </c>
      <c r="V84" s="480">
        <f t="shared" si="64"/>
        <v>-9.890210000011848</v>
      </c>
      <c r="W84" s="480">
        <f>W82-W83</f>
        <v>-9.8884300000117946</v>
      </c>
      <c r="X84" s="480">
        <f t="shared" si="64"/>
        <v>-9.8863500000115891</v>
      </c>
      <c r="Y84" s="480">
        <f t="shared" si="64"/>
        <v>-9.8826700000117853</v>
      </c>
      <c r="Z84" s="480">
        <f t="shared" si="64"/>
        <v>-9.8875000000120963</v>
      </c>
      <c r="AA84" s="480">
        <f t="shared" si="64"/>
        <v>-9.9075000000120781</v>
      </c>
      <c r="AB84" s="480">
        <f t="shared" si="64"/>
        <v>-9.9075000000120781</v>
      </c>
      <c r="AC84" s="480">
        <f t="shared" si="64"/>
        <v>-9.9075000000120781</v>
      </c>
    </row>
  </sheetData>
  <conditionalFormatting sqref="L29:P29 E65:P65 E29:I29">
    <cfRule type="cellIs" dxfId="188" priority="16" operator="notEqual">
      <formula>E28</formula>
    </cfRule>
  </conditionalFormatting>
  <conditionalFormatting sqref="AJ80 AJ47 AJ11">
    <cfRule type="cellIs" dxfId="187" priority="15" operator="notEqual">
      <formula>0</formula>
    </cfRule>
  </conditionalFormatting>
  <conditionalFormatting sqref="D65">
    <cfRule type="cellIs" dxfId="186" priority="14" operator="notEqual">
      <formula>D64</formula>
    </cfRule>
  </conditionalFormatting>
  <conditionalFormatting sqref="C65">
    <cfRule type="cellIs" dxfId="185" priority="13" operator="notEqual">
      <formula>C64</formula>
    </cfRule>
  </conditionalFormatting>
  <conditionalFormatting sqref="D29">
    <cfRule type="cellIs" dxfId="184" priority="12" operator="notEqual">
      <formula>D28</formula>
    </cfRule>
  </conditionalFormatting>
  <conditionalFormatting sqref="C29">
    <cfRule type="cellIs" dxfId="183" priority="11" operator="notEqual">
      <formula>C28</formula>
    </cfRule>
  </conditionalFormatting>
  <conditionalFormatting sqref="J29">
    <cfRule type="cellIs" dxfId="182" priority="10" operator="notEqual">
      <formula>J28</formula>
    </cfRule>
  </conditionalFormatting>
  <conditionalFormatting sqref="K29">
    <cfRule type="cellIs" dxfId="181" priority="9" operator="notEqual">
      <formula>K28</formula>
    </cfRule>
  </conditionalFormatting>
  <conditionalFormatting sqref="Q65:U65 Q29:U29 X29:AB29 X65:Y65 AA65:AB65">
    <cfRule type="cellIs" dxfId="180" priority="8" operator="notEqual">
      <formula>Q28</formula>
    </cfRule>
  </conditionalFormatting>
  <conditionalFormatting sqref="V29">
    <cfRule type="cellIs" dxfId="179" priority="7" operator="notEqual">
      <formula>V28</formula>
    </cfRule>
  </conditionalFormatting>
  <conditionalFormatting sqref="V65">
    <cfRule type="cellIs" dxfId="178" priority="6" operator="notEqual">
      <formula>V64</formula>
    </cfRule>
  </conditionalFormatting>
  <conditionalFormatting sqref="W29">
    <cfRule type="cellIs" dxfId="177" priority="5" operator="notEqual">
      <formula>W28</formula>
    </cfRule>
  </conditionalFormatting>
  <conditionalFormatting sqref="W65">
    <cfRule type="cellIs" dxfId="176" priority="4" operator="notEqual">
      <formula>W64</formula>
    </cfRule>
  </conditionalFormatting>
  <conditionalFormatting sqref="Z65">
    <cfRule type="cellIs" dxfId="175" priority="3" operator="notEqual">
      <formula>Z64</formula>
    </cfRule>
  </conditionalFormatting>
  <conditionalFormatting sqref="AC29 AC65">
    <cfRule type="cellIs" dxfId="174" priority="2" operator="notEqual">
      <formula>AC28</formula>
    </cfRule>
  </conditionalFormatting>
  <conditionalFormatting sqref="AD29 AD65">
    <cfRule type="cellIs" dxfId="173" priority="1" operator="notEqual">
      <formula>AD28</formula>
    </cfRule>
  </conditionalFormatting>
  <pageMargins left="0" right="0" top="0.75" bottom="0.75" header="0.3" footer="0.3"/>
  <pageSetup scale="40" orientation="landscape" r:id="rId1"/>
  <customProperties>
    <customPr name="xxe4aPID" r:id="rId2"/>
  </customProperties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pageSetUpPr fitToPage="1"/>
  </sheetPr>
  <dimension ref="A1:AH56"/>
  <sheetViews>
    <sheetView zoomScale="85" zoomScaleNormal="85" workbookViewId="0">
      <selection activeCell="U36" sqref="U36"/>
    </sheetView>
  </sheetViews>
  <sheetFormatPr defaultRowHeight="12.75"/>
  <cols>
    <col min="1" max="1" width="18.7109375" bestFit="1" customWidth="1"/>
    <col min="2" max="14" width="9.85546875" customWidth="1"/>
    <col min="16" max="16" width="2.42578125" customWidth="1"/>
    <col min="17" max="23" width="10.7109375" customWidth="1"/>
    <col min="24" max="24" width="5.7109375" customWidth="1"/>
  </cols>
  <sheetData>
    <row r="1" spans="1:34">
      <c r="C1" s="640" t="s">
        <v>191</v>
      </c>
      <c r="D1" s="640"/>
      <c r="E1" s="640"/>
      <c r="F1" s="640"/>
      <c r="G1" s="640"/>
      <c r="H1" s="640"/>
      <c r="I1" s="640"/>
      <c r="J1" s="640"/>
      <c r="K1" s="640"/>
      <c r="P1" s="642"/>
      <c r="Q1" s="642"/>
      <c r="R1" s="642"/>
      <c r="S1" s="642"/>
      <c r="T1" s="642"/>
      <c r="U1" s="642"/>
      <c r="V1" s="642"/>
      <c r="W1" s="642"/>
      <c r="X1" s="642"/>
    </row>
    <row r="2" spans="1:34" ht="23.25">
      <c r="C2" s="641" t="s">
        <v>299</v>
      </c>
      <c r="D2" s="641"/>
      <c r="E2" s="641"/>
      <c r="F2" s="641"/>
      <c r="G2" s="641"/>
      <c r="H2" s="641"/>
      <c r="I2" s="641"/>
      <c r="J2" s="641"/>
      <c r="K2" s="641"/>
      <c r="P2" s="640"/>
      <c r="Q2" s="640"/>
      <c r="R2" s="640"/>
      <c r="S2" s="640"/>
      <c r="T2" s="640"/>
      <c r="U2" s="640"/>
      <c r="V2" s="640"/>
      <c r="W2" s="640"/>
      <c r="X2" s="640"/>
      <c r="Z2" s="640"/>
      <c r="AA2" s="640"/>
      <c r="AB2" s="640"/>
      <c r="AC2" s="640"/>
      <c r="AD2" s="640"/>
      <c r="AE2" s="640"/>
      <c r="AF2" s="640"/>
      <c r="AG2" s="640"/>
      <c r="AH2" s="640"/>
    </row>
    <row r="3" spans="1:34" ht="23.25">
      <c r="C3" s="640" t="s">
        <v>193</v>
      </c>
      <c r="D3" s="640"/>
      <c r="E3" s="640"/>
      <c r="F3" s="640"/>
      <c r="G3" s="640"/>
      <c r="H3" s="640"/>
      <c r="I3" s="640"/>
      <c r="J3" s="640"/>
      <c r="K3" s="640"/>
      <c r="P3" s="641"/>
      <c r="Q3" s="641"/>
      <c r="R3" s="641"/>
      <c r="S3" s="641"/>
      <c r="T3" s="641"/>
      <c r="U3" s="641"/>
      <c r="V3" s="641"/>
      <c r="W3" s="641"/>
      <c r="X3" s="641"/>
      <c r="Z3" s="643"/>
      <c r="AA3" s="643"/>
      <c r="AB3" s="643"/>
      <c r="AC3" s="643"/>
      <c r="AD3" s="643"/>
      <c r="AE3" s="643"/>
      <c r="AF3" s="643"/>
      <c r="AG3" s="643"/>
      <c r="AH3" s="643"/>
    </row>
    <row r="4" spans="1:34">
      <c r="A4" t="s">
        <v>192</v>
      </c>
      <c r="B4" s="266">
        <v>41548</v>
      </c>
      <c r="C4" s="266">
        <f>EOMONTH(B4,1)</f>
        <v>41608</v>
      </c>
      <c r="D4" s="266">
        <f t="shared" ref="D4:N4" si="0">EOMONTH(C4,1)</f>
        <v>41639</v>
      </c>
      <c r="E4" s="266">
        <f t="shared" si="0"/>
        <v>41670</v>
      </c>
      <c r="F4" s="266">
        <f t="shared" si="0"/>
        <v>41698</v>
      </c>
      <c r="G4" s="266">
        <f t="shared" si="0"/>
        <v>41729</v>
      </c>
      <c r="H4" s="266">
        <f t="shared" si="0"/>
        <v>41759</v>
      </c>
      <c r="I4" s="266">
        <f t="shared" si="0"/>
        <v>41790</v>
      </c>
      <c r="J4" s="266">
        <f t="shared" si="0"/>
        <v>41820</v>
      </c>
      <c r="K4" s="266">
        <f t="shared" si="0"/>
        <v>41851</v>
      </c>
      <c r="L4" s="266">
        <f t="shared" si="0"/>
        <v>41882</v>
      </c>
      <c r="M4" s="266">
        <f t="shared" si="0"/>
        <v>41912</v>
      </c>
      <c r="N4" s="266">
        <f t="shared" si="0"/>
        <v>41943</v>
      </c>
      <c r="P4" s="640"/>
      <c r="Q4" s="640"/>
      <c r="R4" s="640"/>
      <c r="S4" s="640"/>
      <c r="T4" s="640"/>
      <c r="U4" s="640"/>
      <c r="V4" s="640"/>
      <c r="W4" s="640"/>
      <c r="X4" s="640"/>
      <c r="Z4" s="640"/>
      <c r="AA4" s="640"/>
      <c r="AB4" s="640"/>
      <c r="AC4" s="640"/>
      <c r="AD4" s="640"/>
      <c r="AE4" s="640"/>
      <c r="AF4" s="640"/>
      <c r="AG4" s="640"/>
    </row>
    <row r="6" spans="1:34">
      <c r="A6" s="267" t="s">
        <v>298</v>
      </c>
    </row>
    <row r="7" spans="1:34">
      <c r="A7" s="268"/>
      <c r="B7" s="269" t="str">
        <f t="shared" ref="B7:N7" si="1">TEXT(B4,"mmmmm-YY")</f>
        <v>O-13</v>
      </c>
      <c r="C7" s="269" t="str">
        <f t="shared" si="1"/>
        <v>N-13</v>
      </c>
      <c r="D7" s="542" t="str">
        <f t="shared" si="1"/>
        <v>D-13</v>
      </c>
      <c r="E7" s="269" t="str">
        <f t="shared" si="1"/>
        <v>J-14</v>
      </c>
      <c r="F7" s="269" t="str">
        <f t="shared" si="1"/>
        <v>F-14</v>
      </c>
      <c r="G7" s="542" t="str">
        <f t="shared" si="1"/>
        <v>M-14</v>
      </c>
      <c r="H7" s="542" t="str">
        <f t="shared" si="1"/>
        <v>A-14</v>
      </c>
      <c r="I7" s="542" t="str">
        <f t="shared" si="1"/>
        <v>M-14</v>
      </c>
      <c r="J7" s="542" t="str">
        <f t="shared" si="1"/>
        <v>J-14</v>
      </c>
      <c r="K7" s="542" t="str">
        <f t="shared" si="1"/>
        <v>J-14</v>
      </c>
      <c r="L7" s="542" t="str">
        <f t="shared" si="1"/>
        <v>A-14</v>
      </c>
      <c r="M7" s="542" t="str">
        <f t="shared" si="1"/>
        <v>S-14</v>
      </c>
      <c r="N7" s="542" t="str">
        <f t="shared" si="1"/>
        <v>O-14</v>
      </c>
    </row>
    <row r="8" spans="1:34">
      <c r="A8" s="541" t="s">
        <v>301</v>
      </c>
      <c r="B8" s="537">
        <f>0.33052*10</f>
        <v>3.3051999999999997</v>
      </c>
      <c r="C8" s="537">
        <v>3.6246661221178802</v>
      </c>
      <c r="D8" s="537">
        <v>3.6234780920677898</v>
      </c>
      <c r="E8" s="537">
        <f>-Jan!$H$53/Jan!$G$46*10</f>
        <v>2.1817000000000006</v>
      </c>
      <c r="F8" s="537">
        <f>-Feb!$H$53/Feb!$G$46*10</f>
        <v>1.4844931785530684</v>
      </c>
      <c r="G8" s="537">
        <f>-Mar!$H$53/Mar!$G$46*10</f>
        <v>2.3860000000000001</v>
      </c>
      <c r="H8" s="537">
        <f>-Mar!$H$53/Mar!$G$46*10</f>
        <v>2.3860000000000001</v>
      </c>
      <c r="I8" s="537">
        <f>-Mar!$H$53/Mar!$G$46*10</f>
        <v>2.3860000000000001</v>
      </c>
      <c r="J8" s="537">
        <f>-Mar!$H$53/Mar!$G$46*10</f>
        <v>2.3860000000000001</v>
      </c>
      <c r="K8" s="537">
        <f>-Mar!$H$53/Mar!$G$46*10</f>
        <v>2.3860000000000001</v>
      </c>
      <c r="L8" s="537">
        <f>-Mar!$H$53/Mar!$G$46*10</f>
        <v>2.3860000000000001</v>
      </c>
      <c r="M8" s="537">
        <f>-Mar!$H$53/Mar!$G$46*10</f>
        <v>2.3860000000000001</v>
      </c>
      <c r="N8" s="537">
        <f>-Mar!$H$53/Mar!$G$46*10</f>
        <v>2.3860000000000001</v>
      </c>
    </row>
    <row r="9" spans="1:34" s="541" customFormat="1">
      <c r="A9" t="s">
        <v>302</v>
      </c>
      <c r="B9" s="537">
        <f>N9</f>
        <v>3.5167999999999999</v>
      </c>
      <c r="C9" s="537">
        <v>3.8812999999999995</v>
      </c>
      <c r="D9" s="537">
        <v>3.6348000000000003</v>
      </c>
      <c r="E9" s="537">
        <v>3.6143999999999998</v>
      </c>
      <c r="F9" s="537">
        <v>3.6770000000000005</v>
      </c>
      <c r="G9" s="537">
        <v>3.9145000000000003</v>
      </c>
      <c r="H9" s="537">
        <v>3.3395999999999999</v>
      </c>
      <c r="I9" s="537">
        <v>3.3895</v>
      </c>
      <c r="J9" s="537">
        <v>3.3272000000000004</v>
      </c>
      <c r="K9" s="537">
        <v>3.3701999999999996</v>
      </c>
      <c r="L9" s="537">
        <v>3.3369</v>
      </c>
      <c r="M9" s="537">
        <v>3.3742000000000001</v>
      </c>
      <c r="N9" s="537">
        <v>3.5167999999999999</v>
      </c>
    </row>
    <row r="10" spans="1:34">
      <c r="A10" t="s">
        <v>300</v>
      </c>
      <c r="B10" s="537">
        <f>0.278008560641104*10</f>
        <v>2.7800856064110402</v>
      </c>
      <c r="C10" s="537">
        <v>3.4540440792083</v>
      </c>
      <c r="D10" s="537">
        <v>3.1876161555634601</v>
      </c>
      <c r="E10" s="537">
        <f>Jan!$K$14/Jan!$G$46*10</f>
        <v>1.9109764729943237</v>
      </c>
      <c r="F10" s="537">
        <f>Feb!$K$14/Feb!$G$46*10</f>
        <v>2.0607503649396444</v>
      </c>
      <c r="G10" s="537">
        <f>Mar!$K$14/Mar!$G$46*10</f>
        <v>2.0450092519691241</v>
      </c>
      <c r="H10" s="537"/>
      <c r="I10" s="537"/>
      <c r="J10" s="537"/>
      <c r="K10" s="537"/>
      <c r="L10" s="537"/>
      <c r="M10" s="537"/>
      <c r="N10" s="537"/>
    </row>
    <row r="11" spans="1:34">
      <c r="A11" s="541" t="s">
        <v>301</v>
      </c>
      <c r="B11" s="537">
        <f>0.0865086772229614*10</f>
        <v>0.86508677222961405</v>
      </c>
      <c r="C11" s="537">
        <v>0.98017103319810395</v>
      </c>
      <c r="D11" s="537">
        <v>0.99766447491792298</v>
      </c>
      <c r="E11" s="537">
        <f>(-Jan!$I$53/Jan!$G$33)*10</f>
        <v>0.9341470198777293</v>
      </c>
      <c r="F11" s="537">
        <f>-Feb!$I$53/Feb!$G$33*10</f>
        <v>0.98246968830434289</v>
      </c>
      <c r="G11" s="537">
        <f>-Mar!$I$53/Mar!$G$33*10</f>
        <v>1.0652826254433267</v>
      </c>
      <c r="H11" s="537"/>
      <c r="I11" s="537"/>
      <c r="J11" s="537"/>
      <c r="K11" s="537"/>
      <c r="L11" s="537"/>
      <c r="M11" s="537"/>
      <c r="N11" s="537"/>
    </row>
    <row r="12" spans="1:34" s="541" customFormat="1">
      <c r="A12" s="541" t="s">
        <v>302</v>
      </c>
      <c r="B12" s="537">
        <f>N12</f>
        <v>1.4529330378220591</v>
      </c>
      <c r="C12" s="537">
        <v>0.79431349782690841</v>
      </c>
      <c r="D12" s="537">
        <v>0.60296290558547094</v>
      </c>
      <c r="E12" s="537">
        <v>0.60895264158951812</v>
      </c>
      <c r="F12" s="537">
        <v>0.60656225946654285</v>
      </c>
      <c r="G12" s="537">
        <v>0.87532504655494603</v>
      </c>
      <c r="H12" s="537">
        <v>1.1232232940560019</v>
      </c>
      <c r="I12" s="537">
        <v>2.0020366178222502</v>
      </c>
      <c r="J12" s="537">
        <v>2.9050208439006555</v>
      </c>
      <c r="K12" s="537">
        <v>3.9176133126746118</v>
      </c>
      <c r="L12" s="537">
        <v>3.8752231593583324</v>
      </c>
      <c r="M12" s="537">
        <v>3.4387986026867114</v>
      </c>
      <c r="N12" s="537">
        <v>1.4529330378220591</v>
      </c>
    </row>
    <row r="13" spans="1:34">
      <c r="A13" s="541" t="s">
        <v>300</v>
      </c>
      <c r="B13" s="537">
        <f>0.102504522593617*10</f>
        <v>1.02504522593617</v>
      </c>
      <c r="C13" s="537">
        <v>0.65827334268652904</v>
      </c>
      <c r="D13" s="537">
        <v>0.51365176254981604</v>
      </c>
      <c r="E13" s="537">
        <f>(Jan!$I$14/Jan!$G$33)*10</f>
        <v>0.50045120250443931</v>
      </c>
      <c r="F13" s="537">
        <f>(Feb!$I$14/Feb!$G$33)*10</f>
        <v>0.47829937322915161</v>
      </c>
      <c r="G13" s="537">
        <f>(Mar!$I$14/Mar!$G$33)*10</f>
        <v>0.68040260585030921</v>
      </c>
      <c r="H13" s="537"/>
      <c r="I13" s="537"/>
      <c r="J13" s="537"/>
      <c r="K13" s="537"/>
      <c r="L13" s="537"/>
      <c r="M13" s="537"/>
      <c r="N13" s="537"/>
    </row>
    <row r="15" spans="1:34">
      <c r="A15" s="267" t="s">
        <v>297</v>
      </c>
    </row>
    <row r="16" spans="1:34">
      <c r="A16" s="268"/>
      <c r="B16" s="539" t="str">
        <f>TEXT(B4,"mmmmm-YY")</f>
        <v>O-13</v>
      </c>
      <c r="C16" s="540" t="str">
        <f t="shared" ref="C16:N16" si="2">TEXT(C4,"mmmmm-YY")</f>
        <v>N-13</v>
      </c>
      <c r="D16" s="269" t="str">
        <f t="shared" si="2"/>
        <v>D-13</v>
      </c>
      <c r="E16" s="269" t="str">
        <f t="shared" si="2"/>
        <v>J-14</v>
      </c>
      <c r="F16" s="269" t="str">
        <f t="shared" si="2"/>
        <v>F-14</v>
      </c>
      <c r="G16" s="269" t="str">
        <f t="shared" si="2"/>
        <v>M-14</v>
      </c>
      <c r="H16" s="269" t="str">
        <f t="shared" si="2"/>
        <v>A-14</v>
      </c>
      <c r="I16" s="269" t="str">
        <f t="shared" si="2"/>
        <v>M-14</v>
      </c>
      <c r="J16" s="269" t="str">
        <f t="shared" si="2"/>
        <v>J-14</v>
      </c>
      <c r="K16" s="269" t="str">
        <f t="shared" si="2"/>
        <v>J-14</v>
      </c>
      <c r="L16" s="269" t="str">
        <f t="shared" si="2"/>
        <v>A-14</v>
      </c>
      <c r="M16" s="269" t="str">
        <f t="shared" si="2"/>
        <v>S-14</v>
      </c>
      <c r="N16" s="269" t="str">
        <f t="shared" si="2"/>
        <v>O-14</v>
      </c>
    </row>
    <row r="17" spans="1:20">
      <c r="A17" s="541" t="s">
        <v>301</v>
      </c>
      <c r="B17" s="537">
        <v>3.7138086914005299</v>
      </c>
      <c r="C17" s="537">
        <v>3.71000032320786</v>
      </c>
      <c r="D17" s="537">
        <v>3.7124000000000001</v>
      </c>
      <c r="E17" s="537">
        <f>-Jan!$J$53/Jan!$K$44*10</f>
        <v>2.1724999999999999</v>
      </c>
      <c r="F17" s="537">
        <f>-Feb!$J$53/Feb!$K$44*10</f>
        <v>1.4722145172786092</v>
      </c>
      <c r="G17" s="537">
        <f>-Mar!$J$53/Mar!$K$44*10</f>
        <v>2.3894999999999995</v>
      </c>
      <c r="H17" s="537">
        <f>-Apr!$J$53/Apr!$K$44*10</f>
        <v>2.3894999999999995</v>
      </c>
      <c r="I17" s="537">
        <f>-May!$J$53/May!$K$44*10</f>
        <v>2.3895</v>
      </c>
      <c r="J17" s="537">
        <f>-Jun!$J$53/Jun!$K$44*10</f>
        <v>2.3895</v>
      </c>
      <c r="K17" s="537">
        <f>-Jul!$J$53/Jul!$K$44*10</f>
        <v>2.3895</v>
      </c>
      <c r="L17" s="537">
        <f>-Aug!$J$53/Aug!$K$44*10</f>
        <v>2.3895000000000004</v>
      </c>
      <c r="M17" s="537">
        <f>-Sep!$J$53/Sep!$K$44*10</f>
        <v>2.3894999999999995</v>
      </c>
      <c r="N17" s="537">
        <f>-Oct!$J$53/Oct!$K$44*10</f>
        <v>2.3895</v>
      </c>
    </row>
    <row r="18" spans="1:20" s="541" customFormat="1">
      <c r="A18" s="541" t="s">
        <v>302</v>
      </c>
      <c r="B18" s="537">
        <v>2.9957000000000003</v>
      </c>
      <c r="C18" s="537">
        <v>3.9822000000000002</v>
      </c>
      <c r="D18" s="537">
        <v>3.8203999999999998</v>
      </c>
      <c r="E18" s="537">
        <v>3.7982</v>
      </c>
      <c r="F18" s="537">
        <v>3.8423000000000003</v>
      </c>
      <c r="G18" s="537">
        <v>4.0292000000000003</v>
      </c>
      <c r="H18" s="537">
        <v>3.4569000000000001</v>
      </c>
      <c r="I18" s="537">
        <v>3.5224000000000002</v>
      </c>
      <c r="J18" s="537">
        <v>3.4592000000000001</v>
      </c>
      <c r="K18" s="537">
        <v>3.4888000000000003</v>
      </c>
      <c r="L18" s="537">
        <v>3.4600999999999997</v>
      </c>
      <c r="M18" s="537">
        <v>3.4959000000000002</v>
      </c>
      <c r="N18" s="537">
        <v>3.6281000000000003</v>
      </c>
    </row>
    <row r="19" spans="1:20">
      <c r="A19" s="541" t="s">
        <v>300</v>
      </c>
      <c r="B19" s="537">
        <v>2.76346512007138</v>
      </c>
      <c r="C19" s="537">
        <v>3.4542924833702302</v>
      </c>
      <c r="D19" s="537">
        <v>3.1868860970503601</v>
      </c>
      <c r="E19" s="537">
        <f>Jan!$L$14/Jan!$K$43*10</f>
        <v>1.9124975010616809</v>
      </c>
      <c r="F19" s="537">
        <f>Feb!$L$14/Feb!$K$43*10</f>
        <v>2.0592958211022916</v>
      </c>
      <c r="G19" s="537">
        <f>Mar!$L$14/Mar!$K$43*10</f>
        <v>2.0458022474092501</v>
      </c>
      <c r="H19" s="537">
        <f>Apr!$L$14/Apr!$K$43*10</f>
        <v>1.735039179986686</v>
      </c>
      <c r="I19" s="537">
        <f>May!$L$14/May!$K$43*10</f>
        <v>1.7712163855477994</v>
      </c>
      <c r="J19" s="537">
        <f>Jun!$L$14/Jun!$K$43*10</f>
        <v>1.1465765309900064</v>
      </c>
      <c r="K19" s="537">
        <f>Jul!$L$14/Jul!$K$43*10</f>
        <v>-3.2934037840054495</v>
      </c>
      <c r="L19" s="537">
        <f>Aug!$L$14/Aug!$K$43*10</f>
        <v>-3.0441734094790673</v>
      </c>
      <c r="M19" s="537">
        <f>Sep!$L$14/Sep!$K$43*10</f>
        <v>-2.4130847903889947</v>
      </c>
      <c r="N19" s="537">
        <f>Oct!$L$14/Oct!$K$43*10</f>
        <v>8.7637639244904142E-2</v>
      </c>
    </row>
    <row r="20" spans="1:20">
      <c r="A20" s="541" t="s">
        <v>301</v>
      </c>
      <c r="B20" s="537">
        <v>1.0742522128918399</v>
      </c>
      <c r="C20" s="537">
        <v>1.0741263842636799</v>
      </c>
      <c r="D20" s="537">
        <v>1.0744</v>
      </c>
      <c r="E20" s="537">
        <f>-Jan!$K$53/Jan!$K$29*10</f>
        <v>1.0496999999999999</v>
      </c>
      <c r="F20" s="537">
        <f>-Feb!$K$53/Feb!$K$29*10</f>
        <v>1.1157640072436985</v>
      </c>
      <c r="G20" s="537">
        <f>-Mar!$K$53/Mar!$K$29*10</f>
        <v>1.1331</v>
      </c>
      <c r="H20" s="537">
        <f>-Apr!$K$53/Apr!$K$29*10</f>
        <v>1.1331</v>
      </c>
      <c r="I20" s="537">
        <f>-May!$K$53/May!$K$29*10</f>
        <v>1.1331</v>
      </c>
      <c r="J20" s="537">
        <f>-Jun!$K$53/Jun!$K$29*10</f>
        <v>1.1331</v>
      </c>
      <c r="K20" s="537">
        <f>-Jul!$K$53/Jul!$K$29*10</f>
        <v>1.1330999999999998</v>
      </c>
      <c r="L20" s="537">
        <f>-Aug!$K$53/Aug!$K$29*10</f>
        <v>1.1330999999999998</v>
      </c>
      <c r="M20" s="537">
        <f>-Sep!$K$53/Sep!$K$29*10</f>
        <v>1.1331</v>
      </c>
      <c r="N20" s="537">
        <f>-Oct!$K$53/Oct!$K$29*10</f>
        <v>1.1330999999999998</v>
      </c>
    </row>
    <row r="21" spans="1:20" s="541" customFormat="1">
      <c r="A21" s="541" t="s">
        <v>302</v>
      </c>
      <c r="B21" s="537">
        <v>1.2942886206113142</v>
      </c>
      <c r="C21" s="537">
        <v>0.74518730633512642</v>
      </c>
      <c r="D21" s="537">
        <v>0.58083452630008092</v>
      </c>
      <c r="E21" s="537">
        <v>0.60843027300764696</v>
      </c>
      <c r="F21" s="537">
        <v>0.68505702536755764</v>
      </c>
      <c r="G21" s="537">
        <v>0.81792088296424315</v>
      </c>
      <c r="H21" s="537">
        <v>1.0438035301560928</v>
      </c>
      <c r="I21" s="537">
        <v>1.8765356717896455</v>
      </c>
      <c r="J21" s="537">
        <v>2.5204558648798452</v>
      </c>
      <c r="K21" s="537">
        <v>3.0722913458699082</v>
      </c>
      <c r="L21" s="537">
        <v>3.0936566161461703</v>
      </c>
      <c r="M21" s="537">
        <v>2.484887676291045</v>
      </c>
      <c r="N21" s="537">
        <v>1.1747692347018237</v>
      </c>
    </row>
    <row r="22" spans="1:20">
      <c r="A22" s="541" t="s">
        <v>300</v>
      </c>
      <c r="B22" s="537">
        <v>1.2115295970631399</v>
      </c>
      <c r="C22" s="537">
        <v>0.708429666562987</v>
      </c>
      <c r="D22" s="537">
        <v>0.54697005486642902</v>
      </c>
      <c r="E22" s="537">
        <f>Jan!$J$14/Jan!$K$29*10</f>
        <v>0.60168243200814919</v>
      </c>
      <c r="F22" s="537">
        <f>Feb!$J$14/Feb!$K$29*10</f>
        <v>0.51321777211373421</v>
      </c>
      <c r="G22" s="537">
        <f>Mar!$J$14/Mar!$K$29*10</f>
        <v>0.70672190201602447</v>
      </c>
      <c r="H22" s="537">
        <f>Apr!$J$14/Apr!$K$29*10</f>
        <v>0.94543211512380787</v>
      </c>
      <c r="I22" s="537">
        <f>May!$J$14/May!$K$29*10</f>
        <v>1.6512951599992522</v>
      </c>
      <c r="J22" s="537">
        <f>Jun!$J$14/Jun!$K$29*10</f>
        <v>2.4665077540659297</v>
      </c>
      <c r="K22" s="537">
        <f>Jul!$J$14/Jul!$K$29*10</f>
        <v>3.2134641912453965</v>
      </c>
      <c r="L22" s="537">
        <f>Aug!$J$14/Aug!$K$29*10</f>
        <v>2.6987053733376323</v>
      </c>
      <c r="M22" s="537">
        <f>Sep!$J$14/Sep!$K$29*10</f>
        <v>2.5919797704657084</v>
      </c>
      <c r="N22" s="537">
        <f>Oct!$J$14/Oct!$K$29*10</f>
        <v>0.98481662794712244</v>
      </c>
    </row>
    <row r="23" spans="1:20">
      <c r="C23" s="541"/>
      <c r="D23" s="541"/>
      <c r="E23" s="541"/>
      <c r="F23" s="541"/>
      <c r="G23" s="541"/>
      <c r="H23" s="541"/>
      <c r="I23" s="541"/>
      <c r="J23" s="541"/>
      <c r="K23" s="541"/>
      <c r="L23" s="541"/>
      <c r="M23" s="541"/>
      <c r="N23" s="541"/>
      <c r="S23" s="541"/>
      <c r="T23" s="541"/>
    </row>
    <row r="24" spans="1:20">
      <c r="S24" s="541"/>
      <c r="T24" s="541"/>
    </row>
    <row r="25" spans="1:20">
      <c r="S25" s="541"/>
      <c r="T25" s="541"/>
    </row>
    <row r="26" spans="1:20">
      <c r="R26" s="541"/>
      <c r="S26" s="541"/>
      <c r="T26" s="541"/>
    </row>
    <row r="27" spans="1:20">
      <c r="R27" s="541"/>
      <c r="S27" s="541"/>
      <c r="T27" s="541"/>
    </row>
    <row r="28" spans="1:20">
      <c r="R28" s="541"/>
      <c r="S28" s="541"/>
      <c r="T28" s="541"/>
    </row>
    <row r="29" spans="1:20">
      <c r="R29" s="541"/>
      <c r="S29" s="541"/>
      <c r="T29" s="541"/>
    </row>
    <row r="30" spans="1:20">
      <c r="R30" s="541"/>
      <c r="S30" s="541"/>
      <c r="T30" s="541"/>
    </row>
    <row r="31" spans="1:20">
      <c r="R31" s="541"/>
      <c r="S31" s="541"/>
      <c r="T31" s="541"/>
    </row>
    <row r="32" spans="1:20">
      <c r="R32" s="541"/>
      <c r="S32" s="541"/>
      <c r="T32" s="541"/>
    </row>
    <row r="33" spans="18:30">
      <c r="R33" s="541"/>
      <c r="S33" s="541"/>
      <c r="T33" s="541"/>
    </row>
    <row r="34" spans="18:30">
      <c r="R34" s="541"/>
      <c r="S34" s="541"/>
      <c r="T34" s="541"/>
    </row>
    <row r="35" spans="18:30">
      <c r="R35" s="541"/>
      <c r="S35" s="541"/>
      <c r="T35" s="541"/>
      <c r="U35" s="541"/>
      <c r="V35" s="541"/>
      <c r="W35" s="541"/>
      <c r="X35" s="541"/>
      <c r="Y35" s="541"/>
      <c r="Z35" s="541"/>
      <c r="AA35" s="541"/>
      <c r="AB35" s="541"/>
      <c r="AC35" s="541"/>
      <c r="AD35" s="541"/>
    </row>
    <row r="36" spans="18:30">
      <c r="R36" s="541"/>
      <c r="S36" s="541"/>
      <c r="T36" s="541"/>
      <c r="U36" s="541"/>
      <c r="V36" s="541"/>
      <c r="W36" s="541"/>
      <c r="X36" s="541"/>
      <c r="Y36" s="541"/>
      <c r="Z36" s="541"/>
      <c r="AA36" s="541"/>
      <c r="AB36" s="541"/>
      <c r="AC36" s="541"/>
      <c r="AD36" s="541"/>
    </row>
    <row r="37" spans="18:30">
      <c r="R37" s="541"/>
      <c r="S37" s="541"/>
      <c r="T37" s="541"/>
      <c r="U37" s="541"/>
      <c r="V37" s="541"/>
      <c r="W37" s="541"/>
      <c r="X37" s="541"/>
      <c r="Y37" s="541"/>
      <c r="Z37" s="541"/>
      <c r="AA37" s="541"/>
      <c r="AB37" s="541"/>
      <c r="AC37" s="541"/>
      <c r="AD37" s="541"/>
    </row>
    <row r="38" spans="18:30">
      <c r="R38" s="541"/>
      <c r="S38" s="541"/>
      <c r="T38" s="541"/>
      <c r="U38" s="541"/>
      <c r="V38" s="541"/>
      <c r="W38" s="541"/>
      <c r="X38" s="541"/>
      <c r="Y38" s="541"/>
      <c r="Z38" s="541"/>
      <c r="AA38" s="541"/>
      <c r="AB38" s="541"/>
      <c r="AC38" s="541"/>
      <c r="AD38" s="541"/>
    </row>
    <row r="39" spans="18:30">
      <c r="R39" s="541"/>
      <c r="S39" s="541"/>
      <c r="T39" s="541"/>
      <c r="U39" s="541"/>
      <c r="V39" s="541"/>
      <c r="W39" s="541"/>
      <c r="X39" s="541"/>
      <c r="Y39" s="541"/>
      <c r="Z39" s="541"/>
      <c r="AA39" s="541"/>
      <c r="AB39" s="541"/>
      <c r="AC39" s="541"/>
      <c r="AD39" s="541"/>
    </row>
    <row r="40" spans="18:30">
      <c r="R40" s="541"/>
      <c r="S40" s="541"/>
      <c r="T40" s="541"/>
      <c r="U40" s="541"/>
      <c r="V40" s="541"/>
      <c r="W40" s="541"/>
      <c r="X40" s="541"/>
      <c r="Y40" s="541"/>
      <c r="Z40" s="541"/>
      <c r="AA40" s="541"/>
      <c r="AB40" s="541"/>
      <c r="AC40" s="541"/>
      <c r="AD40" s="541"/>
    </row>
    <row r="41" spans="18:30">
      <c r="R41" s="541"/>
      <c r="S41" s="541"/>
      <c r="T41" s="541"/>
      <c r="U41" s="541"/>
      <c r="V41" s="541"/>
      <c r="W41" s="541"/>
      <c r="X41" s="541"/>
      <c r="Y41" s="541"/>
      <c r="Z41" s="541"/>
      <c r="AA41" s="541"/>
      <c r="AB41" s="541"/>
      <c r="AC41" s="541"/>
      <c r="AD41" s="541"/>
    </row>
    <row r="42" spans="18:30">
      <c r="R42" s="541"/>
      <c r="S42" s="541"/>
      <c r="T42" s="541"/>
      <c r="U42" s="541"/>
      <c r="V42" s="541"/>
      <c r="W42" s="541"/>
      <c r="X42" s="541"/>
      <c r="Y42" s="541"/>
      <c r="Z42" s="541"/>
      <c r="AA42" s="541"/>
      <c r="AB42" s="541"/>
      <c r="AC42" s="541"/>
      <c r="AD42" s="541"/>
    </row>
    <row r="43" spans="18:30" ht="15">
      <c r="S43" s="538"/>
    </row>
    <row r="44" spans="18:30" ht="15">
      <c r="S44" s="538"/>
    </row>
    <row r="45" spans="18:30" ht="15">
      <c r="S45" s="538"/>
    </row>
    <row r="46" spans="18:30" ht="15">
      <c r="S46" s="538"/>
    </row>
    <row r="47" spans="18:30" ht="15">
      <c r="S47" s="538"/>
    </row>
    <row r="48" spans="18:30" ht="15">
      <c r="S48" s="538"/>
    </row>
    <row r="56" ht="9.75" customHeight="1"/>
  </sheetData>
  <mergeCells count="10">
    <mergeCell ref="P4:X4"/>
    <mergeCell ref="Z4:AG4"/>
    <mergeCell ref="C1:K1"/>
    <mergeCell ref="P1:X1"/>
    <mergeCell ref="C2:K2"/>
    <mergeCell ref="P2:X2"/>
    <mergeCell ref="Z2:AH2"/>
    <mergeCell ref="C3:K3"/>
    <mergeCell ref="P3:X3"/>
    <mergeCell ref="Z3:AH3"/>
  </mergeCells>
  <printOptions horizontalCentered="1"/>
  <pageMargins left="0.7" right="0.7" top="0.75" bottom="0.5" header="0.3" footer="0.3"/>
  <pageSetup scale="61" orientation="landscape" r:id="rId1"/>
  <headerFooter>
    <oddFooter>&amp;L&amp;F - &amp;A</oddFooter>
  </headerFooter>
  <customProperties>
    <customPr name="xxe4aPID" r:id="rId2"/>
  </customProperties>
  <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0">
    <tabColor rgb="FF92D050"/>
    <pageSetUpPr fitToPage="1"/>
  </sheetPr>
  <dimension ref="A1:P118"/>
  <sheetViews>
    <sheetView showGridLines="0" view="pageBreakPreview" topLeftCell="A34" zoomScale="80" zoomScaleNormal="100" zoomScaleSheetLayoutView="80" workbookViewId="0">
      <selection activeCell="G51" sqref="G51:J55"/>
    </sheetView>
  </sheetViews>
  <sheetFormatPr defaultColWidth="9.140625" defaultRowHeight="15"/>
  <cols>
    <col min="1" max="1" width="13.140625" style="384" customWidth="1"/>
    <col min="2" max="2" width="9.28515625" style="384" customWidth="1"/>
    <col min="3" max="3" width="17.85546875" style="384" customWidth="1"/>
    <col min="4" max="4" width="18.42578125" style="384" customWidth="1"/>
    <col min="5" max="5" width="20.140625" style="320" bestFit="1" customWidth="1"/>
    <col min="6" max="6" width="16.140625" style="384" customWidth="1"/>
    <col min="7" max="7" width="34.5703125" style="384" bestFit="1" customWidth="1"/>
    <col min="8" max="8" width="16.85546875" style="384" customWidth="1"/>
    <col min="9" max="9" width="18.28515625" style="384" bestFit="1" customWidth="1"/>
    <col min="10" max="10" width="18.28515625" style="384" customWidth="1"/>
    <col min="11" max="11" width="3.42578125" style="384" customWidth="1"/>
    <col min="12" max="16384" width="9.140625" style="384"/>
  </cols>
  <sheetData>
    <row r="1" spans="1:10" ht="15.75">
      <c r="A1" s="51" t="s">
        <v>13</v>
      </c>
    </row>
    <row r="2" spans="1:10" ht="15.75">
      <c r="A2" s="51" t="s">
        <v>46</v>
      </c>
    </row>
    <row r="3" spans="1:10" ht="15.75">
      <c r="A3" s="51" t="s">
        <v>170</v>
      </c>
    </row>
    <row r="4" spans="1:10" ht="15.75">
      <c r="A4" s="51" t="s">
        <v>171</v>
      </c>
    </row>
    <row r="7" spans="1:10" s="385" customFormat="1" ht="16.5" thickBot="1">
      <c r="D7" s="142" t="s">
        <v>223</v>
      </c>
      <c r="E7" s="329">
        <f>'ID Holdback 191015'!C101</f>
        <v>-1565571.2499999998</v>
      </c>
    </row>
    <row r="8" spans="1:10" ht="16.5" thickTop="1" thickBot="1"/>
    <row r="9" spans="1:10" ht="15.75">
      <c r="A9" s="73" t="s">
        <v>142</v>
      </c>
      <c r="B9" s="74"/>
      <c r="C9" s="75"/>
      <c r="D9" s="76"/>
      <c r="E9" s="321"/>
      <c r="G9" s="16"/>
      <c r="H9" s="5"/>
      <c r="I9" s="56"/>
      <c r="J9" s="56"/>
    </row>
    <row r="10" spans="1:10" ht="15.75">
      <c r="A10" s="219">
        <v>41578</v>
      </c>
      <c r="B10" s="71"/>
      <c r="C10" s="16"/>
      <c r="D10" s="72" t="s">
        <v>23</v>
      </c>
      <c r="E10" s="322" t="s">
        <v>21</v>
      </c>
      <c r="G10" s="5"/>
      <c r="H10" s="5"/>
      <c r="I10" s="8"/>
      <c r="J10" s="10"/>
    </row>
    <row r="11" spans="1:10" ht="16.5" thickBot="1">
      <c r="A11" s="14"/>
      <c r="B11" s="18"/>
      <c r="C11" s="131" t="s">
        <v>21</v>
      </c>
      <c r="D11" s="131" t="s">
        <v>22</v>
      </c>
      <c r="E11" s="323" t="s">
        <v>23</v>
      </c>
      <c r="F11" s="385"/>
      <c r="G11" s="7"/>
      <c r="H11" s="7"/>
      <c r="I11" s="10"/>
      <c r="J11" s="10"/>
    </row>
    <row r="12" spans="1:10" ht="15.75">
      <c r="A12" s="2" t="s">
        <v>24</v>
      </c>
      <c r="B12" s="17">
        <v>101</v>
      </c>
      <c r="C12" s="252">
        <v>0</v>
      </c>
      <c r="D12" s="389" t="s">
        <v>187</v>
      </c>
      <c r="E12" s="324">
        <v>61399.94</v>
      </c>
      <c r="F12" s="385"/>
      <c r="G12" s="7"/>
      <c r="H12" s="7"/>
      <c r="I12" s="8"/>
      <c r="J12" s="7"/>
    </row>
    <row r="13" spans="1:10" ht="16.5" thickBot="1">
      <c r="A13" s="2" t="s">
        <v>24</v>
      </c>
      <c r="B13" s="17">
        <v>111</v>
      </c>
      <c r="C13" s="252">
        <v>0</v>
      </c>
      <c r="D13" s="389" t="s">
        <v>187</v>
      </c>
      <c r="E13" s="324">
        <v>26738.47</v>
      </c>
      <c r="F13" s="385"/>
      <c r="G13" s="146">
        <f>A10</f>
        <v>41578</v>
      </c>
      <c r="H13" s="147"/>
      <c r="I13" s="147"/>
      <c r="J13" s="147"/>
    </row>
    <row r="14" spans="1:10" ht="16.5" thickBot="1">
      <c r="A14" s="2" t="s">
        <v>24</v>
      </c>
      <c r="B14" s="17">
        <v>112</v>
      </c>
      <c r="C14" s="252"/>
      <c r="D14" s="389" t="s">
        <v>187</v>
      </c>
      <c r="E14" s="324">
        <v>367.45</v>
      </c>
      <c r="F14" s="385"/>
      <c r="G14" s="102" t="s">
        <v>25</v>
      </c>
      <c r="H14" s="148"/>
      <c r="I14" s="149" t="s">
        <v>18</v>
      </c>
      <c r="J14" s="150" t="s">
        <v>19</v>
      </c>
    </row>
    <row r="15" spans="1:10" ht="15.75">
      <c r="A15" s="2" t="s">
        <v>24</v>
      </c>
      <c r="B15" s="17">
        <v>121</v>
      </c>
      <c r="C15" s="252"/>
      <c r="D15" s="220"/>
      <c r="E15" s="324">
        <v>0</v>
      </c>
      <c r="F15" s="385"/>
      <c r="G15" s="151" t="s">
        <v>28</v>
      </c>
      <c r="H15" s="152" t="s">
        <v>77</v>
      </c>
      <c r="I15" s="108"/>
      <c r="J15" s="394">
        <f>IF(E24&gt;0,-E24,0)</f>
        <v>0</v>
      </c>
    </row>
    <row r="16" spans="1:10" ht="15.75">
      <c r="A16" s="2" t="s">
        <v>24</v>
      </c>
      <c r="B16" s="17">
        <v>122</v>
      </c>
      <c r="C16" s="253"/>
      <c r="D16" s="220"/>
      <c r="E16" s="324">
        <v>0</v>
      </c>
      <c r="F16" s="385"/>
      <c r="G16" s="153" t="s">
        <v>29</v>
      </c>
      <c r="H16" s="7" t="s">
        <v>78</v>
      </c>
      <c r="I16" s="395">
        <f>IF(E24&lt;0,-E24,0)</f>
        <v>1267.76</v>
      </c>
      <c r="J16" s="222"/>
    </row>
    <row r="17" spans="1:10" ht="15.75">
      <c r="A17" s="2" t="s">
        <v>24</v>
      </c>
      <c r="B17" s="17">
        <v>131</v>
      </c>
      <c r="C17" s="252">
        <v>0</v>
      </c>
      <c r="D17" s="389" t="s">
        <v>187</v>
      </c>
      <c r="E17" s="324">
        <v>0</v>
      </c>
      <c r="F17" s="385"/>
      <c r="G17" s="153" t="s">
        <v>99</v>
      </c>
      <c r="H17" s="7" t="s">
        <v>228</v>
      </c>
      <c r="I17" s="395">
        <f>IF((E7-E23)&gt;0,E7-E23,0)</f>
        <v>0</v>
      </c>
      <c r="J17" s="395">
        <f>IF((E7-E23)&lt;0,E7-E23,0)</f>
        <v>-88526.800000000047</v>
      </c>
    </row>
    <row r="18" spans="1:10" ht="15.75">
      <c r="A18" s="2" t="s">
        <v>24</v>
      </c>
      <c r="B18" s="17">
        <v>132</v>
      </c>
      <c r="C18" s="253"/>
      <c r="D18" s="389" t="s">
        <v>187</v>
      </c>
      <c r="E18" s="324">
        <v>20.94</v>
      </c>
      <c r="F18" s="385"/>
      <c r="G18" s="153" t="s">
        <v>10</v>
      </c>
      <c r="H18" s="7" t="s">
        <v>58</v>
      </c>
      <c r="I18" s="7"/>
      <c r="J18" s="460"/>
    </row>
    <row r="19" spans="1:10" ht="16.5" thickBot="1">
      <c r="A19" s="2" t="s">
        <v>24</v>
      </c>
      <c r="B19" s="17" t="s">
        <v>61</v>
      </c>
      <c r="C19" s="253"/>
      <c r="D19" s="121"/>
      <c r="E19" s="324">
        <v>0</v>
      </c>
      <c r="F19" s="385"/>
      <c r="G19" s="154" t="s">
        <v>100</v>
      </c>
      <c r="H19" s="147" t="s">
        <v>207</v>
      </c>
      <c r="I19" s="462">
        <f>IF((E25-E7)&gt;0,E25-E7,0)</f>
        <v>87259.040000000037</v>
      </c>
      <c r="J19" s="107">
        <f>IF((E25-E7)&lt;0,E25-E7,0)</f>
        <v>0</v>
      </c>
    </row>
    <row r="20" spans="1:10" ht="15.75">
      <c r="A20" s="2" t="s">
        <v>156</v>
      </c>
      <c r="B20" s="70"/>
      <c r="C20" s="251"/>
      <c r="D20" s="136"/>
      <c r="E20" s="327">
        <v>0</v>
      </c>
      <c r="F20" s="385"/>
      <c r="G20" s="7"/>
      <c r="H20" s="7"/>
      <c r="I20" s="8"/>
      <c r="J20" s="260">
        <f>ROUND(SUM(I15:J19),2)</f>
        <v>0</v>
      </c>
    </row>
    <row r="21" spans="1:10" ht="16.5" thickBot="1">
      <c r="B21" s="6"/>
      <c r="C21" s="254">
        <f>SUM(C12:C20)</f>
        <v>0</v>
      </c>
      <c r="D21" s="155"/>
      <c r="E21" s="326">
        <f>SUM(E12:E20)</f>
        <v>88526.8</v>
      </c>
      <c r="F21" s="385"/>
      <c r="G21" s="7"/>
      <c r="H21" s="7"/>
      <c r="I21" s="7"/>
      <c r="J21" s="7"/>
    </row>
    <row r="22" spans="1:10" ht="16.5" thickTop="1">
      <c r="B22" s="6"/>
      <c r="C22" s="255">
        <v>0</v>
      </c>
      <c r="D22" s="66" t="s">
        <v>161</v>
      </c>
      <c r="E22" s="327">
        <v>0</v>
      </c>
      <c r="F22" s="385"/>
      <c r="G22" s="65" t="s">
        <v>158</v>
      </c>
      <c r="H22" s="7"/>
      <c r="I22" s="12"/>
      <c r="J22" s="12"/>
    </row>
    <row r="23" spans="1:10" ht="15.75">
      <c r="C23" s="317">
        <f>C21-C22</f>
        <v>0</v>
      </c>
      <c r="D23" s="66" t="s">
        <v>87</v>
      </c>
      <c r="E23" s="326">
        <f>E21+E22+E7</f>
        <v>-1477044.4499999997</v>
      </c>
      <c r="F23" s="385"/>
      <c r="G23" s="8">
        <f>(E7*(D24/12))+((E21-E20)*(D24/24))</f>
        <v>-1267.7565416666666</v>
      </c>
      <c r="H23" s="7"/>
      <c r="I23" s="8"/>
      <c r="J23" s="10"/>
    </row>
    <row r="24" spans="1:10" ht="15.75">
      <c r="C24" s="50"/>
      <c r="D24" s="225">
        <v>0.01</v>
      </c>
      <c r="E24" s="328">
        <f>ROUND(((E7)+(E21-E20)/2)*(D24/12),2)</f>
        <v>-1267.76</v>
      </c>
      <c r="F24" s="385"/>
      <c r="G24" s="65"/>
      <c r="H24" s="7"/>
      <c r="I24" s="10"/>
      <c r="J24" s="10"/>
    </row>
    <row r="25" spans="1:10" ht="16.5" thickBot="1">
      <c r="A25" s="5"/>
      <c r="B25" s="5"/>
      <c r="C25" s="50" t="s">
        <v>1</v>
      </c>
      <c r="D25" s="143">
        <f>A10</f>
        <v>41578</v>
      </c>
      <c r="E25" s="329">
        <f>SUM(E23:E24)</f>
        <v>-1478312.2099999997</v>
      </c>
      <c r="F25" s="385"/>
      <c r="G25" s="7"/>
      <c r="H25" s="7"/>
      <c r="I25" s="8"/>
      <c r="J25" s="7"/>
    </row>
    <row r="26" spans="1:10" ht="16.5" thickTop="1" thickBot="1"/>
    <row r="27" spans="1:10" ht="15.75">
      <c r="A27" s="73" t="s">
        <v>142</v>
      </c>
      <c r="B27" s="74"/>
      <c r="C27" s="75"/>
      <c r="D27" s="76"/>
      <c r="E27" s="321"/>
      <c r="G27" s="16"/>
      <c r="H27" s="5"/>
      <c r="I27" s="56"/>
      <c r="J27" s="56"/>
    </row>
    <row r="28" spans="1:10" ht="15.75">
      <c r="A28" s="219">
        <v>41608</v>
      </c>
      <c r="B28" s="71"/>
      <c r="C28" s="16"/>
      <c r="D28" s="72" t="s">
        <v>23</v>
      </c>
      <c r="E28" s="322" t="s">
        <v>21</v>
      </c>
      <c r="G28" s="5"/>
      <c r="H28" s="5"/>
      <c r="I28" s="8"/>
      <c r="J28" s="10"/>
    </row>
    <row r="29" spans="1:10" ht="16.5" thickBot="1">
      <c r="A29" s="14"/>
      <c r="B29" s="18"/>
      <c r="C29" s="131" t="s">
        <v>21</v>
      </c>
      <c r="D29" s="131" t="s">
        <v>22</v>
      </c>
      <c r="E29" s="323" t="s">
        <v>23</v>
      </c>
      <c r="F29" s="385"/>
      <c r="G29" s="7"/>
      <c r="H29" s="7"/>
      <c r="I29" s="10"/>
      <c r="J29" s="10"/>
    </row>
    <row r="30" spans="1:10" ht="15.75">
      <c r="A30" s="2" t="s">
        <v>24</v>
      </c>
      <c r="B30" s="17">
        <v>101</v>
      </c>
      <c r="C30" s="252">
        <v>7085932</v>
      </c>
      <c r="D30" s="389" t="s">
        <v>187</v>
      </c>
      <c r="E30" s="324">
        <v>104530.84</v>
      </c>
      <c r="F30" s="385"/>
      <c r="G30" s="7"/>
      <c r="H30" s="7"/>
      <c r="I30" s="8"/>
      <c r="J30" s="7"/>
    </row>
    <row r="31" spans="1:10" ht="16.5" thickBot="1">
      <c r="A31" s="2" t="s">
        <v>24</v>
      </c>
      <c r="B31" s="17">
        <v>111</v>
      </c>
      <c r="C31" s="252">
        <v>2422167</v>
      </c>
      <c r="D31" s="389" t="s">
        <v>187</v>
      </c>
      <c r="E31" s="324">
        <v>35529.620000000003</v>
      </c>
      <c r="F31" s="385"/>
      <c r="G31" s="146">
        <f>A28</f>
        <v>41608</v>
      </c>
      <c r="H31" s="147"/>
      <c r="I31" s="147"/>
      <c r="J31" s="147"/>
    </row>
    <row r="32" spans="1:10" ht="16.5" thickBot="1">
      <c r="A32" s="2" t="s">
        <v>24</v>
      </c>
      <c r="B32" s="17">
        <v>112</v>
      </c>
      <c r="C32" s="252">
        <v>24496</v>
      </c>
      <c r="D32" s="389" t="s">
        <v>187</v>
      </c>
      <c r="E32" s="324">
        <v>363.03</v>
      </c>
      <c r="F32" s="385"/>
      <c r="G32" s="102" t="s">
        <v>25</v>
      </c>
      <c r="H32" s="148"/>
      <c r="I32" s="149" t="s">
        <v>18</v>
      </c>
      <c r="J32" s="150" t="s">
        <v>19</v>
      </c>
    </row>
    <row r="33" spans="1:10" ht="15.75">
      <c r="A33" s="2" t="s">
        <v>24</v>
      </c>
      <c r="B33" s="17">
        <v>121</v>
      </c>
      <c r="C33" s="252"/>
      <c r="D33" s="220"/>
      <c r="E33" s="324">
        <v>0</v>
      </c>
      <c r="F33" s="385"/>
      <c r="G33" s="151" t="s">
        <v>28</v>
      </c>
      <c r="H33" s="152" t="s">
        <v>77</v>
      </c>
      <c r="I33" s="108"/>
      <c r="J33" s="394">
        <f>IF(E42&gt;0,-E42,0)</f>
        <v>0</v>
      </c>
    </row>
    <row r="34" spans="1:10" ht="15.75">
      <c r="A34" s="2" t="s">
        <v>24</v>
      </c>
      <c r="B34" s="17">
        <v>122</v>
      </c>
      <c r="C34" s="252"/>
      <c r="D34" s="220"/>
      <c r="E34" s="324">
        <v>0</v>
      </c>
      <c r="F34" s="385"/>
      <c r="G34" s="153" t="s">
        <v>29</v>
      </c>
      <c r="H34" s="7" t="s">
        <v>78</v>
      </c>
      <c r="I34" s="395">
        <f>IF(E42&lt;0,-E42,0)</f>
        <v>1173.9403833333333</v>
      </c>
      <c r="J34" s="222"/>
    </row>
    <row r="35" spans="1:10" ht="15.75">
      <c r="A35" s="2" t="s">
        <v>24</v>
      </c>
      <c r="B35" s="17">
        <v>131</v>
      </c>
      <c r="C35" s="252">
        <v>0</v>
      </c>
      <c r="D35" s="389" t="s">
        <v>187</v>
      </c>
      <c r="E35" s="324">
        <v>0</v>
      </c>
      <c r="F35" s="385"/>
      <c r="G35" s="153" t="s">
        <v>99</v>
      </c>
      <c r="H35" s="7" t="s">
        <v>228</v>
      </c>
      <c r="I35" s="395">
        <f>IF((E25-E41)&gt;0,E25-E41,0)</f>
        <v>0</v>
      </c>
      <c r="J35" s="395">
        <f>IF((E25-E41)&lt;0,E25-E41,0)</f>
        <v>-140007.26</v>
      </c>
    </row>
    <row r="36" spans="1:10" ht="15.75">
      <c r="A36" s="2" t="s">
        <v>24</v>
      </c>
      <c r="B36" s="17">
        <v>132</v>
      </c>
      <c r="C36" s="252">
        <v>27816</v>
      </c>
      <c r="D36" s="389" t="s">
        <v>187</v>
      </c>
      <c r="E36" s="324">
        <v>412.23</v>
      </c>
      <c r="F36" s="385"/>
      <c r="G36" s="153" t="s">
        <v>10</v>
      </c>
      <c r="H36" s="7" t="s">
        <v>58</v>
      </c>
      <c r="I36" s="7"/>
      <c r="J36" s="460"/>
    </row>
    <row r="37" spans="1:10" ht="16.5" thickBot="1">
      <c r="A37" s="2" t="s">
        <v>24</v>
      </c>
      <c r="B37" s="17" t="s">
        <v>61</v>
      </c>
      <c r="C37" s="252"/>
      <c r="D37" s="121"/>
      <c r="E37" s="324">
        <v>0</v>
      </c>
      <c r="F37" s="385"/>
      <c r="G37" s="154" t="s">
        <v>100</v>
      </c>
      <c r="H37" s="147" t="s">
        <v>207</v>
      </c>
      <c r="I37" s="462">
        <f>IF((E43-E25)&gt;0,E43-E25,0)</f>
        <v>138833.31961666676</v>
      </c>
      <c r="J37" s="107">
        <f>IF((E43-E25)&lt;0,E43-E25,0)</f>
        <v>0</v>
      </c>
    </row>
    <row r="38" spans="1:10" ht="15.75">
      <c r="A38" s="2" t="s">
        <v>156</v>
      </c>
      <c r="B38" s="70"/>
      <c r="C38" s="251"/>
      <c r="D38" s="136"/>
      <c r="E38" s="327">
        <v>0</v>
      </c>
      <c r="F38" s="385"/>
      <c r="G38" s="7"/>
      <c r="H38" s="7"/>
      <c r="I38" s="8"/>
      <c r="J38" s="260">
        <f>ROUND(SUM(I33:J37),2)</f>
        <v>0</v>
      </c>
    </row>
    <row r="39" spans="1:10" ht="16.5" thickBot="1">
      <c r="B39" s="6"/>
      <c r="C39" s="254">
        <f>SUM(C30:C38)</f>
        <v>9560411</v>
      </c>
      <c r="D39" s="155"/>
      <c r="E39" s="326">
        <f>SUM(E30:E38)</f>
        <v>140835.72</v>
      </c>
      <c r="F39" s="385"/>
      <c r="G39" s="7"/>
      <c r="H39" s="7"/>
      <c r="I39" s="7"/>
      <c r="J39" s="7"/>
    </row>
    <row r="40" spans="1:10" ht="16.5" thickTop="1">
      <c r="B40" s="6"/>
      <c r="C40" s="255">
        <v>9560411</v>
      </c>
      <c r="D40" s="66" t="s">
        <v>161</v>
      </c>
      <c r="E40" s="327">
        <f>-828.46</f>
        <v>-828.46</v>
      </c>
      <c r="F40" s="385"/>
      <c r="G40" s="65" t="s">
        <v>158</v>
      </c>
      <c r="H40" s="7"/>
      <c r="I40" s="12"/>
      <c r="J40" s="12"/>
    </row>
    <row r="41" spans="1:10" ht="15.75">
      <c r="C41" s="317">
        <f>C39-C40</f>
        <v>0</v>
      </c>
      <c r="D41" s="66" t="s">
        <v>87</v>
      </c>
      <c r="E41" s="326">
        <f>E39+E40+E25</f>
        <v>-1338304.9499999997</v>
      </c>
      <c r="F41" s="385"/>
      <c r="G41" s="8">
        <f>(E25*(D42/12))+((E39-E38)*(D42/24))</f>
        <v>-1173.2452916666666</v>
      </c>
      <c r="H41" s="7"/>
      <c r="I41" s="8"/>
      <c r="J41" s="10"/>
    </row>
    <row r="42" spans="1:10" ht="15.75">
      <c r="C42" s="50"/>
      <c r="D42" s="225">
        <v>0.01</v>
      </c>
      <c r="E42" s="328">
        <f>ROUND(((E25)+(E39-E38)/2)*(D42/12),2)+(E40*0.01/12)</f>
        <v>-1173.9403833333333</v>
      </c>
      <c r="F42" s="385"/>
      <c r="G42" s="65">
        <f>E42-G41</f>
        <v>-0.69509166666671263</v>
      </c>
      <c r="H42" s="467" t="s">
        <v>229</v>
      </c>
      <c r="I42" s="10"/>
      <c r="J42" s="10"/>
    </row>
    <row r="43" spans="1:10" ht="16.5" thickBot="1">
      <c r="A43" s="5"/>
      <c r="B43" s="5"/>
      <c r="C43" s="50" t="s">
        <v>1</v>
      </c>
      <c r="D43" s="143">
        <f>A28</f>
        <v>41608</v>
      </c>
      <c r="E43" s="329">
        <f>SUM(E41:E42)</f>
        <v>-1339478.890383333</v>
      </c>
      <c r="F43" s="385"/>
      <c r="G43" s="7"/>
      <c r="H43" s="7"/>
      <c r="I43" s="8"/>
      <c r="J43" s="7"/>
    </row>
    <row r="44" spans="1:10" ht="16.5" thickTop="1" thickBot="1"/>
    <row r="45" spans="1:10" ht="15.75">
      <c r="A45" s="73" t="s">
        <v>142</v>
      </c>
      <c r="B45" s="74"/>
      <c r="C45" s="75"/>
      <c r="D45" s="76"/>
      <c r="E45" s="321"/>
      <c r="G45" s="16"/>
      <c r="H45" s="5"/>
      <c r="I45" s="56"/>
      <c r="J45" s="56"/>
    </row>
    <row r="46" spans="1:10" ht="15.75">
      <c r="A46" s="219">
        <f>EOMONTH(A28,1)</f>
        <v>41639</v>
      </c>
      <c r="B46" s="71"/>
      <c r="C46" s="16"/>
      <c r="D46" s="72" t="s">
        <v>23</v>
      </c>
      <c r="E46" s="322" t="s">
        <v>21</v>
      </c>
      <c r="G46" s="5"/>
      <c r="H46" s="5"/>
      <c r="I46" s="8"/>
      <c r="J46" s="10"/>
    </row>
    <row r="47" spans="1:10" ht="16.5" thickBot="1">
      <c r="A47" s="14"/>
      <c r="B47" s="18"/>
      <c r="C47" s="131" t="s">
        <v>21</v>
      </c>
      <c r="D47" s="131" t="s">
        <v>22</v>
      </c>
      <c r="E47" s="323" t="s">
        <v>23</v>
      </c>
      <c r="F47" s="385"/>
      <c r="G47" s="7"/>
      <c r="H47" s="7"/>
      <c r="I47" s="10"/>
      <c r="J47" s="10"/>
    </row>
    <row r="48" spans="1:10" ht="15.75">
      <c r="A48" s="2" t="s">
        <v>24</v>
      </c>
      <c r="B48" s="17">
        <v>101</v>
      </c>
      <c r="C48" s="252">
        <f>Jan!$K$36</f>
        <v>8822773</v>
      </c>
      <c r="D48" s="389">
        <v>1.482E-2</v>
      </c>
      <c r="E48" s="324">
        <f>C48*D48</f>
        <v>130753.49586</v>
      </c>
      <c r="F48" s="385"/>
      <c r="G48" s="7"/>
      <c r="H48" s="7"/>
      <c r="I48" s="8"/>
      <c r="J48" s="7"/>
    </row>
    <row r="49" spans="1:10" ht="16.5" thickBot="1">
      <c r="A49" s="2" t="s">
        <v>24</v>
      </c>
      <c r="B49" s="17">
        <v>111</v>
      </c>
      <c r="C49" s="252">
        <f>Jan!$K$37</f>
        <v>2761366</v>
      </c>
      <c r="D49" s="389">
        <v>1.482E-2</v>
      </c>
      <c r="E49" s="324">
        <f t="shared" ref="E49:E55" si="0">C49*D49</f>
        <v>40923.44412</v>
      </c>
      <c r="F49" s="385"/>
      <c r="G49" s="146">
        <f>A46</f>
        <v>41639</v>
      </c>
      <c r="H49" s="147"/>
      <c r="I49" s="147"/>
      <c r="J49" s="147"/>
    </row>
    <row r="50" spans="1:10" ht="16.5" thickBot="1">
      <c r="A50" s="2" t="s">
        <v>24</v>
      </c>
      <c r="B50" s="17">
        <v>112</v>
      </c>
      <c r="C50" s="252">
        <f>Jan!$K$38</f>
        <v>3610</v>
      </c>
      <c r="D50" s="389">
        <v>1.482E-2</v>
      </c>
      <c r="E50" s="324">
        <f t="shared" si="0"/>
        <v>53.5002</v>
      </c>
      <c r="F50" s="385"/>
      <c r="G50" s="102" t="s">
        <v>25</v>
      </c>
      <c r="H50" s="148"/>
      <c r="I50" s="149" t="s">
        <v>18</v>
      </c>
      <c r="J50" s="150" t="s">
        <v>19</v>
      </c>
    </row>
    <row r="51" spans="1:10" ht="15.75">
      <c r="A51" s="2" t="s">
        <v>24</v>
      </c>
      <c r="B51" s="17">
        <v>121</v>
      </c>
      <c r="C51" s="252">
        <f>Jan!$K$39</f>
        <v>0</v>
      </c>
      <c r="D51" s="389">
        <v>1.482E-2</v>
      </c>
      <c r="E51" s="324">
        <f t="shared" si="0"/>
        <v>0</v>
      </c>
      <c r="F51" s="385"/>
      <c r="G51" s="151" t="s">
        <v>28</v>
      </c>
      <c r="H51" s="152" t="s">
        <v>77</v>
      </c>
      <c r="I51" s="108"/>
      <c r="J51" s="394">
        <f>IF(E60&gt;0,-E60,0)</f>
        <v>0</v>
      </c>
    </row>
    <row r="52" spans="1:10" ht="15.75">
      <c r="A52" s="2" t="s">
        <v>24</v>
      </c>
      <c r="B52" s="17">
        <v>122</v>
      </c>
      <c r="C52" s="252"/>
      <c r="D52" s="220"/>
      <c r="E52" s="324">
        <f t="shared" si="0"/>
        <v>0</v>
      </c>
      <c r="F52" s="385"/>
      <c r="G52" s="153" t="s">
        <v>29</v>
      </c>
      <c r="H52" s="7" t="s">
        <v>78</v>
      </c>
      <c r="I52" s="395">
        <f>IF(E60&lt;0,-E60,0)</f>
        <v>1044.68</v>
      </c>
      <c r="J52" s="222"/>
    </row>
    <row r="53" spans="1:10" ht="15.75">
      <c r="A53" s="2" t="s">
        <v>24</v>
      </c>
      <c r="B53" s="17">
        <v>131</v>
      </c>
      <c r="C53" s="252"/>
      <c r="D53" s="389"/>
      <c r="E53" s="324">
        <f t="shared" si="0"/>
        <v>0</v>
      </c>
      <c r="F53" s="385"/>
      <c r="G53" s="153" t="s">
        <v>99</v>
      </c>
      <c r="H53" s="7" t="s">
        <v>228</v>
      </c>
      <c r="I53" s="395">
        <f>IF((E43-E59)&gt;0,E43-E59,0)</f>
        <v>0</v>
      </c>
      <c r="J53" s="395">
        <f>IF((E43-E59)&lt;0,E43-E59,0)</f>
        <v>-171730.44017999992</v>
      </c>
    </row>
    <row r="54" spans="1:10" ht="15.75">
      <c r="A54" s="2" t="s">
        <v>24</v>
      </c>
      <c r="B54" s="17">
        <v>132</v>
      </c>
      <c r="C54" s="252">
        <f>Jan!$K$42</f>
        <v>0</v>
      </c>
      <c r="D54" s="389">
        <v>1.482E-2</v>
      </c>
      <c r="E54" s="324">
        <f t="shared" si="0"/>
        <v>0</v>
      </c>
      <c r="F54" s="385"/>
      <c r="G54" s="153" t="s">
        <v>10</v>
      </c>
      <c r="H54" s="7" t="s">
        <v>58</v>
      </c>
      <c r="I54" s="7"/>
      <c r="J54" s="460"/>
    </row>
    <row r="55" spans="1:10" ht="16.5" thickBot="1">
      <c r="A55" s="2" t="s">
        <v>24</v>
      </c>
      <c r="B55" s="17" t="s">
        <v>61</v>
      </c>
      <c r="C55" s="252"/>
      <c r="D55" s="121"/>
      <c r="E55" s="324">
        <f t="shared" si="0"/>
        <v>0</v>
      </c>
      <c r="F55" s="385"/>
      <c r="G55" s="154" t="s">
        <v>100</v>
      </c>
      <c r="H55" s="147" t="s">
        <v>207</v>
      </c>
      <c r="I55" s="462">
        <f>IF((E61-E43)&gt;0,E61-E43,0)</f>
        <v>170685.76017999998</v>
      </c>
      <c r="J55" s="107">
        <f>IF((E61-E43)&lt;0,E61-E43,0)</f>
        <v>0</v>
      </c>
    </row>
    <row r="56" spans="1:10" ht="15.75">
      <c r="A56" s="2" t="s">
        <v>156</v>
      </c>
      <c r="B56" s="70"/>
      <c r="C56" s="251"/>
      <c r="D56" s="136"/>
      <c r="E56" s="327">
        <v>0</v>
      </c>
      <c r="F56" s="385"/>
      <c r="G56" s="7"/>
      <c r="H56" s="7"/>
      <c r="I56" s="8"/>
      <c r="J56" s="260">
        <f>ROUND(SUM(I51:J55),2)</f>
        <v>0</v>
      </c>
    </row>
    <row r="57" spans="1:10" ht="16.5" thickBot="1">
      <c r="B57" s="6"/>
      <c r="C57" s="254">
        <f>SUM(C48:C56)</f>
        <v>11587749</v>
      </c>
      <c r="D57" s="155"/>
      <c r="E57" s="326">
        <f>SUM(E48:E56)</f>
        <v>171730.44018000001</v>
      </c>
      <c r="F57" s="385"/>
      <c r="G57" s="7"/>
      <c r="H57" s="7"/>
      <c r="I57" s="7"/>
      <c r="J57" s="7"/>
    </row>
    <row r="58" spans="1:10" ht="16.5" thickTop="1">
      <c r="B58" s="6"/>
      <c r="C58" s="255">
        <v>13799763</v>
      </c>
      <c r="D58" s="66" t="s">
        <v>161</v>
      </c>
      <c r="E58" s="327">
        <v>0</v>
      </c>
      <c r="F58" s="385"/>
      <c r="G58" s="65" t="s">
        <v>158</v>
      </c>
      <c r="H58" s="7"/>
      <c r="I58" s="12"/>
      <c r="J58" s="12"/>
    </row>
    <row r="59" spans="1:10" ht="15.75">
      <c r="C59" s="317">
        <f>C57-C58</f>
        <v>-2212014</v>
      </c>
      <c r="D59" s="66" t="s">
        <v>87</v>
      </c>
      <c r="E59" s="326">
        <f>E57+E58+E43</f>
        <v>-1167748.4502033331</v>
      </c>
      <c r="F59" s="385"/>
      <c r="G59" s="8">
        <f>(E43*(D60/12))+((E57-E56)*(D60/24))</f>
        <v>-1044.6780585777776</v>
      </c>
      <c r="H59" s="7"/>
      <c r="I59" s="8"/>
      <c r="J59" s="10"/>
    </row>
    <row r="60" spans="1:10" ht="15.75">
      <c r="C60" s="50"/>
      <c r="D60" s="225">
        <v>0.01</v>
      </c>
      <c r="E60" s="328">
        <f>ROUND(((E43)+(E57-E56)/2)*(D60/12),2)</f>
        <v>-1044.68</v>
      </c>
      <c r="F60" s="385"/>
      <c r="G60" s="65"/>
      <c r="H60" s="467"/>
      <c r="I60" s="10"/>
      <c r="J60" s="10"/>
    </row>
    <row r="61" spans="1:10" ht="16.5" thickBot="1">
      <c r="A61" s="5"/>
      <c r="B61" s="5"/>
      <c r="C61" s="50" t="s">
        <v>1</v>
      </c>
      <c r="D61" s="143">
        <f>A46</f>
        <v>41639</v>
      </c>
      <c r="E61" s="329">
        <f>SUM(E59:E60)</f>
        <v>-1168793.130203333</v>
      </c>
      <c r="F61" s="385"/>
      <c r="G61" s="475" t="s">
        <v>244</v>
      </c>
      <c r="H61" s="476" t="e">
        <f>_xll.Get_Balance(I61,"YTD","USD","Total","A","","001","191015","GD","ID","DL")-E61</f>
        <v>#VALUE!</v>
      </c>
      <c r="I61" s="477">
        <v>201312</v>
      </c>
      <c r="J61" s="7"/>
    </row>
    <row r="62" spans="1:10" ht="15.75" thickTop="1"/>
    <row r="118" spans="16:16">
      <c r="P118" s="384">
        <f>(C106*M117)/12+((C109+C112+C113)*M117)/24</f>
        <v>0</v>
      </c>
    </row>
  </sheetData>
  <conditionalFormatting sqref="C23">
    <cfRule type="cellIs" dxfId="172" priority="45" operator="notEqual">
      <formula>0</formula>
    </cfRule>
  </conditionalFormatting>
  <conditionalFormatting sqref="J20">
    <cfRule type="cellIs" dxfId="171" priority="43" stopIfTrue="1" operator="equal">
      <formula>0</formula>
    </cfRule>
    <cfRule type="cellIs" dxfId="170" priority="44" stopIfTrue="1" operator="notEqual">
      <formula>0</formula>
    </cfRule>
  </conditionalFormatting>
  <conditionalFormatting sqref="C41">
    <cfRule type="cellIs" dxfId="169" priority="6" operator="notEqual">
      <formula>0</formula>
    </cfRule>
  </conditionalFormatting>
  <conditionalFormatting sqref="J38">
    <cfRule type="cellIs" dxfId="168" priority="4" stopIfTrue="1" operator="equal">
      <formula>0</formula>
    </cfRule>
    <cfRule type="cellIs" dxfId="167" priority="5" stopIfTrue="1" operator="notEqual">
      <formula>0</formula>
    </cfRule>
  </conditionalFormatting>
  <conditionalFormatting sqref="C59">
    <cfRule type="cellIs" dxfId="166" priority="3" operator="notEqual">
      <formula>0</formula>
    </cfRule>
  </conditionalFormatting>
  <conditionalFormatting sqref="J56">
    <cfRule type="cellIs" dxfId="165" priority="1" stopIfTrue="1" operator="equal">
      <formula>0</formula>
    </cfRule>
    <cfRule type="cellIs" dxfId="164" priority="2" stopIfTrue="1" operator="notEqual">
      <formula>0</formula>
    </cfRule>
  </conditionalFormatting>
  <printOptions gridLinesSet="0"/>
  <pageMargins left="0.5" right="0.5" top="1.04" bottom="0.5" header="0.25" footer="0.25"/>
  <pageSetup scale="53" orientation="portrait" horizontalDpi="300" verticalDpi="300" r:id="rId1"/>
  <headerFooter alignWithMargins="0">
    <oddHeader>&amp;L&amp;12Prior Period Unrecovered Gas Costs
Idaho
191000</oddHeader>
    <oddFooter>&amp;L&amp;F&amp;C&amp;A&amp;R&amp;D &amp;T</oddFooter>
  </headerFooter>
  <customProperties>
    <customPr name="xxe4aPID" r:id="rId2"/>
  </customPropertie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5">
    <tabColor rgb="FF92D050"/>
    <pageSetUpPr fitToPage="1"/>
  </sheetPr>
  <dimension ref="A1:P355"/>
  <sheetViews>
    <sheetView showGridLines="0" view="pageBreakPreview" topLeftCell="A276" zoomScale="80" zoomScaleNormal="100" zoomScaleSheetLayoutView="80" workbookViewId="0">
      <selection activeCell="G51" sqref="G51:J55"/>
    </sheetView>
  </sheetViews>
  <sheetFormatPr defaultColWidth="9.140625" defaultRowHeight="15"/>
  <cols>
    <col min="1" max="1" width="13.140625" style="1" customWidth="1"/>
    <col min="2" max="2" width="9.28515625" style="1" customWidth="1"/>
    <col min="3" max="3" width="17.85546875" style="1" customWidth="1"/>
    <col min="4" max="4" width="18.42578125" style="1" customWidth="1"/>
    <col min="5" max="5" width="20.140625" style="320" bestFit="1" customWidth="1"/>
    <col min="6" max="6" width="16.140625" style="1" customWidth="1"/>
    <col min="7" max="7" width="34.5703125" style="1" bestFit="1" customWidth="1"/>
    <col min="8" max="8" width="16.85546875" style="1" customWidth="1"/>
    <col min="9" max="9" width="18.28515625" style="1" bestFit="1" customWidth="1"/>
    <col min="10" max="10" width="18.28515625" style="1" customWidth="1"/>
    <col min="11" max="11" width="3.42578125" style="1" customWidth="1"/>
    <col min="12" max="16384" width="9.140625" style="1"/>
  </cols>
  <sheetData>
    <row r="1" spans="1:10" ht="15.75">
      <c r="A1" s="51" t="s">
        <v>13</v>
      </c>
    </row>
    <row r="2" spans="1:10" ht="15.75">
      <c r="A2" s="51" t="s">
        <v>46</v>
      </c>
    </row>
    <row r="3" spans="1:10" ht="15.75">
      <c r="A3" s="51" t="s">
        <v>170</v>
      </c>
    </row>
    <row r="4" spans="1:10" ht="15.75">
      <c r="A4" s="51" t="s">
        <v>171</v>
      </c>
    </row>
    <row r="7" spans="1:10" s="331" customFormat="1" ht="16.5" hidden="1" thickBot="1">
      <c r="A7" s="5"/>
      <c r="B7" s="5"/>
      <c r="C7" s="50" t="s">
        <v>1</v>
      </c>
      <c r="D7" s="143">
        <v>41182</v>
      </c>
      <c r="E7" s="329">
        <v>802311.62372397084</v>
      </c>
      <c r="F7" s="333"/>
      <c r="G7" s="7"/>
      <c r="H7" s="7"/>
      <c r="I7" s="8"/>
      <c r="J7" s="7"/>
    </row>
    <row r="8" spans="1:10" s="385" customFormat="1" ht="16.5" hidden="1" thickTop="1">
      <c r="D8" s="142" t="s">
        <v>208</v>
      </c>
      <c r="E8" s="326">
        <f>'ID Def 191010'!T17</f>
        <v>-2122091.5699999998</v>
      </c>
    </row>
    <row r="9" spans="1:10" s="385" customFormat="1" ht="16.5" hidden="1" thickBot="1">
      <c r="D9" s="142" t="s">
        <v>204</v>
      </c>
      <c r="E9" s="329">
        <f>E8+E7</f>
        <v>-1319779.9462760291</v>
      </c>
    </row>
    <row r="10" spans="1:10" s="331" customFormat="1" ht="16.5" hidden="1" thickTop="1" thickBot="1">
      <c r="E10" s="320"/>
    </row>
    <row r="11" spans="1:10" ht="15.75" hidden="1">
      <c r="A11" s="73" t="s">
        <v>142</v>
      </c>
      <c r="B11" s="74"/>
      <c r="C11" s="75"/>
      <c r="D11" s="76"/>
      <c r="E11" s="321"/>
      <c r="F11" s="331"/>
      <c r="G11" s="16"/>
      <c r="H11" s="5"/>
      <c r="I11" s="56"/>
      <c r="J11" s="56"/>
    </row>
    <row r="12" spans="1:10" ht="15.75" hidden="1">
      <c r="A12" s="219">
        <v>41213</v>
      </c>
      <c r="B12" s="71"/>
      <c r="C12" s="16"/>
      <c r="D12" s="72" t="s">
        <v>23</v>
      </c>
      <c r="E12" s="322" t="s">
        <v>21</v>
      </c>
      <c r="F12" s="331"/>
      <c r="G12" s="5"/>
      <c r="H12" s="5"/>
      <c r="I12" s="8"/>
      <c r="J12" s="10"/>
    </row>
    <row r="13" spans="1:10" ht="16.5" hidden="1" thickBot="1">
      <c r="A13" s="14"/>
      <c r="B13" s="18"/>
      <c r="C13" s="131" t="s">
        <v>21</v>
      </c>
      <c r="D13" s="131" t="s">
        <v>22</v>
      </c>
      <c r="E13" s="323" t="s">
        <v>23</v>
      </c>
      <c r="F13" s="333"/>
      <c r="G13" s="7"/>
      <c r="H13" s="7"/>
      <c r="I13" s="10"/>
      <c r="J13" s="10"/>
    </row>
    <row r="14" spans="1:10" ht="15.75" hidden="1">
      <c r="A14" s="2" t="s">
        <v>24</v>
      </c>
      <c r="B14" s="17">
        <v>101</v>
      </c>
      <c r="C14" s="252">
        <v>3765205</v>
      </c>
      <c r="D14" s="233">
        <v>1.7780000000000001E-2</v>
      </c>
      <c r="E14" s="324">
        <v>66929.279999999999</v>
      </c>
      <c r="F14" s="385" t="s">
        <v>187</v>
      </c>
      <c r="G14" s="7"/>
      <c r="H14" s="7"/>
      <c r="I14" s="8"/>
      <c r="J14" s="7"/>
    </row>
    <row r="15" spans="1:10" ht="16.5" hidden="1" thickBot="1">
      <c r="A15" s="2" t="s">
        <v>24</v>
      </c>
      <c r="B15" s="17">
        <v>111</v>
      </c>
      <c r="C15" s="252">
        <v>1887716</v>
      </c>
      <c r="D15" s="233">
        <v>1.7780000000000001E-2</v>
      </c>
      <c r="E15" s="324">
        <v>32198.03</v>
      </c>
      <c r="F15" s="385" t="s">
        <v>187</v>
      </c>
      <c r="G15" s="146">
        <f>A12</f>
        <v>41213</v>
      </c>
      <c r="H15" s="147"/>
      <c r="I15" s="147"/>
      <c r="J15" s="147"/>
    </row>
    <row r="16" spans="1:10" ht="16.5" hidden="1" thickBot="1">
      <c r="A16" s="2" t="s">
        <v>24</v>
      </c>
      <c r="B16" s="17">
        <v>112</v>
      </c>
      <c r="C16" s="252"/>
      <c r="D16" s="233"/>
      <c r="E16" s="324">
        <v>0</v>
      </c>
      <c r="F16" s="333"/>
      <c r="G16" s="102" t="s">
        <v>25</v>
      </c>
      <c r="H16" s="148"/>
      <c r="I16" s="149" t="s">
        <v>18</v>
      </c>
      <c r="J16" s="150" t="s">
        <v>19</v>
      </c>
    </row>
    <row r="17" spans="1:10" ht="15.75" hidden="1">
      <c r="A17" s="2" t="s">
        <v>24</v>
      </c>
      <c r="B17" s="17">
        <v>121</v>
      </c>
      <c r="C17" s="252"/>
      <c r="D17" s="220"/>
      <c r="E17" s="324">
        <v>0</v>
      </c>
      <c r="F17" s="333"/>
      <c r="G17" s="151" t="s">
        <v>28</v>
      </c>
      <c r="H17" s="152" t="s">
        <v>77</v>
      </c>
      <c r="I17" s="108"/>
      <c r="J17" s="394">
        <v>0</v>
      </c>
    </row>
    <row r="18" spans="1:10" ht="15.75" hidden="1">
      <c r="A18" s="2" t="s">
        <v>24</v>
      </c>
      <c r="B18" s="17">
        <v>122</v>
      </c>
      <c r="C18" s="253"/>
      <c r="D18" s="220"/>
      <c r="E18" s="324">
        <v>0</v>
      </c>
      <c r="F18" s="333"/>
      <c r="G18" s="153" t="s">
        <v>29</v>
      </c>
      <c r="H18" s="7" t="s">
        <v>78</v>
      </c>
      <c r="I18" s="395">
        <f>-E26</f>
        <v>1058.51</v>
      </c>
      <c r="J18" s="222"/>
    </row>
    <row r="19" spans="1:10" ht="15.75" hidden="1">
      <c r="A19" s="2" t="s">
        <v>24</v>
      </c>
      <c r="B19" s="17">
        <v>131</v>
      </c>
      <c r="C19" s="252">
        <v>0</v>
      </c>
      <c r="D19" s="233">
        <v>1.6570000000000001E-2</v>
      </c>
      <c r="E19" s="324">
        <v>0</v>
      </c>
      <c r="F19" s="333"/>
      <c r="G19" s="153" t="s">
        <v>99</v>
      </c>
      <c r="H19" s="7" t="s">
        <v>60</v>
      </c>
      <c r="I19" s="8"/>
      <c r="J19" s="98">
        <f>-E23-E24</f>
        <v>-147173</v>
      </c>
    </row>
    <row r="20" spans="1:10" ht="15.75" hidden="1">
      <c r="A20" s="2" t="s">
        <v>24</v>
      </c>
      <c r="B20" s="17">
        <v>132</v>
      </c>
      <c r="C20" s="253"/>
      <c r="D20" s="121"/>
      <c r="E20" s="324">
        <v>0</v>
      </c>
      <c r="F20" s="333"/>
      <c r="G20" s="153" t="s">
        <v>10</v>
      </c>
      <c r="H20" s="7" t="s">
        <v>58</v>
      </c>
      <c r="I20" s="7">
        <v>0</v>
      </c>
      <c r="J20" s="109"/>
    </row>
    <row r="21" spans="1:10" ht="16.5" hidden="1" thickBot="1">
      <c r="A21" s="2" t="s">
        <v>24</v>
      </c>
      <c r="B21" s="17" t="s">
        <v>61</v>
      </c>
      <c r="C21" s="253"/>
      <c r="D21" s="121"/>
      <c r="E21" s="324">
        <v>0</v>
      </c>
      <c r="F21" s="333"/>
      <c r="G21" s="154" t="s">
        <v>100</v>
      </c>
      <c r="H21" s="147" t="s">
        <v>62</v>
      </c>
      <c r="I21" s="110">
        <f>-E9+E27</f>
        <v>146114.49</v>
      </c>
      <c r="J21" s="107">
        <v>0</v>
      </c>
    </row>
    <row r="22" spans="1:10" ht="15.75" hidden="1">
      <c r="A22" s="2" t="s">
        <v>156</v>
      </c>
      <c r="B22" s="70"/>
      <c r="C22" s="251"/>
      <c r="D22" s="136"/>
      <c r="E22" s="325">
        <v>48045.69</v>
      </c>
      <c r="F22" s="333"/>
      <c r="G22" s="7"/>
      <c r="H22" s="7"/>
      <c r="I22" s="8"/>
      <c r="J22" s="260">
        <f>ROUND(SUM(I17:J21),2)</f>
        <v>0</v>
      </c>
    </row>
    <row r="23" spans="1:10" ht="16.5" hidden="1" thickBot="1">
      <c r="A23" s="331"/>
      <c r="B23" s="6"/>
      <c r="C23" s="254">
        <f>SUM(C14:C22)</f>
        <v>5652921</v>
      </c>
      <c r="D23" s="155"/>
      <c r="E23" s="326">
        <f>SUM(E14:E22)</f>
        <v>147173</v>
      </c>
      <c r="F23" s="333"/>
      <c r="G23" s="7"/>
      <c r="H23" s="7"/>
      <c r="I23" s="7"/>
      <c r="J23" s="7"/>
    </row>
    <row r="24" spans="1:10" ht="16.5" hidden="1" thickTop="1">
      <c r="A24" s="331"/>
      <c r="B24" s="6"/>
      <c r="C24" s="255">
        <v>5652921</v>
      </c>
      <c r="D24" s="66" t="s">
        <v>161</v>
      </c>
      <c r="E24" s="327">
        <v>0</v>
      </c>
      <c r="F24" s="333"/>
      <c r="G24" s="65" t="s">
        <v>158</v>
      </c>
      <c r="H24" s="7"/>
      <c r="I24" s="12"/>
      <c r="J24" s="12"/>
    </row>
    <row r="25" spans="1:10" ht="15.75" hidden="1">
      <c r="A25" s="331"/>
      <c r="B25" s="331"/>
      <c r="C25" s="317">
        <f>C23-C24</f>
        <v>0</v>
      </c>
      <c r="D25" s="66" t="s">
        <v>87</v>
      </c>
      <c r="E25" s="326">
        <f>E23+E24+E9</f>
        <v>-1172606.9462760291</v>
      </c>
      <c r="F25" s="333"/>
      <c r="G25" s="8">
        <f>(E9*(D26/12))+((E23-E22)*(D26/24))</f>
        <v>-1058.5135760633577</v>
      </c>
      <c r="H25" s="7"/>
      <c r="I25" s="8"/>
      <c r="J25" s="10"/>
    </row>
    <row r="26" spans="1:10" ht="15.75" hidden="1">
      <c r="A26" s="331"/>
      <c r="B26" s="331"/>
      <c r="C26" s="50"/>
      <c r="D26" s="225">
        <v>0.01</v>
      </c>
      <c r="E26" s="328">
        <f>ROUND(((E9)+(E23-E22)/2)*(D26/12),2)</f>
        <v>-1058.51</v>
      </c>
      <c r="F26" s="333"/>
      <c r="G26" s="65"/>
      <c r="H26" s="7"/>
      <c r="I26" s="10"/>
      <c r="J26" s="10"/>
    </row>
    <row r="27" spans="1:10" ht="16.5" hidden="1" thickBot="1">
      <c r="A27" s="5"/>
      <c r="B27" s="5"/>
      <c r="C27" s="50" t="s">
        <v>1</v>
      </c>
      <c r="D27" s="143">
        <f>A12</f>
        <v>41213</v>
      </c>
      <c r="E27" s="329">
        <f>SUM(E25:E26)</f>
        <v>-1173665.4562760291</v>
      </c>
      <c r="F27" s="333"/>
      <c r="G27" s="7"/>
      <c r="H27" s="7"/>
      <c r="I27" s="8"/>
      <c r="J27" s="7"/>
    </row>
    <row r="28" spans="1:10" ht="16.5" hidden="1" thickTop="1" thickBot="1"/>
    <row r="29" spans="1:10" ht="15.75" hidden="1">
      <c r="A29" s="73" t="s">
        <v>142</v>
      </c>
      <c r="B29" s="74"/>
      <c r="C29" s="75"/>
      <c r="D29" s="76"/>
      <c r="E29" s="321"/>
      <c r="F29" s="384"/>
      <c r="G29" s="16"/>
      <c r="H29" s="5"/>
      <c r="I29" s="56"/>
      <c r="J29" s="56"/>
    </row>
    <row r="30" spans="1:10" ht="15.75" hidden="1">
      <c r="A30" s="219">
        <v>41243</v>
      </c>
      <c r="B30" s="71"/>
      <c r="C30" s="16"/>
      <c r="D30" s="72" t="s">
        <v>23</v>
      </c>
      <c r="E30" s="322" t="s">
        <v>21</v>
      </c>
      <c r="F30" s="384"/>
      <c r="G30" s="5"/>
      <c r="H30" s="5"/>
      <c r="I30" s="8"/>
      <c r="J30" s="10"/>
    </row>
    <row r="31" spans="1:10" ht="16.5" hidden="1" thickBot="1">
      <c r="A31" s="14"/>
      <c r="B31" s="18"/>
      <c r="C31" s="131" t="s">
        <v>21</v>
      </c>
      <c r="D31" s="131" t="s">
        <v>22</v>
      </c>
      <c r="E31" s="323" t="s">
        <v>23</v>
      </c>
      <c r="F31" s="385"/>
      <c r="G31" s="7"/>
      <c r="H31" s="7"/>
      <c r="I31" s="10"/>
      <c r="J31" s="10"/>
    </row>
    <row r="32" spans="1:10" ht="15.75" hidden="1">
      <c r="A32" s="2" t="s">
        <v>24</v>
      </c>
      <c r="B32" s="17">
        <v>101</v>
      </c>
      <c r="C32" s="252">
        <v>6036412</v>
      </c>
      <c r="D32" s="389">
        <v>1.7780000000000001E-2</v>
      </c>
      <c r="E32" s="324">
        <v>74956.77</v>
      </c>
      <c r="F32" s="385" t="s">
        <v>187</v>
      </c>
      <c r="G32" s="7"/>
      <c r="H32" s="7"/>
      <c r="I32" s="8"/>
      <c r="J32" s="7"/>
    </row>
    <row r="33" spans="1:10" ht="16.5" hidden="1" thickBot="1">
      <c r="A33" s="2" t="s">
        <v>24</v>
      </c>
      <c r="B33" s="17">
        <v>111</v>
      </c>
      <c r="C33" s="252">
        <v>1867362</v>
      </c>
      <c r="D33" s="389">
        <v>1.7780000000000001E-2</v>
      </c>
      <c r="E33" s="324">
        <v>15979.81</v>
      </c>
      <c r="F33" s="385" t="s">
        <v>187</v>
      </c>
      <c r="G33" s="146">
        <v>41243</v>
      </c>
      <c r="H33" s="147"/>
      <c r="I33" s="147"/>
      <c r="J33" s="147"/>
    </row>
    <row r="34" spans="1:10" ht="16.5" hidden="1" thickBot="1">
      <c r="A34" s="2" t="s">
        <v>24</v>
      </c>
      <c r="B34" s="17">
        <v>112</v>
      </c>
      <c r="C34" s="252"/>
      <c r="D34" s="389"/>
      <c r="E34" s="324">
        <v>0</v>
      </c>
      <c r="F34" s="385"/>
      <c r="G34" s="102" t="s">
        <v>214</v>
      </c>
      <c r="H34" s="148"/>
      <c r="I34" s="149" t="s">
        <v>18</v>
      </c>
      <c r="J34" s="150" t="s">
        <v>19</v>
      </c>
    </row>
    <row r="35" spans="1:10" ht="15.75" hidden="1">
      <c r="A35" s="2" t="s">
        <v>24</v>
      </c>
      <c r="B35" s="17">
        <v>121</v>
      </c>
      <c r="C35" s="252"/>
      <c r="D35" s="220"/>
      <c r="E35" s="324">
        <v>0</v>
      </c>
      <c r="F35" s="385"/>
      <c r="G35" s="151" t="s">
        <v>28</v>
      </c>
      <c r="H35" s="152" t="s">
        <v>77</v>
      </c>
      <c r="I35" s="108"/>
      <c r="J35" s="394">
        <v>0</v>
      </c>
    </row>
    <row r="36" spans="1:10" ht="15.75" hidden="1">
      <c r="A36" s="2" t="s">
        <v>24</v>
      </c>
      <c r="B36" s="17">
        <v>122</v>
      </c>
      <c r="C36" s="253"/>
      <c r="D36" s="220"/>
      <c r="E36" s="324">
        <v>0</v>
      </c>
      <c r="F36" s="385"/>
      <c r="G36" s="153" t="s">
        <v>29</v>
      </c>
      <c r="H36" s="7" t="s">
        <v>78</v>
      </c>
      <c r="I36" s="395">
        <v>940.16</v>
      </c>
      <c r="J36" s="222"/>
    </row>
    <row r="37" spans="1:10" ht="15.75" hidden="1">
      <c r="A37" s="2" t="s">
        <v>24</v>
      </c>
      <c r="B37" s="17">
        <v>131</v>
      </c>
      <c r="C37" s="252">
        <v>0</v>
      </c>
      <c r="D37" s="389">
        <v>1.6570000000000001E-2</v>
      </c>
      <c r="E37" s="324">
        <v>0</v>
      </c>
      <c r="F37" s="385"/>
      <c r="G37" s="153" t="s">
        <v>99</v>
      </c>
      <c r="H37" s="7" t="s">
        <v>60</v>
      </c>
      <c r="I37" s="8"/>
      <c r="J37" s="98">
        <v>-90758.61</v>
      </c>
    </row>
    <row r="38" spans="1:10" ht="15.75" hidden="1">
      <c r="A38" s="2" t="s">
        <v>24</v>
      </c>
      <c r="B38" s="17">
        <v>132</v>
      </c>
      <c r="C38" s="253"/>
      <c r="D38" s="121"/>
      <c r="E38" s="324">
        <v>0</v>
      </c>
      <c r="F38" s="385"/>
      <c r="G38" s="153" t="s">
        <v>10</v>
      </c>
      <c r="H38" s="7" t="s">
        <v>58</v>
      </c>
      <c r="I38" s="7">
        <v>0</v>
      </c>
      <c r="J38" s="109"/>
    </row>
    <row r="39" spans="1:10" ht="16.5" hidden="1" thickBot="1">
      <c r="A39" s="2" t="s">
        <v>24</v>
      </c>
      <c r="B39" s="17" t="s">
        <v>61</v>
      </c>
      <c r="C39" s="253"/>
      <c r="D39" s="121"/>
      <c r="E39" s="324">
        <v>0</v>
      </c>
      <c r="F39" s="385"/>
      <c r="G39" s="154" t="s">
        <v>100</v>
      </c>
      <c r="H39" s="147" t="s">
        <v>62</v>
      </c>
      <c r="I39" s="110">
        <v>89818.450000000186</v>
      </c>
      <c r="J39" s="107">
        <v>0</v>
      </c>
    </row>
    <row r="40" spans="1:10" ht="15.75" hidden="1">
      <c r="A40" s="2" t="s">
        <v>156</v>
      </c>
      <c r="B40" s="70"/>
      <c r="C40" s="251"/>
      <c r="D40" s="136"/>
      <c r="E40" s="325">
        <v>0</v>
      </c>
      <c r="F40" s="385"/>
      <c r="G40" s="7"/>
      <c r="H40" s="7"/>
      <c r="I40" s="8"/>
      <c r="J40" s="260">
        <v>0</v>
      </c>
    </row>
    <row r="41" spans="1:10" ht="16.5" hidden="1" thickBot="1">
      <c r="A41" s="384"/>
      <c r="B41" s="6"/>
      <c r="C41" s="254">
        <v>7903774</v>
      </c>
      <c r="D41" s="155"/>
      <c r="E41" s="326">
        <v>90936.58</v>
      </c>
      <c r="F41" s="385"/>
      <c r="G41" s="7"/>
      <c r="H41" s="7"/>
      <c r="I41" s="7"/>
      <c r="J41" s="7"/>
    </row>
    <row r="42" spans="1:10" ht="16.5" hidden="1" thickTop="1">
      <c r="A42" s="384"/>
      <c r="B42" s="6"/>
      <c r="C42" s="255">
        <v>7903774</v>
      </c>
      <c r="D42" s="66" t="s">
        <v>161</v>
      </c>
      <c r="E42" s="327">
        <v>-177.97000000000116</v>
      </c>
      <c r="F42" s="385"/>
      <c r="G42" s="65" t="s">
        <v>158</v>
      </c>
      <c r="H42" s="7"/>
      <c r="I42" s="12"/>
      <c r="J42" s="12"/>
    </row>
    <row r="43" spans="1:10" ht="15.75" hidden="1">
      <c r="A43" s="384"/>
      <c r="B43" s="384"/>
      <c r="C43" s="317">
        <v>0</v>
      </c>
      <c r="D43" s="66" t="s">
        <v>87</v>
      </c>
      <c r="E43" s="326">
        <v>-1082906.846276029</v>
      </c>
      <c r="F43" s="385"/>
      <c r="G43" s="8">
        <v>-940.16430523002441</v>
      </c>
      <c r="H43" s="7"/>
      <c r="I43" s="8"/>
      <c r="J43" s="10"/>
    </row>
    <row r="44" spans="1:10" ht="15.75" hidden="1">
      <c r="A44" s="384"/>
      <c r="B44" s="384"/>
      <c r="C44" s="50"/>
      <c r="D44" s="225">
        <v>0.01</v>
      </c>
      <c r="E44" s="328">
        <v>-940.16</v>
      </c>
      <c r="F44" s="385"/>
      <c r="G44" s="65"/>
      <c r="H44" s="7"/>
      <c r="I44" s="10"/>
      <c r="J44" s="10"/>
    </row>
    <row r="45" spans="1:10" ht="16.5" hidden="1" thickBot="1">
      <c r="A45" s="5"/>
      <c r="B45" s="5"/>
      <c r="C45" s="50" t="s">
        <v>1</v>
      </c>
      <c r="D45" s="143">
        <v>41243</v>
      </c>
      <c r="E45" s="329">
        <v>-1083847.0062760289</v>
      </c>
      <c r="F45" s="385"/>
      <c r="G45" s="7"/>
      <c r="H45" s="7"/>
      <c r="I45" s="8"/>
      <c r="J45" s="7"/>
    </row>
    <row r="46" spans="1:10" s="384" customFormat="1" ht="16.5" hidden="1" thickTop="1" thickBot="1">
      <c r="E46" s="320"/>
    </row>
    <row r="47" spans="1:10" s="384" customFormat="1" ht="15.75" hidden="1">
      <c r="A47" s="73" t="s">
        <v>142</v>
      </c>
      <c r="B47" s="74"/>
      <c r="C47" s="75"/>
      <c r="D47" s="76"/>
      <c r="E47" s="321"/>
      <c r="G47" s="16"/>
      <c r="H47" s="5"/>
      <c r="I47" s="56"/>
      <c r="J47" s="56"/>
    </row>
    <row r="48" spans="1:10" s="384" customFormat="1" ht="15.75" hidden="1">
      <c r="A48" s="219" t="s">
        <v>219</v>
      </c>
      <c r="B48" s="71"/>
      <c r="C48" s="16"/>
      <c r="D48" s="72" t="s">
        <v>23</v>
      </c>
      <c r="E48" s="322" t="s">
        <v>21</v>
      </c>
      <c r="G48" s="5"/>
      <c r="H48" s="5"/>
      <c r="I48" s="8"/>
      <c r="J48" s="10"/>
    </row>
    <row r="49" spans="1:10" s="384" customFormat="1" ht="16.5" hidden="1" thickBot="1">
      <c r="A49" s="14"/>
      <c r="B49" s="18"/>
      <c r="C49" s="131" t="s">
        <v>21</v>
      </c>
      <c r="D49" s="131" t="s">
        <v>22</v>
      </c>
      <c r="E49" s="323" t="s">
        <v>23</v>
      </c>
      <c r="F49" s="385"/>
      <c r="G49" s="7"/>
      <c r="H49" s="7"/>
      <c r="I49" s="10"/>
      <c r="J49" s="10"/>
    </row>
    <row r="50" spans="1:10" s="384" customFormat="1" ht="15.75" hidden="1">
      <c r="A50" s="2" t="s">
        <v>24</v>
      </c>
      <c r="B50" s="17">
        <v>101</v>
      </c>
      <c r="C50" s="252">
        <v>6036412</v>
      </c>
      <c r="D50" s="389">
        <v>1.7780000000000001E-2</v>
      </c>
      <c r="E50" s="324">
        <v>107587.32</v>
      </c>
      <c r="F50" s="385" t="s">
        <v>187</v>
      </c>
      <c r="G50" s="7"/>
      <c r="H50" s="7"/>
      <c r="I50" s="8"/>
      <c r="J50" s="7"/>
    </row>
    <row r="51" spans="1:10" s="384" customFormat="1" ht="16.5" hidden="1" thickBot="1">
      <c r="A51" s="2" t="s">
        <v>24</v>
      </c>
      <c r="B51" s="17">
        <v>111</v>
      </c>
      <c r="C51" s="252">
        <v>1867362</v>
      </c>
      <c r="D51" s="389">
        <v>1.7780000000000001E-2</v>
      </c>
      <c r="E51" s="324">
        <v>33861.39</v>
      </c>
      <c r="F51" s="385" t="s">
        <v>187</v>
      </c>
      <c r="G51" s="399" t="str">
        <f>A48</f>
        <v>11-30-2012 - Corrected</v>
      </c>
      <c r="H51" s="400"/>
      <c r="I51" s="400"/>
      <c r="J51" s="400"/>
    </row>
    <row r="52" spans="1:10" s="384" customFormat="1" ht="16.5" hidden="1" thickBot="1">
      <c r="A52" s="2" t="s">
        <v>24</v>
      </c>
      <c r="B52" s="17">
        <v>112</v>
      </c>
      <c r="C52" s="252"/>
      <c r="D52" s="389"/>
      <c r="E52" s="324">
        <f t="shared" ref="E52:E57" si="0">C52*D52</f>
        <v>0</v>
      </c>
      <c r="F52" s="385"/>
      <c r="G52" s="401" t="s">
        <v>215</v>
      </c>
      <c r="H52" s="402"/>
      <c r="I52" s="403" t="s">
        <v>18</v>
      </c>
      <c r="J52" s="404" t="s">
        <v>19</v>
      </c>
    </row>
    <row r="53" spans="1:10" s="384" customFormat="1" ht="15.75" hidden="1">
      <c r="A53" s="2" t="s">
        <v>24</v>
      </c>
      <c r="B53" s="17">
        <v>121</v>
      </c>
      <c r="C53" s="252"/>
      <c r="D53" s="220"/>
      <c r="E53" s="324">
        <f t="shared" si="0"/>
        <v>0</v>
      </c>
      <c r="F53" s="385"/>
      <c r="G53" s="405" t="s">
        <v>28</v>
      </c>
      <c r="H53" s="406" t="s">
        <v>77</v>
      </c>
      <c r="I53" s="407"/>
      <c r="J53" s="408">
        <v>0</v>
      </c>
    </row>
    <row r="54" spans="1:10" s="384" customFormat="1" ht="15.75" hidden="1">
      <c r="A54" s="2" t="s">
        <v>24</v>
      </c>
      <c r="B54" s="17">
        <v>122</v>
      </c>
      <c r="C54" s="253"/>
      <c r="D54" s="220"/>
      <c r="E54" s="324">
        <f t="shared" si="0"/>
        <v>0</v>
      </c>
      <c r="F54" s="385"/>
      <c r="G54" s="409" t="s">
        <v>29</v>
      </c>
      <c r="H54" s="410" t="s">
        <v>78</v>
      </c>
      <c r="I54" s="411">
        <v>0</v>
      </c>
      <c r="J54" s="412">
        <f>-E62+E44</f>
        <v>-95.889999999999986</v>
      </c>
    </row>
    <row r="55" spans="1:10" s="384" customFormat="1" ht="15.75" hidden="1">
      <c r="A55" s="2" t="s">
        <v>24</v>
      </c>
      <c r="B55" s="17">
        <v>131</v>
      </c>
      <c r="C55" s="252">
        <v>0</v>
      </c>
      <c r="D55" s="389">
        <v>1.6570000000000001E-2</v>
      </c>
      <c r="E55" s="324">
        <f t="shared" si="0"/>
        <v>0</v>
      </c>
      <c r="F55" s="385"/>
      <c r="G55" s="409" t="s">
        <v>99</v>
      </c>
      <c r="H55" s="410" t="s">
        <v>60</v>
      </c>
      <c r="I55" s="330">
        <v>0</v>
      </c>
      <c r="J55" s="413">
        <f>E41-E59</f>
        <v>-50512.130000000019</v>
      </c>
    </row>
    <row r="56" spans="1:10" s="384" customFormat="1" ht="15.75" hidden="1">
      <c r="A56" s="2" t="s">
        <v>24</v>
      </c>
      <c r="B56" s="17">
        <v>132</v>
      </c>
      <c r="C56" s="253"/>
      <c r="D56" s="121"/>
      <c r="E56" s="324">
        <f t="shared" si="0"/>
        <v>0</v>
      </c>
      <c r="F56" s="385"/>
      <c r="G56" s="409" t="s">
        <v>10</v>
      </c>
      <c r="H56" s="410" t="s">
        <v>58</v>
      </c>
      <c r="I56" s="410">
        <v>0</v>
      </c>
      <c r="J56" s="414"/>
    </row>
    <row r="57" spans="1:10" s="384" customFormat="1" ht="16.5" hidden="1" thickBot="1">
      <c r="A57" s="2" t="s">
        <v>24</v>
      </c>
      <c r="B57" s="17" t="s">
        <v>61</v>
      </c>
      <c r="C57" s="253"/>
      <c r="D57" s="121"/>
      <c r="E57" s="324">
        <f t="shared" si="0"/>
        <v>0</v>
      </c>
      <c r="F57" s="385"/>
      <c r="G57" s="415" t="s">
        <v>100</v>
      </c>
      <c r="H57" s="400" t="s">
        <v>62</v>
      </c>
      <c r="I57" s="416">
        <f>-J55-J54</f>
        <v>50608.020000000019</v>
      </c>
      <c r="J57" s="417">
        <v>0</v>
      </c>
    </row>
    <row r="58" spans="1:10" s="384" customFormat="1" ht="15.75" hidden="1">
      <c r="A58" s="2" t="s">
        <v>156</v>
      </c>
      <c r="B58" s="70"/>
      <c r="C58" s="251"/>
      <c r="D58" s="136"/>
      <c r="E58" s="325">
        <v>0</v>
      </c>
      <c r="F58" s="385"/>
      <c r="G58" s="410"/>
      <c r="H58" s="410"/>
      <c r="I58" s="330"/>
      <c r="J58" s="330">
        <f>ROUND(SUM(I53:J57),2)</f>
        <v>0</v>
      </c>
    </row>
    <row r="59" spans="1:10" s="384" customFormat="1" ht="16.5" hidden="1" thickBot="1">
      <c r="B59" s="6"/>
      <c r="C59" s="254">
        <f>SUM(C50:C58)</f>
        <v>7903774</v>
      </c>
      <c r="D59" s="155"/>
      <c r="E59" s="326">
        <f>SUM(E50:E58)</f>
        <v>141448.71000000002</v>
      </c>
      <c r="F59" s="385"/>
      <c r="G59" s="7"/>
      <c r="H59" s="7"/>
      <c r="I59" s="7"/>
      <c r="J59" s="7"/>
    </row>
    <row r="60" spans="1:10" s="384" customFormat="1" ht="16.5" hidden="1" thickTop="1">
      <c r="B60" s="6"/>
      <c r="C60" s="255">
        <v>7903774</v>
      </c>
      <c r="D60" s="66" t="s">
        <v>161</v>
      </c>
      <c r="E60" s="327">
        <f>47867.72-48045.69</f>
        <v>-177.97000000000116</v>
      </c>
      <c r="F60" s="385"/>
      <c r="G60" s="65" t="s">
        <v>158</v>
      </c>
      <c r="H60" s="7"/>
      <c r="I60" s="12"/>
      <c r="J60" s="12"/>
    </row>
    <row r="61" spans="1:10" s="384" customFormat="1" ht="15.75" hidden="1">
      <c r="C61" s="317">
        <f>C59-C60</f>
        <v>0</v>
      </c>
      <c r="D61" s="66" t="s">
        <v>87</v>
      </c>
      <c r="E61" s="326">
        <f>E59+E60+E27</f>
        <v>-1032394.7162760291</v>
      </c>
      <c r="F61" s="385"/>
      <c r="G61" s="8">
        <f>(E45*(D62/12))+(E59*(D62/24))</f>
        <v>-844.26887606335742</v>
      </c>
      <c r="H61" s="7"/>
      <c r="I61" s="8"/>
      <c r="J61" s="10"/>
    </row>
    <row r="62" spans="1:10" s="384" customFormat="1" ht="15.75" hidden="1">
      <c r="C62" s="50"/>
      <c r="D62" s="225">
        <v>0.01</v>
      </c>
      <c r="E62" s="328">
        <f>ROUND(((E45)+(E59)/2)*(D62/12),2)</f>
        <v>-844.27</v>
      </c>
      <c r="F62" s="385"/>
      <c r="G62" s="65"/>
      <c r="H62" s="7"/>
      <c r="I62" s="10"/>
      <c r="J62" s="10"/>
    </row>
    <row r="63" spans="1:10" s="384" customFormat="1" ht="16.5" hidden="1" thickBot="1">
      <c r="A63" s="5"/>
      <c r="B63" s="5"/>
      <c r="C63" s="50" t="s">
        <v>1</v>
      </c>
      <c r="D63" s="143" t="str">
        <f>A48</f>
        <v>11-30-2012 - Corrected</v>
      </c>
      <c r="E63" s="329">
        <f>SUM(E61:E62)</f>
        <v>-1033238.9862760291</v>
      </c>
      <c r="F63" s="385"/>
      <c r="G63" s="7"/>
      <c r="H63" s="7"/>
      <c r="I63" s="8"/>
      <c r="J63" s="7"/>
    </row>
    <row r="64" spans="1:10" s="384" customFormat="1" ht="16.5" hidden="1" thickTop="1" thickBot="1">
      <c r="E64" s="320"/>
    </row>
    <row r="65" spans="1:10" s="384" customFormat="1" ht="15.75" hidden="1">
      <c r="A65" s="73" t="s">
        <v>142</v>
      </c>
      <c r="B65" s="74"/>
      <c r="C65" s="75"/>
      <c r="D65" s="76"/>
      <c r="E65" s="321"/>
      <c r="G65" s="16"/>
      <c r="H65" s="5"/>
      <c r="I65" s="56"/>
      <c r="J65" s="56"/>
    </row>
    <row r="66" spans="1:10" s="384" customFormat="1" ht="15.75" hidden="1">
      <c r="A66" s="219">
        <v>41274</v>
      </c>
      <c r="B66" s="71"/>
      <c r="C66" s="16"/>
      <c r="D66" s="72" t="s">
        <v>23</v>
      </c>
      <c r="E66" s="322" t="s">
        <v>21</v>
      </c>
      <c r="G66" s="5"/>
      <c r="H66" s="5"/>
      <c r="I66" s="8"/>
      <c r="J66" s="10"/>
    </row>
    <row r="67" spans="1:10" s="384" customFormat="1" ht="16.5" hidden="1" thickBot="1">
      <c r="A67" s="14"/>
      <c r="B67" s="18"/>
      <c r="C67" s="131" t="s">
        <v>21</v>
      </c>
      <c r="D67" s="131" t="s">
        <v>22</v>
      </c>
      <c r="E67" s="323" t="s">
        <v>23</v>
      </c>
      <c r="F67" s="385"/>
      <c r="G67" s="7"/>
      <c r="H67" s="7"/>
      <c r="I67" s="10"/>
      <c r="J67" s="10"/>
    </row>
    <row r="68" spans="1:10" s="384" customFormat="1" ht="15.75" hidden="1">
      <c r="A68" s="2" t="s">
        <v>24</v>
      </c>
      <c r="B68" s="17">
        <v>101</v>
      </c>
      <c r="C68" s="252">
        <v>8220978</v>
      </c>
      <c r="D68" s="389">
        <v>1.7780000000000001E-2</v>
      </c>
      <c r="E68" s="324">
        <f>C68*D68</f>
        <v>146168.98884000001</v>
      </c>
      <c r="F68" s="385"/>
      <c r="G68" s="7"/>
      <c r="H68" s="7"/>
      <c r="I68" s="8"/>
      <c r="J68" s="7"/>
    </row>
    <row r="69" spans="1:10" s="384" customFormat="1" ht="16.5" hidden="1" thickBot="1">
      <c r="A69" s="2" t="s">
        <v>24</v>
      </c>
      <c r="B69" s="17">
        <v>111</v>
      </c>
      <c r="C69" s="252">
        <v>2679003</v>
      </c>
      <c r="D69" s="389">
        <v>1.7780000000000001E-2</v>
      </c>
      <c r="E69" s="324">
        <f t="shared" ref="E69:E76" si="1">C69*D69</f>
        <v>47632.673340000001</v>
      </c>
      <c r="F69" s="385"/>
      <c r="G69" s="146">
        <f>A66</f>
        <v>41274</v>
      </c>
      <c r="H69" s="147"/>
      <c r="I69" s="147"/>
      <c r="J69" s="147"/>
    </row>
    <row r="70" spans="1:10" s="384" customFormat="1" ht="16.5" hidden="1" thickBot="1">
      <c r="A70" s="2" t="s">
        <v>24</v>
      </c>
      <c r="B70" s="17">
        <v>112</v>
      </c>
      <c r="C70" s="252"/>
      <c r="D70" s="389"/>
      <c r="E70" s="324">
        <f t="shared" si="1"/>
        <v>0</v>
      </c>
      <c r="F70" s="385"/>
      <c r="G70" s="102" t="s">
        <v>25</v>
      </c>
      <c r="H70" s="148"/>
      <c r="I70" s="149" t="s">
        <v>18</v>
      </c>
      <c r="J70" s="150" t="s">
        <v>19</v>
      </c>
    </row>
    <row r="71" spans="1:10" s="384" customFormat="1" ht="15.75" hidden="1">
      <c r="A71" s="2" t="s">
        <v>24</v>
      </c>
      <c r="B71" s="17">
        <v>121</v>
      </c>
      <c r="C71" s="252"/>
      <c r="D71" s="220"/>
      <c r="E71" s="324">
        <f t="shared" si="1"/>
        <v>0</v>
      </c>
      <c r="F71" s="385"/>
      <c r="G71" s="151" t="s">
        <v>28</v>
      </c>
      <c r="H71" s="152" t="s">
        <v>77</v>
      </c>
      <c r="I71" s="108"/>
      <c r="J71" s="394">
        <v>0</v>
      </c>
    </row>
    <row r="72" spans="1:10" s="384" customFormat="1" ht="15.75" hidden="1">
      <c r="A72" s="2" t="s">
        <v>24</v>
      </c>
      <c r="B72" s="17">
        <v>122</v>
      </c>
      <c r="C72" s="253"/>
      <c r="D72" s="220"/>
      <c r="E72" s="324">
        <f t="shared" si="1"/>
        <v>0</v>
      </c>
      <c r="F72" s="385"/>
      <c r="G72" s="153" t="s">
        <v>29</v>
      </c>
      <c r="H72" s="7" t="s">
        <v>78</v>
      </c>
      <c r="I72" s="395">
        <f>-E80</f>
        <v>780.28</v>
      </c>
      <c r="J72" s="222"/>
    </row>
    <row r="73" spans="1:10" s="384" customFormat="1" ht="15.75" hidden="1">
      <c r="A73" s="2" t="s">
        <v>24</v>
      </c>
      <c r="B73" s="17">
        <v>131</v>
      </c>
      <c r="C73" s="252">
        <v>0</v>
      </c>
      <c r="D73" s="389">
        <v>1.6570000000000001E-2</v>
      </c>
      <c r="E73" s="324">
        <f t="shared" si="1"/>
        <v>0</v>
      </c>
      <c r="F73" s="385"/>
      <c r="G73" s="153" t="s">
        <v>99</v>
      </c>
      <c r="H73" s="7" t="s">
        <v>60</v>
      </c>
      <c r="I73" s="8"/>
      <c r="J73" s="98">
        <f>-E77-E78</f>
        <v>-193801.66218000001</v>
      </c>
    </row>
    <row r="74" spans="1:10" s="384" customFormat="1" ht="15.75" hidden="1">
      <c r="A74" s="2" t="s">
        <v>24</v>
      </c>
      <c r="B74" s="17">
        <v>132</v>
      </c>
      <c r="C74" s="253"/>
      <c r="D74" s="121"/>
      <c r="E74" s="324">
        <f t="shared" si="1"/>
        <v>0</v>
      </c>
      <c r="F74" s="385"/>
      <c r="G74" s="153" t="s">
        <v>10</v>
      </c>
      <c r="H74" s="7" t="s">
        <v>58</v>
      </c>
      <c r="I74" s="7">
        <v>0</v>
      </c>
      <c r="J74" s="109"/>
    </row>
    <row r="75" spans="1:10" s="384" customFormat="1" ht="16.5" hidden="1" thickBot="1">
      <c r="A75" s="2" t="s">
        <v>24</v>
      </c>
      <c r="B75" s="17" t="s">
        <v>61</v>
      </c>
      <c r="C75" s="253"/>
      <c r="D75" s="121"/>
      <c r="E75" s="324">
        <f t="shared" si="1"/>
        <v>0</v>
      </c>
      <c r="F75" s="385"/>
      <c r="G75" s="154" t="s">
        <v>100</v>
      </c>
      <c r="H75" s="147" t="s">
        <v>62</v>
      </c>
      <c r="I75" s="110">
        <f>-E63+E81</f>
        <v>193021.38217999996</v>
      </c>
      <c r="J75" s="107">
        <v>0</v>
      </c>
    </row>
    <row r="76" spans="1:10" s="384" customFormat="1" ht="15.75" hidden="1">
      <c r="A76" s="2" t="s">
        <v>156</v>
      </c>
      <c r="B76" s="70"/>
      <c r="C76" s="251"/>
      <c r="D76" s="136"/>
      <c r="E76" s="325">
        <f t="shared" si="1"/>
        <v>0</v>
      </c>
      <c r="F76" s="385"/>
      <c r="G76" s="7"/>
      <c r="H76" s="7"/>
      <c r="I76" s="8"/>
      <c r="J76" s="260">
        <f>ROUND(SUM(I71:J75),2)</f>
        <v>0</v>
      </c>
    </row>
    <row r="77" spans="1:10" s="384" customFormat="1" ht="16.5" hidden="1" thickBot="1">
      <c r="B77" s="6"/>
      <c r="C77" s="254">
        <f>SUM(C68:C76)</f>
        <v>10899981</v>
      </c>
      <c r="D77" s="155"/>
      <c r="E77" s="326">
        <f>SUM(E68:E76)</f>
        <v>193801.66218000001</v>
      </c>
      <c r="F77" s="385"/>
      <c r="G77" s="7"/>
      <c r="H77" s="7"/>
      <c r="I77" s="7"/>
      <c r="J77" s="7"/>
    </row>
    <row r="78" spans="1:10" s="384" customFormat="1" ht="16.5" hidden="1" thickTop="1">
      <c r="B78" s="6"/>
      <c r="C78" s="255">
        <v>10899981</v>
      </c>
      <c r="D78" s="66" t="s">
        <v>161</v>
      </c>
      <c r="E78" s="327">
        <v>0</v>
      </c>
      <c r="F78" s="385"/>
      <c r="G78" s="65" t="s">
        <v>158</v>
      </c>
      <c r="H78" s="7"/>
      <c r="I78" s="12"/>
      <c r="J78" s="12"/>
    </row>
    <row r="79" spans="1:10" s="384" customFormat="1" ht="15.75" hidden="1">
      <c r="C79" s="317">
        <f>C77-C78</f>
        <v>0</v>
      </c>
      <c r="D79" s="66" t="s">
        <v>87</v>
      </c>
      <c r="E79" s="326">
        <f>E77+E78+E63</f>
        <v>-839437.32409602916</v>
      </c>
      <c r="F79" s="385"/>
      <c r="G79" s="8">
        <f>(E63*(D80/12))+(E77*(D80/24))</f>
        <v>-780.28179598835766</v>
      </c>
      <c r="H79" s="7"/>
      <c r="I79" s="8"/>
      <c r="J79" s="10"/>
    </row>
    <row r="80" spans="1:10" s="384" customFormat="1" ht="15.75" hidden="1">
      <c r="C80" s="50"/>
      <c r="D80" s="225">
        <v>0.01</v>
      </c>
      <c r="E80" s="328">
        <f>ROUND(((E63)+(E77)/2)*(D80/12),2)</f>
        <v>-780.28</v>
      </c>
      <c r="F80" s="385"/>
      <c r="G80" s="65"/>
      <c r="H80" s="7"/>
      <c r="I80" s="10"/>
      <c r="J80" s="10"/>
    </row>
    <row r="81" spans="1:10" s="384" customFormat="1" ht="16.5" hidden="1" thickBot="1">
      <c r="A81" s="5"/>
      <c r="B81" s="5"/>
      <c r="C81" s="50" t="s">
        <v>1</v>
      </c>
      <c r="D81" s="143">
        <f>A66</f>
        <v>41274</v>
      </c>
      <c r="E81" s="329">
        <f>SUM(E79:E80)</f>
        <v>-840217.60409602919</v>
      </c>
      <c r="F81" s="385"/>
      <c r="G81" s="7"/>
      <c r="H81" s="7"/>
      <c r="I81" s="8"/>
      <c r="J81" s="7"/>
    </row>
    <row r="82" spans="1:10" s="384" customFormat="1" ht="15.75" hidden="1" thickTop="1">
      <c r="E82" s="320"/>
    </row>
    <row r="83" spans="1:10" s="384" customFormat="1" ht="15.75" hidden="1">
      <c r="A83" s="73" t="s">
        <v>142</v>
      </c>
      <c r="B83" s="74"/>
      <c r="C83" s="75"/>
      <c r="D83" s="76"/>
      <c r="E83" s="321"/>
      <c r="G83" s="16"/>
      <c r="H83" s="5"/>
      <c r="I83" s="56"/>
      <c r="J83" s="56"/>
    </row>
    <row r="84" spans="1:10" s="384" customFormat="1" ht="15.75" hidden="1">
      <c r="A84" s="219">
        <v>41275</v>
      </c>
      <c r="B84" s="71"/>
      <c r="C84" s="16"/>
      <c r="D84" s="72" t="s">
        <v>23</v>
      </c>
      <c r="E84" s="322" t="s">
        <v>21</v>
      </c>
      <c r="G84" s="5"/>
      <c r="H84" s="5"/>
      <c r="I84" s="8"/>
      <c r="J84" s="10"/>
    </row>
    <row r="85" spans="1:10" s="384" customFormat="1" ht="16.5" hidden="1" thickBot="1">
      <c r="A85" s="14"/>
      <c r="B85" s="18"/>
      <c r="C85" s="131" t="s">
        <v>21</v>
      </c>
      <c r="D85" s="131" t="s">
        <v>22</v>
      </c>
      <c r="E85" s="323" t="s">
        <v>23</v>
      </c>
      <c r="F85" s="385"/>
      <c r="G85" s="7"/>
      <c r="H85" s="7"/>
      <c r="I85" s="10"/>
      <c r="J85" s="10"/>
    </row>
    <row r="86" spans="1:10" s="384" customFormat="1" ht="15.75" hidden="1">
      <c r="A86" s="2" t="s">
        <v>24</v>
      </c>
      <c r="B86" s="17">
        <v>101</v>
      </c>
      <c r="C86" s="252">
        <v>9764920</v>
      </c>
      <c r="D86" s="389">
        <v>1.7780000000000001E-2</v>
      </c>
      <c r="E86" s="324">
        <f>C86*D86</f>
        <v>173620.2776</v>
      </c>
      <c r="F86" s="385"/>
      <c r="G86" s="7"/>
      <c r="H86" s="7"/>
      <c r="I86" s="8"/>
      <c r="J86" s="7"/>
    </row>
    <row r="87" spans="1:10" s="384" customFormat="1" ht="16.5" hidden="1" thickBot="1">
      <c r="A87" s="2" t="s">
        <v>24</v>
      </c>
      <c r="B87" s="17">
        <v>111</v>
      </c>
      <c r="C87" s="252">
        <v>3069039</v>
      </c>
      <c r="D87" s="389">
        <v>1.7780000000000001E-2</v>
      </c>
      <c r="E87" s="324">
        <f>C87*D87</f>
        <v>54567.513420000003</v>
      </c>
      <c r="F87" s="385"/>
      <c r="G87" s="146">
        <f>A84</f>
        <v>41275</v>
      </c>
      <c r="H87" s="147"/>
      <c r="I87" s="147"/>
      <c r="J87" s="147"/>
    </row>
    <row r="88" spans="1:10" s="384" customFormat="1" ht="16.5" hidden="1" thickBot="1">
      <c r="A88" s="2" t="s">
        <v>24</v>
      </c>
      <c r="B88" s="17">
        <v>112</v>
      </c>
      <c r="C88" s="252"/>
      <c r="D88" s="389"/>
      <c r="E88" s="324">
        <f t="shared" ref="E88:E94" si="2">C88*D88</f>
        <v>0</v>
      </c>
      <c r="F88" s="385"/>
      <c r="G88" s="102" t="s">
        <v>25</v>
      </c>
      <c r="H88" s="148"/>
      <c r="I88" s="149" t="s">
        <v>18</v>
      </c>
      <c r="J88" s="150" t="s">
        <v>19</v>
      </c>
    </row>
    <row r="89" spans="1:10" s="384" customFormat="1" ht="15.75" hidden="1">
      <c r="A89" s="2" t="s">
        <v>24</v>
      </c>
      <c r="B89" s="17">
        <v>121</v>
      </c>
      <c r="C89" s="252"/>
      <c r="D89" s="220"/>
      <c r="E89" s="324">
        <f t="shared" si="2"/>
        <v>0</v>
      </c>
      <c r="F89" s="385"/>
      <c r="G89" s="151" t="s">
        <v>28</v>
      </c>
      <c r="H89" s="152" t="s">
        <v>77</v>
      </c>
      <c r="I89" s="108"/>
      <c r="J89" s="394">
        <v>0</v>
      </c>
    </row>
    <row r="90" spans="1:10" s="384" customFormat="1" ht="15.75" hidden="1">
      <c r="A90" s="2" t="s">
        <v>24</v>
      </c>
      <c r="B90" s="17">
        <v>122</v>
      </c>
      <c r="C90" s="253"/>
      <c r="D90" s="220"/>
      <c r="E90" s="324">
        <f t="shared" si="2"/>
        <v>0</v>
      </c>
      <c r="F90" s="385"/>
      <c r="G90" s="153" t="s">
        <v>29</v>
      </c>
      <c r="H90" s="7" t="s">
        <v>78</v>
      </c>
      <c r="I90" s="395">
        <f>-E98</f>
        <v>605.1</v>
      </c>
      <c r="J90" s="222"/>
    </row>
    <row r="91" spans="1:10" s="384" customFormat="1" ht="15.75" hidden="1">
      <c r="A91" s="2" t="s">
        <v>24</v>
      </c>
      <c r="B91" s="17">
        <v>131</v>
      </c>
      <c r="C91" s="252">
        <v>0</v>
      </c>
      <c r="D91" s="389">
        <v>1.6570000000000001E-2</v>
      </c>
      <c r="E91" s="324">
        <f>C91*D91</f>
        <v>0</v>
      </c>
      <c r="F91" s="385"/>
      <c r="G91" s="153" t="s">
        <v>99</v>
      </c>
      <c r="H91" s="7" t="s">
        <v>60</v>
      </c>
      <c r="I91" s="8"/>
      <c r="J91" s="98">
        <f>-E95-E96</f>
        <v>-228187.79102</v>
      </c>
    </row>
    <row r="92" spans="1:10" s="384" customFormat="1" ht="15.75" hidden="1">
      <c r="A92" s="2" t="s">
        <v>24</v>
      </c>
      <c r="B92" s="17">
        <v>132</v>
      </c>
      <c r="C92" s="253"/>
      <c r="D92" s="121"/>
      <c r="E92" s="324">
        <f t="shared" si="2"/>
        <v>0</v>
      </c>
      <c r="F92" s="385"/>
      <c r="G92" s="153" t="s">
        <v>10</v>
      </c>
      <c r="H92" s="7" t="s">
        <v>58</v>
      </c>
      <c r="I92" s="7">
        <v>0</v>
      </c>
      <c r="J92" s="109"/>
    </row>
    <row r="93" spans="1:10" s="384" customFormat="1" ht="16.5" hidden="1" thickBot="1">
      <c r="A93" s="2" t="s">
        <v>24</v>
      </c>
      <c r="B93" s="17" t="s">
        <v>61</v>
      </c>
      <c r="C93" s="253"/>
      <c r="D93" s="121"/>
      <c r="E93" s="324">
        <f t="shared" si="2"/>
        <v>0</v>
      </c>
      <c r="F93" s="385"/>
      <c r="G93" s="154" t="s">
        <v>100</v>
      </c>
      <c r="H93" s="147" t="s">
        <v>62</v>
      </c>
      <c r="I93" s="110">
        <f>-E81+E99</f>
        <v>227582.69102000003</v>
      </c>
      <c r="J93" s="107">
        <v>0</v>
      </c>
    </row>
    <row r="94" spans="1:10" s="384" customFormat="1" ht="15.75" hidden="1">
      <c r="A94" s="2" t="s">
        <v>156</v>
      </c>
      <c r="B94" s="70"/>
      <c r="C94" s="251"/>
      <c r="D94" s="136"/>
      <c r="E94" s="325">
        <f t="shared" si="2"/>
        <v>0</v>
      </c>
      <c r="F94" s="385"/>
      <c r="G94" s="7"/>
      <c r="H94" s="7"/>
      <c r="I94" s="8"/>
      <c r="J94" s="260">
        <f>ROUND(SUM(I89:J93),2)</f>
        <v>0</v>
      </c>
    </row>
    <row r="95" spans="1:10" s="384" customFormat="1" ht="16.5" hidden="1" thickBot="1">
      <c r="B95" s="6"/>
      <c r="C95" s="254">
        <f>SUM(C86:C94)</f>
        <v>12833959</v>
      </c>
      <c r="D95" s="155"/>
      <c r="E95" s="326">
        <f>SUM(E86:E94)</f>
        <v>228187.79102</v>
      </c>
      <c r="F95" s="385"/>
      <c r="G95" s="7"/>
      <c r="H95" s="7"/>
      <c r="I95" s="7"/>
      <c r="J95" s="7"/>
    </row>
    <row r="96" spans="1:10" s="384" customFormat="1" ht="16.5" hidden="1" thickTop="1">
      <c r="B96" s="6"/>
      <c r="C96" s="255">
        <v>12833959</v>
      </c>
      <c r="D96" s="66" t="s">
        <v>161</v>
      </c>
      <c r="E96" s="327">
        <v>0</v>
      </c>
      <c r="F96" s="385"/>
      <c r="G96" s="65" t="s">
        <v>158</v>
      </c>
      <c r="H96" s="7"/>
      <c r="I96" s="12"/>
      <c r="J96" s="12"/>
    </row>
    <row r="97" spans="1:10" s="384" customFormat="1" ht="15.75" hidden="1">
      <c r="C97" s="317">
        <f>C95-C96</f>
        <v>0</v>
      </c>
      <c r="D97" s="66" t="s">
        <v>87</v>
      </c>
      <c r="E97" s="326">
        <f>E95+E96+E81</f>
        <v>-612029.81307602918</v>
      </c>
      <c r="F97" s="385"/>
      <c r="G97" s="8">
        <f>(E81*(D98/12))+(E95*(D98/24))</f>
        <v>-605.10309048835768</v>
      </c>
      <c r="H97" s="7"/>
      <c r="I97" s="8"/>
      <c r="J97" s="10"/>
    </row>
    <row r="98" spans="1:10" s="384" customFormat="1" ht="15.75" hidden="1">
      <c r="C98" s="50"/>
      <c r="D98" s="225">
        <v>0.01</v>
      </c>
      <c r="E98" s="328">
        <f>ROUND(((E81)+(E95)/2)*(D98/12),2)</f>
        <v>-605.1</v>
      </c>
      <c r="F98" s="385"/>
      <c r="G98" s="65"/>
      <c r="H98" s="7"/>
      <c r="I98" s="10"/>
      <c r="J98" s="10"/>
    </row>
    <row r="99" spans="1:10" s="384" customFormat="1" ht="16.5" hidden="1" thickBot="1">
      <c r="A99" s="5"/>
      <c r="B99" s="5"/>
      <c r="C99" s="50" t="s">
        <v>1</v>
      </c>
      <c r="D99" s="143">
        <f>A84</f>
        <v>41275</v>
      </c>
      <c r="E99" s="329">
        <f>SUM(E97:E98)</f>
        <v>-612634.91307602916</v>
      </c>
      <c r="F99" s="385"/>
      <c r="G99" s="7"/>
      <c r="H99" s="7"/>
      <c r="I99" s="8"/>
      <c r="J99" s="7"/>
    </row>
    <row r="100" spans="1:10" s="384" customFormat="1" ht="16.5" hidden="1" thickTop="1" thickBot="1">
      <c r="E100" s="320"/>
    </row>
    <row r="101" spans="1:10" s="384" customFormat="1" ht="15.75" hidden="1">
      <c r="A101" s="73" t="s">
        <v>142</v>
      </c>
      <c r="B101" s="74"/>
      <c r="C101" s="75"/>
      <c r="D101" s="76"/>
      <c r="E101" s="321"/>
      <c r="G101" s="16"/>
      <c r="H101" s="5"/>
      <c r="I101" s="56"/>
      <c r="J101" s="56"/>
    </row>
    <row r="102" spans="1:10" s="384" customFormat="1" ht="15.75" hidden="1">
      <c r="A102" s="219">
        <v>41333</v>
      </c>
      <c r="B102" s="71"/>
      <c r="C102" s="16"/>
      <c r="D102" s="72" t="s">
        <v>23</v>
      </c>
      <c r="E102" s="322" t="s">
        <v>21</v>
      </c>
      <c r="G102" s="5"/>
      <c r="H102" s="5"/>
      <c r="I102" s="8"/>
      <c r="J102" s="10"/>
    </row>
    <row r="103" spans="1:10" s="384" customFormat="1" ht="16.5" hidden="1" thickBot="1">
      <c r="A103" s="14"/>
      <c r="B103" s="18"/>
      <c r="C103" s="131" t="s">
        <v>21</v>
      </c>
      <c r="D103" s="131" t="s">
        <v>22</v>
      </c>
      <c r="E103" s="323" t="s">
        <v>23</v>
      </c>
      <c r="F103" s="385"/>
      <c r="G103" s="7"/>
      <c r="H103" s="7"/>
      <c r="I103" s="10"/>
      <c r="J103" s="10"/>
    </row>
    <row r="104" spans="1:10" s="384" customFormat="1" ht="15.75" hidden="1">
      <c r="A104" s="2" t="s">
        <v>24</v>
      </c>
      <c r="B104" s="17">
        <v>101</v>
      </c>
      <c r="C104" s="252">
        <v>6162035</v>
      </c>
      <c r="D104" s="389">
        <v>1.7780000000000001E-2</v>
      </c>
      <c r="E104" s="324">
        <f>C104*D104</f>
        <v>109560.9823</v>
      </c>
      <c r="F104" s="385"/>
      <c r="G104" s="7"/>
      <c r="H104" s="7"/>
      <c r="I104" s="8"/>
      <c r="J104" s="7"/>
    </row>
    <row r="105" spans="1:10" s="384" customFormat="1" ht="16.5" hidden="1" thickBot="1">
      <c r="A105" s="2" t="s">
        <v>24</v>
      </c>
      <c r="B105" s="17">
        <v>111</v>
      </c>
      <c r="C105" s="252">
        <v>2375460</v>
      </c>
      <c r="D105" s="389">
        <v>1.7780000000000001E-2</v>
      </c>
      <c r="E105" s="324">
        <f>C105*D105</f>
        <v>42235.678800000002</v>
      </c>
      <c r="F105" s="385"/>
      <c r="G105" s="146">
        <f>A102</f>
        <v>41333</v>
      </c>
      <c r="H105" s="147"/>
      <c r="I105" s="147"/>
      <c r="J105" s="147"/>
    </row>
    <row r="106" spans="1:10" s="384" customFormat="1" ht="16.5" hidden="1" thickBot="1">
      <c r="A106" s="2" t="s">
        <v>24</v>
      </c>
      <c r="B106" s="17">
        <v>112</v>
      </c>
      <c r="C106" s="252"/>
      <c r="D106" s="389"/>
      <c r="E106" s="324">
        <f t="shared" ref="E106:E108" si="3">C106*D106</f>
        <v>0</v>
      </c>
      <c r="F106" s="385"/>
      <c r="G106" s="102" t="s">
        <v>25</v>
      </c>
      <c r="H106" s="148"/>
      <c r="I106" s="149" t="s">
        <v>18</v>
      </c>
      <c r="J106" s="150" t="s">
        <v>19</v>
      </c>
    </row>
    <row r="107" spans="1:10" s="384" customFormat="1" ht="15.75" hidden="1">
      <c r="A107" s="2" t="s">
        <v>24</v>
      </c>
      <c r="B107" s="17">
        <v>121</v>
      </c>
      <c r="C107" s="252"/>
      <c r="D107" s="220"/>
      <c r="E107" s="324">
        <f t="shared" si="3"/>
        <v>0</v>
      </c>
      <c r="F107" s="385"/>
      <c r="G107" s="151" t="s">
        <v>28</v>
      </c>
      <c r="H107" s="152" t="s">
        <v>77</v>
      </c>
      <c r="I107" s="108"/>
      <c r="J107" s="394">
        <v>0</v>
      </c>
    </row>
    <row r="108" spans="1:10" s="384" customFormat="1" ht="15.75" hidden="1">
      <c r="A108" s="2" t="s">
        <v>24</v>
      </c>
      <c r="B108" s="17">
        <v>122</v>
      </c>
      <c r="C108" s="253"/>
      <c r="D108" s="220"/>
      <c r="E108" s="324">
        <f t="shared" si="3"/>
        <v>0</v>
      </c>
      <c r="F108" s="385"/>
      <c r="G108" s="153" t="s">
        <v>29</v>
      </c>
      <c r="H108" s="7" t="s">
        <v>78</v>
      </c>
      <c r="I108" s="395">
        <f>-E116</f>
        <v>447.28</v>
      </c>
      <c r="J108" s="222"/>
    </row>
    <row r="109" spans="1:10" s="384" customFormat="1" ht="15.75" hidden="1">
      <c r="A109" s="2" t="s">
        <v>24</v>
      </c>
      <c r="B109" s="17">
        <v>131</v>
      </c>
      <c r="C109" s="252">
        <v>0</v>
      </c>
      <c r="D109" s="389">
        <v>1.6570000000000001E-2</v>
      </c>
      <c r="E109" s="324">
        <f>C109*D109</f>
        <v>0</v>
      </c>
      <c r="F109" s="385"/>
      <c r="G109" s="153" t="s">
        <v>99</v>
      </c>
      <c r="H109" s="7" t="s">
        <v>60</v>
      </c>
      <c r="I109" s="8"/>
      <c r="J109" s="98">
        <f>-E113-E114</f>
        <v>-151796.6611</v>
      </c>
    </row>
    <row r="110" spans="1:10" s="384" customFormat="1" ht="15.75" hidden="1">
      <c r="A110" s="2" t="s">
        <v>24</v>
      </c>
      <c r="B110" s="17">
        <v>132</v>
      </c>
      <c r="C110" s="253"/>
      <c r="D110" s="121"/>
      <c r="E110" s="324">
        <f t="shared" ref="E110:E112" si="4">C110*D110</f>
        <v>0</v>
      </c>
      <c r="F110" s="385"/>
      <c r="G110" s="153" t="s">
        <v>10</v>
      </c>
      <c r="H110" s="7" t="s">
        <v>58</v>
      </c>
      <c r="I110" s="7">
        <v>0</v>
      </c>
      <c r="J110" s="109"/>
    </row>
    <row r="111" spans="1:10" s="384" customFormat="1" ht="16.5" hidden="1" thickBot="1">
      <c r="A111" s="2" t="s">
        <v>24</v>
      </c>
      <c r="B111" s="17" t="s">
        <v>61</v>
      </c>
      <c r="C111" s="253"/>
      <c r="D111" s="121"/>
      <c r="E111" s="324">
        <f t="shared" si="4"/>
        <v>0</v>
      </c>
      <c r="F111" s="385"/>
      <c r="G111" s="154" t="s">
        <v>100</v>
      </c>
      <c r="H111" s="147" t="s">
        <v>62</v>
      </c>
      <c r="I111" s="110">
        <f>-E99+E117</f>
        <v>151349.3811</v>
      </c>
      <c r="J111" s="107">
        <v>0</v>
      </c>
    </row>
    <row r="112" spans="1:10" s="384" customFormat="1" ht="15.75" hidden="1">
      <c r="A112" s="2" t="s">
        <v>156</v>
      </c>
      <c r="B112" s="70"/>
      <c r="C112" s="251"/>
      <c r="D112" s="136"/>
      <c r="E112" s="325">
        <f t="shared" si="4"/>
        <v>0</v>
      </c>
      <c r="F112" s="385"/>
      <c r="G112" s="7"/>
      <c r="H112" s="7"/>
      <c r="I112" s="8"/>
      <c r="J112" s="260">
        <f>ROUND(SUM(I107:J111),2)</f>
        <v>0</v>
      </c>
    </row>
    <row r="113" spans="1:10" s="384" customFormat="1" ht="16.5" hidden="1" thickBot="1">
      <c r="B113" s="6"/>
      <c r="C113" s="254">
        <f>SUM(C104:C112)</f>
        <v>8537495</v>
      </c>
      <c r="D113" s="155"/>
      <c r="E113" s="326">
        <f>SUM(E104:E112)</f>
        <v>151796.6611</v>
      </c>
      <c r="F113" s="385"/>
      <c r="G113" s="7"/>
      <c r="H113" s="7"/>
      <c r="I113" s="7"/>
      <c r="J113" s="7"/>
    </row>
    <row r="114" spans="1:10" s="384" customFormat="1" ht="16.5" hidden="1" thickTop="1">
      <c r="B114" s="6"/>
      <c r="C114" s="255">
        <v>8537495</v>
      </c>
      <c r="D114" s="66" t="s">
        <v>161</v>
      </c>
      <c r="E114" s="327">
        <v>0</v>
      </c>
      <c r="F114" s="385"/>
      <c r="G114" s="65" t="s">
        <v>158</v>
      </c>
      <c r="H114" s="7"/>
      <c r="I114" s="12"/>
      <c r="J114" s="12"/>
    </row>
    <row r="115" spans="1:10" s="384" customFormat="1" ht="15.75" hidden="1">
      <c r="C115" s="317">
        <f>C113-C114</f>
        <v>0</v>
      </c>
      <c r="D115" s="66" t="s">
        <v>87</v>
      </c>
      <c r="E115" s="326">
        <f>E113+E114+E99</f>
        <v>-460838.25197602913</v>
      </c>
      <c r="F115" s="385"/>
      <c r="G115" s="8">
        <f>(E99*(D116/12))+(E113*(D116/24))</f>
        <v>-447.28048543835769</v>
      </c>
      <c r="H115" s="7"/>
      <c r="I115" s="8"/>
      <c r="J115" s="10"/>
    </row>
    <row r="116" spans="1:10" s="384" customFormat="1" ht="15.75" hidden="1">
      <c r="C116" s="50"/>
      <c r="D116" s="225">
        <v>0.01</v>
      </c>
      <c r="E116" s="328">
        <f>ROUND(((E99)+(E113)/2)*(D116/12),2)</f>
        <v>-447.28</v>
      </c>
      <c r="F116" s="385"/>
      <c r="G116" s="65"/>
      <c r="H116" s="7"/>
      <c r="I116" s="10"/>
      <c r="J116" s="10"/>
    </row>
    <row r="117" spans="1:10" s="384" customFormat="1" ht="16.5" hidden="1" thickBot="1">
      <c r="A117" s="5"/>
      <c r="B117" s="5"/>
      <c r="C117" s="50" t="s">
        <v>1</v>
      </c>
      <c r="D117" s="143">
        <f>A102</f>
        <v>41333</v>
      </c>
      <c r="E117" s="329">
        <f>SUM(E115:E116)</f>
        <v>-461285.53197602916</v>
      </c>
      <c r="F117" s="385"/>
      <c r="G117" s="7"/>
      <c r="H117" s="7"/>
      <c r="I117" s="8"/>
      <c r="J117" s="7"/>
    </row>
    <row r="118" spans="1:10" s="384" customFormat="1" ht="16.5" hidden="1" thickTop="1" thickBot="1">
      <c r="E118" s="320"/>
    </row>
    <row r="119" spans="1:10" s="384" customFormat="1" ht="15.75" hidden="1">
      <c r="A119" s="73" t="s">
        <v>142</v>
      </c>
      <c r="B119" s="74"/>
      <c r="C119" s="75"/>
      <c r="D119" s="76"/>
      <c r="E119" s="321"/>
      <c r="G119" s="16"/>
      <c r="H119" s="5"/>
      <c r="I119" s="56"/>
      <c r="J119" s="56"/>
    </row>
    <row r="120" spans="1:10" s="384" customFormat="1" ht="15.75" hidden="1">
      <c r="A120" s="219">
        <v>41364</v>
      </c>
      <c r="B120" s="71"/>
      <c r="C120" s="16"/>
      <c r="D120" s="72" t="s">
        <v>23</v>
      </c>
      <c r="E120" s="322" t="s">
        <v>21</v>
      </c>
      <c r="G120" s="5"/>
      <c r="H120" s="5"/>
      <c r="I120" s="8"/>
      <c r="J120" s="10"/>
    </row>
    <row r="121" spans="1:10" s="384" customFormat="1" ht="16.5" hidden="1" thickBot="1">
      <c r="A121" s="14"/>
      <c r="B121" s="18"/>
      <c r="C121" s="131" t="s">
        <v>21</v>
      </c>
      <c r="D121" s="131" t="s">
        <v>22</v>
      </c>
      <c r="E121" s="323" t="s">
        <v>23</v>
      </c>
      <c r="F121" s="385"/>
      <c r="G121" s="7"/>
      <c r="H121" s="7"/>
      <c r="I121" s="10"/>
      <c r="J121" s="10"/>
    </row>
    <row r="122" spans="1:10" s="384" customFormat="1" ht="15.75" hidden="1">
      <c r="A122" s="2" t="s">
        <v>24</v>
      </c>
      <c r="B122" s="17">
        <v>101</v>
      </c>
      <c r="C122" s="252">
        <v>6046642</v>
      </c>
      <c r="D122" s="389">
        <v>1.7780000000000001E-2</v>
      </c>
      <c r="E122" s="324">
        <v>107509.29476</v>
      </c>
      <c r="F122" s="385"/>
      <c r="G122" s="7"/>
      <c r="H122" s="7"/>
      <c r="I122" s="8"/>
      <c r="J122" s="7"/>
    </row>
    <row r="123" spans="1:10" s="384" customFormat="1" ht="16.5" hidden="1" thickBot="1">
      <c r="A123" s="2" t="s">
        <v>24</v>
      </c>
      <c r="B123" s="17">
        <v>111</v>
      </c>
      <c r="C123" s="252">
        <v>2214620</v>
      </c>
      <c r="D123" s="389">
        <v>1.7780000000000001E-2</v>
      </c>
      <c r="E123" s="324">
        <v>39375.943599999999</v>
      </c>
      <c r="F123" s="385"/>
      <c r="G123" s="146">
        <f>A120</f>
        <v>41364</v>
      </c>
      <c r="H123" s="147"/>
      <c r="I123" s="147"/>
      <c r="J123" s="147"/>
    </row>
    <row r="124" spans="1:10" s="384" customFormat="1" ht="16.5" hidden="1" thickBot="1">
      <c r="A124" s="2" t="s">
        <v>24</v>
      </c>
      <c r="B124" s="17">
        <v>112</v>
      </c>
      <c r="C124" s="252"/>
      <c r="D124" s="389"/>
      <c r="E124" s="324">
        <v>0</v>
      </c>
      <c r="F124" s="385"/>
      <c r="G124" s="102" t="s">
        <v>25</v>
      </c>
      <c r="H124" s="148"/>
      <c r="I124" s="149" t="s">
        <v>18</v>
      </c>
      <c r="J124" s="150" t="s">
        <v>19</v>
      </c>
    </row>
    <row r="125" spans="1:10" s="384" customFormat="1" ht="15.75" hidden="1">
      <c r="A125" s="2" t="s">
        <v>24</v>
      </c>
      <c r="B125" s="17">
        <v>121</v>
      </c>
      <c r="C125" s="252"/>
      <c r="D125" s="220"/>
      <c r="E125" s="324">
        <v>0</v>
      </c>
      <c r="F125" s="385"/>
      <c r="G125" s="151" t="s">
        <v>28</v>
      </c>
      <c r="H125" s="152" t="s">
        <v>77</v>
      </c>
      <c r="I125" s="108"/>
      <c r="J125" s="394">
        <v>0</v>
      </c>
    </row>
    <row r="126" spans="1:10" s="384" customFormat="1" ht="15.75" hidden="1">
      <c r="A126" s="2" t="s">
        <v>24</v>
      </c>
      <c r="B126" s="17">
        <v>122</v>
      </c>
      <c r="C126" s="253"/>
      <c r="D126" s="220"/>
      <c r="E126" s="324">
        <v>0</v>
      </c>
      <c r="F126" s="385"/>
      <c r="G126" s="153" t="s">
        <v>29</v>
      </c>
      <c r="H126" s="7" t="s">
        <v>78</v>
      </c>
      <c r="I126" s="395">
        <f>-E134</f>
        <v>323.2</v>
      </c>
      <c r="J126" s="222"/>
    </row>
    <row r="127" spans="1:10" s="384" customFormat="1" ht="15.75" hidden="1">
      <c r="A127" s="2" t="s">
        <v>24</v>
      </c>
      <c r="B127" s="17">
        <v>131</v>
      </c>
      <c r="C127" s="252">
        <v>0</v>
      </c>
      <c r="D127" s="389">
        <v>1.6570000000000001E-2</v>
      </c>
      <c r="E127" s="324">
        <v>0</v>
      </c>
      <c r="F127" s="385"/>
      <c r="G127" s="153" t="s">
        <v>99</v>
      </c>
      <c r="H127" s="7" t="s">
        <v>60</v>
      </c>
      <c r="I127" s="8"/>
      <c r="J127" s="98">
        <f>-E131-E132</f>
        <v>-146885.23836000002</v>
      </c>
    </row>
    <row r="128" spans="1:10" s="384" customFormat="1" ht="15.75" hidden="1">
      <c r="A128" s="2" t="s">
        <v>24</v>
      </c>
      <c r="B128" s="17">
        <v>132</v>
      </c>
      <c r="C128" s="253"/>
      <c r="D128" s="121"/>
      <c r="E128" s="324">
        <v>0</v>
      </c>
      <c r="F128" s="385"/>
      <c r="G128" s="153" t="s">
        <v>10</v>
      </c>
      <c r="H128" s="7" t="s">
        <v>58</v>
      </c>
      <c r="I128" s="7">
        <v>0</v>
      </c>
      <c r="J128" s="109"/>
    </row>
    <row r="129" spans="1:10" s="384" customFormat="1" ht="16.5" hidden="1" thickBot="1">
      <c r="A129" s="2" t="s">
        <v>24</v>
      </c>
      <c r="B129" s="17" t="s">
        <v>61</v>
      </c>
      <c r="C129" s="253"/>
      <c r="D129" s="121"/>
      <c r="E129" s="324">
        <v>0</v>
      </c>
      <c r="F129" s="385"/>
      <c r="G129" s="154" t="s">
        <v>100</v>
      </c>
      <c r="H129" s="147" t="s">
        <v>62</v>
      </c>
      <c r="I129" s="110">
        <f>-E117+E135</f>
        <v>146562.03836000001</v>
      </c>
      <c r="J129" s="107">
        <v>0</v>
      </c>
    </row>
    <row r="130" spans="1:10" s="384" customFormat="1" ht="15.75" hidden="1">
      <c r="A130" s="2" t="s">
        <v>156</v>
      </c>
      <c r="B130" s="70"/>
      <c r="C130" s="251"/>
      <c r="D130" s="136"/>
      <c r="E130" s="325">
        <v>0</v>
      </c>
      <c r="F130" s="385"/>
      <c r="G130" s="7"/>
      <c r="H130" s="7"/>
      <c r="I130" s="8"/>
      <c r="J130" s="260">
        <f>ROUND(SUM(I125:J129),2)</f>
        <v>0</v>
      </c>
    </row>
    <row r="131" spans="1:10" s="384" customFormat="1" ht="16.5" hidden="1" thickBot="1">
      <c r="B131" s="6"/>
      <c r="C131" s="254">
        <f>SUM(C122:C130)</f>
        <v>8261262</v>
      </c>
      <c r="D131" s="155"/>
      <c r="E131" s="326">
        <f>SUM(E122:E130)</f>
        <v>146885.23836000002</v>
      </c>
      <c r="F131" s="385"/>
      <c r="G131" s="7"/>
      <c r="H131" s="7"/>
      <c r="I131" s="7"/>
      <c r="J131" s="7"/>
    </row>
    <row r="132" spans="1:10" s="384" customFormat="1" ht="16.5" hidden="1" thickTop="1">
      <c r="B132" s="6"/>
      <c r="C132" s="255">
        <v>8261262</v>
      </c>
      <c r="D132" s="66" t="s">
        <v>161</v>
      </c>
      <c r="E132" s="327">
        <v>0</v>
      </c>
      <c r="F132" s="385"/>
      <c r="G132" s="65" t="s">
        <v>158</v>
      </c>
      <c r="H132" s="7"/>
      <c r="I132" s="12"/>
      <c r="J132" s="12"/>
    </row>
    <row r="133" spans="1:10" s="384" customFormat="1" ht="15.75" hidden="1">
      <c r="C133" s="317">
        <f>C131-C132</f>
        <v>0</v>
      </c>
      <c r="D133" s="66" t="s">
        <v>87</v>
      </c>
      <c r="E133" s="326">
        <f>E131+E132+E117</f>
        <v>-314400.29361602914</v>
      </c>
      <c r="F133" s="385"/>
      <c r="G133" s="8">
        <f>(E117*(D134/12))+(E131*(D134/24))</f>
        <v>-323.20242733002431</v>
      </c>
      <c r="H133" s="7"/>
      <c r="I133" s="8"/>
      <c r="J133" s="10"/>
    </row>
    <row r="134" spans="1:10" s="384" customFormat="1" ht="15.75" hidden="1">
      <c r="C134" s="50"/>
      <c r="D134" s="225">
        <v>0.01</v>
      </c>
      <c r="E134" s="328">
        <f>ROUND(((E117)+(E131)/2)*(D134/12),2)</f>
        <v>-323.2</v>
      </c>
      <c r="F134" s="385"/>
      <c r="G134" s="65"/>
      <c r="H134" s="7"/>
      <c r="I134" s="10"/>
      <c r="J134" s="10"/>
    </row>
    <row r="135" spans="1:10" s="384" customFormat="1" ht="16.5" hidden="1" thickBot="1">
      <c r="A135" s="5"/>
      <c r="B135" s="5"/>
      <c r="C135" s="50" t="s">
        <v>1</v>
      </c>
      <c r="D135" s="143">
        <f>A120</f>
        <v>41364</v>
      </c>
      <c r="E135" s="329">
        <f>SUM(E133:E134)</f>
        <v>-314723.49361602915</v>
      </c>
      <c r="F135" s="385"/>
      <c r="G135" s="7"/>
      <c r="H135" s="7"/>
      <c r="I135" s="8"/>
      <c r="J135" s="7"/>
    </row>
    <row r="136" spans="1:10" ht="16.5" hidden="1" thickTop="1" thickBot="1">
      <c r="A136" s="384"/>
      <c r="B136" s="384"/>
      <c r="C136" s="384"/>
      <c r="D136" s="384"/>
      <c r="F136" s="384"/>
      <c r="G136" s="384"/>
      <c r="H136" s="384"/>
      <c r="I136" s="384"/>
      <c r="J136" s="384"/>
    </row>
    <row r="137" spans="1:10" ht="15.75" hidden="1">
      <c r="A137" s="73" t="s">
        <v>142</v>
      </c>
      <c r="B137" s="74"/>
      <c r="C137" s="75"/>
      <c r="D137" s="76"/>
      <c r="E137" s="321"/>
      <c r="F137" s="384"/>
      <c r="G137" s="16"/>
      <c r="H137" s="5"/>
      <c r="I137" s="56"/>
      <c r="J137" s="56"/>
    </row>
    <row r="138" spans="1:10" ht="15.75" hidden="1">
      <c r="A138" s="219">
        <v>41394</v>
      </c>
      <c r="B138" s="71"/>
      <c r="C138" s="16"/>
      <c r="D138" s="72" t="s">
        <v>23</v>
      </c>
      <c r="E138" s="322" t="s">
        <v>21</v>
      </c>
      <c r="F138" s="384"/>
      <c r="G138" s="5"/>
      <c r="H138" s="5"/>
      <c r="I138" s="8"/>
      <c r="J138" s="10"/>
    </row>
    <row r="139" spans="1:10" ht="16.5" hidden="1" thickBot="1">
      <c r="A139" s="14"/>
      <c r="B139" s="18"/>
      <c r="C139" s="131" t="s">
        <v>21</v>
      </c>
      <c r="D139" s="131" t="s">
        <v>22</v>
      </c>
      <c r="E139" s="323" t="s">
        <v>23</v>
      </c>
      <c r="F139" s="385"/>
      <c r="G139" s="7"/>
      <c r="H139" s="7"/>
      <c r="I139" s="10"/>
      <c r="J139" s="10"/>
    </row>
    <row r="140" spans="1:10" ht="15.75" hidden="1">
      <c r="A140" s="2" t="s">
        <v>24</v>
      </c>
      <c r="B140" s="17">
        <v>101</v>
      </c>
      <c r="C140" s="252">
        <v>4076497</v>
      </c>
      <c r="D140" s="389">
        <v>1.7780000000000001E-2</v>
      </c>
      <c r="E140" s="324">
        <v>72480.11666</v>
      </c>
      <c r="F140" s="385"/>
      <c r="G140" s="7"/>
      <c r="H140" s="7"/>
      <c r="I140" s="8"/>
      <c r="J140" s="7"/>
    </row>
    <row r="141" spans="1:10" ht="16.5" hidden="1" thickBot="1">
      <c r="A141" s="2" t="s">
        <v>24</v>
      </c>
      <c r="B141" s="17">
        <v>111</v>
      </c>
      <c r="C141" s="252">
        <v>1757142</v>
      </c>
      <c r="D141" s="389">
        <v>1.7780000000000001E-2</v>
      </c>
      <c r="E141" s="324">
        <v>31241.984759999999</v>
      </c>
      <c r="F141" s="385"/>
      <c r="G141" s="146">
        <f>A138</f>
        <v>41394</v>
      </c>
      <c r="H141" s="147"/>
      <c r="I141" s="147"/>
      <c r="J141" s="147"/>
    </row>
    <row r="142" spans="1:10" ht="16.5" hidden="1" thickBot="1">
      <c r="A142" s="2" t="s">
        <v>24</v>
      </c>
      <c r="B142" s="17">
        <v>112</v>
      </c>
      <c r="C142" s="252"/>
      <c r="D142" s="389"/>
      <c r="E142" s="324">
        <v>0</v>
      </c>
      <c r="F142" s="385"/>
      <c r="G142" s="102" t="s">
        <v>25</v>
      </c>
      <c r="H142" s="148"/>
      <c r="I142" s="149" t="s">
        <v>18</v>
      </c>
      <c r="J142" s="150" t="s">
        <v>19</v>
      </c>
    </row>
    <row r="143" spans="1:10" ht="15.75" hidden="1">
      <c r="A143" s="2" t="s">
        <v>24</v>
      </c>
      <c r="B143" s="17">
        <v>121</v>
      </c>
      <c r="C143" s="252"/>
      <c r="D143" s="220"/>
      <c r="E143" s="324">
        <v>0</v>
      </c>
      <c r="F143" s="385"/>
      <c r="G143" s="151" t="s">
        <v>28</v>
      </c>
      <c r="H143" s="152" t="s">
        <v>77</v>
      </c>
      <c r="I143" s="108"/>
      <c r="J143" s="394">
        <v>0</v>
      </c>
    </row>
    <row r="144" spans="1:10" ht="15.75" hidden="1">
      <c r="A144" s="2" t="s">
        <v>24</v>
      </c>
      <c r="B144" s="17">
        <v>122</v>
      </c>
      <c r="C144" s="253"/>
      <c r="D144" s="220"/>
      <c r="E144" s="324">
        <v>0</v>
      </c>
      <c r="F144" s="385"/>
      <c r="G144" s="153" t="s">
        <v>29</v>
      </c>
      <c r="H144" s="7" t="s">
        <v>78</v>
      </c>
      <c r="I144" s="395">
        <f>-E152</f>
        <v>219.05</v>
      </c>
      <c r="J144" s="222"/>
    </row>
    <row r="145" spans="1:10" ht="15.75" hidden="1">
      <c r="A145" s="2" t="s">
        <v>24</v>
      </c>
      <c r="B145" s="17">
        <v>131</v>
      </c>
      <c r="C145" s="252">
        <v>0</v>
      </c>
      <c r="D145" s="389">
        <v>1.6570000000000001E-2</v>
      </c>
      <c r="E145" s="324">
        <v>0</v>
      </c>
      <c r="F145" s="385"/>
      <c r="G145" s="153" t="s">
        <v>99</v>
      </c>
      <c r="H145" s="7" t="s">
        <v>60</v>
      </c>
      <c r="I145" s="8"/>
      <c r="J145" s="98">
        <f>-E149-E150</f>
        <v>-103722.10141999999</v>
      </c>
    </row>
    <row r="146" spans="1:10" ht="15.75" hidden="1">
      <c r="A146" s="2" t="s">
        <v>24</v>
      </c>
      <c r="B146" s="17">
        <v>132</v>
      </c>
      <c r="C146" s="253"/>
      <c r="D146" s="121"/>
      <c r="E146" s="324">
        <v>0</v>
      </c>
      <c r="F146" s="385"/>
      <c r="G146" s="153" t="s">
        <v>10</v>
      </c>
      <c r="H146" s="7" t="s">
        <v>58</v>
      </c>
      <c r="I146" s="7">
        <v>0</v>
      </c>
      <c r="J146" s="109"/>
    </row>
    <row r="147" spans="1:10" ht="16.5" hidden="1" thickBot="1">
      <c r="A147" s="2" t="s">
        <v>24</v>
      </c>
      <c r="B147" s="17" t="s">
        <v>61</v>
      </c>
      <c r="C147" s="253"/>
      <c r="D147" s="121"/>
      <c r="E147" s="324">
        <v>0</v>
      </c>
      <c r="F147" s="385"/>
      <c r="G147" s="154" t="s">
        <v>100</v>
      </c>
      <c r="H147" s="147" t="s">
        <v>62</v>
      </c>
      <c r="I147" s="110">
        <f>-E135+E153</f>
        <v>103503.05142</v>
      </c>
      <c r="J147" s="107">
        <v>0</v>
      </c>
    </row>
    <row r="148" spans="1:10" ht="15.75" hidden="1">
      <c r="A148" s="2" t="s">
        <v>156</v>
      </c>
      <c r="B148" s="70"/>
      <c r="C148" s="251"/>
      <c r="D148" s="136"/>
      <c r="E148" s="325">
        <v>0</v>
      </c>
      <c r="F148" s="385"/>
      <c r="G148" s="7"/>
      <c r="H148" s="7"/>
      <c r="I148" s="8"/>
      <c r="J148" s="260">
        <f>ROUND(SUM(I143:J147),2)</f>
        <v>0</v>
      </c>
    </row>
    <row r="149" spans="1:10" ht="16.5" hidden="1" thickBot="1">
      <c r="A149" s="384"/>
      <c r="B149" s="6"/>
      <c r="C149" s="254">
        <f>SUM(C140:C148)</f>
        <v>5833639</v>
      </c>
      <c r="D149" s="155"/>
      <c r="E149" s="326">
        <f>SUM(E140:E148)</f>
        <v>103722.10141999999</v>
      </c>
      <c r="F149" s="385"/>
      <c r="G149" s="7"/>
      <c r="H149" s="7"/>
      <c r="I149" s="7"/>
      <c r="J149" s="7"/>
    </row>
    <row r="150" spans="1:10" ht="16.5" hidden="1" thickTop="1">
      <c r="A150" s="384"/>
      <c r="B150" s="6"/>
      <c r="C150" s="255">
        <v>5833639</v>
      </c>
      <c r="D150" s="66" t="s">
        <v>161</v>
      </c>
      <c r="E150" s="327">
        <v>0</v>
      </c>
      <c r="F150" s="385"/>
      <c r="G150" s="65" t="s">
        <v>158</v>
      </c>
      <c r="H150" s="7"/>
      <c r="I150" s="12"/>
      <c r="J150" s="12"/>
    </row>
    <row r="151" spans="1:10" ht="15.75" hidden="1">
      <c r="A151" s="384"/>
      <c r="B151" s="384"/>
      <c r="C151" s="317">
        <f>C149-C150</f>
        <v>0</v>
      </c>
      <c r="D151" s="66" t="s">
        <v>87</v>
      </c>
      <c r="E151" s="326">
        <f>E149+E150+E135</f>
        <v>-211001.39219602916</v>
      </c>
      <c r="F151" s="385"/>
      <c r="G151" s="8">
        <f>(E135*(D152/12))+(E149*(D152/24))</f>
        <v>-219.05203575502432</v>
      </c>
      <c r="H151" s="7"/>
      <c r="I151" s="8"/>
      <c r="J151" s="10"/>
    </row>
    <row r="152" spans="1:10" ht="15.75" hidden="1">
      <c r="A152" s="384"/>
      <c r="B152" s="384"/>
      <c r="C152" s="50"/>
      <c r="D152" s="225">
        <v>0.01</v>
      </c>
      <c r="E152" s="328">
        <f>ROUND(((E135)+(E149)/2)*(D152/12),2)</f>
        <v>-219.05</v>
      </c>
      <c r="F152" s="385"/>
      <c r="G152" s="65"/>
      <c r="H152" s="7"/>
      <c r="I152" s="10"/>
      <c r="J152" s="10"/>
    </row>
    <row r="153" spans="1:10" ht="16.5" hidden="1" thickBot="1">
      <c r="A153" s="5"/>
      <c r="B153" s="5"/>
      <c r="C153" s="50" t="s">
        <v>1</v>
      </c>
      <c r="D153" s="143">
        <f>A138</f>
        <v>41394</v>
      </c>
      <c r="E153" s="329">
        <f>SUM(E151:E152)</f>
        <v>-211220.44219602915</v>
      </c>
      <c r="F153" s="385"/>
      <c r="G153" s="7"/>
      <c r="H153" s="7"/>
      <c r="I153" s="8"/>
      <c r="J153" s="7"/>
    </row>
    <row r="154" spans="1:10" s="384" customFormat="1" ht="16.5" hidden="1" thickTop="1" thickBot="1">
      <c r="E154" s="320"/>
    </row>
    <row r="155" spans="1:10" s="384" customFormat="1" ht="15.75" hidden="1">
      <c r="A155" s="73" t="s">
        <v>142</v>
      </c>
      <c r="B155" s="74"/>
      <c r="C155" s="75"/>
      <c r="D155" s="76"/>
      <c r="E155" s="321"/>
      <c r="G155" s="16"/>
      <c r="H155" s="5"/>
      <c r="I155" s="56"/>
      <c r="J155" s="56"/>
    </row>
    <row r="156" spans="1:10" s="384" customFormat="1" ht="15.75" hidden="1">
      <c r="A156" s="219">
        <v>41425</v>
      </c>
      <c r="B156" s="71"/>
      <c r="C156" s="16"/>
      <c r="D156" s="72" t="s">
        <v>23</v>
      </c>
      <c r="E156" s="322" t="s">
        <v>21</v>
      </c>
      <c r="G156" s="5"/>
      <c r="H156" s="5"/>
      <c r="I156" s="8"/>
      <c r="J156" s="10"/>
    </row>
    <row r="157" spans="1:10" s="384" customFormat="1" ht="16.5" hidden="1" thickBot="1">
      <c r="A157" s="14"/>
      <c r="B157" s="18"/>
      <c r="C157" s="131" t="s">
        <v>21</v>
      </c>
      <c r="D157" s="131" t="s">
        <v>22</v>
      </c>
      <c r="E157" s="323" t="s">
        <v>23</v>
      </c>
      <c r="F157" s="385"/>
      <c r="G157" s="7"/>
      <c r="H157" s="7"/>
      <c r="I157" s="10"/>
      <c r="J157" s="10"/>
    </row>
    <row r="158" spans="1:10" s="384" customFormat="1" ht="15.75" hidden="1">
      <c r="A158" s="2" t="s">
        <v>24</v>
      </c>
      <c r="B158" s="17">
        <v>101</v>
      </c>
      <c r="C158" s="252">
        <v>1886293</v>
      </c>
      <c r="D158" s="389">
        <v>1.7780000000000001E-2</v>
      </c>
      <c r="E158" s="324">
        <v>33538.289539999998</v>
      </c>
      <c r="F158" s="385"/>
      <c r="G158" s="7"/>
      <c r="H158" s="7"/>
      <c r="I158" s="8"/>
      <c r="J158" s="7"/>
    </row>
    <row r="159" spans="1:10" s="384" customFormat="1" ht="16.5" hidden="1" thickBot="1">
      <c r="A159" s="2" t="s">
        <v>24</v>
      </c>
      <c r="B159" s="17">
        <v>111</v>
      </c>
      <c r="C159" s="252">
        <v>1075171</v>
      </c>
      <c r="D159" s="389">
        <v>1.7780000000000001E-2</v>
      </c>
      <c r="E159" s="324">
        <v>19116.540380000002</v>
      </c>
      <c r="F159" s="385"/>
      <c r="G159" s="146">
        <f>A156</f>
        <v>41425</v>
      </c>
      <c r="H159" s="147"/>
      <c r="I159" s="147"/>
      <c r="J159" s="147"/>
    </row>
    <row r="160" spans="1:10" s="384" customFormat="1" ht="16.5" hidden="1" thickBot="1">
      <c r="A160" s="2" t="s">
        <v>24</v>
      </c>
      <c r="B160" s="17">
        <v>112</v>
      </c>
      <c r="C160" s="252"/>
      <c r="D160" s="389"/>
      <c r="E160" s="324">
        <v>0</v>
      </c>
      <c r="F160" s="385"/>
      <c r="G160" s="102" t="s">
        <v>25</v>
      </c>
      <c r="H160" s="148"/>
      <c r="I160" s="149" t="s">
        <v>18</v>
      </c>
      <c r="J160" s="150" t="s">
        <v>19</v>
      </c>
    </row>
    <row r="161" spans="1:10" s="384" customFormat="1" ht="15.75" hidden="1">
      <c r="A161" s="2" t="s">
        <v>24</v>
      </c>
      <c r="B161" s="17">
        <v>121</v>
      </c>
      <c r="C161" s="252"/>
      <c r="D161" s="220"/>
      <c r="E161" s="324">
        <v>0</v>
      </c>
      <c r="F161" s="385"/>
      <c r="G161" s="151" t="s">
        <v>28</v>
      </c>
      <c r="H161" s="152" t="s">
        <v>77</v>
      </c>
      <c r="I161" s="108"/>
      <c r="J161" s="394">
        <v>0</v>
      </c>
    </row>
    <row r="162" spans="1:10" s="384" customFormat="1" ht="15.75" hidden="1">
      <c r="A162" s="2" t="s">
        <v>24</v>
      </c>
      <c r="B162" s="17">
        <v>122</v>
      </c>
      <c r="C162" s="253"/>
      <c r="D162" s="220"/>
      <c r="E162" s="324">
        <v>0</v>
      </c>
      <c r="F162" s="385"/>
      <c r="G162" s="153" t="s">
        <v>29</v>
      </c>
      <c r="H162" s="7" t="s">
        <v>78</v>
      </c>
      <c r="I162" s="395">
        <f>-E170</f>
        <v>154.08000000000001</v>
      </c>
      <c r="J162" s="222"/>
    </row>
    <row r="163" spans="1:10" s="384" customFormat="1" ht="15.75" hidden="1">
      <c r="A163" s="2" t="s">
        <v>24</v>
      </c>
      <c r="B163" s="17">
        <v>131</v>
      </c>
      <c r="C163" s="252">
        <v>0</v>
      </c>
      <c r="D163" s="389">
        <v>1.6570000000000001E-2</v>
      </c>
      <c r="E163" s="324">
        <v>0</v>
      </c>
      <c r="F163" s="385"/>
      <c r="G163" s="153" t="s">
        <v>99</v>
      </c>
      <c r="H163" s="7" t="s">
        <v>60</v>
      </c>
      <c r="I163" s="8"/>
      <c r="J163" s="98">
        <f>-E167-E168</f>
        <v>-52654.829920000004</v>
      </c>
    </row>
    <row r="164" spans="1:10" s="384" customFormat="1" ht="15.75" hidden="1">
      <c r="A164" s="2" t="s">
        <v>24</v>
      </c>
      <c r="B164" s="17">
        <v>132</v>
      </c>
      <c r="C164" s="253"/>
      <c r="D164" s="121"/>
      <c r="E164" s="324">
        <v>0</v>
      </c>
      <c r="F164" s="385"/>
      <c r="G164" s="153" t="s">
        <v>10</v>
      </c>
      <c r="H164" s="7" t="s">
        <v>58</v>
      </c>
      <c r="I164" s="7">
        <v>0</v>
      </c>
      <c r="J164" s="109"/>
    </row>
    <row r="165" spans="1:10" s="384" customFormat="1" ht="16.5" hidden="1" thickBot="1">
      <c r="A165" s="2" t="s">
        <v>24</v>
      </c>
      <c r="B165" s="17" t="s">
        <v>61</v>
      </c>
      <c r="C165" s="253"/>
      <c r="D165" s="121"/>
      <c r="E165" s="324">
        <v>0</v>
      </c>
      <c r="F165" s="385"/>
      <c r="G165" s="154" t="s">
        <v>100</v>
      </c>
      <c r="H165" s="147" t="s">
        <v>62</v>
      </c>
      <c r="I165" s="110">
        <f>-E153+E171</f>
        <v>52500.749920000031</v>
      </c>
      <c r="J165" s="107">
        <v>0</v>
      </c>
    </row>
    <row r="166" spans="1:10" s="384" customFormat="1" ht="15.75" hidden="1">
      <c r="A166" s="2" t="s">
        <v>156</v>
      </c>
      <c r="B166" s="70"/>
      <c r="C166" s="251"/>
      <c r="D166" s="136"/>
      <c r="E166" s="325">
        <v>0</v>
      </c>
      <c r="F166" s="385"/>
      <c r="G166" s="7"/>
      <c r="H166" s="7"/>
      <c r="I166" s="8"/>
      <c r="J166" s="260">
        <f>ROUND(SUM(I161:J165),2)</f>
        <v>0</v>
      </c>
    </row>
    <row r="167" spans="1:10" s="384" customFormat="1" ht="16.5" hidden="1" thickBot="1">
      <c r="B167" s="6"/>
      <c r="C167" s="254">
        <f>SUM(C158:C166)</f>
        <v>2961464</v>
      </c>
      <c r="D167" s="155"/>
      <c r="E167" s="326">
        <f>SUM(E158:E166)</f>
        <v>52654.829920000004</v>
      </c>
      <c r="F167" s="385"/>
      <c r="G167" s="7"/>
      <c r="H167" s="7"/>
      <c r="I167" s="7"/>
      <c r="J167" s="7"/>
    </row>
    <row r="168" spans="1:10" s="384" customFormat="1" ht="16.5" hidden="1" thickTop="1">
      <c r="B168" s="6"/>
      <c r="C168" s="255">
        <v>2961464</v>
      </c>
      <c r="D168" s="66" t="s">
        <v>161</v>
      </c>
      <c r="E168" s="327">
        <v>0</v>
      </c>
      <c r="F168" s="385"/>
      <c r="G168" s="65" t="s">
        <v>158</v>
      </c>
      <c r="H168" s="7"/>
      <c r="I168" s="12"/>
      <c r="J168" s="12"/>
    </row>
    <row r="169" spans="1:10" s="384" customFormat="1" ht="15.75" hidden="1">
      <c r="C169" s="317">
        <f>C167-C168</f>
        <v>0</v>
      </c>
      <c r="D169" s="66" t="s">
        <v>87</v>
      </c>
      <c r="E169" s="326">
        <f>E167+E168+E153</f>
        <v>-158565.61227602913</v>
      </c>
      <c r="F169" s="385"/>
      <c r="G169" s="8">
        <f>(E153*(D170/12))+(E167*(D170/24))</f>
        <v>-154.07752269669095</v>
      </c>
      <c r="H169" s="7"/>
      <c r="I169" s="8"/>
      <c r="J169" s="10"/>
    </row>
    <row r="170" spans="1:10" s="384" customFormat="1" ht="15.75" hidden="1">
      <c r="C170" s="50"/>
      <c r="D170" s="225">
        <v>0.01</v>
      </c>
      <c r="E170" s="328">
        <f>ROUND(((E153)+(E167)/2)*(D170/12),2)</f>
        <v>-154.08000000000001</v>
      </c>
      <c r="F170" s="385"/>
      <c r="G170" s="65"/>
      <c r="H170" s="7"/>
      <c r="I170" s="10"/>
      <c r="J170" s="10"/>
    </row>
    <row r="171" spans="1:10" s="384" customFormat="1" ht="16.5" hidden="1" thickBot="1">
      <c r="A171" s="5"/>
      <c r="B171" s="5"/>
      <c r="C171" s="50" t="s">
        <v>1</v>
      </c>
      <c r="D171" s="143">
        <f>A156</f>
        <v>41425</v>
      </c>
      <c r="E171" s="329">
        <f>SUM(E169:E170)</f>
        <v>-158719.69227602912</v>
      </c>
      <c r="F171" s="385"/>
      <c r="G171" s="7"/>
      <c r="H171" s="7"/>
      <c r="I171" s="8"/>
      <c r="J171" s="7"/>
    </row>
    <row r="172" spans="1:10" s="384" customFormat="1" ht="16.5" hidden="1" thickTop="1" thickBot="1">
      <c r="E172" s="320"/>
    </row>
    <row r="173" spans="1:10" s="384" customFormat="1" ht="15.75" hidden="1">
      <c r="A173" s="73" t="s">
        <v>142</v>
      </c>
      <c r="B173" s="74"/>
      <c r="C173" s="75"/>
      <c r="D173" s="76"/>
      <c r="E173" s="321"/>
      <c r="G173" s="16"/>
      <c r="H173" s="5"/>
      <c r="I173" s="56"/>
      <c r="J173" s="56"/>
    </row>
    <row r="174" spans="1:10" s="384" customFormat="1" ht="15.75" hidden="1">
      <c r="A174" s="219">
        <v>41426</v>
      </c>
      <c r="B174" s="71"/>
      <c r="C174" s="16"/>
      <c r="D174" s="72" t="s">
        <v>23</v>
      </c>
      <c r="E174" s="322" t="s">
        <v>21</v>
      </c>
      <c r="G174" s="5"/>
      <c r="H174" s="5"/>
      <c r="I174" s="8"/>
      <c r="J174" s="10"/>
    </row>
    <row r="175" spans="1:10" s="384" customFormat="1" ht="16.5" hidden="1" thickBot="1">
      <c r="A175" s="14"/>
      <c r="B175" s="18"/>
      <c r="C175" s="131" t="s">
        <v>21</v>
      </c>
      <c r="D175" s="131" t="s">
        <v>22</v>
      </c>
      <c r="E175" s="323" t="s">
        <v>23</v>
      </c>
      <c r="F175" s="385"/>
      <c r="G175" s="7"/>
      <c r="H175" s="7"/>
      <c r="I175" s="10"/>
      <c r="J175" s="10"/>
    </row>
    <row r="176" spans="1:10" s="384" customFormat="1" ht="15.75" hidden="1">
      <c r="A176" s="2" t="s">
        <v>24</v>
      </c>
      <c r="B176" s="17">
        <v>101</v>
      </c>
      <c r="C176" s="252">
        <v>1322327</v>
      </c>
      <c r="D176" s="389">
        <v>1.7780000000000001E-2</v>
      </c>
      <c r="E176" s="324">
        <v>23510.97406</v>
      </c>
      <c r="F176" s="385"/>
      <c r="G176" s="7"/>
      <c r="H176" s="7"/>
      <c r="I176" s="8"/>
      <c r="J176" s="7"/>
    </row>
    <row r="177" spans="1:10" s="384" customFormat="1" ht="16.5" hidden="1" thickBot="1">
      <c r="A177" s="2" t="s">
        <v>24</v>
      </c>
      <c r="B177" s="17">
        <v>111</v>
      </c>
      <c r="C177" s="252">
        <v>1044472</v>
      </c>
      <c r="D177" s="389">
        <v>1.7780000000000001E-2</v>
      </c>
      <c r="E177" s="324">
        <v>18570.712159999999</v>
      </c>
      <c r="F177" s="385"/>
      <c r="G177" s="146">
        <f>A174</f>
        <v>41426</v>
      </c>
      <c r="H177" s="147"/>
      <c r="I177" s="147"/>
      <c r="J177" s="147"/>
    </row>
    <row r="178" spans="1:10" s="384" customFormat="1" ht="16.5" hidden="1" thickBot="1">
      <c r="A178" s="2" t="s">
        <v>24</v>
      </c>
      <c r="B178" s="17">
        <v>112</v>
      </c>
      <c r="C178" s="252"/>
      <c r="D178" s="389"/>
      <c r="E178" s="324">
        <v>0</v>
      </c>
      <c r="F178" s="385"/>
      <c r="G178" s="102" t="s">
        <v>25</v>
      </c>
      <c r="H178" s="148"/>
      <c r="I178" s="149" t="s">
        <v>18</v>
      </c>
      <c r="J178" s="150" t="s">
        <v>19</v>
      </c>
    </row>
    <row r="179" spans="1:10" s="384" customFormat="1" ht="15.75" hidden="1">
      <c r="A179" s="2" t="s">
        <v>24</v>
      </c>
      <c r="B179" s="17">
        <v>121</v>
      </c>
      <c r="C179" s="252"/>
      <c r="D179" s="220"/>
      <c r="E179" s="324">
        <v>0</v>
      </c>
      <c r="F179" s="385"/>
      <c r="G179" s="151" t="s">
        <v>28</v>
      </c>
      <c r="H179" s="152" t="s">
        <v>77</v>
      </c>
      <c r="I179" s="108"/>
      <c r="J179" s="394">
        <v>0</v>
      </c>
    </row>
    <row r="180" spans="1:10" s="384" customFormat="1" ht="15.75" hidden="1">
      <c r="A180" s="2" t="s">
        <v>24</v>
      </c>
      <c r="B180" s="17">
        <v>122</v>
      </c>
      <c r="C180" s="253"/>
      <c r="D180" s="220"/>
      <c r="E180" s="324">
        <v>0</v>
      </c>
      <c r="F180" s="385"/>
      <c r="G180" s="153" t="s">
        <v>29</v>
      </c>
      <c r="H180" s="7" t="s">
        <v>78</v>
      </c>
      <c r="I180" s="395">
        <f>-E188</f>
        <v>114.73</v>
      </c>
      <c r="J180" s="222"/>
    </row>
    <row r="181" spans="1:10" s="384" customFormat="1" ht="15.75" hidden="1">
      <c r="A181" s="2" t="s">
        <v>24</v>
      </c>
      <c r="B181" s="17">
        <v>131</v>
      </c>
      <c r="C181" s="252">
        <v>0</v>
      </c>
      <c r="D181" s="389">
        <v>1.6570000000000001E-2</v>
      </c>
      <c r="E181" s="324">
        <v>0</v>
      </c>
      <c r="F181" s="385"/>
      <c r="G181" s="153" t="s">
        <v>99</v>
      </c>
      <c r="H181" s="7" t="s">
        <v>60</v>
      </c>
      <c r="I181" s="8"/>
      <c r="J181" s="98">
        <f>-E185-E186</f>
        <v>-42081.686220000003</v>
      </c>
    </row>
    <row r="182" spans="1:10" s="384" customFormat="1" ht="15.75" hidden="1">
      <c r="A182" s="2" t="s">
        <v>24</v>
      </c>
      <c r="B182" s="17">
        <v>132</v>
      </c>
      <c r="C182" s="253"/>
      <c r="D182" s="121"/>
      <c r="E182" s="324">
        <v>0</v>
      </c>
      <c r="F182" s="385"/>
      <c r="G182" s="153" t="s">
        <v>10</v>
      </c>
      <c r="H182" s="7" t="s">
        <v>58</v>
      </c>
      <c r="I182" s="7">
        <v>0</v>
      </c>
      <c r="J182" s="109"/>
    </row>
    <row r="183" spans="1:10" s="384" customFormat="1" ht="16.5" hidden="1" thickBot="1">
      <c r="A183" s="2" t="s">
        <v>24</v>
      </c>
      <c r="B183" s="17" t="s">
        <v>61</v>
      </c>
      <c r="C183" s="253"/>
      <c r="D183" s="121"/>
      <c r="E183" s="324">
        <v>0</v>
      </c>
      <c r="F183" s="385"/>
      <c r="G183" s="154" t="s">
        <v>100</v>
      </c>
      <c r="H183" s="147" t="s">
        <v>62</v>
      </c>
      <c r="I183" s="110">
        <f>-E171+E189</f>
        <v>41966.956220000007</v>
      </c>
      <c r="J183" s="107">
        <v>0</v>
      </c>
    </row>
    <row r="184" spans="1:10" s="384" customFormat="1" ht="15.75" hidden="1">
      <c r="A184" s="2" t="s">
        <v>156</v>
      </c>
      <c r="B184" s="70"/>
      <c r="C184" s="251"/>
      <c r="D184" s="136"/>
      <c r="E184" s="325">
        <v>0</v>
      </c>
      <c r="F184" s="385"/>
      <c r="G184" s="7"/>
      <c r="H184" s="7"/>
      <c r="I184" s="8"/>
      <c r="J184" s="260">
        <f>ROUND(SUM(I179:J183),2)</f>
        <v>0</v>
      </c>
    </row>
    <row r="185" spans="1:10" s="384" customFormat="1" ht="16.5" hidden="1" thickBot="1">
      <c r="B185" s="6"/>
      <c r="C185" s="254">
        <f>SUM(C176:C184)</f>
        <v>2366799</v>
      </c>
      <c r="D185" s="155"/>
      <c r="E185" s="326">
        <f>SUM(E176:E184)</f>
        <v>42081.686220000003</v>
      </c>
      <c r="F185" s="385"/>
      <c r="G185" s="7"/>
      <c r="H185" s="7"/>
      <c r="I185" s="7"/>
      <c r="J185" s="7"/>
    </row>
    <row r="186" spans="1:10" s="384" customFormat="1" ht="16.5" hidden="1" thickTop="1">
      <c r="B186" s="6"/>
      <c r="C186" s="255">
        <v>2366799</v>
      </c>
      <c r="D186" s="66" t="s">
        <v>161</v>
      </c>
      <c r="E186" s="327">
        <v>0</v>
      </c>
      <c r="F186" s="385"/>
      <c r="G186" s="65" t="s">
        <v>158</v>
      </c>
      <c r="H186" s="7"/>
      <c r="I186" s="12"/>
      <c r="J186" s="12"/>
    </row>
    <row r="187" spans="1:10" s="384" customFormat="1" ht="15.75" hidden="1">
      <c r="C187" s="317">
        <f>C185-C186</f>
        <v>0</v>
      </c>
      <c r="D187" s="66" t="s">
        <v>87</v>
      </c>
      <c r="E187" s="326">
        <f>E185+E186+E171</f>
        <v>-116638.00605602912</v>
      </c>
      <c r="F187" s="385"/>
      <c r="G187" s="8">
        <f>(E171*(D188/12))+(E185*(D188/24))</f>
        <v>-114.73237430502427</v>
      </c>
      <c r="H187" s="7"/>
      <c r="I187" s="8"/>
      <c r="J187" s="10"/>
    </row>
    <row r="188" spans="1:10" s="384" customFormat="1" ht="15.75" hidden="1">
      <c r="C188" s="50"/>
      <c r="D188" s="225">
        <v>0.01</v>
      </c>
      <c r="E188" s="328">
        <f>ROUND(((E171)+(E185)/2)*(D188/12),2)</f>
        <v>-114.73</v>
      </c>
      <c r="F188" s="385"/>
      <c r="G188" s="65"/>
      <c r="H188" s="7"/>
      <c r="I188" s="10"/>
      <c r="J188" s="10"/>
    </row>
    <row r="189" spans="1:10" s="384" customFormat="1" ht="16.5" thickBot="1">
      <c r="A189" s="5"/>
      <c r="B189" s="5"/>
      <c r="C189" s="50" t="s">
        <v>1</v>
      </c>
      <c r="D189" s="143">
        <f>A174</f>
        <v>41426</v>
      </c>
      <c r="E189" s="329">
        <f>SUM(E187:E188)</f>
        <v>-116752.73605602911</v>
      </c>
      <c r="F189" s="385"/>
      <c r="G189" s="7"/>
      <c r="H189" s="7"/>
      <c r="I189" s="8"/>
      <c r="J189" s="7"/>
    </row>
    <row r="190" spans="1:10" s="384" customFormat="1" ht="16.5" thickTop="1" thickBot="1">
      <c r="E190" s="320"/>
    </row>
    <row r="191" spans="1:10" s="384" customFormat="1" ht="15.75">
      <c r="A191" s="73" t="s">
        <v>142</v>
      </c>
      <c r="B191" s="74"/>
      <c r="C191" s="75"/>
      <c r="D191" s="76"/>
      <c r="E191" s="321"/>
      <c r="G191" s="16"/>
      <c r="H191" s="5"/>
      <c r="I191" s="56"/>
      <c r="J191" s="56"/>
    </row>
    <row r="192" spans="1:10" s="384" customFormat="1" ht="15.75">
      <c r="A192" s="219">
        <v>41456</v>
      </c>
      <c r="B192" s="71"/>
      <c r="C192" s="16"/>
      <c r="D192" s="72" t="s">
        <v>23</v>
      </c>
      <c r="E192" s="322" t="s">
        <v>21</v>
      </c>
      <c r="G192" s="5"/>
      <c r="H192" s="5"/>
      <c r="I192" s="8"/>
      <c r="J192" s="10"/>
    </row>
    <row r="193" spans="1:10" s="384" customFormat="1" ht="16.5" thickBot="1">
      <c r="A193" s="14"/>
      <c r="B193" s="18"/>
      <c r="C193" s="131" t="s">
        <v>21</v>
      </c>
      <c r="D193" s="131" t="s">
        <v>22</v>
      </c>
      <c r="E193" s="323" t="s">
        <v>23</v>
      </c>
      <c r="F193" s="385"/>
      <c r="G193" s="7"/>
      <c r="H193" s="7"/>
      <c r="I193" s="10"/>
      <c r="J193" s="10"/>
    </row>
    <row r="194" spans="1:10" s="384" customFormat="1" ht="15.75">
      <c r="A194" s="2" t="s">
        <v>24</v>
      </c>
      <c r="B194" s="17">
        <v>101</v>
      </c>
      <c r="C194" s="252">
        <v>970543</v>
      </c>
      <c r="D194" s="389">
        <v>1.7780000000000001E-2</v>
      </c>
      <c r="E194" s="324">
        <v>17256.254540000002</v>
      </c>
      <c r="F194" s="385"/>
      <c r="G194" s="7"/>
      <c r="H194" s="7"/>
      <c r="I194" s="8"/>
      <c r="J194" s="7"/>
    </row>
    <row r="195" spans="1:10" s="384" customFormat="1" ht="16.5" thickBot="1">
      <c r="A195" s="2" t="s">
        <v>24</v>
      </c>
      <c r="B195" s="17">
        <v>111</v>
      </c>
      <c r="C195" s="252">
        <v>805059</v>
      </c>
      <c r="D195" s="389">
        <v>1.7780000000000001E-2</v>
      </c>
      <c r="E195" s="324">
        <v>14313.94902</v>
      </c>
      <c r="F195" s="385"/>
      <c r="G195" s="146">
        <f>A192</f>
        <v>41456</v>
      </c>
      <c r="H195" s="147"/>
      <c r="I195" s="147"/>
      <c r="J195" s="147"/>
    </row>
    <row r="196" spans="1:10" s="384" customFormat="1" ht="16.5" thickBot="1">
      <c r="A196" s="2" t="s">
        <v>24</v>
      </c>
      <c r="B196" s="17">
        <v>112</v>
      </c>
      <c r="C196" s="252"/>
      <c r="D196" s="389"/>
      <c r="E196" s="324">
        <v>0</v>
      </c>
      <c r="F196" s="385"/>
      <c r="G196" s="102" t="s">
        <v>25</v>
      </c>
      <c r="H196" s="148"/>
      <c r="I196" s="149" t="s">
        <v>18</v>
      </c>
      <c r="J196" s="150" t="s">
        <v>19</v>
      </c>
    </row>
    <row r="197" spans="1:10" s="384" customFormat="1" ht="15.75">
      <c r="A197" s="2" t="s">
        <v>24</v>
      </c>
      <c r="B197" s="17">
        <v>121</v>
      </c>
      <c r="C197" s="252"/>
      <c r="D197" s="220"/>
      <c r="E197" s="324">
        <v>0</v>
      </c>
      <c r="F197" s="385"/>
      <c r="G197" s="151" t="s">
        <v>28</v>
      </c>
      <c r="H197" s="152" t="s">
        <v>77</v>
      </c>
      <c r="I197" s="108"/>
      <c r="J197" s="394">
        <v>0</v>
      </c>
    </row>
    <row r="198" spans="1:10" s="384" customFormat="1" ht="15.75">
      <c r="A198" s="2" t="s">
        <v>24</v>
      </c>
      <c r="B198" s="17">
        <v>122</v>
      </c>
      <c r="C198" s="253"/>
      <c r="D198" s="220"/>
      <c r="E198" s="324">
        <v>0</v>
      </c>
      <c r="F198" s="385"/>
      <c r="G198" s="153" t="s">
        <v>29</v>
      </c>
      <c r="H198" s="7" t="s">
        <v>78</v>
      </c>
      <c r="I198" s="395">
        <f>-E206</f>
        <v>84.14</v>
      </c>
      <c r="J198" s="222"/>
    </row>
    <row r="199" spans="1:10" s="384" customFormat="1" ht="15.75">
      <c r="A199" s="2" t="s">
        <v>24</v>
      </c>
      <c r="B199" s="17">
        <v>131</v>
      </c>
      <c r="C199" s="252">
        <v>0</v>
      </c>
      <c r="D199" s="389">
        <v>1.6570000000000001E-2</v>
      </c>
      <c r="E199" s="324">
        <v>0</v>
      </c>
      <c r="F199" s="385"/>
      <c r="G199" s="153" t="s">
        <v>99</v>
      </c>
      <c r="H199" s="7" t="s">
        <v>60</v>
      </c>
      <c r="I199" s="8"/>
      <c r="J199" s="98">
        <f>-E203-E204</f>
        <v>-31570.203560000002</v>
      </c>
    </row>
    <row r="200" spans="1:10" s="384" customFormat="1" ht="15.75">
      <c r="A200" s="2" t="s">
        <v>24</v>
      </c>
      <c r="B200" s="17">
        <v>132</v>
      </c>
      <c r="C200" s="253"/>
      <c r="D200" s="121"/>
      <c r="E200" s="324">
        <v>0</v>
      </c>
      <c r="F200" s="385"/>
      <c r="G200" s="153" t="s">
        <v>10</v>
      </c>
      <c r="H200" s="7" t="s">
        <v>58</v>
      </c>
      <c r="I200" s="7">
        <v>0</v>
      </c>
      <c r="J200" s="109"/>
    </row>
    <row r="201" spans="1:10" s="384" customFormat="1" ht="16.5" thickBot="1">
      <c r="A201" s="2" t="s">
        <v>24</v>
      </c>
      <c r="B201" s="17" t="s">
        <v>61</v>
      </c>
      <c r="C201" s="253"/>
      <c r="D201" s="121"/>
      <c r="E201" s="324">
        <v>0</v>
      </c>
      <c r="F201" s="385"/>
      <c r="G201" s="154" t="s">
        <v>100</v>
      </c>
      <c r="H201" s="147" t="s">
        <v>62</v>
      </c>
      <c r="I201" s="110">
        <f>-E189+E207</f>
        <v>31486.06356000001</v>
      </c>
      <c r="J201" s="107">
        <v>0</v>
      </c>
    </row>
    <row r="202" spans="1:10" s="384" customFormat="1" ht="15.75">
      <c r="A202" s="2" t="s">
        <v>156</v>
      </c>
      <c r="B202" s="70"/>
      <c r="C202" s="251"/>
      <c r="D202" s="136"/>
      <c r="E202" s="325">
        <v>0</v>
      </c>
      <c r="F202" s="385"/>
      <c r="G202" s="7"/>
      <c r="H202" s="7"/>
      <c r="I202" s="8"/>
      <c r="J202" s="260">
        <f>ROUND(SUM(I197:J201),2)</f>
        <v>0</v>
      </c>
    </row>
    <row r="203" spans="1:10" s="384" customFormat="1" ht="16.5" thickBot="1">
      <c r="B203" s="6"/>
      <c r="C203" s="254">
        <f>SUM(C194:C202)</f>
        <v>1775602</v>
      </c>
      <c r="D203" s="155"/>
      <c r="E203" s="326">
        <f>SUM(E194:E202)</f>
        <v>31570.203560000002</v>
      </c>
      <c r="F203" s="385"/>
      <c r="G203" s="7"/>
      <c r="H203" s="7"/>
      <c r="I203" s="7"/>
      <c r="J203" s="7"/>
    </row>
    <row r="204" spans="1:10" s="384" customFormat="1" ht="16.5" thickTop="1">
      <c r="B204" s="6"/>
      <c r="C204" s="255">
        <v>1775602</v>
      </c>
      <c r="D204" s="66" t="s">
        <v>161</v>
      </c>
      <c r="E204" s="327">
        <v>0</v>
      </c>
      <c r="F204" s="385"/>
      <c r="G204" s="65" t="s">
        <v>158</v>
      </c>
      <c r="H204" s="7"/>
      <c r="I204" s="12"/>
      <c r="J204" s="12"/>
    </row>
    <row r="205" spans="1:10" s="384" customFormat="1" ht="15.75">
      <c r="C205" s="317">
        <f>C203-C204</f>
        <v>0</v>
      </c>
      <c r="D205" s="66" t="s">
        <v>87</v>
      </c>
      <c r="E205" s="326">
        <f>E203+E204+E189</f>
        <v>-85182.532496029104</v>
      </c>
      <c r="F205" s="385"/>
      <c r="G205" s="8">
        <f>(E189*(D206/12))+(E203*(D206/24))</f>
        <v>-84.139695230024259</v>
      </c>
      <c r="H205" s="7"/>
      <c r="I205" s="8"/>
      <c r="J205" s="10"/>
    </row>
    <row r="206" spans="1:10" s="384" customFormat="1" ht="15.75">
      <c r="C206" s="50"/>
      <c r="D206" s="225">
        <v>0.01</v>
      </c>
      <c r="E206" s="328">
        <f>ROUND(((E189)+(E203)/2)*(D206/12),2)</f>
        <v>-84.14</v>
      </c>
      <c r="F206" s="385"/>
      <c r="G206" s="65"/>
      <c r="H206" s="7"/>
      <c r="I206" s="10"/>
      <c r="J206" s="10"/>
    </row>
    <row r="207" spans="1:10" s="384" customFormat="1" ht="16.5" thickBot="1">
      <c r="A207" s="5"/>
      <c r="B207" s="5"/>
      <c r="C207" s="50" t="s">
        <v>1</v>
      </c>
      <c r="D207" s="143">
        <f>A192</f>
        <v>41456</v>
      </c>
      <c r="E207" s="329">
        <f>SUM(E205:E206)</f>
        <v>-85266.672496029103</v>
      </c>
      <c r="F207" s="385"/>
      <c r="G207" s="7"/>
      <c r="H207" s="7"/>
      <c r="I207" s="8"/>
      <c r="J207" s="7"/>
    </row>
    <row r="208" spans="1:10" ht="16.5" thickTop="1" thickBot="1"/>
    <row r="209" spans="1:10" s="384" customFormat="1" ht="15.75">
      <c r="A209" s="73" t="s">
        <v>142</v>
      </c>
      <c r="B209" s="74"/>
      <c r="C209" s="75"/>
      <c r="D209" s="76"/>
      <c r="E209" s="321"/>
      <c r="G209" s="16"/>
      <c r="H209" s="5"/>
      <c r="I209" s="56"/>
      <c r="J209" s="56"/>
    </row>
    <row r="210" spans="1:10" s="384" customFormat="1" ht="15.75">
      <c r="A210" s="219">
        <v>41487</v>
      </c>
      <c r="B210" s="71"/>
      <c r="C210" s="16"/>
      <c r="D210" s="72" t="s">
        <v>23</v>
      </c>
      <c r="E210" s="322" t="s">
        <v>21</v>
      </c>
      <c r="G210" s="5"/>
      <c r="H210" s="5"/>
      <c r="I210" s="8"/>
      <c r="J210" s="10"/>
    </row>
    <row r="211" spans="1:10" s="384" customFormat="1" ht="16.5" thickBot="1">
      <c r="A211" s="14"/>
      <c r="B211" s="18"/>
      <c r="C211" s="131" t="s">
        <v>21</v>
      </c>
      <c r="D211" s="131" t="s">
        <v>22</v>
      </c>
      <c r="E211" s="323" t="s">
        <v>23</v>
      </c>
      <c r="F211" s="385"/>
      <c r="G211" s="7"/>
      <c r="H211" s="7"/>
      <c r="I211" s="10"/>
      <c r="J211" s="10"/>
    </row>
    <row r="212" spans="1:10" s="384" customFormat="1" ht="15.75">
      <c r="A212" s="2" t="s">
        <v>24</v>
      </c>
      <c r="B212" s="17">
        <v>101</v>
      </c>
      <c r="C212" s="252">
        <v>985214</v>
      </c>
      <c r="D212" s="389">
        <v>1.7780000000000001E-2</v>
      </c>
      <c r="E212" s="324">
        <v>17517.104920000002</v>
      </c>
      <c r="F212" s="385"/>
      <c r="G212" s="7"/>
      <c r="H212" s="7"/>
      <c r="I212" s="8"/>
      <c r="J212" s="7"/>
    </row>
    <row r="213" spans="1:10" s="384" customFormat="1" ht="16.5" thickBot="1">
      <c r="A213" s="2" t="s">
        <v>24</v>
      </c>
      <c r="B213" s="17">
        <v>111</v>
      </c>
      <c r="C213" s="252">
        <v>994287</v>
      </c>
      <c r="D213" s="389">
        <v>1.7780000000000001E-2</v>
      </c>
      <c r="E213" s="324">
        <v>17678.422860000002</v>
      </c>
      <c r="F213" s="385"/>
      <c r="G213" s="146">
        <f>A210</f>
        <v>41487</v>
      </c>
      <c r="H213" s="147"/>
      <c r="I213" s="147"/>
      <c r="J213" s="147"/>
    </row>
    <row r="214" spans="1:10" s="384" customFormat="1" ht="16.5" thickBot="1">
      <c r="A214" s="2" t="s">
        <v>24</v>
      </c>
      <c r="B214" s="17">
        <v>112</v>
      </c>
      <c r="C214" s="252"/>
      <c r="D214" s="389"/>
      <c r="E214" s="324">
        <v>0</v>
      </c>
      <c r="F214" s="385"/>
      <c r="G214" s="102" t="s">
        <v>25</v>
      </c>
      <c r="H214" s="148"/>
      <c r="I214" s="149" t="s">
        <v>18</v>
      </c>
      <c r="J214" s="150" t="s">
        <v>19</v>
      </c>
    </row>
    <row r="215" spans="1:10" s="384" customFormat="1" ht="15.75">
      <c r="A215" s="2" t="s">
        <v>24</v>
      </c>
      <c r="B215" s="17">
        <v>121</v>
      </c>
      <c r="C215" s="252"/>
      <c r="D215" s="220"/>
      <c r="E215" s="324">
        <v>0</v>
      </c>
      <c r="F215" s="385"/>
      <c r="G215" s="151" t="s">
        <v>28</v>
      </c>
      <c r="H215" s="152" t="s">
        <v>77</v>
      </c>
      <c r="I215" s="108"/>
      <c r="J215" s="394">
        <v>0</v>
      </c>
    </row>
    <row r="216" spans="1:10" s="384" customFormat="1" ht="15.75">
      <c r="A216" s="2" t="s">
        <v>24</v>
      </c>
      <c r="B216" s="17">
        <v>122</v>
      </c>
      <c r="C216" s="253"/>
      <c r="D216" s="220"/>
      <c r="E216" s="324">
        <v>0</v>
      </c>
      <c r="F216" s="385"/>
      <c r="G216" s="153" t="s">
        <v>29</v>
      </c>
      <c r="H216" s="7" t="s">
        <v>78</v>
      </c>
      <c r="I216" s="395">
        <f>-E224</f>
        <v>56.39</v>
      </c>
      <c r="J216" s="222"/>
    </row>
    <row r="217" spans="1:10" s="384" customFormat="1" ht="15.75">
      <c r="A217" s="2" t="s">
        <v>24</v>
      </c>
      <c r="B217" s="17">
        <v>131</v>
      </c>
      <c r="C217" s="252">
        <v>0</v>
      </c>
      <c r="D217" s="389">
        <v>1.6570000000000001E-2</v>
      </c>
      <c r="E217" s="324">
        <v>0</v>
      </c>
      <c r="F217" s="385"/>
      <c r="G217" s="153" t="s">
        <v>99</v>
      </c>
      <c r="H217" s="7" t="s">
        <v>60</v>
      </c>
      <c r="I217" s="8"/>
      <c r="J217" s="98">
        <f>-E221-E222</f>
        <v>-35195.527780000004</v>
      </c>
    </row>
    <row r="218" spans="1:10" s="384" customFormat="1" ht="15.75">
      <c r="A218" s="2" t="s">
        <v>24</v>
      </c>
      <c r="B218" s="17">
        <v>132</v>
      </c>
      <c r="C218" s="253"/>
      <c r="D218" s="121"/>
      <c r="E218" s="324">
        <v>0</v>
      </c>
      <c r="F218" s="385"/>
      <c r="G218" s="153" t="s">
        <v>10</v>
      </c>
      <c r="H218" s="7" t="s">
        <v>58</v>
      </c>
      <c r="I218" s="7">
        <v>0</v>
      </c>
      <c r="J218" s="109"/>
    </row>
    <row r="219" spans="1:10" s="384" customFormat="1" ht="16.5" thickBot="1">
      <c r="A219" s="2" t="s">
        <v>24</v>
      </c>
      <c r="B219" s="17" t="s">
        <v>61</v>
      </c>
      <c r="C219" s="253"/>
      <c r="D219" s="121"/>
      <c r="E219" s="324">
        <v>0</v>
      </c>
      <c r="F219" s="385"/>
      <c r="G219" s="154" t="s">
        <v>100</v>
      </c>
      <c r="H219" s="147" t="s">
        <v>62</v>
      </c>
      <c r="I219" s="110">
        <f>-E207+E225</f>
        <v>35139.137780000005</v>
      </c>
      <c r="J219" s="107">
        <v>0</v>
      </c>
    </row>
    <row r="220" spans="1:10" s="384" customFormat="1" ht="15.75">
      <c r="A220" s="2" t="s">
        <v>156</v>
      </c>
      <c r="B220" s="70"/>
      <c r="C220" s="251"/>
      <c r="D220" s="136"/>
      <c r="E220" s="325">
        <v>0</v>
      </c>
      <c r="F220" s="385"/>
      <c r="G220" s="7"/>
      <c r="H220" s="7"/>
      <c r="I220" s="8"/>
      <c r="J220" s="260">
        <f>ROUND(SUM(I215:J219),2)</f>
        <v>0</v>
      </c>
    </row>
    <row r="221" spans="1:10" s="384" customFormat="1" ht="16.5" thickBot="1">
      <c r="B221" s="6"/>
      <c r="C221" s="254">
        <f>SUM(C212:C220)</f>
        <v>1979501</v>
      </c>
      <c r="D221" s="155"/>
      <c r="E221" s="326">
        <f>SUM(E212:E220)</f>
        <v>35195.527780000004</v>
      </c>
      <c r="F221" s="385"/>
      <c r="G221" s="7"/>
      <c r="H221" s="7"/>
      <c r="I221" s="7"/>
      <c r="J221" s="7"/>
    </row>
    <row r="222" spans="1:10" s="384" customFormat="1" ht="16.5" thickTop="1">
      <c r="B222" s="6"/>
      <c r="C222" s="255">
        <v>1979501</v>
      </c>
      <c r="D222" s="66" t="s">
        <v>161</v>
      </c>
      <c r="E222" s="327">
        <v>0</v>
      </c>
      <c r="F222" s="385"/>
      <c r="G222" s="65" t="s">
        <v>158</v>
      </c>
      <c r="H222" s="7"/>
      <c r="I222" s="12"/>
      <c r="J222" s="12"/>
    </row>
    <row r="223" spans="1:10" s="384" customFormat="1" ht="15.75">
      <c r="C223" s="317">
        <f>C221-C222</f>
        <v>0</v>
      </c>
      <c r="D223" s="66" t="s">
        <v>87</v>
      </c>
      <c r="E223" s="326">
        <f>E221+E222+E207</f>
        <v>-50071.144716029099</v>
      </c>
      <c r="F223" s="385"/>
      <c r="G223" s="8">
        <f>(E207*(D224/12))+(E221*(D224/24))</f>
        <v>-56.390757171690929</v>
      </c>
      <c r="H223" s="7"/>
      <c r="I223" s="8"/>
      <c r="J223" s="10"/>
    </row>
    <row r="224" spans="1:10" s="384" customFormat="1" ht="15.75">
      <c r="C224" s="50"/>
      <c r="D224" s="225">
        <v>0.01</v>
      </c>
      <c r="E224" s="328">
        <f>ROUND(((E207)+(E221)/2)*(D224/12),2)</f>
        <v>-56.39</v>
      </c>
      <c r="F224" s="385"/>
      <c r="G224" s="65"/>
      <c r="H224" s="7"/>
      <c r="I224" s="10"/>
      <c r="J224" s="10"/>
    </row>
    <row r="225" spans="1:10" s="384" customFormat="1" ht="16.5" thickBot="1">
      <c r="A225" s="5"/>
      <c r="B225" s="5"/>
      <c r="C225" s="50" t="s">
        <v>1</v>
      </c>
      <c r="D225" s="143">
        <f>A210</f>
        <v>41487</v>
      </c>
      <c r="E225" s="329">
        <f>SUM(E223:E224)</f>
        <v>-50127.534716029098</v>
      </c>
      <c r="F225" s="385"/>
      <c r="G225" s="7"/>
      <c r="H225" s="7"/>
      <c r="I225" s="8"/>
      <c r="J225" s="7"/>
    </row>
    <row r="226" spans="1:10" ht="16.5" thickTop="1" thickBot="1"/>
    <row r="227" spans="1:10" s="384" customFormat="1" ht="15.75">
      <c r="A227" s="73" t="s">
        <v>142</v>
      </c>
      <c r="B227" s="74"/>
      <c r="C227" s="75"/>
      <c r="D227" s="76"/>
      <c r="E227" s="321"/>
      <c r="G227" s="16"/>
      <c r="H227" s="5"/>
      <c r="I227" s="56"/>
      <c r="J227" s="56"/>
    </row>
    <row r="228" spans="1:10" s="384" customFormat="1" ht="15.75">
      <c r="A228" s="219">
        <v>41518</v>
      </c>
      <c r="B228" s="71"/>
      <c r="C228" s="16"/>
      <c r="D228" s="72" t="s">
        <v>23</v>
      </c>
      <c r="E228" s="322" t="s">
        <v>21</v>
      </c>
      <c r="G228" s="5"/>
      <c r="H228" s="5"/>
      <c r="I228" s="8"/>
      <c r="J228" s="10"/>
    </row>
    <row r="229" spans="1:10" s="384" customFormat="1" ht="16.5" thickBot="1">
      <c r="A229" s="14"/>
      <c r="B229" s="18"/>
      <c r="C229" s="131" t="s">
        <v>21</v>
      </c>
      <c r="D229" s="131" t="s">
        <v>22</v>
      </c>
      <c r="E229" s="323" t="s">
        <v>23</v>
      </c>
      <c r="F229" s="385"/>
      <c r="G229" s="7"/>
      <c r="H229" s="7"/>
      <c r="I229" s="10"/>
      <c r="J229" s="10"/>
    </row>
    <row r="230" spans="1:10" s="384" customFormat="1" ht="15.75">
      <c r="A230" s="2" t="s">
        <v>24</v>
      </c>
      <c r="B230" s="17">
        <v>101</v>
      </c>
      <c r="C230" s="252">
        <v>1338764</v>
      </c>
      <c r="D230" s="389">
        <v>1.7780000000000001E-2</v>
      </c>
      <c r="E230" s="324">
        <v>23803.22392</v>
      </c>
      <c r="F230" s="385"/>
      <c r="G230" s="7"/>
      <c r="H230" s="7"/>
      <c r="I230" s="8"/>
      <c r="J230" s="7"/>
    </row>
    <row r="231" spans="1:10" s="384" customFormat="1" ht="16.5" thickBot="1">
      <c r="A231" s="2" t="s">
        <v>24</v>
      </c>
      <c r="B231" s="17">
        <v>111</v>
      </c>
      <c r="C231" s="252">
        <v>1168974</v>
      </c>
      <c r="D231" s="389">
        <v>1.7780000000000001E-2</v>
      </c>
      <c r="E231" s="324">
        <v>20784.35772</v>
      </c>
      <c r="F231" s="385"/>
      <c r="G231" s="146">
        <f>A228</f>
        <v>41518</v>
      </c>
      <c r="H231" s="147"/>
      <c r="I231" s="147"/>
      <c r="J231" s="147"/>
    </row>
    <row r="232" spans="1:10" s="384" customFormat="1" ht="16.5" thickBot="1">
      <c r="A232" s="2" t="s">
        <v>24</v>
      </c>
      <c r="B232" s="17">
        <v>112</v>
      </c>
      <c r="C232" s="252"/>
      <c r="D232" s="389"/>
      <c r="E232" s="324">
        <v>0</v>
      </c>
      <c r="F232" s="385"/>
      <c r="G232" s="102" t="s">
        <v>25</v>
      </c>
      <c r="H232" s="148"/>
      <c r="I232" s="149" t="s">
        <v>18</v>
      </c>
      <c r="J232" s="150" t="s">
        <v>19</v>
      </c>
    </row>
    <row r="233" spans="1:10" s="384" customFormat="1" ht="15.75">
      <c r="A233" s="2" t="s">
        <v>24</v>
      </c>
      <c r="B233" s="17">
        <v>121</v>
      </c>
      <c r="C233" s="252"/>
      <c r="D233" s="220"/>
      <c r="E233" s="324">
        <v>0</v>
      </c>
      <c r="F233" s="385"/>
      <c r="G233" s="151" t="s">
        <v>28</v>
      </c>
      <c r="H233" s="152" t="s">
        <v>77</v>
      </c>
      <c r="I233" s="108"/>
      <c r="J233" s="394">
        <v>0</v>
      </c>
    </row>
    <row r="234" spans="1:10" s="384" customFormat="1" ht="15.75">
      <c r="A234" s="2" t="s">
        <v>24</v>
      </c>
      <c r="B234" s="17">
        <v>122</v>
      </c>
      <c r="C234" s="253"/>
      <c r="D234" s="220"/>
      <c r="E234" s="324">
        <v>0</v>
      </c>
      <c r="F234" s="385"/>
      <c r="G234" s="153" t="s">
        <v>29</v>
      </c>
      <c r="H234" s="7" t="s">
        <v>78</v>
      </c>
      <c r="I234" s="395">
        <f>-E242</f>
        <v>23.19</v>
      </c>
      <c r="J234" s="222"/>
    </row>
    <row r="235" spans="1:10" s="384" customFormat="1" ht="15.75">
      <c r="A235" s="2" t="s">
        <v>24</v>
      </c>
      <c r="B235" s="17">
        <v>131</v>
      </c>
      <c r="C235" s="252">
        <v>0</v>
      </c>
      <c r="D235" s="389">
        <v>1.6570000000000001E-2</v>
      </c>
      <c r="E235" s="324">
        <v>0</v>
      </c>
      <c r="F235" s="385"/>
      <c r="G235" s="153" t="s">
        <v>99</v>
      </c>
      <c r="H235" s="7" t="s">
        <v>60</v>
      </c>
      <c r="I235" s="8"/>
      <c r="J235" s="98">
        <f>-E239-E240</f>
        <v>-44587.581640000004</v>
      </c>
    </row>
    <row r="236" spans="1:10" s="384" customFormat="1" ht="15.75">
      <c r="A236" s="2" t="s">
        <v>24</v>
      </c>
      <c r="B236" s="17">
        <v>132</v>
      </c>
      <c r="C236" s="253"/>
      <c r="D236" s="121"/>
      <c r="E236" s="324">
        <v>0</v>
      </c>
      <c r="F236" s="385"/>
      <c r="G236" s="153" t="s">
        <v>10</v>
      </c>
      <c r="H236" s="7" t="s">
        <v>58</v>
      </c>
      <c r="I236" s="7">
        <v>0</v>
      </c>
      <c r="J236" s="109"/>
    </row>
    <row r="237" spans="1:10" s="384" customFormat="1" ht="16.5" thickBot="1">
      <c r="A237" s="2" t="s">
        <v>24</v>
      </c>
      <c r="B237" s="17" t="s">
        <v>61</v>
      </c>
      <c r="C237" s="253"/>
      <c r="D237" s="121"/>
      <c r="E237" s="324">
        <v>0</v>
      </c>
      <c r="F237" s="385"/>
      <c r="G237" s="154" t="s">
        <v>100</v>
      </c>
      <c r="H237" s="147" t="s">
        <v>62</v>
      </c>
      <c r="I237" s="110">
        <f>-E225+E243</f>
        <v>44564.391640000002</v>
      </c>
      <c r="J237" s="107">
        <v>0</v>
      </c>
    </row>
    <row r="238" spans="1:10" s="384" customFormat="1" ht="15.75">
      <c r="A238" s="2" t="s">
        <v>156</v>
      </c>
      <c r="B238" s="70"/>
      <c r="C238" s="251"/>
      <c r="D238" s="136"/>
      <c r="E238" s="325">
        <v>0</v>
      </c>
      <c r="F238" s="385"/>
      <c r="G238" s="7"/>
      <c r="H238" s="7"/>
      <c r="I238" s="8"/>
      <c r="J238" s="260">
        <f>ROUND(SUM(I233:J237),2)</f>
        <v>0</v>
      </c>
    </row>
    <row r="239" spans="1:10" s="384" customFormat="1" ht="16.5" thickBot="1">
      <c r="B239" s="6"/>
      <c r="C239" s="254">
        <f>SUM(C230:C238)</f>
        <v>2507738</v>
      </c>
      <c r="D239" s="155"/>
      <c r="E239" s="326">
        <f>SUM(E230:E238)</f>
        <v>44587.581640000004</v>
      </c>
      <c r="F239" s="385"/>
      <c r="G239" s="7"/>
      <c r="H239" s="7"/>
      <c r="I239" s="7"/>
      <c r="J239" s="7"/>
    </row>
    <row r="240" spans="1:10" s="384" customFormat="1" ht="16.5" thickTop="1">
      <c r="B240" s="6"/>
      <c r="C240" s="255">
        <v>2507738</v>
      </c>
      <c r="D240" s="66" t="s">
        <v>161</v>
      </c>
      <c r="E240" s="327">
        <v>0</v>
      </c>
      <c r="F240" s="385"/>
      <c r="G240" s="65" t="s">
        <v>158</v>
      </c>
      <c r="H240" s="7"/>
      <c r="I240" s="12"/>
      <c r="J240" s="12"/>
    </row>
    <row r="241" spans="1:10" s="384" customFormat="1" ht="15.75">
      <c r="C241" s="317">
        <f>C239-C240</f>
        <v>0</v>
      </c>
      <c r="D241" s="66" t="s">
        <v>87</v>
      </c>
      <c r="E241" s="326">
        <f>E239+E240+E225</f>
        <v>-5539.9530760290945</v>
      </c>
      <c r="F241" s="385"/>
      <c r="G241" s="8">
        <f>(E225*(D242/12))+(E239*(D242/24))</f>
        <v>-23.194786580024246</v>
      </c>
      <c r="H241" s="7"/>
      <c r="I241" s="8"/>
      <c r="J241" s="10"/>
    </row>
    <row r="242" spans="1:10" s="384" customFormat="1" ht="15.75">
      <c r="C242" s="50"/>
      <c r="D242" s="225">
        <v>0.01</v>
      </c>
      <c r="E242" s="328">
        <f>ROUND(((E225)+(E239)/2)*(D242/12),2)</f>
        <v>-23.19</v>
      </c>
      <c r="F242" s="385"/>
      <c r="G242" s="65"/>
      <c r="H242" s="7"/>
      <c r="I242" s="10"/>
      <c r="J242" s="10"/>
    </row>
    <row r="243" spans="1:10" s="384" customFormat="1" ht="15.75">
      <c r="A243" s="5"/>
      <c r="B243" s="5"/>
      <c r="C243" s="50" t="s">
        <v>1</v>
      </c>
      <c r="D243" s="143">
        <f>A228</f>
        <v>41518</v>
      </c>
      <c r="E243" s="328">
        <f>SUM(E241:E242)</f>
        <v>-5563.1430760290941</v>
      </c>
      <c r="F243" s="385"/>
      <c r="G243" s="7"/>
      <c r="H243" s="7"/>
      <c r="I243" s="8"/>
      <c r="J243" s="7"/>
    </row>
    <row r="244" spans="1:10" s="384" customFormat="1" ht="15.75">
      <c r="A244" s="5"/>
      <c r="B244" s="5"/>
      <c r="C244" s="50"/>
      <c r="D244" s="461" t="s">
        <v>225</v>
      </c>
      <c r="E244" s="463">
        <f>'ID Def 191010'!C131*-1</f>
        <v>108659.43754694135</v>
      </c>
      <c r="F244" s="385"/>
      <c r="G244" s="7"/>
      <c r="H244" s="7"/>
      <c r="I244" s="8"/>
      <c r="J244" s="7"/>
    </row>
    <row r="245" spans="1:10" s="384" customFormat="1" ht="16.5" thickBot="1">
      <c r="A245" s="5"/>
      <c r="B245" s="5"/>
      <c r="C245" s="50"/>
      <c r="D245" s="461" t="s">
        <v>226</v>
      </c>
      <c r="E245" s="464">
        <f>SUM(E243:E244)</f>
        <v>103096.29447091225</v>
      </c>
      <c r="F245" s="385"/>
      <c r="G245" s="7"/>
      <c r="H245" s="7"/>
      <c r="I245" s="8"/>
      <c r="J245" s="7"/>
    </row>
    <row r="246" spans="1:10" ht="16.5" thickTop="1" thickBot="1"/>
    <row r="247" spans="1:10" s="384" customFormat="1" ht="15.75">
      <c r="A247" s="73" t="s">
        <v>142</v>
      </c>
      <c r="B247" s="74"/>
      <c r="C247" s="75"/>
      <c r="D247" s="76"/>
      <c r="E247" s="321"/>
      <c r="G247" s="16"/>
      <c r="H247" s="5"/>
      <c r="I247" s="56"/>
      <c r="J247" s="56"/>
    </row>
    <row r="248" spans="1:10" s="384" customFormat="1" ht="15.75">
      <c r="A248" s="219">
        <v>41578</v>
      </c>
      <c r="B248" s="71"/>
      <c r="C248" s="16"/>
      <c r="D248" s="72" t="s">
        <v>23</v>
      </c>
      <c r="E248" s="322" t="s">
        <v>21</v>
      </c>
      <c r="G248" s="5"/>
      <c r="H248" s="5"/>
      <c r="I248" s="8"/>
      <c r="J248" s="10"/>
    </row>
    <row r="249" spans="1:10" s="384" customFormat="1" ht="16.5" thickBot="1">
      <c r="A249" s="14"/>
      <c r="B249" s="18"/>
      <c r="C249" s="131" t="s">
        <v>21</v>
      </c>
      <c r="D249" s="131" t="s">
        <v>22</v>
      </c>
      <c r="E249" s="323" t="s">
        <v>23</v>
      </c>
      <c r="F249" s="385"/>
      <c r="G249" s="7"/>
      <c r="H249" s="7"/>
      <c r="I249" s="10"/>
      <c r="J249" s="10"/>
    </row>
    <row r="250" spans="1:10" s="384" customFormat="1" ht="15.75">
      <c r="A250" s="2" t="s">
        <v>24</v>
      </c>
      <c r="B250" s="17">
        <v>101</v>
      </c>
      <c r="C250" s="252">
        <v>4291264</v>
      </c>
      <c r="D250" s="389" t="s">
        <v>187</v>
      </c>
      <c r="E250" s="324">
        <v>2709.04</v>
      </c>
      <c r="F250" s="385"/>
      <c r="G250" s="7"/>
      <c r="H250" s="7"/>
      <c r="I250" s="8"/>
      <c r="J250" s="7"/>
    </row>
    <row r="251" spans="1:10" s="384" customFormat="1" ht="16.5" thickBot="1">
      <c r="A251" s="2" t="s">
        <v>24</v>
      </c>
      <c r="B251" s="17">
        <v>111</v>
      </c>
      <c r="C251" s="252">
        <v>1602282</v>
      </c>
      <c r="D251" s="389" t="s">
        <v>187</v>
      </c>
      <c r="E251" s="324">
        <v>-3558.27</v>
      </c>
      <c r="F251" s="385"/>
      <c r="G251" s="146">
        <f>A248</f>
        <v>41578</v>
      </c>
      <c r="H251" s="147"/>
      <c r="I251" s="147"/>
      <c r="J251" s="147"/>
    </row>
    <row r="252" spans="1:10" s="384" customFormat="1" ht="16.5" thickBot="1">
      <c r="A252" s="2" t="s">
        <v>24</v>
      </c>
      <c r="B252" s="17">
        <v>112</v>
      </c>
      <c r="C252" s="252"/>
      <c r="D252" s="389"/>
      <c r="E252" s="324">
        <v>0</v>
      </c>
      <c r="F252" s="385"/>
      <c r="G252" s="102" t="s">
        <v>25</v>
      </c>
      <c r="H252" s="148"/>
      <c r="I252" s="149" t="s">
        <v>18</v>
      </c>
      <c r="J252" s="150" t="s">
        <v>19</v>
      </c>
    </row>
    <row r="253" spans="1:10" s="384" customFormat="1" ht="15.75">
      <c r="A253" s="2" t="s">
        <v>24</v>
      </c>
      <c r="B253" s="17">
        <v>121</v>
      </c>
      <c r="C253" s="252"/>
      <c r="D253" s="220"/>
      <c r="E253" s="324">
        <v>0</v>
      </c>
      <c r="F253" s="385"/>
      <c r="G253" s="151" t="s">
        <v>28</v>
      </c>
      <c r="H253" s="152" t="s">
        <v>77</v>
      </c>
      <c r="I253" s="108"/>
      <c r="J253" s="394">
        <f>IF(E262&gt;0,-E262,0)</f>
        <v>-93.84</v>
      </c>
    </row>
    <row r="254" spans="1:10" s="384" customFormat="1" ht="15.75">
      <c r="A254" s="2" t="s">
        <v>24</v>
      </c>
      <c r="B254" s="17">
        <v>122</v>
      </c>
      <c r="C254" s="253"/>
      <c r="D254" s="220"/>
      <c r="E254" s="324">
        <v>0</v>
      </c>
      <c r="F254" s="385"/>
      <c r="G254" s="153" t="s">
        <v>29</v>
      </c>
      <c r="H254" s="7" t="s">
        <v>78</v>
      </c>
      <c r="I254" s="395">
        <f>IF(E262&lt;0,-E262,0)</f>
        <v>0</v>
      </c>
      <c r="J254" s="222"/>
    </row>
    <row r="255" spans="1:10" s="384" customFormat="1" ht="15.75">
      <c r="A255" s="2" t="s">
        <v>24</v>
      </c>
      <c r="B255" s="17">
        <v>131</v>
      </c>
      <c r="C255" s="252">
        <v>0</v>
      </c>
      <c r="D255" s="389" t="s">
        <v>187</v>
      </c>
      <c r="E255" s="324">
        <v>0</v>
      </c>
      <c r="F255" s="385"/>
      <c r="G255" s="153" t="s">
        <v>99</v>
      </c>
      <c r="H255" s="7" t="s">
        <v>60</v>
      </c>
      <c r="I255" s="395">
        <f>IF((E245-E261)&gt;0,E245-E261,0)</f>
        <v>0</v>
      </c>
      <c r="J255" s="395">
        <f>IF((E245-E261)&lt;0,E245-E261,0)</f>
        <v>-19013.619999999995</v>
      </c>
    </row>
    <row r="256" spans="1:10" s="384" customFormat="1" ht="15.75">
      <c r="A256" s="2" t="s">
        <v>24</v>
      </c>
      <c r="B256" s="17">
        <v>132</v>
      </c>
      <c r="C256" s="253"/>
      <c r="D256" s="121"/>
      <c r="E256" s="324">
        <v>0</v>
      </c>
      <c r="F256" s="385"/>
      <c r="G256" s="153" t="s">
        <v>10</v>
      </c>
      <c r="H256" s="7" t="s">
        <v>58</v>
      </c>
      <c r="I256" s="7"/>
      <c r="J256" s="460"/>
    </row>
    <row r="257" spans="1:10" s="384" customFormat="1" ht="16.5" thickBot="1">
      <c r="A257" s="2" t="s">
        <v>24</v>
      </c>
      <c r="B257" s="17" t="s">
        <v>61</v>
      </c>
      <c r="C257" s="253"/>
      <c r="D257" s="121"/>
      <c r="E257" s="324">
        <v>0</v>
      </c>
      <c r="F257" s="385"/>
      <c r="G257" s="154" t="s">
        <v>100</v>
      </c>
      <c r="H257" s="147" t="s">
        <v>62</v>
      </c>
      <c r="I257" s="462">
        <f>IF((E263-E245)&gt;0,E263-E245,0)</f>
        <v>19107.459999999992</v>
      </c>
      <c r="J257" s="107">
        <f>IF((E263-E245)&lt;0,E263-E245,0)</f>
        <v>0</v>
      </c>
    </row>
    <row r="258" spans="1:10" s="384" customFormat="1" ht="15.75">
      <c r="A258" s="2" t="s">
        <v>156</v>
      </c>
      <c r="B258" s="70"/>
      <c r="C258" s="251"/>
      <c r="D258" s="136"/>
      <c r="E258" s="325">
        <v>19862.850000000002</v>
      </c>
      <c r="F258" s="385"/>
      <c r="G258" s="7"/>
      <c r="H258" s="7"/>
      <c r="I258" s="8"/>
      <c r="J258" s="260">
        <f>ROUND(SUM(I253:J257),2)</f>
        <v>0</v>
      </c>
    </row>
    <row r="259" spans="1:10" s="384" customFormat="1" ht="16.5" thickBot="1">
      <c r="B259" s="6"/>
      <c r="C259" s="254">
        <f>SUM(C250:C258)</f>
        <v>5893546</v>
      </c>
      <c r="D259" s="155"/>
      <c r="E259" s="326">
        <f>SUM(E250:E258)</f>
        <v>19013.620000000003</v>
      </c>
      <c r="F259" s="385"/>
      <c r="G259" s="7"/>
      <c r="H259" s="7"/>
      <c r="I259" s="7"/>
      <c r="J259" s="7"/>
    </row>
    <row r="260" spans="1:10" s="384" customFormat="1" ht="16.5" thickTop="1">
      <c r="B260" s="6"/>
      <c r="C260" s="255"/>
      <c r="D260" s="66" t="s">
        <v>161</v>
      </c>
      <c r="E260" s="327">
        <v>0</v>
      </c>
      <c r="F260" s="385">
        <f>E251+E250</f>
        <v>-849.23</v>
      </c>
      <c r="G260" s="65" t="s">
        <v>158</v>
      </c>
      <c r="H260" s="7"/>
      <c r="I260" s="12"/>
      <c r="J260" s="12"/>
    </row>
    <row r="261" spans="1:10" s="384" customFormat="1" ht="15.75">
      <c r="C261" s="317">
        <f>C259-C260</f>
        <v>5893546</v>
      </c>
      <c r="D261" s="66" t="s">
        <v>87</v>
      </c>
      <c r="E261" s="326">
        <f>E259+E260+E245</f>
        <v>122109.91447091225</v>
      </c>
      <c r="F261" s="385"/>
      <c r="G261" s="8">
        <f>(E243*(D262/12))+(E259*(D262/24))</f>
        <v>3.2863891033090891</v>
      </c>
      <c r="H261" s="7">
        <f>E262-G261</f>
        <v>90.553610896690913</v>
      </c>
      <c r="I261" s="8"/>
      <c r="J261" s="10"/>
    </row>
    <row r="262" spans="1:10" s="384" customFormat="1" ht="15.75">
      <c r="C262" s="50"/>
      <c r="D262" s="225">
        <v>0.01</v>
      </c>
      <c r="E262" s="328">
        <f>ROUND(((E245)+(E259)/2)*(D262/12),2)</f>
        <v>93.84</v>
      </c>
      <c r="F262" s="385"/>
      <c r="G262" s="65"/>
      <c r="H262" s="7"/>
      <c r="I262" s="10"/>
      <c r="J262" s="10"/>
    </row>
    <row r="263" spans="1:10" s="384" customFormat="1" ht="16.5" thickBot="1">
      <c r="A263" s="5"/>
      <c r="B263" s="5"/>
      <c r="C263" s="50" t="s">
        <v>1</v>
      </c>
      <c r="D263" s="143">
        <f>A248</f>
        <v>41578</v>
      </c>
      <c r="E263" s="329">
        <f>SUM(E261:E262)</f>
        <v>122203.75447091224</v>
      </c>
      <c r="F263" s="385"/>
      <c r="G263" s="7"/>
      <c r="H263" s="7"/>
      <c r="I263" s="8"/>
      <c r="J263" s="7"/>
    </row>
    <row r="264" spans="1:10" s="384" customFormat="1" ht="16.5" thickTop="1" thickBot="1">
      <c r="E264" s="320"/>
    </row>
    <row r="265" spans="1:10" s="384" customFormat="1" ht="15.75">
      <c r="A265" s="73" t="s">
        <v>142</v>
      </c>
      <c r="B265" s="74"/>
      <c r="C265" s="75"/>
      <c r="D265" s="76"/>
      <c r="E265" s="321"/>
      <c r="G265" s="16"/>
      <c r="H265" s="5"/>
      <c r="I265" s="56"/>
      <c r="J265" s="56"/>
    </row>
    <row r="266" spans="1:10" s="384" customFormat="1" ht="15.75">
      <c r="A266" s="219">
        <f>EOMONTH(A248,1)</f>
        <v>41608</v>
      </c>
      <c r="B266" s="71"/>
      <c r="C266" s="16"/>
      <c r="D266" s="72" t="s">
        <v>23</v>
      </c>
      <c r="E266" s="322" t="s">
        <v>21</v>
      </c>
      <c r="G266" s="5"/>
      <c r="H266" s="5"/>
      <c r="I266" s="8"/>
      <c r="J266" s="10"/>
    </row>
    <row r="267" spans="1:10" s="384" customFormat="1" ht="16.5" thickBot="1">
      <c r="A267" s="14"/>
      <c r="B267" s="18"/>
      <c r="C267" s="131" t="s">
        <v>21</v>
      </c>
      <c r="D267" s="131" t="s">
        <v>22</v>
      </c>
      <c r="E267" s="323" t="s">
        <v>23</v>
      </c>
      <c r="F267" s="385"/>
      <c r="G267" s="7"/>
      <c r="H267" s="7"/>
      <c r="I267" s="10"/>
      <c r="J267" s="10"/>
    </row>
    <row r="268" spans="1:10" s="384" customFormat="1" ht="15.75">
      <c r="A268" s="2" t="s">
        <v>24</v>
      </c>
      <c r="B268" s="17">
        <v>101</v>
      </c>
      <c r="C268" s="252">
        <v>7085932</v>
      </c>
      <c r="D268" s="389" t="s">
        <v>187</v>
      </c>
      <c r="E268" s="324">
        <v>-478.93</v>
      </c>
      <c r="F268" s="385"/>
      <c r="G268" s="7"/>
      <c r="H268" s="7"/>
      <c r="I268" s="8"/>
      <c r="J268" s="7"/>
    </row>
    <row r="269" spans="1:10" s="384" customFormat="1" ht="16.5" thickBot="1">
      <c r="A269" s="2" t="s">
        <v>24</v>
      </c>
      <c r="B269" s="17">
        <v>111</v>
      </c>
      <c r="C269" s="252">
        <v>2422167</v>
      </c>
      <c r="D269" s="389" t="s">
        <v>187</v>
      </c>
      <c r="E269" s="324">
        <v>80.569999999999993</v>
      </c>
      <c r="F269" s="385"/>
      <c r="G269" s="146">
        <f>A266</f>
        <v>41608</v>
      </c>
      <c r="H269" s="147"/>
      <c r="I269" s="147"/>
      <c r="J269" s="147"/>
    </row>
    <row r="270" spans="1:10" s="384" customFormat="1" ht="16.5" thickBot="1">
      <c r="A270" s="2" t="s">
        <v>24</v>
      </c>
      <c r="B270" s="17">
        <v>112</v>
      </c>
      <c r="C270" s="252"/>
      <c r="D270" s="389"/>
      <c r="E270" s="324">
        <v>0</v>
      </c>
      <c r="F270" s="385"/>
      <c r="G270" s="102" t="s">
        <v>25</v>
      </c>
      <c r="H270" s="148"/>
      <c r="I270" s="149" t="s">
        <v>18</v>
      </c>
      <c r="J270" s="150" t="s">
        <v>19</v>
      </c>
    </row>
    <row r="271" spans="1:10" s="384" customFormat="1" ht="15.75">
      <c r="A271" s="2" t="s">
        <v>24</v>
      </c>
      <c r="B271" s="17">
        <v>121</v>
      </c>
      <c r="C271" s="252"/>
      <c r="D271" s="220"/>
      <c r="E271" s="324">
        <v>0</v>
      </c>
      <c r="F271" s="385"/>
      <c r="G271" s="151" t="s">
        <v>28</v>
      </c>
      <c r="H271" s="152" t="s">
        <v>77</v>
      </c>
      <c r="I271" s="108"/>
      <c r="J271" s="394">
        <f>IF(E280&gt;0,-E280,0)</f>
        <v>-101.67</v>
      </c>
    </row>
    <row r="272" spans="1:10" s="384" customFormat="1" ht="15.75">
      <c r="A272" s="2" t="s">
        <v>24</v>
      </c>
      <c r="B272" s="17">
        <v>122</v>
      </c>
      <c r="C272" s="253"/>
      <c r="D272" s="220"/>
      <c r="E272" s="324">
        <v>0</v>
      </c>
      <c r="F272" s="385"/>
      <c r="G272" s="153" t="s">
        <v>29</v>
      </c>
      <c r="H272" s="7" t="s">
        <v>78</v>
      </c>
      <c r="I272" s="395">
        <f>IF(E280&lt;0,-E280,0)</f>
        <v>0</v>
      </c>
      <c r="J272" s="222"/>
    </row>
    <row r="273" spans="1:10" s="384" customFormat="1" ht="15.75">
      <c r="A273" s="2" t="s">
        <v>24</v>
      </c>
      <c r="B273" s="17">
        <v>131</v>
      </c>
      <c r="C273" s="252">
        <v>0</v>
      </c>
      <c r="D273" s="389" t="s">
        <v>187</v>
      </c>
      <c r="E273" s="324">
        <v>0</v>
      </c>
      <c r="F273" s="385"/>
      <c r="G273" s="153" t="s">
        <v>99</v>
      </c>
      <c r="H273" s="7" t="s">
        <v>60</v>
      </c>
      <c r="I273" s="395">
        <f>IF((E263-E279)&gt;0,E263-E279,0)</f>
        <v>398.36000000000058</v>
      </c>
      <c r="J273" s="395">
        <f>IF((E263-E279)&lt;0,E263-E279,0)</f>
        <v>0</v>
      </c>
    </row>
    <row r="274" spans="1:10" s="384" customFormat="1" ht="15.75">
      <c r="A274" s="2" t="s">
        <v>24</v>
      </c>
      <c r="B274" s="17">
        <v>132</v>
      </c>
      <c r="C274" s="253"/>
      <c r="D274" s="121"/>
      <c r="E274" s="324">
        <v>0</v>
      </c>
      <c r="F274" s="385"/>
      <c r="G274" s="153" t="s">
        <v>10</v>
      </c>
      <c r="H274" s="7" t="s">
        <v>58</v>
      </c>
      <c r="I274" s="7"/>
      <c r="J274" s="460"/>
    </row>
    <row r="275" spans="1:10" s="384" customFormat="1" ht="16.5" thickBot="1">
      <c r="A275" s="2" t="s">
        <v>24</v>
      </c>
      <c r="B275" s="17" t="s">
        <v>61</v>
      </c>
      <c r="C275" s="253"/>
      <c r="D275" s="121"/>
      <c r="E275" s="324">
        <v>0</v>
      </c>
      <c r="F275" s="385"/>
      <c r="G275" s="154" t="s">
        <v>100</v>
      </c>
      <c r="H275" s="147" t="s">
        <v>62</v>
      </c>
      <c r="I275" s="462">
        <f>IF((E281-E263)&gt;0,E281-E263,0)</f>
        <v>0</v>
      </c>
      <c r="J275" s="107">
        <f>IF((E281-E263)&lt;0,E281-E263,0)</f>
        <v>-296.69000000000233</v>
      </c>
    </row>
    <row r="276" spans="1:10" s="384" customFormat="1" ht="15.75">
      <c r="A276" s="2" t="s">
        <v>156</v>
      </c>
      <c r="B276" s="70"/>
      <c r="C276" s="251"/>
      <c r="D276" s="136"/>
      <c r="E276" s="325">
        <v>0</v>
      </c>
      <c r="F276" s="385"/>
      <c r="G276" s="7"/>
      <c r="H276" s="7"/>
      <c r="I276" s="8"/>
      <c r="J276" s="260">
        <f>ROUND(SUM(I271:J275),2)</f>
        <v>0</v>
      </c>
    </row>
    <row r="277" spans="1:10" s="384" customFormat="1" ht="16.5" thickBot="1">
      <c r="B277" s="6"/>
      <c r="C277" s="254">
        <f>SUM(C268:C276)</f>
        <v>9508099</v>
      </c>
      <c r="D277" s="155"/>
      <c r="E277" s="326">
        <f>SUM(E268:E276)</f>
        <v>-398.36</v>
      </c>
      <c r="F277" s="385"/>
      <c r="G277" s="7"/>
      <c r="H277" s="7"/>
      <c r="I277" s="7"/>
      <c r="J277" s="7"/>
    </row>
    <row r="278" spans="1:10" s="384" customFormat="1" ht="16.5" thickTop="1">
      <c r="B278" s="6"/>
      <c r="C278" s="255">
        <v>9508099</v>
      </c>
      <c r="D278" s="66" t="s">
        <v>161</v>
      </c>
      <c r="E278" s="327">
        <v>0</v>
      </c>
      <c r="F278" s="385"/>
      <c r="G278" s="65" t="s">
        <v>158</v>
      </c>
      <c r="H278" s="7"/>
      <c r="I278" s="12"/>
      <c r="J278" s="12"/>
    </row>
    <row r="279" spans="1:10" s="384" customFormat="1" ht="15.75">
      <c r="C279" s="317">
        <f>C277-C278</f>
        <v>0</v>
      </c>
      <c r="D279" s="66" t="s">
        <v>87</v>
      </c>
      <c r="E279" s="326">
        <f>E277+E278+E263</f>
        <v>121805.39447091224</v>
      </c>
      <c r="F279" s="385"/>
      <c r="G279" s="8">
        <f>(E261*(D280/12))+(E277*(D280/24))</f>
        <v>101.59227872576022</v>
      </c>
      <c r="H279" s="7">
        <f>E280-G279</f>
        <v>7.7721274239777927E-2</v>
      </c>
      <c r="I279" s="8"/>
      <c r="J279" s="10"/>
    </row>
    <row r="280" spans="1:10" s="384" customFormat="1" ht="15.75">
      <c r="C280" s="50"/>
      <c r="D280" s="225">
        <v>0.01</v>
      </c>
      <c r="E280" s="328">
        <f>ROUND(((E263)+(E277)/2)*(D280/12),2)</f>
        <v>101.67</v>
      </c>
      <c r="F280" s="385"/>
      <c r="G280" s="65"/>
      <c r="H280" s="7"/>
      <c r="I280" s="10"/>
      <c r="J280" s="10"/>
    </row>
    <row r="281" spans="1:10" s="384" customFormat="1" ht="16.5" thickBot="1">
      <c r="A281" s="5"/>
      <c r="B281" s="5"/>
      <c r="C281" s="50" t="s">
        <v>1</v>
      </c>
      <c r="D281" s="143">
        <f>A266</f>
        <v>41608</v>
      </c>
      <c r="E281" s="329">
        <f>SUM(E279:E280)</f>
        <v>121907.06447091224</v>
      </c>
      <c r="F281" s="385"/>
      <c r="G281" s="7"/>
      <c r="H281" s="7"/>
      <c r="I281" s="8"/>
      <c r="J281" s="7"/>
    </row>
    <row r="282" spans="1:10" s="384" customFormat="1" ht="16.5" thickTop="1" thickBot="1">
      <c r="E282" s="320"/>
    </row>
    <row r="283" spans="1:10" s="384" customFormat="1" ht="15.75">
      <c r="A283" s="73" t="s">
        <v>142</v>
      </c>
      <c r="B283" s="74"/>
      <c r="C283" s="75"/>
      <c r="D283" s="76"/>
      <c r="E283" s="321"/>
      <c r="G283" s="16"/>
      <c r="H283" s="5"/>
      <c r="I283" s="56"/>
      <c r="J283" s="56"/>
    </row>
    <row r="284" spans="1:10" s="384" customFormat="1" ht="15.75">
      <c r="A284" s="219">
        <f>EOMONTH(A266,1)</f>
        <v>41639</v>
      </c>
      <c r="B284" s="71"/>
      <c r="C284" s="16"/>
      <c r="D284" s="72" t="s">
        <v>23</v>
      </c>
      <c r="E284" s="322" t="s">
        <v>21</v>
      </c>
      <c r="G284" s="5"/>
      <c r="H284" s="5"/>
      <c r="I284" s="8"/>
      <c r="J284" s="10"/>
    </row>
    <row r="285" spans="1:10" s="384" customFormat="1" ht="16.5" thickBot="1">
      <c r="A285" s="14"/>
      <c r="B285" s="18"/>
      <c r="C285" s="131" t="s">
        <v>21</v>
      </c>
      <c r="D285" s="131" t="s">
        <v>22</v>
      </c>
      <c r="E285" s="323" t="s">
        <v>23</v>
      </c>
      <c r="F285" s="385"/>
      <c r="G285" s="7"/>
      <c r="H285" s="7"/>
      <c r="I285" s="10"/>
      <c r="J285" s="10"/>
    </row>
    <row r="286" spans="1:10" s="384" customFormat="1" ht="15.75">
      <c r="A286" s="2" t="s">
        <v>24</v>
      </c>
      <c r="B286" s="17">
        <v>101</v>
      </c>
      <c r="C286" s="252">
        <f>Jan!$K$23</f>
        <v>8822773</v>
      </c>
      <c r="D286" s="389">
        <v>-1.4999999999999999E-4</v>
      </c>
      <c r="E286" s="324">
        <f>C286*D286</f>
        <v>-1323.4159499999998</v>
      </c>
      <c r="F286" s="385"/>
      <c r="G286" s="7"/>
      <c r="H286" s="7"/>
      <c r="I286" s="8"/>
      <c r="J286" s="7"/>
    </row>
    <row r="287" spans="1:10" s="384" customFormat="1" ht="16.5" thickBot="1">
      <c r="A287" s="2" t="s">
        <v>24</v>
      </c>
      <c r="B287" s="17">
        <v>111</v>
      </c>
      <c r="C287" s="252">
        <f>Jan!$K$24</f>
        <v>2761366</v>
      </c>
      <c r="D287" s="389">
        <v>-1.4999999999999999E-4</v>
      </c>
      <c r="E287" s="324">
        <f t="shared" ref="E287:E293" si="5">C287*D287</f>
        <v>-414.20489999999995</v>
      </c>
      <c r="F287" s="385"/>
      <c r="G287" s="146">
        <f>A284</f>
        <v>41639</v>
      </c>
      <c r="H287" s="147"/>
      <c r="I287" s="147"/>
      <c r="J287" s="147"/>
    </row>
    <row r="288" spans="1:10" s="384" customFormat="1" ht="16.5" thickBot="1">
      <c r="A288" s="2" t="s">
        <v>24</v>
      </c>
      <c r="B288" s="17">
        <v>112</v>
      </c>
      <c r="C288" s="252"/>
      <c r="D288" s="389"/>
      <c r="E288" s="324">
        <f t="shared" si="5"/>
        <v>0</v>
      </c>
      <c r="F288" s="385"/>
      <c r="G288" s="102" t="s">
        <v>25</v>
      </c>
      <c r="H288" s="148"/>
      <c r="I288" s="149" t="s">
        <v>18</v>
      </c>
      <c r="J288" s="150" t="s">
        <v>19</v>
      </c>
    </row>
    <row r="289" spans="1:10" s="384" customFormat="1" ht="15.75">
      <c r="A289" s="2" t="s">
        <v>24</v>
      </c>
      <c r="B289" s="17">
        <v>121</v>
      </c>
      <c r="C289" s="252"/>
      <c r="D289" s="220"/>
      <c r="E289" s="324">
        <f t="shared" si="5"/>
        <v>0</v>
      </c>
      <c r="F289" s="385"/>
      <c r="G289" s="151" t="s">
        <v>28</v>
      </c>
      <c r="H289" s="152" t="s">
        <v>77</v>
      </c>
      <c r="I289" s="108"/>
      <c r="J289" s="394">
        <f>IF(E298&gt;0,-E298,0)</f>
        <v>-100.87</v>
      </c>
    </row>
    <row r="290" spans="1:10" s="384" customFormat="1" ht="15.75">
      <c r="A290" s="2" t="s">
        <v>24</v>
      </c>
      <c r="B290" s="17">
        <v>122</v>
      </c>
      <c r="C290" s="253"/>
      <c r="D290" s="220"/>
      <c r="E290" s="324">
        <f t="shared" si="5"/>
        <v>0</v>
      </c>
      <c r="F290" s="385"/>
      <c r="G290" s="153" t="s">
        <v>29</v>
      </c>
      <c r="H290" s="7" t="s">
        <v>78</v>
      </c>
      <c r="I290" s="395">
        <f>IF(E298&lt;0,-E298,0)</f>
        <v>0</v>
      </c>
      <c r="J290" s="222"/>
    </row>
    <row r="291" spans="1:10" s="384" customFormat="1" ht="15.75">
      <c r="A291" s="2" t="s">
        <v>24</v>
      </c>
      <c r="B291" s="17">
        <v>131</v>
      </c>
      <c r="C291" s="252">
        <f>Jan!$K$41</f>
        <v>0</v>
      </c>
      <c r="D291" s="389">
        <v>1.042E-2</v>
      </c>
      <c r="E291" s="324">
        <f t="shared" si="5"/>
        <v>0</v>
      </c>
      <c r="F291" s="385"/>
      <c r="G291" s="153" t="s">
        <v>99</v>
      </c>
      <c r="H291" s="7" t="s">
        <v>60</v>
      </c>
      <c r="I291" s="395">
        <f>IF((E281-E297)&gt;0,E281-E297,0)</f>
        <v>1737.6208500000066</v>
      </c>
      <c r="J291" s="395">
        <f>IF((E281-E297)&lt;0,E281-E297,0)</f>
        <v>0</v>
      </c>
    </row>
    <row r="292" spans="1:10" s="384" customFormat="1" ht="15.75">
      <c r="A292" s="2" t="s">
        <v>24</v>
      </c>
      <c r="B292" s="17">
        <v>132</v>
      </c>
      <c r="C292" s="253"/>
      <c r="D292" s="121"/>
      <c r="E292" s="324">
        <f t="shared" si="5"/>
        <v>0</v>
      </c>
      <c r="F292" s="385"/>
      <c r="G292" s="153" t="s">
        <v>10</v>
      </c>
      <c r="H292" s="7" t="s">
        <v>58</v>
      </c>
      <c r="I292" s="7"/>
      <c r="J292" s="460"/>
    </row>
    <row r="293" spans="1:10" s="384" customFormat="1" ht="16.5" thickBot="1">
      <c r="A293" s="2" t="s">
        <v>24</v>
      </c>
      <c r="B293" s="17" t="s">
        <v>61</v>
      </c>
      <c r="C293" s="253"/>
      <c r="D293" s="121"/>
      <c r="E293" s="324">
        <f t="shared" si="5"/>
        <v>0</v>
      </c>
      <c r="F293" s="385"/>
      <c r="G293" s="154" t="s">
        <v>100</v>
      </c>
      <c r="H293" s="147" t="s">
        <v>62</v>
      </c>
      <c r="I293" s="462">
        <f>IF((E299-E281)&gt;0,E299-E281,0)</f>
        <v>0</v>
      </c>
      <c r="J293" s="107">
        <f>IF((E299-E281)&lt;0,E299-E281,0)</f>
        <v>-1636.7508500000113</v>
      </c>
    </row>
    <row r="294" spans="1:10" s="384" customFormat="1" ht="15.75">
      <c r="A294" s="2" t="s">
        <v>156</v>
      </c>
      <c r="B294" s="70"/>
      <c r="C294" s="251"/>
      <c r="D294" s="136"/>
      <c r="E294" s="325">
        <v>0</v>
      </c>
      <c r="F294" s="385"/>
      <c r="G294" s="7"/>
      <c r="H294" s="7"/>
      <c r="I294" s="8"/>
      <c r="J294" s="260">
        <f>ROUND(SUM(I289:J293),2)</f>
        <v>0</v>
      </c>
    </row>
    <row r="295" spans="1:10" s="384" customFormat="1" ht="16.5" thickBot="1">
      <c r="B295" s="6"/>
      <c r="C295" s="254">
        <f>SUM(C286:C294)</f>
        <v>11584139</v>
      </c>
      <c r="D295" s="155"/>
      <c r="E295" s="326">
        <f>SUM(E286:E294)</f>
        <v>-1737.6208499999998</v>
      </c>
      <c r="F295" s="385"/>
      <c r="G295" s="7"/>
      <c r="H295" s="7"/>
      <c r="I295" s="7"/>
      <c r="J295" s="7"/>
    </row>
    <row r="296" spans="1:10" s="384" customFormat="1" ht="16.5" thickTop="1">
      <c r="B296" s="6"/>
      <c r="C296" s="255">
        <v>13760186</v>
      </c>
      <c r="D296" s="66" t="s">
        <v>161</v>
      </c>
      <c r="E296" s="327">
        <v>0</v>
      </c>
      <c r="F296" s="385"/>
      <c r="G296" s="65" t="s">
        <v>158</v>
      </c>
      <c r="H296" s="7"/>
      <c r="I296" s="12"/>
      <c r="J296" s="12"/>
    </row>
    <row r="297" spans="1:10" s="384" customFormat="1" ht="15.75">
      <c r="C297" s="317">
        <f>C295-C296</f>
        <v>-2176047</v>
      </c>
      <c r="D297" s="66" t="s">
        <v>87</v>
      </c>
      <c r="E297" s="326">
        <f>E295+E296+E281</f>
        <v>120169.44362091224</v>
      </c>
      <c r="F297" s="385"/>
      <c r="G297" s="8">
        <f>(E279*(D298/12))+(E295*(D298/24))</f>
        <v>100.78048670492687</v>
      </c>
      <c r="H297" s="7">
        <f>E298-G297</f>
        <v>8.9513295073132326E-2</v>
      </c>
      <c r="I297" s="8"/>
      <c r="J297" s="10"/>
    </row>
    <row r="298" spans="1:10" s="384" customFormat="1" ht="15.75">
      <c r="C298" s="50"/>
      <c r="D298" s="225">
        <v>0.01</v>
      </c>
      <c r="E298" s="328">
        <f>ROUND(((E281)+(E295)/2)*(D298/12),2)</f>
        <v>100.87</v>
      </c>
      <c r="F298" s="385"/>
      <c r="G298" s="65"/>
      <c r="H298" s="7"/>
      <c r="I298" s="10"/>
      <c r="J298" s="10"/>
    </row>
    <row r="299" spans="1:10" s="384" customFormat="1" ht="16.5" thickBot="1">
      <c r="A299" s="5"/>
      <c r="B299" s="5"/>
      <c r="C299" s="50" t="s">
        <v>1</v>
      </c>
      <c r="D299" s="143">
        <f>A284</f>
        <v>41639</v>
      </c>
      <c r="E299" s="329">
        <f>SUM(E297:E298)</f>
        <v>120270.31362091223</v>
      </c>
      <c r="F299" s="385"/>
      <c r="G299" s="475" t="s">
        <v>244</v>
      </c>
      <c r="H299" s="476" t="e">
        <f>_xll.Get_Balance(I299,"YTD","USD","Total","A","","001","191000","GD","ID","DL")-E299</f>
        <v>#VALUE!</v>
      </c>
      <c r="I299" s="477">
        <v>201312</v>
      </c>
      <c r="J299" s="7"/>
    </row>
    <row r="300" spans="1:10" ht="15.75" thickTop="1"/>
    <row r="355" spans="16:16">
      <c r="P355" s="1">
        <f>(C343*M354)/12+((C346+C349+C350)*M354)/24</f>
        <v>0</v>
      </c>
    </row>
  </sheetData>
  <phoneticPr fontId="0" type="noConversion"/>
  <conditionalFormatting sqref="C25">
    <cfRule type="cellIs" dxfId="163" priority="48" operator="notEqual">
      <formula>0</formula>
    </cfRule>
  </conditionalFormatting>
  <conditionalFormatting sqref="J22">
    <cfRule type="cellIs" dxfId="162" priority="46" stopIfTrue="1" operator="equal">
      <formula>0</formula>
    </cfRule>
    <cfRule type="cellIs" dxfId="161" priority="47" stopIfTrue="1" operator="notEqual">
      <formula>0</formula>
    </cfRule>
  </conditionalFormatting>
  <conditionalFormatting sqref="C43">
    <cfRule type="cellIs" dxfId="160" priority="45" operator="notEqual">
      <formula>0</formula>
    </cfRule>
  </conditionalFormatting>
  <conditionalFormatting sqref="J40">
    <cfRule type="cellIs" dxfId="159" priority="43" stopIfTrue="1" operator="equal">
      <formula>0</formula>
    </cfRule>
    <cfRule type="cellIs" dxfId="158" priority="44" stopIfTrue="1" operator="notEqual">
      <formula>0</formula>
    </cfRule>
  </conditionalFormatting>
  <conditionalFormatting sqref="C61">
    <cfRule type="cellIs" dxfId="157" priority="42" operator="notEqual">
      <formula>0</formula>
    </cfRule>
  </conditionalFormatting>
  <conditionalFormatting sqref="J58">
    <cfRule type="cellIs" dxfId="156" priority="40" stopIfTrue="1" operator="equal">
      <formula>0</formula>
    </cfRule>
    <cfRule type="cellIs" dxfId="155" priority="41" stopIfTrue="1" operator="notEqual">
      <formula>0</formula>
    </cfRule>
  </conditionalFormatting>
  <conditionalFormatting sqref="C79">
    <cfRule type="cellIs" dxfId="154" priority="39" operator="notEqual">
      <formula>0</formula>
    </cfRule>
  </conditionalFormatting>
  <conditionalFormatting sqref="J76">
    <cfRule type="cellIs" dxfId="153" priority="37" stopIfTrue="1" operator="equal">
      <formula>0</formula>
    </cfRule>
    <cfRule type="cellIs" dxfId="152" priority="38" stopIfTrue="1" operator="notEqual">
      <formula>0</formula>
    </cfRule>
  </conditionalFormatting>
  <conditionalFormatting sqref="C97">
    <cfRule type="cellIs" dxfId="151" priority="36" operator="notEqual">
      <formula>0</formula>
    </cfRule>
  </conditionalFormatting>
  <conditionalFormatting sqref="J94">
    <cfRule type="cellIs" dxfId="150" priority="34" stopIfTrue="1" operator="equal">
      <formula>0</formula>
    </cfRule>
    <cfRule type="cellIs" dxfId="149" priority="35" stopIfTrue="1" operator="notEqual">
      <formula>0</formula>
    </cfRule>
  </conditionalFormatting>
  <conditionalFormatting sqref="C115">
    <cfRule type="cellIs" dxfId="148" priority="33" operator="notEqual">
      <formula>0</formula>
    </cfRule>
  </conditionalFormatting>
  <conditionalFormatting sqref="J112">
    <cfRule type="cellIs" dxfId="147" priority="31" stopIfTrue="1" operator="equal">
      <formula>0</formula>
    </cfRule>
    <cfRule type="cellIs" dxfId="146" priority="32" stopIfTrue="1" operator="notEqual">
      <formula>0</formula>
    </cfRule>
  </conditionalFormatting>
  <conditionalFormatting sqref="C133">
    <cfRule type="cellIs" dxfId="145" priority="30" operator="notEqual">
      <formula>0</formula>
    </cfRule>
  </conditionalFormatting>
  <conditionalFormatting sqref="J130">
    <cfRule type="cellIs" dxfId="144" priority="28" stopIfTrue="1" operator="equal">
      <formula>0</formula>
    </cfRule>
    <cfRule type="cellIs" dxfId="143" priority="29" stopIfTrue="1" operator="notEqual">
      <formula>0</formula>
    </cfRule>
  </conditionalFormatting>
  <conditionalFormatting sqref="C151">
    <cfRule type="cellIs" dxfId="142" priority="27" operator="notEqual">
      <formula>0</formula>
    </cfRule>
  </conditionalFormatting>
  <conditionalFormatting sqref="J148">
    <cfRule type="cellIs" dxfId="141" priority="25" stopIfTrue="1" operator="equal">
      <formula>0</formula>
    </cfRule>
    <cfRule type="cellIs" dxfId="140" priority="26" stopIfTrue="1" operator="notEqual">
      <formula>0</formula>
    </cfRule>
  </conditionalFormatting>
  <conditionalFormatting sqref="C169">
    <cfRule type="cellIs" dxfId="139" priority="24" operator="notEqual">
      <formula>0</formula>
    </cfRule>
  </conditionalFormatting>
  <conditionalFormatting sqref="J166">
    <cfRule type="cellIs" dxfId="138" priority="22" stopIfTrue="1" operator="equal">
      <formula>0</formula>
    </cfRule>
    <cfRule type="cellIs" dxfId="137" priority="23" stopIfTrue="1" operator="notEqual">
      <formula>0</formula>
    </cfRule>
  </conditionalFormatting>
  <conditionalFormatting sqref="C187">
    <cfRule type="cellIs" dxfId="136" priority="21" operator="notEqual">
      <formula>0</formula>
    </cfRule>
  </conditionalFormatting>
  <conditionalFormatting sqref="J184">
    <cfRule type="cellIs" dxfId="135" priority="19" stopIfTrue="1" operator="equal">
      <formula>0</formula>
    </cfRule>
    <cfRule type="cellIs" dxfId="134" priority="20" stopIfTrue="1" operator="notEqual">
      <formula>0</formula>
    </cfRule>
  </conditionalFormatting>
  <conditionalFormatting sqref="C205">
    <cfRule type="cellIs" dxfId="133" priority="18" operator="notEqual">
      <formula>0</formula>
    </cfRule>
  </conditionalFormatting>
  <conditionalFormatting sqref="J202">
    <cfRule type="cellIs" dxfId="132" priority="16" stopIfTrue="1" operator="equal">
      <formula>0</formula>
    </cfRule>
    <cfRule type="cellIs" dxfId="131" priority="17" stopIfTrue="1" operator="notEqual">
      <formula>0</formula>
    </cfRule>
  </conditionalFormatting>
  <conditionalFormatting sqref="C223">
    <cfRule type="cellIs" dxfId="130" priority="15" operator="notEqual">
      <formula>0</formula>
    </cfRule>
  </conditionalFormatting>
  <conditionalFormatting sqref="J220">
    <cfRule type="cellIs" dxfId="129" priority="13" stopIfTrue="1" operator="equal">
      <formula>0</formula>
    </cfRule>
    <cfRule type="cellIs" dxfId="128" priority="14" stopIfTrue="1" operator="notEqual">
      <formula>0</formula>
    </cfRule>
  </conditionalFormatting>
  <conditionalFormatting sqref="C241">
    <cfRule type="cellIs" dxfId="127" priority="12" operator="notEqual">
      <formula>0</formula>
    </cfRule>
  </conditionalFormatting>
  <conditionalFormatting sqref="J238">
    <cfRule type="cellIs" dxfId="126" priority="10" stopIfTrue="1" operator="equal">
      <formula>0</formula>
    </cfRule>
    <cfRule type="cellIs" dxfId="125" priority="11" stopIfTrue="1" operator="notEqual">
      <formula>0</formula>
    </cfRule>
  </conditionalFormatting>
  <conditionalFormatting sqref="C261">
    <cfRule type="cellIs" dxfId="124" priority="9" operator="notEqual">
      <formula>0</formula>
    </cfRule>
  </conditionalFormatting>
  <conditionalFormatting sqref="J258">
    <cfRule type="cellIs" dxfId="123" priority="7" stopIfTrue="1" operator="equal">
      <formula>0</formula>
    </cfRule>
    <cfRule type="cellIs" dxfId="122" priority="8" stopIfTrue="1" operator="notEqual">
      <formula>0</formula>
    </cfRule>
  </conditionalFormatting>
  <conditionalFormatting sqref="C279">
    <cfRule type="cellIs" dxfId="121" priority="6" operator="notEqual">
      <formula>0</formula>
    </cfRule>
  </conditionalFormatting>
  <conditionalFormatting sqref="J276">
    <cfRule type="cellIs" dxfId="120" priority="4" stopIfTrue="1" operator="equal">
      <formula>0</formula>
    </cfRule>
    <cfRule type="cellIs" dxfId="119" priority="5" stopIfTrue="1" operator="notEqual">
      <formula>0</formula>
    </cfRule>
  </conditionalFormatting>
  <conditionalFormatting sqref="C297">
    <cfRule type="cellIs" dxfId="118" priority="3" operator="notEqual">
      <formula>0</formula>
    </cfRule>
  </conditionalFormatting>
  <conditionalFormatting sqref="J294">
    <cfRule type="cellIs" dxfId="117" priority="1" stopIfTrue="1" operator="equal">
      <formula>0</formula>
    </cfRule>
    <cfRule type="cellIs" dxfId="116" priority="2" stopIfTrue="1" operator="notEqual">
      <formula>0</formula>
    </cfRule>
  </conditionalFormatting>
  <printOptions gridLinesSet="0"/>
  <pageMargins left="0.5" right="0.5" top="1.04" bottom="0.5" header="0.25" footer="0.25"/>
  <pageSetup scale="37" orientation="portrait" horizontalDpi="300" verticalDpi="300" r:id="rId1"/>
  <headerFooter alignWithMargins="0">
    <oddHeader>&amp;L&amp;12Prior Period Unrecovered Gas Costs
Idaho
191000</oddHeader>
    <oddFooter>&amp;L&amp;F&amp;C&amp;A&amp;R&amp;D &amp;T</oddFooter>
  </headerFooter>
  <customProperties>
    <customPr name="xxe4aP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zoomScale="85" zoomScaleNormal="85" workbookViewId="0">
      <selection activeCell="H2" sqref="H2"/>
    </sheetView>
  </sheetViews>
  <sheetFormatPr defaultRowHeight="12.75"/>
  <cols>
    <col min="1" max="1" width="17.5703125" bestFit="1" customWidth="1"/>
    <col min="2" max="2" width="7.28515625" bestFit="1" customWidth="1"/>
    <col min="3" max="3" width="4.85546875" bestFit="1" customWidth="1"/>
    <col min="4" max="4" width="16.7109375" bestFit="1" customWidth="1"/>
    <col min="5" max="5" width="12.28515625" bestFit="1" customWidth="1"/>
    <col min="6" max="6" width="9.28515625" bestFit="1" customWidth="1"/>
    <col min="7" max="7" width="7.140625" bestFit="1" customWidth="1"/>
    <col min="8" max="8" width="12.42578125" bestFit="1" customWidth="1"/>
    <col min="9" max="9" width="22.85546875" bestFit="1" customWidth="1"/>
    <col min="10" max="10" width="18.140625" bestFit="1" customWidth="1"/>
    <col min="11" max="11" width="12.42578125" bestFit="1" customWidth="1"/>
    <col min="12" max="12" width="23.5703125" bestFit="1" customWidth="1"/>
    <col min="13" max="13" width="40.42578125" bestFit="1" customWidth="1"/>
    <col min="15" max="15" width="12.85546875" customWidth="1"/>
  </cols>
  <sheetData>
    <row r="1" spans="1:13" ht="15">
      <c r="A1" s="499" t="s">
        <v>266</v>
      </c>
      <c r="B1" s="500" t="s">
        <v>267</v>
      </c>
      <c r="C1" s="501" t="s">
        <v>268</v>
      </c>
      <c r="D1" s="502" t="s">
        <v>269</v>
      </c>
      <c r="E1" s="501" t="s">
        <v>270</v>
      </c>
      <c r="F1" s="499" t="s">
        <v>271</v>
      </c>
      <c r="G1" s="499" t="s">
        <v>272</v>
      </c>
      <c r="H1" s="499" t="s">
        <v>273</v>
      </c>
      <c r="I1" s="499" t="s">
        <v>274</v>
      </c>
      <c r="J1" s="499" t="s">
        <v>275</v>
      </c>
      <c r="K1" s="503" t="s">
        <v>276</v>
      </c>
      <c r="L1" s="503" t="s">
        <v>277</v>
      </c>
      <c r="M1" s="501" t="s">
        <v>278</v>
      </c>
    </row>
    <row r="2" spans="1:13" ht="15">
      <c r="A2" s="504" t="s">
        <v>279</v>
      </c>
      <c r="B2" s="505"/>
      <c r="C2" s="505"/>
      <c r="D2" s="505"/>
      <c r="E2" s="505"/>
      <c r="F2" s="504">
        <v>1</v>
      </c>
      <c r="G2" s="506" t="str">
        <f>LEFT('WA - Def-Amtz (current)'!AG5,6)</f>
        <v>419600</v>
      </c>
      <c r="H2" s="506" t="str">
        <f>LEFT('WA - Def-Amtz (current)'!AH5,6)</f>
        <v>GD</v>
      </c>
      <c r="I2" s="506" t="str">
        <f>LEFT('WA - Def-Amtz (current)'!AI5,6)</f>
        <v>WA</v>
      </c>
      <c r="J2" s="504" t="s">
        <v>282</v>
      </c>
      <c r="K2" s="507">
        <f>'WA - Def-Amtz (current)'!AJ5</f>
        <v>0</v>
      </c>
      <c r="L2" s="507">
        <f>'WA - Def-Amtz (current)'!AK5</f>
        <v>0</v>
      </c>
      <c r="M2" s="527" t="str">
        <f>'WA - Def-Amtz (current)'!AF5</f>
        <v>WA Deferral Interest Income</v>
      </c>
    </row>
    <row r="3" spans="1:13" ht="15">
      <c r="A3" s="504" t="s">
        <v>279</v>
      </c>
      <c r="B3" s="505"/>
      <c r="C3" s="505"/>
      <c r="D3" s="505"/>
      <c r="E3" s="505"/>
      <c r="F3" s="504">
        <v>1</v>
      </c>
      <c r="G3" s="506" t="str">
        <f>LEFT('WA - Def-Amtz (current)'!AG6,6)</f>
        <v>431600</v>
      </c>
      <c r="H3" s="506" t="str">
        <f>LEFT('WA - Def-Amtz (current)'!AH6,6)</f>
        <v>GD</v>
      </c>
      <c r="I3" s="506" t="str">
        <f>LEFT('WA - Def-Amtz (current)'!AI6,6)</f>
        <v>WA</v>
      </c>
      <c r="J3" s="504" t="s">
        <v>282</v>
      </c>
      <c r="K3" s="507">
        <f>'WA - Def-Amtz (current)'!AJ6</f>
        <v>46887.65</v>
      </c>
      <c r="L3" s="507">
        <f>'WA - Def-Amtz (current)'!AK6</f>
        <v>0</v>
      </c>
      <c r="M3" s="527" t="str">
        <f>'WA - Def-Amtz (current)'!AF6</f>
        <v>WA Deferral Interest Expense</v>
      </c>
    </row>
    <row r="4" spans="1:13" ht="15">
      <c r="A4" s="504" t="s">
        <v>279</v>
      </c>
      <c r="B4" s="505"/>
      <c r="C4" s="505"/>
      <c r="D4" s="505"/>
      <c r="E4" s="505"/>
      <c r="F4" s="504">
        <v>1</v>
      </c>
      <c r="G4" s="506" t="str">
        <f>LEFT('WA - Def-Amtz (current)'!AG7,6)</f>
        <v>191010</v>
      </c>
      <c r="H4" s="506" t="str">
        <f>LEFT('WA - Def-Amtz (current)'!AH7,6)</f>
        <v>GD</v>
      </c>
      <c r="I4" s="506" t="str">
        <f>LEFT('WA - Def-Amtz (current)'!AI7,6)</f>
        <v>WA</v>
      </c>
      <c r="J4" s="504" t="s">
        <v>282</v>
      </c>
      <c r="K4" s="507">
        <f>'WA - Def-Amtz (current)'!AJ7</f>
        <v>0</v>
      </c>
      <c r="L4" s="507">
        <f>'WA - Def-Amtz (current)'!AK7</f>
        <v>39017.273445999112</v>
      </c>
      <c r="M4" s="527" t="str">
        <f>'WA - Def-Amtz (current)'!AF7</f>
        <v>WA Deferral</v>
      </c>
    </row>
    <row r="5" spans="1:13" ht="15">
      <c r="A5" s="504" t="s">
        <v>279</v>
      </c>
      <c r="B5" s="505"/>
      <c r="C5" s="505"/>
      <c r="D5" s="505"/>
      <c r="E5" s="505"/>
      <c r="F5" s="504">
        <v>1</v>
      </c>
      <c r="G5" s="506" t="str">
        <f>LEFT('WA - Def-Amtz (current)'!AG8,6)</f>
        <v>805120</v>
      </c>
      <c r="H5" s="506" t="str">
        <f>LEFT('WA - Def-Amtz (current)'!AH8,6)</f>
        <v>GD</v>
      </c>
      <c r="I5" s="506" t="str">
        <f>LEFT('WA - Def-Amtz (current)'!AI8,6)</f>
        <v>WA</v>
      </c>
      <c r="J5" s="504" t="s">
        <v>282</v>
      </c>
      <c r="K5" s="507">
        <f>'WA - Def-Amtz (current)'!AJ8</f>
        <v>0</v>
      </c>
      <c r="L5" s="507">
        <f>'WA - Def-Amtz (current)'!AK8</f>
        <v>7870.3765540008899</v>
      </c>
      <c r="M5" s="527" t="str">
        <f>'WA - Def-Amtz (current)'!AF8</f>
        <v>WA Deferral Expense</v>
      </c>
    </row>
    <row r="6" spans="1:13" ht="15">
      <c r="A6" s="504" t="s">
        <v>279</v>
      </c>
      <c r="B6" s="505"/>
      <c r="C6" s="505"/>
      <c r="D6" s="505"/>
      <c r="E6" s="505"/>
      <c r="F6" s="504">
        <v>1</v>
      </c>
      <c r="G6" s="506" t="str">
        <f>LEFT('WA - Def-Amtz (current)'!AG36,6)</f>
        <v>431600</v>
      </c>
      <c r="H6" s="506" t="str">
        <f>LEFT('WA - Def-Amtz (current)'!AH36,6)</f>
        <v>GD</v>
      </c>
      <c r="I6" s="506" t="str">
        <f>LEFT('WA - Def-Amtz (current)'!AI36,6)</f>
        <v>WA</v>
      </c>
      <c r="J6" s="504" t="s">
        <v>282</v>
      </c>
      <c r="K6" s="507">
        <f>'WA - Def-Amtz (current)'!AJ36</f>
        <v>18930.221319123411</v>
      </c>
      <c r="L6" s="507">
        <f>'WA - Def-Amtz (current)'!AK36</f>
        <v>0</v>
      </c>
      <c r="M6" s="527" t="str">
        <f>'WA - Def-Amtz (current)'!AF36</f>
        <v>WA Amortization Interest Expense</v>
      </c>
    </row>
    <row r="7" spans="1:13" ht="15">
      <c r="A7" s="504" t="s">
        <v>279</v>
      </c>
      <c r="B7" s="505"/>
      <c r="C7" s="505"/>
      <c r="D7" s="505"/>
      <c r="E7" s="505"/>
      <c r="F7" s="504">
        <v>1</v>
      </c>
      <c r="G7" s="506" t="str">
        <f>LEFT('WA - Def-Amtz (current)'!AG37,6)</f>
        <v>191000</v>
      </c>
      <c r="H7" s="506" t="str">
        <f>LEFT('WA - Def-Amtz (current)'!AH37,6)</f>
        <v>GD</v>
      </c>
      <c r="I7" s="506" t="str">
        <f>LEFT('WA - Def-Amtz (current)'!AI37,6)</f>
        <v>WA</v>
      </c>
      <c r="J7" s="504" t="s">
        <v>282</v>
      </c>
      <c r="K7" s="507">
        <f>'WA - Def-Amtz (current)'!AJ37</f>
        <v>2191064.769280876</v>
      </c>
      <c r="L7" s="507">
        <f>'WA - Def-Amtz (current)'!AK37</f>
        <v>0</v>
      </c>
      <c r="M7" s="527" t="str">
        <f>'WA - Def-Amtz (current)'!AF37</f>
        <v>WA Amortization</v>
      </c>
    </row>
    <row r="8" spans="1:13" ht="15">
      <c r="A8" s="504" t="s">
        <v>279</v>
      </c>
      <c r="B8" s="505"/>
      <c r="C8" s="505"/>
      <c r="D8" s="505"/>
      <c r="E8" s="505"/>
      <c r="F8" s="504">
        <v>1</v>
      </c>
      <c r="G8" s="506" t="str">
        <f>LEFT('WA - Def-Amtz (current)'!AG38,6)</f>
        <v>805110</v>
      </c>
      <c r="H8" s="506" t="str">
        <f>LEFT('WA - Def-Amtz (current)'!AH38,6)</f>
        <v>GD</v>
      </c>
      <c r="I8" s="506" t="str">
        <f>LEFT('WA - Def-Amtz (current)'!AI38,6)</f>
        <v>WA</v>
      </c>
      <c r="J8" s="504" t="s">
        <v>282</v>
      </c>
      <c r="K8" s="507">
        <f>'WA - Def-Amtz (current)'!AJ38</f>
        <v>0</v>
      </c>
      <c r="L8" s="507">
        <f>'WA - Def-Amtz (current)'!AK38</f>
        <v>2209994.9905999997</v>
      </c>
      <c r="M8" s="527" t="str">
        <f>'WA - Def-Amtz (current)'!AF38</f>
        <v>WA Amortization Expense</v>
      </c>
    </row>
    <row r="9" spans="1:13" ht="15">
      <c r="A9" s="504" t="s">
        <v>279</v>
      </c>
      <c r="B9" s="505"/>
      <c r="C9" s="505"/>
      <c r="D9" s="505"/>
      <c r="E9" s="505"/>
      <c r="F9" s="504">
        <v>1</v>
      </c>
      <c r="G9" s="506" t="str">
        <f>LEFT('WA - Def-Amtz (current)'!AG70,6)</f>
        <v>191025</v>
      </c>
      <c r="H9" s="506" t="str">
        <f>LEFT('WA - Def-Amtz (current)'!AH70,6)</f>
        <v>GD</v>
      </c>
      <c r="I9" s="506" t="str">
        <f>LEFT('WA - Def-Amtz (current)'!AI70,6)</f>
        <v>WA</v>
      </c>
      <c r="J9" s="504" t="s">
        <v>282</v>
      </c>
      <c r="K9" s="507">
        <f>'WA - Def-Amtz (current)'!AJ70</f>
        <v>0</v>
      </c>
      <c r="L9" s="507">
        <f>'WA - Def-Amtz (current)'!AK70</f>
        <v>0</v>
      </c>
      <c r="M9" s="527" t="str">
        <f>'WA - Def-Amtz (current)'!AF70</f>
        <v>WA Amortization JP</v>
      </c>
    </row>
    <row r="10" spans="1:13" ht="15">
      <c r="A10" s="504" t="s">
        <v>279</v>
      </c>
      <c r="B10" s="505"/>
      <c r="C10" s="505"/>
      <c r="D10" s="505"/>
      <c r="E10" s="505"/>
      <c r="F10" s="504">
        <v>1</v>
      </c>
      <c r="G10" s="506" t="str">
        <f>LEFT('WA - Def-Amtz (current)'!AG71,6)</f>
        <v>805110</v>
      </c>
      <c r="H10" s="506" t="str">
        <f>LEFT('WA - Def-Amtz (current)'!AH71,6)</f>
        <v>GD</v>
      </c>
      <c r="I10" s="506" t="str">
        <f>LEFT('WA - Def-Amtz (current)'!AI71,6)</f>
        <v>WA</v>
      </c>
      <c r="J10" s="504" t="s">
        <v>282</v>
      </c>
      <c r="K10" s="507">
        <f>'WA - Def-Amtz (current)'!AJ71</f>
        <v>0</v>
      </c>
      <c r="L10" s="507">
        <f>'WA - Def-Amtz (current)'!AK71</f>
        <v>0</v>
      </c>
      <c r="M10" s="527" t="str">
        <f>'WA - Def-Amtz (current)'!AF71</f>
        <v>WA Amortization Expense JP</v>
      </c>
    </row>
    <row r="11" spans="1:13" ht="15">
      <c r="A11" s="504"/>
      <c r="B11" s="505"/>
      <c r="C11" s="505"/>
      <c r="D11" s="505"/>
      <c r="E11" s="505"/>
      <c r="F11" s="504"/>
      <c r="G11" s="506"/>
      <c r="H11" s="506"/>
      <c r="I11" s="506"/>
      <c r="J11" s="504"/>
      <c r="K11" s="507"/>
      <c r="L11" s="507"/>
      <c r="M11" s="527"/>
    </row>
    <row r="12" spans="1:13" ht="15">
      <c r="A12" s="504"/>
      <c r="B12" s="505"/>
      <c r="C12" s="505"/>
      <c r="D12" s="505"/>
      <c r="E12" s="505"/>
      <c r="F12" s="504"/>
      <c r="G12" s="506"/>
      <c r="H12" s="506"/>
      <c r="I12" s="506"/>
      <c r="J12" s="504"/>
      <c r="K12" s="507"/>
      <c r="L12" s="507"/>
      <c r="M12" s="527"/>
    </row>
    <row r="13" spans="1:13" ht="15">
      <c r="A13" s="504" t="s">
        <v>279</v>
      </c>
      <c r="B13" s="505"/>
      <c r="C13" s="505"/>
      <c r="D13" s="505"/>
      <c r="E13" s="505"/>
      <c r="F13" s="504">
        <v>1</v>
      </c>
      <c r="G13" s="506" t="e">
        <f>LEFT(#REF!,6)</f>
        <v>#REF!</v>
      </c>
      <c r="H13" s="506" t="e">
        <f>LEFT(#REF!,6)</f>
        <v>#REF!</v>
      </c>
      <c r="I13" s="506" t="e">
        <f>LEFT(#REF!,6)</f>
        <v>#REF!</v>
      </c>
      <c r="J13" s="504" t="s">
        <v>282</v>
      </c>
      <c r="K13" s="507" t="e">
        <f>#REF!</f>
        <v>#REF!</v>
      </c>
      <c r="L13" s="507" t="e">
        <f>#REF!</f>
        <v>#REF!</v>
      </c>
      <c r="M13" s="527" t="e">
        <f>#REF!</f>
        <v>#REF!</v>
      </c>
    </row>
    <row r="14" spans="1:13" ht="15">
      <c r="A14" s="504" t="s">
        <v>279</v>
      </c>
      <c r="B14" s="505"/>
      <c r="C14" s="505"/>
      <c r="D14" s="505"/>
      <c r="E14" s="505"/>
      <c r="F14" s="504">
        <v>1</v>
      </c>
      <c r="G14" s="506" t="e">
        <f>LEFT(#REF!,6)</f>
        <v>#REF!</v>
      </c>
      <c r="H14" s="506" t="e">
        <f>LEFT(#REF!,6)</f>
        <v>#REF!</v>
      </c>
      <c r="I14" s="506" t="e">
        <f>LEFT(#REF!,6)</f>
        <v>#REF!</v>
      </c>
      <c r="J14" s="504" t="s">
        <v>282</v>
      </c>
      <c r="K14" s="507" t="e">
        <f>#REF!</f>
        <v>#REF!</v>
      </c>
      <c r="L14" s="507" t="e">
        <f>#REF!</f>
        <v>#REF!</v>
      </c>
      <c r="M14" s="527" t="e">
        <f>#REF!</f>
        <v>#REF!</v>
      </c>
    </row>
    <row r="15" spans="1:13" ht="15">
      <c r="A15" s="504" t="s">
        <v>279</v>
      </c>
      <c r="B15" s="505"/>
      <c r="C15" s="505"/>
      <c r="D15" s="505"/>
      <c r="E15" s="505"/>
      <c r="F15" s="504">
        <v>1</v>
      </c>
      <c r="G15" s="506" t="e">
        <f>LEFT(#REF!,6)</f>
        <v>#REF!</v>
      </c>
      <c r="H15" s="506" t="e">
        <f>LEFT(#REF!,6)</f>
        <v>#REF!</v>
      </c>
      <c r="I15" s="506" t="e">
        <f>LEFT(#REF!,6)</f>
        <v>#REF!</v>
      </c>
      <c r="J15" s="504" t="s">
        <v>282</v>
      </c>
      <c r="K15" s="507" t="e">
        <f>#REF!</f>
        <v>#REF!</v>
      </c>
      <c r="L15" s="507" t="e">
        <f>#REF!</f>
        <v>#REF!</v>
      </c>
      <c r="M15" s="527" t="e">
        <f>#REF!</f>
        <v>#REF!</v>
      </c>
    </row>
    <row r="16" spans="1:13" ht="15">
      <c r="A16" s="504" t="s">
        <v>279</v>
      </c>
      <c r="B16" s="505"/>
      <c r="C16" s="505"/>
      <c r="D16" s="505"/>
      <c r="E16" s="505"/>
      <c r="F16" s="504">
        <v>1</v>
      </c>
      <c r="G16" s="506" t="e">
        <f>LEFT(#REF!,6)</f>
        <v>#REF!</v>
      </c>
      <c r="H16" s="506" t="e">
        <f>LEFT(#REF!,6)</f>
        <v>#REF!</v>
      </c>
      <c r="I16" s="506" t="e">
        <f>LEFT(#REF!,6)</f>
        <v>#REF!</v>
      </c>
      <c r="J16" s="504" t="s">
        <v>282</v>
      </c>
      <c r="K16" s="507" t="e">
        <f>#REF!</f>
        <v>#REF!</v>
      </c>
      <c r="L16" s="507" t="e">
        <f>#REF!</f>
        <v>#REF!</v>
      </c>
      <c r="M16" s="527" t="e">
        <f>#REF!</f>
        <v>#REF!</v>
      </c>
    </row>
    <row r="17" spans="1:13" ht="15">
      <c r="A17" s="504" t="s">
        <v>279</v>
      </c>
      <c r="B17" s="505"/>
      <c r="C17" s="505"/>
      <c r="D17" s="505"/>
      <c r="E17" s="505"/>
      <c r="F17" s="504">
        <v>1</v>
      </c>
      <c r="G17" s="506" t="e">
        <f>LEFT(#REF!,6)</f>
        <v>#REF!</v>
      </c>
      <c r="H17" s="506" t="e">
        <f>LEFT(#REF!,6)</f>
        <v>#REF!</v>
      </c>
      <c r="I17" s="506" t="e">
        <f>LEFT(#REF!,6)</f>
        <v>#REF!</v>
      </c>
      <c r="J17" s="504" t="s">
        <v>282</v>
      </c>
      <c r="K17" s="507" t="e">
        <f>#REF!</f>
        <v>#REF!</v>
      </c>
      <c r="L17" s="507" t="e">
        <f>#REF!</f>
        <v>#REF!</v>
      </c>
      <c r="M17" s="527" t="e">
        <f>#REF!</f>
        <v>#REF!</v>
      </c>
    </row>
    <row r="18" spans="1:13" ht="15">
      <c r="A18" s="504" t="s">
        <v>279</v>
      </c>
      <c r="B18" s="505"/>
      <c r="C18" s="505"/>
      <c r="D18" s="505"/>
      <c r="E18" s="505"/>
      <c r="F18" s="504">
        <v>1</v>
      </c>
      <c r="G18" s="506" t="e">
        <f>LEFT(#REF!,6)</f>
        <v>#REF!</v>
      </c>
      <c r="H18" s="506" t="e">
        <f>LEFT(#REF!,6)</f>
        <v>#REF!</v>
      </c>
      <c r="I18" s="506" t="e">
        <f>LEFT(#REF!,6)</f>
        <v>#REF!</v>
      </c>
      <c r="J18" s="504" t="s">
        <v>282</v>
      </c>
      <c r="K18" s="507" t="e">
        <f>#REF!</f>
        <v>#REF!</v>
      </c>
      <c r="L18" s="507" t="e">
        <f>#REF!</f>
        <v>#REF!</v>
      </c>
      <c r="M18" s="527" t="e">
        <f>#REF!</f>
        <v>#REF!</v>
      </c>
    </row>
    <row r="19" spans="1:13" ht="15">
      <c r="A19" s="504" t="s">
        <v>279</v>
      </c>
      <c r="B19" s="505"/>
      <c r="C19" s="505"/>
      <c r="D19" s="505"/>
      <c r="E19" s="505"/>
      <c r="F19" s="504">
        <v>1</v>
      </c>
      <c r="G19" s="506" t="e">
        <f>LEFT(#REF!,6)</f>
        <v>#REF!</v>
      </c>
      <c r="H19" s="506" t="e">
        <f>LEFT(#REF!,6)</f>
        <v>#REF!</v>
      </c>
      <c r="I19" s="506" t="e">
        <f>LEFT(#REF!,6)</f>
        <v>#REF!</v>
      </c>
      <c r="J19" s="504" t="s">
        <v>282</v>
      </c>
      <c r="K19" s="507" t="e">
        <f>#REF!</f>
        <v>#REF!</v>
      </c>
      <c r="L19" s="507" t="e">
        <f>#REF!</f>
        <v>#REF!</v>
      </c>
      <c r="M19" s="527" t="e">
        <f>#REF!</f>
        <v>#REF!</v>
      </c>
    </row>
    <row r="20" spans="1:13" ht="15">
      <c r="A20" s="504" t="s">
        <v>279</v>
      </c>
      <c r="B20" s="505"/>
      <c r="C20" s="505"/>
      <c r="D20" s="505"/>
      <c r="E20" s="505"/>
      <c r="F20" s="504">
        <v>1</v>
      </c>
      <c r="G20" s="506" t="e">
        <f>LEFT(#REF!,6)</f>
        <v>#REF!</v>
      </c>
      <c r="H20" s="506" t="e">
        <f>LEFT(#REF!,6)</f>
        <v>#REF!</v>
      </c>
      <c r="I20" s="506" t="e">
        <f>LEFT(#REF!,6)</f>
        <v>#REF!</v>
      </c>
      <c r="J20" s="504" t="s">
        <v>282</v>
      </c>
      <c r="K20" s="507" t="e">
        <f>#REF!</f>
        <v>#REF!</v>
      </c>
      <c r="L20" s="507" t="e">
        <f>#REF!</f>
        <v>#REF!</v>
      </c>
      <c r="M20" s="527" t="e">
        <f>#REF!</f>
        <v>#REF!</v>
      </c>
    </row>
    <row r="21" spans="1:13" ht="15">
      <c r="A21" s="504"/>
      <c r="B21" s="505"/>
      <c r="C21" s="505"/>
      <c r="D21" s="505"/>
      <c r="E21" s="505"/>
      <c r="F21" s="504"/>
      <c r="G21" s="506"/>
      <c r="H21" s="506"/>
      <c r="I21" s="506"/>
      <c r="J21" s="504"/>
      <c r="K21" s="507"/>
      <c r="L21" s="507"/>
      <c r="M21" s="527"/>
    </row>
    <row r="22" spans="1:13" ht="15">
      <c r="A22" s="504"/>
      <c r="B22" s="505"/>
      <c r="C22" s="505"/>
      <c r="D22" s="505"/>
      <c r="E22" s="505"/>
      <c r="F22" s="504"/>
      <c r="G22" s="506"/>
      <c r="H22" s="506"/>
      <c r="I22" s="506"/>
      <c r="J22" s="504"/>
      <c r="K22" s="507"/>
      <c r="L22" s="507"/>
      <c r="M22" s="527"/>
    </row>
    <row r="23" spans="1:13" s="541" customFormat="1" ht="15">
      <c r="A23" s="504"/>
      <c r="B23" s="505"/>
      <c r="C23" s="505"/>
      <c r="D23" s="505"/>
      <c r="E23" s="505"/>
      <c r="F23" s="504"/>
      <c r="G23" s="506"/>
      <c r="H23" s="506"/>
      <c r="I23" s="506"/>
      <c r="J23" s="504"/>
      <c r="K23" s="507"/>
      <c r="L23" s="507"/>
      <c r="M23" s="548"/>
    </row>
    <row r="24" spans="1:13" s="541" customFormat="1" ht="15">
      <c r="A24" s="504"/>
      <c r="B24" s="505"/>
      <c r="C24" s="505"/>
      <c r="D24" s="505"/>
      <c r="E24" s="505"/>
      <c r="F24" s="504"/>
      <c r="G24" s="506"/>
      <c r="H24" s="506"/>
      <c r="I24" s="506"/>
      <c r="J24" s="504"/>
      <c r="K24" s="507"/>
      <c r="L24" s="507"/>
      <c r="M24" s="548"/>
    </row>
    <row r="25" spans="1:13" ht="15">
      <c r="A25" s="504" t="s">
        <v>279</v>
      </c>
      <c r="B25" s="505"/>
      <c r="C25" s="505"/>
      <c r="D25" s="505"/>
      <c r="E25" s="505"/>
      <c r="F25" s="504">
        <v>1</v>
      </c>
      <c r="G25" s="506" t="e">
        <f>LEFT(#REF!,6)</f>
        <v>#REF!</v>
      </c>
      <c r="H25" s="506" t="e">
        <f>LEFT(#REF!,6)</f>
        <v>#REF!</v>
      </c>
      <c r="I25" s="506" t="e">
        <f>LEFT(#REF!,6)</f>
        <v>#REF!</v>
      </c>
      <c r="J25" s="504" t="s">
        <v>282</v>
      </c>
      <c r="K25" s="507" t="e">
        <f>#REF!</f>
        <v>#REF!</v>
      </c>
      <c r="L25" s="507" t="e">
        <f>#REF!</f>
        <v>#REF!</v>
      </c>
      <c r="M25" s="527" t="e">
        <f>#REF!</f>
        <v>#REF!</v>
      </c>
    </row>
    <row r="26" spans="1:13" ht="15">
      <c r="A26" s="504" t="s">
        <v>279</v>
      </c>
      <c r="B26" s="505"/>
      <c r="C26" s="505"/>
      <c r="D26" s="505"/>
      <c r="E26" s="505"/>
      <c r="F26" s="504">
        <v>1</v>
      </c>
      <c r="G26" s="506" t="e">
        <f>LEFT(#REF!,6)</f>
        <v>#REF!</v>
      </c>
      <c r="H26" s="506" t="e">
        <f>LEFT(#REF!,6)</f>
        <v>#REF!</v>
      </c>
      <c r="I26" s="506" t="e">
        <f>LEFT(#REF!,6)</f>
        <v>#REF!</v>
      </c>
      <c r="J26" s="504" t="s">
        <v>282</v>
      </c>
      <c r="K26" s="507" t="e">
        <f>#REF!</f>
        <v>#REF!</v>
      </c>
      <c r="L26" s="507" t="e">
        <f>#REF!</f>
        <v>#REF!</v>
      </c>
      <c r="M26" s="527" t="e">
        <f>#REF!</f>
        <v>#REF!</v>
      </c>
    </row>
    <row r="27" spans="1:13" ht="15">
      <c r="A27" s="504" t="s">
        <v>279</v>
      </c>
      <c r="B27" s="505"/>
      <c r="C27" s="505"/>
      <c r="D27" s="505"/>
      <c r="E27" s="505"/>
      <c r="F27" s="504">
        <v>1</v>
      </c>
      <c r="G27" s="506" t="e">
        <f>LEFT(#REF!,6)</f>
        <v>#REF!</v>
      </c>
      <c r="H27" s="506" t="e">
        <f>LEFT(#REF!,6)</f>
        <v>#REF!</v>
      </c>
      <c r="I27" s="506" t="e">
        <f>LEFT(#REF!,6)</f>
        <v>#REF!</v>
      </c>
      <c r="J27" s="504" t="s">
        <v>282</v>
      </c>
      <c r="K27" s="507" t="e">
        <f>#REF!</f>
        <v>#REF!</v>
      </c>
      <c r="L27" s="507" t="e">
        <f>#REF!</f>
        <v>#REF!</v>
      </c>
      <c r="M27" s="527" t="e">
        <f>#REF!</f>
        <v>#REF!</v>
      </c>
    </row>
    <row r="28" spans="1:13" ht="15">
      <c r="A28" s="504" t="s">
        <v>279</v>
      </c>
      <c r="B28" s="505"/>
      <c r="C28" s="505"/>
      <c r="D28" s="505"/>
      <c r="E28" s="505"/>
      <c r="F28" s="504">
        <v>1</v>
      </c>
      <c r="G28" s="506" t="e">
        <f>LEFT(#REF!,6)</f>
        <v>#REF!</v>
      </c>
      <c r="H28" s="506" t="e">
        <f>LEFT(#REF!,6)</f>
        <v>#REF!</v>
      </c>
      <c r="I28" s="506" t="e">
        <f>LEFT(#REF!,6)</f>
        <v>#REF!</v>
      </c>
      <c r="J28" s="504" t="s">
        <v>282</v>
      </c>
      <c r="K28" s="507" t="e">
        <f>#REF!</f>
        <v>#REF!</v>
      </c>
      <c r="L28" s="507" t="e">
        <f>#REF!</f>
        <v>#REF!</v>
      </c>
      <c r="M28" s="527" t="e">
        <f>#REF!</f>
        <v>#REF!</v>
      </c>
    </row>
    <row r="29" spans="1:13" ht="15">
      <c r="A29" s="504" t="s">
        <v>279</v>
      </c>
      <c r="B29" s="505"/>
      <c r="C29" s="505"/>
      <c r="D29" s="505"/>
      <c r="E29" s="505"/>
      <c r="F29" s="504">
        <v>1</v>
      </c>
      <c r="G29" s="506" t="e">
        <f>LEFT(#REF!,6)</f>
        <v>#REF!</v>
      </c>
      <c r="H29" s="506" t="e">
        <f>LEFT(#REF!,6)</f>
        <v>#REF!</v>
      </c>
      <c r="I29" s="506" t="e">
        <f>LEFT(#REF!,6)</f>
        <v>#REF!</v>
      </c>
      <c r="J29" s="504" t="s">
        <v>282</v>
      </c>
      <c r="K29" s="507" t="e">
        <f>#REF!</f>
        <v>#REF!</v>
      </c>
      <c r="L29" s="507" t="e">
        <f>#REF!</f>
        <v>#REF!</v>
      </c>
      <c r="M29" s="527" t="e">
        <f>#REF!</f>
        <v>#REF!</v>
      </c>
    </row>
    <row r="30" spans="1:13" ht="15">
      <c r="A30" s="504" t="s">
        <v>279</v>
      </c>
      <c r="B30" s="505"/>
      <c r="C30" s="505"/>
      <c r="D30" s="505"/>
      <c r="E30" s="505"/>
      <c r="F30" s="504">
        <v>1</v>
      </c>
      <c r="G30" s="506" t="e">
        <f>LEFT(#REF!,6)</f>
        <v>#REF!</v>
      </c>
      <c r="H30" s="506" t="e">
        <f>LEFT(#REF!,6)</f>
        <v>#REF!</v>
      </c>
      <c r="I30" s="506" t="e">
        <f>LEFT(#REF!,6)</f>
        <v>#REF!</v>
      </c>
      <c r="J30" s="504" t="s">
        <v>282</v>
      </c>
      <c r="K30" s="507" t="e">
        <f>#REF!</f>
        <v>#REF!</v>
      </c>
      <c r="L30" s="507" t="e">
        <f>#REF!</f>
        <v>#REF!</v>
      </c>
      <c r="M30" s="527" t="e">
        <f>#REF!</f>
        <v>#REF!</v>
      </c>
    </row>
    <row r="31" spans="1:13" ht="15">
      <c r="A31" s="504"/>
      <c r="B31" s="505"/>
      <c r="C31" s="505"/>
      <c r="D31" s="505"/>
      <c r="E31" s="505"/>
      <c r="F31" s="504"/>
      <c r="G31" s="506"/>
      <c r="H31" s="506"/>
      <c r="I31" s="506"/>
      <c r="J31" s="504"/>
    </row>
    <row r="32" spans="1:13">
      <c r="K32" t="e">
        <f>SUM(K2:K31)</f>
        <v>#REF!</v>
      </c>
      <c r="L32" t="e">
        <f>SUM(L2:L31)</f>
        <v>#REF!</v>
      </c>
    </row>
  </sheetData>
  <pageMargins left="0.7" right="0.7" top="0.75" bottom="0.75" header="0.3" footer="0.3"/>
  <pageSetup scale="61" orientation="landscape" r:id="rId1"/>
  <customProperties>
    <customPr name="xxe4aPID" r:id="rId2"/>
  </customPropertie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">
    <tabColor rgb="FFFFFF00"/>
    <pageSetUpPr fitToPage="1"/>
  </sheetPr>
  <dimension ref="A1:R1010"/>
  <sheetViews>
    <sheetView showGridLines="0" view="pageBreakPreview" topLeftCell="A109" zoomScaleNormal="100" zoomScaleSheetLayoutView="100" workbookViewId="0">
      <selection activeCell="E128" sqref="E128"/>
    </sheetView>
  </sheetViews>
  <sheetFormatPr defaultColWidth="9.85546875" defaultRowHeight="15"/>
  <cols>
    <col min="1" max="1" width="12.42578125" style="53" customWidth="1"/>
    <col min="2" max="2" width="39.85546875" style="1" customWidth="1"/>
    <col min="3" max="3" width="24.85546875" style="1" customWidth="1"/>
    <col min="4" max="4" width="20.140625" style="1" bestFit="1" customWidth="1"/>
    <col min="5" max="5" width="19.7109375" style="1" customWidth="1"/>
    <col min="6" max="6" width="16.7109375" style="1" customWidth="1"/>
    <col min="7" max="7" width="16.7109375" style="1" hidden="1" customWidth="1"/>
    <col min="8" max="8" width="13.140625" style="1" hidden="1" customWidth="1"/>
    <col min="9" max="9" width="14.28515625" style="1" hidden="1" customWidth="1"/>
    <col min="10" max="10" width="16" style="1" hidden="1" customWidth="1"/>
    <col min="11" max="11" width="11.28515625" style="1" hidden="1" customWidth="1"/>
    <col min="12" max="12" width="25.7109375" style="1" bestFit="1" customWidth="1"/>
    <col min="13" max="13" width="18" style="52" customWidth="1"/>
    <col min="14" max="14" width="3.140625" style="1" customWidth="1"/>
    <col min="15" max="15" width="25.85546875" style="1" customWidth="1"/>
    <col min="16" max="16" width="20.28515625" style="1" customWidth="1"/>
    <col min="17" max="17" width="19.85546875" style="1" customWidth="1"/>
    <col min="18" max="18" width="20" style="1" customWidth="1"/>
    <col min="19" max="16384" width="9.85546875" style="1"/>
  </cols>
  <sheetData>
    <row r="1" spans="1:18" ht="18.75" customHeight="1">
      <c r="A1" s="51" t="s">
        <v>13</v>
      </c>
    </row>
    <row r="2" spans="1:18" ht="15.75">
      <c r="A2" s="51" t="s">
        <v>0</v>
      </c>
    </row>
    <row r="3" spans="1:18" ht="15.75">
      <c r="A3" s="51" t="s">
        <v>15</v>
      </c>
    </row>
    <row r="4" spans="1:18" ht="15.75">
      <c r="A4" s="51" t="s">
        <v>104</v>
      </c>
    </row>
    <row r="5" spans="1:18" ht="15.75">
      <c r="C5" s="55" t="s">
        <v>21</v>
      </c>
      <c r="D5" s="55" t="s">
        <v>2</v>
      </c>
      <c r="E5" s="55" t="s">
        <v>3</v>
      </c>
      <c r="F5" s="55"/>
      <c r="J5" s="46"/>
    </row>
    <row r="6" spans="1:18" ht="15.75">
      <c r="A6" s="62"/>
      <c r="B6" s="69"/>
      <c r="C6" s="55" t="s">
        <v>16</v>
      </c>
      <c r="D6" s="55" t="s">
        <v>7</v>
      </c>
      <c r="E6" s="55" t="s">
        <v>7</v>
      </c>
      <c r="F6" s="55" t="s">
        <v>4</v>
      </c>
      <c r="O6" s="92"/>
      <c r="P6" s="91"/>
      <c r="Q6" s="19"/>
      <c r="R6" s="19"/>
    </row>
    <row r="7" spans="1:18" ht="15.75">
      <c r="A7" s="62"/>
      <c r="B7" s="69"/>
      <c r="C7" s="55"/>
      <c r="D7" s="55"/>
      <c r="E7" s="55"/>
      <c r="O7" s="92"/>
      <c r="P7" s="91"/>
      <c r="Q7" s="19"/>
      <c r="R7" s="19"/>
    </row>
    <row r="8" spans="1:18" s="331" customFormat="1" ht="16.5" thickBot="1">
      <c r="A8" s="103">
        <v>41183</v>
      </c>
      <c r="B8" s="50" t="s">
        <v>56</v>
      </c>
      <c r="C8" s="158">
        <v>-6056575.765431677</v>
      </c>
      <c r="D8" s="158">
        <v>-6691252.0927546788</v>
      </c>
      <c r="E8" s="158">
        <v>809169.36732299952</v>
      </c>
      <c r="F8" s="158">
        <v>-174493.04</v>
      </c>
      <c r="G8" s="158">
        <v>0</v>
      </c>
      <c r="H8" s="158">
        <v>0</v>
      </c>
      <c r="I8" s="158">
        <v>0</v>
      </c>
      <c r="J8" s="158">
        <v>0</v>
      </c>
      <c r="K8" s="158">
        <v>0</v>
      </c>
      <c r="L8" s="158">
        <v>0</v>
      </c>
      <c r="M8" s="57"/>
      <c r="N8" s="333"/>
      <c r="O8" s="333"/>
      <c r="P8" s="333"/>
      <c r="Q8" s="333"/>
      <c r="R8" s="19"/>
    </row>
    <row r="9" spans="1:18" s="384" customFormat="1" ht="16.5" thickTop="1">
      <c r="A9" s="103"/>
      <c r="B9" s="50"/>
      <c r="C9" s="11"/>
      <c r="D9" s="11"/>
      <c r="E9" s="11"/>
      <c r="F9" s="11"/>
      <c r="G9" s="11"/>
      <c r="H9" s="11"/>
      <c r="I9" s="11"/>
      <c r="J9" s="11"/>
      <c r="K9" s="11"/>
      <c r="L9" s="11"/>
      <c r="M9" s="57"/>
      <c r="N9" s="385"/>
      <c r="O9" s="385"/>
      <c r="P9" s="385"/>
      <c r="Q9" s="385"/>
      <c r="R9" s="385"/>
    </row>
    <row r="10" spans="1:18" s="384" customFormat="1" ht="15.75">
      <c r="A10" s="256"/>
      <c r="B10" s="161" t="s">
        <v>11</v>
      </c>
      <c r="C10" s="203">
        <v>7340824.0093394704</v>
      </c>
      <c r="D10" s="203">
        <v>4103157.0665184702</v>
      </c>
      <c r="E10" s="203">
        <v>3134193.9628209998</v>
      </c>
      <c r="F10" s="203">
        <v>103472.98</v>
      </c>
      <c r="G10" s="203">
        <v>0</v>
      </c>
      <c r="H10" s="203">
        <v>0</v>
      </c>
      <c r="I10" s="203">
        <v>0</v>
      </c>
      <c r="J10" s="203">
        <v>0</v>
      </c>
      <c r="K10" s="203">
        <v>0</v>
      </c>
      <c r="L10" s="203">
        <v>0</v>
      </c>
      <c r="M10" s="203"/>
      <c r="N10" s="203"/>
      <c r="O10" s="202"/>
      <c r="P10" s="202"/>
      <c r="Q10" s="202"/>
      <c r="R10" s="202"/>
    </row>
    <row r="11" spans="1:18" s="384" customFormat="1" ht="16.5" thickBot="1">
      <c r="A11" s="256"/>
      <c r="B11" s="161" t="s">
        <v>210</v>
      </c>
      <c r="C11" s="390">
        <f>SUM(C8:C10)</f>
        <v>1284248.2439077934</v>
      </c>
      <c r="D11" s="390">
        <f>SUM(D8:D10)</f>
        <v>-2588095.0262362086</v>
      </c>
      <c r="E11" s="390">
        <f>SUM(E8:E10)</f>
        <v>3943363.3301439993</v>
      </c>
      <c r="F11" s="390">
        <f>SUM(F8:F10)</f>
        <v>-71020.060000000012</v>
      </c>
      <c r="G11" s="390">
        <v>0</v>
      </c>
      <c r="H11" s="390">
        <v>0</v>
      </c>
      <c r="I11" s="390">
        <v>0</v>
      </c>
      <c r="J11" s="390">
        <v>0</v>
      </c>
      <c r="K11" s="390">
        <v>0</v>
      </c>
      <c r="L11" s="390">
        <f>SUM(L8:L10)</f>
        <v>0</v>
      </c>
      <c r="M11" s="390"/>
      <c r="N11" s="390"/>
      <c r="O11" s="202"/>
      <c r="P11" s="202"/>
      <c r="Q11" s="202"/>
      <c r="R11" s="202"/>
    </row>
    <row r="12" spans="1:18" ht="16.5" thickTop="1" thickBot="1"/>
    <row r="13" spans="1:18" s="384" customFormat="1" ht="16.5" thickBot="1">
      <c r="A13" s="58">
        <v>41243</v>
      </c>
      <c r="B13" s="59" t="s">
        <v>84</v>
      </c>
      <c r="C13" s="50">
        <f>SUM(D13:L13)</f>
        <v>1615352.97</v>
      </c>
      <c r="D13" s="244">
        <v>1685691.83</v>
      </c>
      <c r="E13" s="244">
        <v>-70338.86</v>
      </c>
      <c r="F13" s="161">
        <v>0</v>
      </c>
      <c r="G13" s="161"/>
      <c r="H13" s="161"/>
      <c r="I13" s="161"/>
      <c r="J13" s="388"/>
      <c r="K13" s="161"/>
      <c r="L13" s="161">
        <v>0</v>
      </c>
      <c r="M13" s="133"/>
      <c r="N13" s="50"/>
      <c r="O13" s="336" t="s">
        <v>106</v>
      </c>
      <c r="P13" s="93"/>
      <c r="Q13" s="93"/>
      <c r="R13" s="94"/>
    </row>
    <row r="14" spans="1:18" s="384" customFormat="1" ht="15.75">
      <c r="A14" s="58"/>
      <c r="B14" s="59" t="s">
        <v>148</v>
      </c>
      <c r="C14" s="50">
        <f>SUM(D14:F14)</f>
        <v>0</v>
      </c>
      <c r="D14" s="241"/>
      <c r="E14" s="241">
        <v>0</v>
      </c>
      <c r="F14" s="161"/>
      <c r="G14" s="161"/>
      <c r="H14" s="161"/>
      <c r="I14" s="161"/>
      <c r="J14" s="161"/>
      <c r="K14" s="161"/>
      <c r="L14" s="161"/>
      <c r="M14" s="133"/>
      <c r="N14" s="50"/>
      <c r="O14" s="347" t="s">
        <v>211</v>
      </c>
      <c r="P14" s="339" t="s">
        <v>27</v>
      </c>
      <c r="Q14" s="335">
        <v>0</v>
      </c>
      <c r="R14" s="337">
        <f>-C10</f>
        <v>-7340824.0093394704</v>
      </c>
    </row>
    <row r="15" spans="1:18" s="384" customFormat="1" ht="15.75">
      <c r="A15" s="58"/>
      <c r="B15" s="20" t="s">
        <v>157</v>
      </c>
      <c r="C15" s="50">
        <f>SUM(D15:L15)</f>
        <v>0</v>
      </c>
      <c r="D15" s="242">
        <v>0</v>
      </c>
      <c r="E15" s="241"/>
      <c r="F15" s="161"/>
      <c r="G15" s="161"/>
      <c r="H15" s="161"/>
      <c r="I15" s="161"/>
      <c r="J15" s="161"/>
      <c r="K15" s="161"/>
      <c r="L15" s="161"/>
      <c r="M15" s="133"/>
      <c r="N15" s="50"/>
      <c r="O15" s="334" t="s">
        <v>79</v>
      </c>
      <c r="P15" s="339" t="s">
        <v>17</v>
      </c>
      <c r="Q15" s="335">
        <f>IF((-C8+C19)&gt;0,(-C8+C19),0)</f>
        <v>8961842.60933947</v>
      </c>
      <c r="R15" s="337">
        <f>IF((-C8+C19)&lt;0,(-C8+C19),0)</f>
        <v>0</v>
      </c>
    </row>
    <row r="16" spans="1:18" s="384" customFormat="1" ht="15.75">
      <c r="A16" s="58"/>
      <c r="B16" s="59" t="s">
        <v>49</v>
      </c>
      <c r="C16" s="50">
        <f>SUM(D16:L16)</f>
        <v>0</v>
      </c>
      <c r="D16" s="161"/>
      <c r="E16" s="161"/>
      <c r="F16" s="161"/>
      <c r="G16" s="161"/>
      <c r="H16" s="161"/>
      <c r="I16" s="161"/>
      <c r="J16" s="161"/>
      <c r="K16" s="161"/>
      <c r="L16" s="243">
        <v>0</v>
      </c>
      <c r="M16" s="134"/>
      <c r="N16" s="50"/>
      <c r="O16" s="340" t="s">
        <v>80</v>
      </c>
      <c r="P16" s="339" t="s">
        <v>20</v>
      </c>
      <c r="Q16" s="112">
        <f>IF((C13+C14)&lt;0,(-C13-C14),0)</f>
        <v>0</v>
      </c>
      <c r="R16" s="337">
        <f>IF((C13+C14)&gt;0,(-C13-C14),0)</f>
        <v>-1615352.97</v>
      </c>
    </row>
    <row r="17" spans="1:18" s="384" customFormat="1" ht="15.75">
      <c r="A17" s="58"/>
      <c r="B17" s="59" t="s">
        <v>144</v>
      </c>
      <c r="C17" s="50">
        <f>SUM(D17:L17)</f>
        <v>0</v>
      </c>
      <c r="D17" s="161"/>
      <c r="E17" s="161"/>
      <c r="F17" s="161"/>
      <c r="G17" s="161"/>
      <c r="H17" s="161"/>
      <c r="I17" s="161"/>
      <c r="J17" s="161"/>
      <c r="K17" s="161"/>
      <c r="L17" s="243">
        <v>0</v>
      </c>
      <c r="M17" s="134"/>
      <c r="N17" s="50"/>
      <c r="O17" s="342" t="s">
        <v>82</v>
      </c>
      <c r="P17" s="339" t="s">
        <v>75</v>
      </c>
      <c r="Q17" s="344">
        <v>0</v>
      </c>
      <c r="R17" s="337">
        <f>IF(C18&gt;0,-C18,0)</f>
        <v>-5665.63</v>
      </c>
    </row>
    <row r="18" spans="1:18" s="384" customFormat="1" ht="16.5" thickBot="1">
      <c r="A18" s="61"/>
      <c r="B18" s="59" t="s">
        <v>12</v>
      </c>
      <c r="C18" s="50">
        <f>SUM(D18:L18)</f>
        <v>5665.63</v>
      </c>
      <c r="D18" s="161"/>
      <c r="E18" s="161"/>
      <c r="F18" s="161">
        <v>5665.63</v>
      </c>
      <c r="G18" s="161"/>
      <c r="H18" s="161"/>
      <c r="I18" s="161"/>
      <c r="J18" s="161"/>
      <c r="K18" s="161"/>
      <c r="L18" s="245"/>
      <c r="M18" s="237">
        <v>3.2500000000000001E-2</v>
      </c>
      <c r="N18" s="50"/>
      <c r="O18" s="343" t="s">
        <v>83</v>
      </c>
      <c r="P18" s="341" t="s">
        <v>76</v>
      </c>
      <c r="Q18" s="116">
        <f>IF(-C18&gt;0,-C18,0)</f>
        <v>0</v>
      </c>
      <c r="R18" s="116">
        <f>IF(C18&gt;0,0,0)</f>
        <v>0</v>
      </c>
    </row>
    <row r="19" spans="1:18" s="384" customFormat="1" ht="16.5" thickBot="1">
      <c r="A19" s="103">
        <f>A13</f>
        <v>41243</v>
      </c>
      <c r="B19" s="50" t="s">
        <v>56</v>
      </c>
      <c r="C19" s="158">
        <f>SUM(C11:C18)</f>
        <v>2905266.8439077931</v>
      </c>
      <c r="D19" s="158">
        <f>SUM(D11:D18)</f>
        <v>-902403.19623620855</v>
      </c>
      <c r="E19" s="158">
        <f>SUM(E11:E18)</f>
        <v>3873024.4701439994</v>
      </c>
      <c r="F19" s="158">
        <f>SUM(F11:F18)</f>
        <v>-65354.430000000015</v>
      </c>
      <c r="G19" s="158">
        <f>SUM(G8:G18)</f>
        <v>0</v>
      </c>
      <c r="H19" s="158">
        <f>SUM(H8:H18)</f>
        <v>0</v>
      </c>
      <c r="I19" s="158">
        <f>SUM(I8:I18)</f>
        <v>0</v>
      </c>
      <c r="J19" s="158">
        <f>SUM(J8:J18)</f>
        <v>0</v>
      </c>
      <c r="K19" s="158">
        <f>SUM(K8:K18)</f>
        <v>0</v>
      </c>
      <c r="L19" s="158">
        <f>SUM(L11:L18)</f>
        <v>0</v>
      </c>
      <c r="M19" s="57"/>
      <c r="N19" s="385"/>
      <c r="O19" s="385"/>
      <c r="P19" s="385"/>
      <c r="Q19" s="385"/>
      <c r="R19" s="338">
        <f>ROUND(SUM(Q14:R18),2)</f>
        <v>0</v>
      </c>
    </row>
    <row r="20" spans="1:18" ht="16.5" thickTop="1" thickBot="1"/>
    <row r="21" spans="1:18" s="384" customFormat="1" ht="16.5" thickBot="1">
      <c r="A21" s="58">
        <v>41274</v>
      </c>
      <c r="B21" s="59" t="s">
        <v>84</v>
      </c>
      <c r="C21" s="50">
        <f>SUM(D21:L21)</f>
        <v>338391.8734309976</v>
      </c>
      <c r="D21" s="244">
        <v>1143938.5575779974</v>
      </c>
      <c r="E21" s="244">
        <v>-805546.68414699985</v>
      </c>
      <c r="F21" s="161">
        <v>0</v>
      </c>
      <c r="G21" s="161"/>
      <c r="H21" s="161"/>
      <c r="I21" s="161"/>
      <c r="J21" s="388"/>
      <c r="K21" s="161"/>
      <c r="L21" s="161">
        <v>0</v>
      </c>
      <c r="M21" s="133"/>
      <c r="N21" s="50"/>
      <c r="O21" s="336" t="s">
        <v>106</v>
      </c>
      <c r="P21" s="93"/>
      <c r="Q21" s="93"/>
      <c r="R21" s="94"/>
    </row>
    <row r="22" spans="1:18" s="384" customFormat="1" ht="15.75">
      <c r="A22" s="58"/>
      <c r="B22" s="59" t="s">
        <v>148</v>
      </c>
      <c r="C22" s="50">
        <f>SUM(D22:F22)</f>
        <v>0</v>
      </c>
      <c r="D22" s="241"/>
      <c r="E22" s="241">
        <v>0</v>
      </c>
      <c r="F22" s="161"/>
      <c r="G22" s="161"/>
      <c r="H22" s="161"/>
      <c r="I22" s="161"/>
      <c r="J22" s="161"/>
      <c r="K22" s="161"/>
      <c r="L22" s="161"/>
      <c r="M22" s="133"/>
      <c r="N22" s="50"/>
      <c r="O22" s="347" t="s">
        <v>211</v>
      </c>
      <c r="P22" s="339" t="s">
        <v>27</v>
      </c>
      <c r="Q22" s="335">
        <v>0</v>
      </c>
      <c r="R22" s="337">
        <v>0</v>
      </c>
    </row>
    <row r="23" spans="1:18" s="384" customFormat="1" ht="15.75">
      <c r="A23" s="58"/>
      <c r="B23" s="20" t="s">
        <v>157</v>
      </c>
      <c r="C23" s="50">
        <f>SUM(D23:L23)</f>
        <v>0</v>
      </c>
      <c r="D23" s="242">
        <v>0</v>
      </c>
      <c r="E23" s="241"/>
      <c r="F23" s="161"/>
      <c r="G23" s="161"/>
      <c r="H23" s="161"/>
      <c r="I23" s="161"/>
      <c r="J23" s="161"/>
      <c r="K23" s="161"/>
      <c r="L23" s="161"/>
      <c r="M23" s="133"/>
      <c r="N23" s="50"/>
      <c r="O23" s="334" t="s">
        <v>79</v>
      </c>
      <c r="P23" s="339" t="s">
        <v>17</v>
      </c>
      <c r="Q23" s="335">
        <f>IF((-C19+C27)&gt;0,(-C19+C27),0)</f>
        <v>346718.54343099752</v>
      </c>
      <c r="R23" s="337">
        <f>IF((-C16+C27)&lt;0,(-C16+C27),0)</f>
        <v>0</v>
      </c>
    </row>
    <row r="24" spans="1:18" s="384" customFormat="1" ht="15.75">
      <c r="A24" s="58"/>
      <c r="B24" s="59" t="s">
        <v>49</v>
      </c>
      <c r="C24" s="50">
        <f>SUM(D24:L24)</f>
        <v>0</v>
      </c>
      <c r="D24" s="161"/>
      <c r="E24" s="161"/>
      <c r="F24" s="161"/>
      <c r="G24" s="161"/>
      <c r="H24" s="161"/>
      <c r="I24" s="161"/>
      <c r="J24" s="161"/>
      <c r="K24" s="161"/>
      <c r="L24" s="243">
        <v>0</v>
      </c>
      <c r="M24" s="134"/>
      <c r="N24" s="50"/>
      <c r="O24" s="340" t="s">
        <v>80</v>
      </c>
      <c r="P24" s="339" t="s">
        <v>20</v>
      </c>
      <c r="Q24" s="112">
        <f>IF((C21+C22)&lt;0,(-C21-C22),0)</f>
        <v>0</v>
      </c>
      <c r="R24" s="337">
        <f>IF((C21+C22)&gt;0,(-C21-C22),0)</f>
        <v>-338391.8734309976</v>
      </c>
    </row>
    <row r="25" spans="1:18" s="384" customFormat="1" ht="15.75">
      <c r="A25" s="58"/>
      <c r="B25" s="59" t="s">
        <v>144</v>
      </c>
      <c r="C25" s="50">
        <f>SUM(D25:L25)</f>
        <v>0</v>
      </c>
      <c r="D25" s="161"/>
      <c r="E25" s="161"/>
      <c r="F25" s="161"/>
      <c r="G25" s="161"/>
      <c r="H25" s="161"/>
      <c r="I25" s="161"/>
      <c r="J25" s="161"/>
      <c r="K25" s="161"/>
      <c r="L25" s="243">
        <v>0</v>
      </c>
      <c r="M25" s="134"/>
      <c r="N25" s="50"/>
      <c r="O25" s="342" t="s">
        <v>82</v>
      </c>
      <c r="P25" s="339" t="s">
        <v>75</v>
      </c>
      <c r="Q25" s="344">
        <v>0</v>
      </c>
      <c r="R25" s="337">
        <f>IF(C26&gt;0,-C26,0)</f>
        <v>-8326.67</v>
      </c>
    </row>
    <row r="26" spans="1:18" s="384" customFormat="1" ht="16.5" thickBot="1">
      <c r="A26" s="61"/>
      <c r="B26" s="59" t="s">
        <v>12</v>
      </c>
      <c r="C26" s="50">
        <f>SUM(D26:L26)</f>
        <v>8326.67</v>
      </c>
      <c r="D26" s="161"/>
      <c r="E26" s="161"/>
      <c r="F26" s="161">
        <v>8326.67</v>
      </c>
      <c r="G26" s="161"/>
      <c r="H26" s="161"/>
      <c r="I26" s="161"/>
      <c r="J26" s="161"/>
      <c r="K26" s="161"/>
      <c r="L26" s="245"/>
      <c r="M26" s="237">
        <v>3.2500000000000001E-2</v>
      </c>
      <c r="N26" s="50"/>
      <c r="O26" s="343" t="s">
        <v>83</v>
      </c>
      <c r="P26" s="341" t="s">
        <v>76</v>
      </c>
      <c r="Q26" s="116">
        <f>IF(-C26&gt;0,-C26,0)</f>
        <v>0</v>
      </c>
      <c r="R26" s="116">
        <f>IF(C26&gt;0,0,0)</f>
        <v>0</v>
      </c>
    </row>
    <row r="27" spans="1:18" s="384" customFormat="1" ht="16.5" thickBot="1">
      <c r="A27" s="103">
        <f>A21</f>
        <v>41274</v>
      </c>
      <c r="B27" s="50" t="s">
        <v>56</v>
      </c>
      <c r="C27" s="158">
        <f>SUM(C19:C26)</f>
        <v>3251985.3873387906</v>
      </c>
      <c r="D27" s="158">
        <f>SUM(D19:D26)</f>
        <v>241535.3613417889</v>
      </c>
      <c r="E27" s="158">
        <f>SUM(E19:E26)</f>
        <v>3067477.7859969996</v>
      </c>
      <c r="F27" s="158">
        <f>SUM(F19:F26)</f>
        <v>-57027.760000000017</v>
      </c>
      <c r="G27" s="158">
        <f t="shared" ref="G27:K27" si="0">SUM(G16:G26)</f>
        <v>0</v>
      </c>
      <c r="H27" s="158">
        <f t="shared" si="0"/>
        <v>0</v>
      </c>
      <c r="I27" s="158">
        <f t="shared" si="0"/>
        <v>0</v>
      </c>
      <c r="J27" s="158">
        <f t="shared" si="0"/>
        <v>0</v>
      </c>
      <c r="K27" s="158">
        <f t="shared" si="0"/>
        <v>0</v>
      </c>
      <c r="L27" s="158">
        <f>SUM(L19:L26)</f>
        <v>0</v>
      </c>
      <c r="M27" s="57"/>
      <c r="N27" s="385"/>
      <c r="O27" s="385"/>
      <c r="P27" s="385"/>
      <c r="Q27" s="385"/>
      <c r="R27" s="338">
        <f>ROUND(SUM(Q22:R26),2)</f>
        <v>0</v>
      </c>
    </row>
    <row r="28" spans="1:18" s="384" customFormat="1" ht="16.5" thickTop="1" thickBot="1">
      <c r="A28" s="53"/>
      <c r="M28" s="52"/>
    </row>
    <row r="29" spans="1:18" s="384" customFormat="1" ht="16.5" thickBot="1">
      <c r="A29" s="58">
        <v>41305</v>
      </c>
      <c r="B29" s="59" t="s">
        <v>84</v>
      </c>
      <c r="C29" s="50">
        <f>SUM(D29:L29)</f>
        <v>-3227933.8735419996</v>
      </c>
      <c r="D29" s="244">
        <v>-1853906.027032</v>
      </c>
      <c r="E29" s="244">
        <v>-1374027.8465099994</v>
      </c>
      <c r="F29" s="161">
        <v>0</v>
      </c>
      <c r="G29" s="161"/>
      <c r="H29" s="161"/>
      <c r="I29" s="161"/>
      <c r="J29" s="388"/>
      <c r="K29" s="161"/>
      <c r="L29" s="161">
        <v>0</v>
      </c>
      <c r="M29" s="133"/>
      <c r="N29" s="50"/>
      <c r="O29" s="336" t="s">
        <v>106</v>
      </c>
      <c r="P29" s="93"/>
      <c r="Q29" s="93"/>
      <c r="R29" s="94"/>
    </row>
    <row r="30" spans="1:18" s="384" customFormat="1" ht="15.75">
      <c r="A30" s="58"/>
      <c r="B30" s="59" t="s">
        <v>148</v>
      </c>
      <c r="C30" s="50">
        <f>SUM(D30:F30)</f>
        <v>0</v>
      </c>
      <c r="D30" s="241"/>
      <c r="E30" s="241">
        <v>0</v>
      </c>
      <c r="F30" s="161"/>
      <c r="G30" s="161"/>
      <c r="H30" s="161"/>
      <c r="I30" s="161"/>
      <c r="J30" s="161"/>
      <c r="K30" s="161"/>
      <c r="L30" s="161"/>
      <c r="M30" s="133"/>
      <c r="N30" s="50"/>
      <c r="O30" s="347" t="s">
        <v>211</v>
      </c>
      <c r="P30" s="339" t="s">
        <v>27</v>
      </c>
      <c r="Q30" s="335">
        <v>0</v>
      </c>
      <c r="R30" s="337">
        <v>0</v>
      </c>
    </row>
    <row r="31" spans="1:18" s="384" customFormat="1" ht="15.75">
      <c r="A31" s="58"/>
      <c r="B31" s="20" t="s">
        <v>157</v>
      </c>
      <c r="C31" s="50">
        <f>SUM(D31:L31)</f>
        <v>0</v>
      </c>
      <c r="D31" s="242">
        <v>0</v>
      </c>
      <c r="E31" s="241"/>
      <c r="F31" s="161"/>
      <c r="G31" s="161"/>
      <c r="H31" s="161"/>
      <c r="I31" s="161"/>
      <c r="J31" s="161"/>
      <c r="K31" s="161"/>
      <c r="L31" s="161"/>
      <c r="M31" s="133"/>
      <c r="N31" s="50"/>
      <c r="O31" s="334" t="s">
        <v>79</v>
      </c>
      <c r="P31" s="339" t="s">
        <v>17</v>
      </c>
      <c r="Q31" s="335">
        <f>IF((-C27+C35)&gt;0,(-C27+C35),0)</f>
        <v>0</v>
      </c>
      <c r="R31" s="337">
        <f>IF((-C27+C35)&lt;0,(-C27+C35),0)</f>
        <v>-3223497.5735419998</v>
      </c>
    </row>
    <row r="32" spans="1:18" s="384" customFormat="1" ht="15.75">
      <c r="A32" s="58"/>
      <c r="B32" s="59" t="s">
        <v>49</v>
      </c>
      <c r="C32" s="50">
        <f>SUM(D32:L32)</f>
        <v>0</v>
      </c>
      <c r="D32" s="161"/>
      <c r="E32" s="161"/>
      <c r="F32" s="161"/>
      <c r="G32" s="161"/>
      <c r="H32" s="161"/>
      <c r="I32" s="161"/>
      <c r="J32" s="161"/>
      <c r="K32" s="161"/>
      <c r="L32" s="243">
        <v>0</v>
      </c>
      <c r="M32" s="134"/>
      <c r="N32" s="50"/>
      <c r="O32" s="340" t="s">
        <v>80</v>
      </c>
      <c r="P32" s="339" t="s">
        <v>20</v>
      </c>
      <c r="Q32" s="112">
        <f>IF((C29+C30)&lt;0,(-C29-C30),0)</f>
        <v>3227933.8735419996</v>
      </c>
      <c r="R32" s="337">
        <f>IF((C29+C30)&gt;0,(-C29-C30),0)</f>
        <v>0</v>
      </c>
    </row>
    <row r="33" spans="1:18" s="384" customFormat="1" ht="15.75">
      <c r="A33" s="58"/>
      <c r="B33" s="59" t="s">
        <v>144</v>
      </c>
      <c r="C33" s="50">
        <f>SUM(D33:L33)</f>
        <v>0</v>
      </c>
      <c r="D33" s="161"/>
      <c r="E33" s="161"/>
      <c r="F33" s="161"/>
      <c r="G33" s="161"/>
      <c r="H33" s="161"/>
      <c r="I33" s="161"/>
      <c r="J33" s="161"/>
      <c r="K33" s="161"/>
      <c r="L33" s="243">
        <v>0</v>
      </c>
      <c r="M33" s="134"/>
      <c r="N33" s="50"/>
      <c r="O33" s="342" t="s">
        <v>82</v>
      </c>
      <c r="P33" s="339" t="s">
        <v>75</v>
      </c>
      <c r="Q33" s="344">
        <v>0</v>
      </c>
      <c r="R33" s="337">
        <f>IF(C34&gt;0,-C34,0)</f>
        <v>-4436.3</v>
      </c>
    </row>
    <row r="34" spans="1:18" s="384" customFormat="1" ht="16.5" thickBot="1">
      <c r="A34" s="61"/>
      <c r="B34" s="59" t="s">
        <v>12</v>
      </c>
      <c r="C34" s="50">
        <f>SUM(D34:L34)</f>
        <v>4436.3</v>
      </c>
      <c r="D34" s="161"/>
      <c r="E34" s="161"/>
      <c r="F34" s="161">
        <v>4436.3</v>
      </c>
      <c r="G34" s="161"/>
      <c r="H34" s="161"/>
      <c r="I34" s="161"/>
      <c r="J34" s="161"/>
      <c r="K34" s="161"/>
      <c r="L34" s="245"/>
      <c r="M34" s="237">
        <v>3.2500000000000001E-2</v>
      </c>
      <c r="N34" s="50"/>
      <c r="O34" s="343" t="s">
        <v>83</v>
      </c>
      <c r="P34" s="341" t="s">
        <v>76</v>
      </c>
      <c r="Q34" s="116">
        <f>IF(-C34&gt;0,-C34,0)</f>
        <v>0</v>
      </c>
      <c r="R34" s="116">
        <f>IF(C34&gt;0,0,0)</f>
        <v>0</v>
      </c>
    </row>
    <row r="35" spans="1:18" s="384" customFormat="1" ht="16.5" thickBot="1">
      <c r="A35" s="103">
        <f>A29</f>
        <v>41305</v>
      </c>
      <c r="B35" s="50" t="s">
        <v>56</v>
      </c>
      <c r="C35" s="158">
        <f>SUM(C27:C34)</f>
        <v>28487.813796790968</v>
      </c>
      <c r="D35" s="158">
        <f>SUM(D27:D34)</f>
        <v>-1612370.6656902111</v>
      </c>
      <c r="E35" s="158">
        <f>SUM(E27:E34)</f>
        <v>1693449.9394870002</v>
      </c>
      <c r="F35" s="158">
        <f>SUM(F27:F34)</f>
        <v>-52591.460000000014</v>
      </c>
      <c r="G35" s="158">
        <f t="shared" ref="G35:K35" si="1">SUM(G24:G34)</f>
        <v>0</v>
      </c>
      <c r="H35" s="158">
        <f t="shared" si="1"/>
        <v>0</v>
      </c>
      <c r="I35" s="158">
        <f t="shared" si="1"/>
        <v>0</v>
      </c>
      <c r="J35" s="158">
        <f t="shared" si="1"/>
        <v>0</v>
      </c>
      <c r="K35" s="158">
        <f t="shared" si="1"/>
        <v>0</v>
      </c>
      <c r="L35" s="158">
        <f>SUM(L27:L34)</f>
        <v>0</v>
      </c>
      <c r="M35" s="57"/>
      <c r="N35" s="385"/>
      <c r="O35" s="385"/>
      <c r="P35" s="385"/>
      <c r="Q35" s="385"/>
      <c r="R35" s="338">
        <f>ROUND(SUM(Q30:R34),2)</f>
        <v>0</v>
      </c>
    </row>
    <row r="36" spans="1:18" s="384" customFormat="1" ht="16.5" thickTop="1" thickBot="1">
      <c r="A36" s="53"/>
      <c r="M36" s="52"/>
    </row>
    <row r="37" spans="1:18" s="384" customFormat="1" ht="16.5" thickBot="1">
      <c r="A37" s="58">
        <v>41333</v>
      </c>
      <c r="B37" s="59" t="s">
        <v>84</v>
      </c>
      <c r="C37" s="50">
        <f>SUM(D37:L37)</f>
        <v>227268.08091399889</v>
      </c>
      <c r="D37" s="244">
        <v>964027.88181999885</v>
      </c>
      <c r="E37" s="244">
        <v>-736759.80090599996</v>
      </c>
      <c r="F37" s="161">
        <v>0</v>
      </c>
      <c r="G37" s="161"/>
      <c r="H37" s="161"/>
      <c r="I37" s="161"/>
      <c r="J37" s="388"/>
      <c r="K37" s="161"/>
      <c r="L37" s="161">
        <v>0</v>
      </c>
      <c r="M37" s="133"/>
      <c r="N37" s="50"/>
      <c r="O37" s="336" t="s">
        <v>106</v>
      </c>
      <c r="P37" s="93"/>
      <c r="Q37" s="93"/>
      <c r="R37" s="94"/>
    </row>
    <row r="38" spans="1:18" s="384" customFormat="1" ht="15.75">
      <c r="A38" s="58"/>
      <c r="B38" s="59" t="s">
        <v>148</v>
      </c>
      <c r="C38" s="50">
        <f>SUM(D38:F38)</f>
        <v>0</v>
      </c>
      <c r="D38" s="241"/>
      <c r="E38" s="241">
        <v>0</v>
      </c>
      <c r="F38" s="161"/>
      <c r="G38" s="161"/>
      <c r="H38" s="161"/>
      <c r="I38" s="161"/>
      <c r="J38" s="161"/>
      <c r="K38" s="161"/>
      <c r="L38" s="161"/>
      <c r="M38" s="133"/>
      <c r="N38" s="50"/>
      <c r="O38" s="347" t="s">
        <v>211</v>
      </c>
      <c r="P38" s="339" t="s">
        <v>27</v>
      </c>
      <c r="Q38" s="335">
        <v>0</v>
      </c>
      <c r="R38" s="337">
        <v>0</v>
      </c>
    </row>
    <row r="39" spans="1:18" s="384" customFormat="1" ht="15.75">
      <c r="A39" s="58"/>
      <c r="B39" s="20" t="s">
        <v>157</v>
      </c>
      <c r="C39" s="50">
        <f>SUM(D39:L39)</f>
        <v>0</v>
      </c>
      <c r="D39" s="242">
        <v>0</v>
      </c>
      <c r="E39" s="241"/>
      <c r="F39" s="161"/>
      <c r="G39" s="161"/>
      <c r="H39" s="161"/>
      <c r="I39" s="161"/>
      <c r="J39" s="161"/>
      <c r="K39" s="161"/>
      <c r="L39" s="161"/>
      <c r="M39" s="133"/>
      <c r="N39" s="50"/>
      <c r="O39" s="334" t="s">
        <v>79</v>
      </c>
      <c r="P39" s="339" t="s">
        <v>17</v>
      </c>
      <c r="Q39" s="335">
        <f>IF((-C35+C43)&gt;0,(-C35+C43),0)</f>
        <v>227652.99091399889</v>
      </c>
      <c r="R39" s="337">
        <f>IF((-C35+C43)&lt;0,(-C35+C43),0)</f>
        <v>0</v>
      </c>
    </row>
    <row r="40" spans="1:18" s="384" customFormat="1" ht="15.75">
      <c r="A40" s="58"/>
      <c r="B40" s="59" t="s">
        <v>49</v>
      </c>
      <c r="C40" s="50">
        <f>SUM(D40:L40)</f>
        <v>0</v>
      </c>
      <c r="D40" s="161"/>
      <c r="E40" s="161"/>
      <c r="F40" s="161"/>
      <c r="G40" s="161"/>
      <c r="H40" s="161"/>
      <c r="I40" s="161"/>
      <c r="J40" s="161"/>
      <c r="K40" s="161"/>
      <c r="L40" s="243">
        <v>0</v>
      </c>
      <c r="M40" s="134"/>
      <c r="N40" s="50"/>
      <c r="O40" s="340" t="s">
        <v>80</v>
      </c>
      <c r="P40" s="339" t="s">
        <v>20</v>
      </c>
      <c r="Q40" s="112">
        <f>IF((C37+C38)&lt;0,(-C37-C38),0)</f>
        <v>0</v>
      </c>
      <c r="R40" s="337">
        <f>IF((C37+C38)&gt;0,(-C37-C38),0)</f>
        <v>-227268.08091399889</v>
      </c>
    </row>
    <row r="41" spans="1:18" s="384" customFormat="1" ht="15.75">
      <c r="A41" s="58"/>
      <c r="B41" s="59" t="s">
        <v>144</v>
      </c>
      <c r="C41" s="50">
        <f>SUM(D41:L41)</f>
        <v>0</v>
      </c>
      <c r="D41" s="161"/>
      <c r="E41" s="161"/>
      <c r="F41" s="161"/>
      <c r="G41" s="161"/>
      <c r="H41" s="161"/>
      <c r="I41" s="161"/>
      <c r="J41" s="161"/>
      <c r="K41" s="161"/>
      <c r="L41" s="243">
        <v>0</v>
      </c>
      <c r="M41" s="134"/>
      <c r="N41" s="50"/>
      <c r="O41" s="342" t="s">
        <v>82</v>
      </c>
      <c r="P41" s="339" t="s">
        <v>75</v>
      </c>
      <c r="Q41" s="344">
        <v>0</v>
      </c>
      <c r="R41" s="337">
        <f>IF(C42&gt;0,-C42,0)</f>
        <v>-384.91</v>
      </c>
    </row>
    <row r="42" spans="1:18" s="384" customFormat="1" ht="16.5" thickBot="1">
      <c r="A42" s="61"/>
      <c r="B42" s="59" t="s">
        <v>12</v>
      </c>
      <c r="C42" s="50">
        <f>SUM(D42:L42)</f>
        <v>384.91</v>
      </c>
      <c r="D42" s="161"/>
      <c r="E42" s="161"/>
      <c r="F42" s="161">
        <v>384.91</v>
      </c>
      <c r="G42" s="161"/>
      <c r="H42" s="161"/>
      <c r="I42" s="161"/>
      <c r="J42" s="161"/>
      <c r="K42" s="161"/>
      <c r="L42" s="245"/>
      <c r="M42" s="237">
        <v>3.2500000000000001E-2</v>
      </c>
      <c r="N42" s="50"/>
      <c r="O42" s="343" t="s">
        <v>83</v>
      </c>
      <c r="P42" s="341" t="s">
        <v>76</v>
      </c>
      <c r="Q42" s="116">
        <f>IF(-C42&gt;0,-C42,0)</f>
        <v>0</v>
      </c>
      <c r="R42" s="116">
        <f>IF(C42&gt;0,0,0)</f>
        <v>0</v>
      </c>
    </row>
    <row r="43" spans="1:18" s="384" customFormat="1" ht="16.5" thickBot="1">
      <c r="A43" s="103">
        <f>A37</f>
        <v>41333</v>
      </c>
      <c r="B43" s="50" t="s">
        <v>56</v>
      </c>
      <c r="C43" s="158">
        <f>SUM(C35:C42)</f>
        <v>256140.80471078985</v>
      </c>
      <c r="D43" s="158">
        <f>SUM(D35:D42)</f>
        <v>-648342.78387021227</v>
      </c>
      <c r="E43" s="158">
        <f>SUM(E35:E42)</f>
        <v>956690.13858100027</v>
      </c>
      <c r="F43" s="158">
        <f>SUM(F35:F42)</f>
        <v>-52206.55000000001</v>
      </c>
      <c r="G43" s="158">
        <f t="shared" ref="G43:K43" si="2">SUM(G32:G42)</f>
        <v>0</v>
      </c>
      <c r="H43" s="158">
        <f t="shared" si="2"/>
        <v>0</v>
      </c>
      <c r="I43" s="158">
        <f t="shared" si="2"/>
        <v>0</v>
      </c>
      <c r="J43" s="158">
        <f t="shared" si="2"/>
        <v>0</v>
      </c>
      <c r="K43" s="158">
        <f t="shared" si="2"/>
        <v>0</v>
      </c>
      <c r="L43" s="158">
        <f>SUM(L35:L42)</f>
        <v>0</v>
      </c>
      <c r="M43" s="57"/>
      <c r="N43" s="385"/>
      <c r="O43" s="385"/>
      <c r="P43" s="385"/>
      <c r="Q43" s="385"/>
      <c r="R43" s="338">
        <f>ROUND(SUM(Q38:R42),2)</f>
        <v>0</v>
      </c>
    </row>
    <row r="44" spans="1:18" s="384" customFormat="1" ht="16.5" thickTop="1" thickBot="1">
      <c r="A44" s="53"/>
      <c r="M44" s="52"/>
    </row>
    <row r="45" spans="1:18" s="384" customFormat="1" ht="16.5" thickBot="1">
      <c r="A45" s="58">
        <v>41364</v>
      </c>
      <c r="B45" s="59" t="s">
        <v>84</v>
      </c>
      <c r="C45" s="50">
        <f>SUM(D45:L45)</f>
        <v>-83754.106502999784</v>
      </c>
      <c r="D45" s="244">
        <v>311623.77906699944</v>
      </c>
      <c r="E45" s="244">
        <v>-395377.88556999923</v>
      </c>
      <c r="F45" s="161">
        <v>0</v>
      </c>
      <c r="G45" s="161"/>
      <c r="H45" s="161"/>
      <c r="I45" s="161"/>
      <c r="J45" s="388"/>
      <c r="K45" s="161"/>
      <c r="L45" s="161">
        <v>0</v>
      </c>
      <c r="M45" s="133"/>
      <c r="N45" s="50"/>
      <c r="O45" s="336" t="s">
        <v>106</v>
      </c>
      <c r="P45" s="93"/>
      <c r="Q45" s="93"/>
      <c r="R45" s="94"/>
    </row>
    <row r="46" spans="1:18" s="384" customFormat="1" ht="15.75">
      <c r="A46" s="58"/>
      <c r="B46" s="59" t="s">
        <v>148</v>
      </c>
      <c r="C46" s="50">
        <f>SUM(D46:F46)</f>
        <v>0</v>
      </c>
      <c r="D46" s="241"/>
      <c r="E46" s="241">
        <v>0</v>
      </c>
      <c r="F46" s="161"/>
      <c r="G46" s="161"/>
      <c r="H46" s="161"/>
      <c r="I46" s="161"/>
      <c r="J46" s="161"/>
      <c r="K46" s="161"/>
      <c r="L46" s="161"/>
      <c r="M46" s="133"/>
      <c r="N46" s="50"/>
      <c r="O46" s="347" t="s">
        <v>211</v>
      </c>
      <c r="P46" s="339" t="s">
        <v>27</v>
      </c>
      <c r="Q46" s="335">
        <v>0</v>
      </c>
      <c r="R46" s="337">
        <v>0</v>
      </c>
    </row>
    <row r="47" spans="1:18" s="384" customFormat="1" ht="15.75">
      <c r="A47" s="58"/>
      <c r="B47" s="20" t="s">
        <v>157</v>
      </c>
      <c r="C47" s="50">
        <f>SUM(D47:L47)</f>
        <v>0</v>
      </c>
      <c r="D47" s="242">
        <v>0</v>
      </c>
      <c r="E47" s="241"/>
      <c r="F47" s="161"/>
      <c r="G47" s="161"/>
      <c r="H47" s="161"/>
      <c r="I47" s="161"/>
      <c r="J47" s="161"/>
      <c r="K47" s="161"/>
      <c r="L47" s="161"/>
      <c r="M47" s="133"/>
      <c r="N47" s="50"/>
      <c r="O47" s="334" t="s">
        <v>79</v>
      </c>
      <c r="P47" s="339" t="s">
        <v>17</v>
      </c>
      <c r="Q47" s="335">
        <f>IF((-C43+C51)&gt;0,(-C43+C51),0)</f>
        <v>0</v>
      </c>
      <c r="R47" s="337">
        <f>IF((-C43+C51)&lt;0,(-C43+C51),0)</f>
        <v>-83173.806502999796</v>
      </c>
    </row>
    <row r="48" spans="1:18" s="384" customFormat="1" ht="15.75">
      <c r="A48" s="58"/>
      <c r="B48" s="59" t="s">
        <v>49</v>
      </c>
      <c r="C48" s="50">
        <f>SUM(D48:L48)</f>
        <v>0</v>
      </c>
      <c r="D48" s="161"/>
      <c r="E48" s="161"/>
      <c r="F48" s="161"/>
      <c r="G48" s="161"/>
      <c r="H48" s="161"/>
      <c r="I48" s="161"/>
      <c r="J48" s="161"/>
      <c r="K48" s="161"/>
      <c r="L48" s="243">
        <v>0</v>
      </c>
      <c r="M48" s="134"/>
      <c r="N48" s="50"/>
      <c r="O48" s="340" t="s">
        <v>80</v>
      </c>
      <c r="P48" s="339" t="s">
        <v>20</v>
      </c>
      <c r="Q48" s="112">
        <f>IF((C45+C46)&lt;0,(-C45-C46),0)</f>
        <v>83754.106502999784</v>
      </c>
      <c r="R48" s="337">
        <f>IF((C45+C46)&gt;0,(-C45-C46),0)</f>
        <v>0</v>
      </c>
    </row>
    <row r="49" spans="1:18" s="384" customFormat="1" ht="15.75">
      <c r="A49" s="58"/>
      <c r="B49" s="59" t="s">
        <v>144</v>
      </c>
      <c r="C49" s="50">
        <f>SUM(D49:L49)</f>
        <v>0</v>
      </c>
      <c r="D49" s="161"/>
      <c r="E49" s="161"/>
      <c r="F49" s="161"/>
      <c r="G49" s="161"/>
      <c r="H49" s="161"/>
      <c r="I49" s="161"/>
      <c r="J49" s="161"/>
      <c r="K49" s="161"/>
      <c r="L49" s="243">
        <v>0</v>
      </c>
      <c r="M49" s="134"/>
      <c r="N49" s="50"/>
      <c r="O49" s="342" t="s">
        <v>82</v>
      </c>
      <c r="P49" s="339" t="s">
        <v>75</v>
      </c>
      <c r="Q49" s="344">
        <v>0</v>
      </c>
      <c r="R49" s="337">
        <f>IF(C50&gt;0,-C50,0)</f>
        <v>-580.29999999999995</v>
      </c>
    </row>
    <row r="50" spans="1:18" s="384" customFormat="1" ht="16.5" thickBot="1">
      <c r="A50" s="61"/>
      <c r="B50" s="59" t="s">
        <v>12</v>
      </c>
      <c r="C50" s="50">
        <f>SUM(D50:L50)</f>
        <v>580.29999999999995</v>
      </c>
      <c r="D50" s="161"/>
      <c r="E50" s="161"/>
      <c r="F50" s="161">
        <v>580.29999999999995</v>
      </c>
      <c r="G50" s="161"/>
      <c r="H50" s="161"/>
      <c r="I50" s="161"/>
      <c r="J50" s="161"/>
      <c r="K50" s="161"/>
      <c r="L50" s="245"/>
      <c r="M50" s="237">
        <v>3.2500000000000001E-2</v>
      </c>
      <c r="N50" s="50"/>
      <c r="O50" s="343" t="s">
        <v>83</v>
      </c>
      <c r="P50" s="341" t="s">
        <v>76</v>
      </c>
      <c r="Q50" s="116">
        <f>IF(-C50&gt;0,-C50,0)</f>
        <v>0</v>
      </c>
      <c r="R50" s="116">
        <f>IF(C50&gt;0,0,0)</f>
        <v>0</v>
      </c>
    </row>
    <row r="51" spans="1:18" s="384" customFormat="1" ht="16.5" thickBot="1">
      <c r="A51" s="103">
        <f>A45</f>
        <v>41364</v>
      </c>
      <c r="B51" s="50" t="s">
        <v>56</v>
      </c>
      <c r="C51" s="158">
        <f>SUM(C43:C50)</f>
        <v>172966.99820779005</v>
      </c>
      <c r="D51" s="158">
        <f>SUM(D43:D50)</f>
        <v>-336719.00480321283</v>
      </c>
      <c r="E51" s="158">
        <f>SUM(E43:E50)</f>
        <v>561312.25301100104</v>
      </c>
      <c r="F51" s="158">
        <f>SUM(F43:F50)</f>
        <v>-51626.250000000007</v>
      </c>
      <c r="G51" s="158">
        <f t="shared" ref="G51:K51" si="3">SUM(G40:G50)</f>
        <v>0</v>
      </c>
      <c r="H51" s="158">
        <f t="shared" si="3"/>
        <v>0</v>
      </c>
      <c r="I51" s="158">
        <f t="shared" si="3"/>
        <v>0</v>
      </c>
      <c r="J51" s="158">
        <f t="shared" si="3"/>
        <v>0</v>
      </c>
      <c r="K51" s="158">
        <f t="shared" si="3"/>
        <v>0</v>
      </c>
      <c r="L51" s="158">
        <f>SUM(L43:L50)</f>
        <v>0</v>
      </c>
      <c r="M51" s="57"/>
      <c r="N51" s="385"/>
      <c r="O51" s="385"/>
      <c r="P51" s="385"/>
      <c r="Q51" s="385"/>
      <c r="R51" s="338">
        <f>ROUND(SUM(Q46:R50),2)</f>
        <v>0</v>
      </c>
    </row>
    <row r="52" spans="1:18" ht="16.5" thickTop="1" thickBot="1"/>
    <row r="53" spans="1:18" s="384" customFormat="1" ht="16.5" thickBot="1">
      <c r="A53" s="58">
        <v>41365</v>
      </c>
      <c r="B53" s="59" t="s">
        <v>84</v>
      </c>
      <c r="C53" s="50">
        <f>SUM(D53:L53)</f>
        <v>-160377.30866600084</v>
      </c>
      <c r="D53" s="244">
        <v>-294475.16016600048</v>
      </c>
      <c r="E53" s="244">
        <v>134097.85149999964</v>
      </c>
      <c r="F53" s="161">
        <v>0</v>
      </c>
      <c r="G53" s="161"/>
      <c r="H53" s="161"/>
      <c r="I53" s="161"/>
      <c r="J53" s="388"/>
      <c r="K53" s="161"/>
      <c r="L53" s="161">
        <v>0</v>
      </c>
      <c r="M53" s="133"/>
      <c r="N53" s="50"/>
      <c r="O53" s="336" t="s">
        <v>106</v>
      </c>
      <c r="P53" s="93"/>
      <c r="Q53" s="93"/>
      <c r="R53" s="94"/>
    </row>
    <row r="54" spans="1:18" s="384" customFormat="1" ht="15.75">
      <c r="A54" s="58"/>
      <c r="B54" s="59" t="s">
        <v>148</v>
      </c>
      <c r="C54" s="50">
        <f>SUM(D54:F54)</f>
        <v>0</v>
      </c>
      <c r="D54" s="241"/>
      <c r="E54" s="241">
        <v>0</v>
      </c>
      <c r="F54" s="161"/>
      <c r="G54" s="161"/>
      <c r="H54" s="161"/>
      <c r="I54" s="161"/>
      <c r="J54" s="161"/>
      <c r="K54" s="161"/>
      <c r="L54" s="161"/>
      <c r="M54" s="133"/>
      <c r="N54" s="50"/>
      <c r="O54" s="347" t="s">
        <v>211</v>
      </c>
      <c r="P54" s="339" t="s">
        <v>27</v>
      </c>
      <c r="Q54" s="335">
        <v>0</v>
      </c>
      <c r="R54" s="337">
        <v>0</v>
      </c>
    </row>
    <row r="55" spans="1:18" s="384" customFormat="1" ht="15.75">
      <c r="A55" s="58"/>
      <c r="B55" s="20" t="s">
        <v>157</v>
      </c>
      <c r="C55" s="50">
        <f>SUM(D55:L55)</f>
        <v>0</v>
      </c>
      <c r="D55" s="242">
        <v>0</v>
      </c>
      <c r="E55" s="241"/>
      <c r="F55" s="161"/>
      <c r="G55" s="161"/>
      <c r="H55" s="161"/>
      <c r="I55" s="161"/>
      <c r="J55" s="161"/>
      <c r="K55" s="161"/>
      <c r="L55" s="161"/>
      <c r="M55" s="133"/>
      <c r="N55" s="50"/>
      <c r="O55" s="334" t="s">
        <v>79</v>
      </c>
      <c r="P55" s="339" t="s">
        <v>17</v>
      </c>
      <c r="Q55" s="335">
        <f>IF((-C51+C59)&gt;0,(-C51+C59),0)</f>
        <v>0</v>
      </c>
      <c r="R55" s="337">
        <f>IF((-C51+C59)&lt;0,(-C51+C59),0)</f>
        <v>-160126.03866600085</v>
      </c>
    </row>
    <row r="56" spans="1:18" s="384" customFormat="1" ht="15.75">
      <c r="A56" s="58"/>
      <c r="B56" s="59" t="s">
        <v>49</v>
      </c>
      <c r="C56" s="50">
        <f>SUM(D56:L56)</f>
        <v>0</v>
      </c>
      <c r="D56" s="161"/>
      <c r="E56" s="161"/>
      <c r="F56" s="161"/>
      <c r="G56" s="161"/>
      <c r="H56" s="161"/>
      <c r="I56" s="161"/>
      <c r="J56" s="161"/>
      <c r="K56" s="161"/>
      <c r="L56" s="243">
        <v>0</v>
      </c>
      <c r="M56" s="134"/>
      <c r="N56" s="50"/>
      <c r="O56" s="340" t="s">
        <v>80</v>
      </c>
      <c r="P56" s="339" t="s">
        <v>20</v>
      </c>
      <c r="Q56" s="112">
        <f>IF((C53+C54)&lt;0,(-C53-C54),0)</f>
        <v>160377.30866600084</v>
      </c>
      <c r="R56" s="337">
        <f>IF((C53+C54)&gt;0,(-C53-C54),0)</f>
        <v>0</v>
      </c>
    </row>
    <row r="57" spans="1:18" s="384" customFormat="1" ht="15.75">
      <c r="A57" s="58"/>
      <c r="B57" s="59" t="s">
        <v>144</v>
      </c>
      <c r="C57" s="50">
        <f>SUM(D57:L57)</f>
        <v>0</v>
      </c>
      <c r="D57" s="161"/>
      <c r="E57" s="161"/>
      <c r="F57" s="161"/>
      <c r="G57" s="161"/>
      <c r="H57" s="161"/>
      <c r="I57" s="161"/>
      <c r="J57" s="161"/>
      <c r="K57" s="161"/>
      <c r="L57" s="243">
        <v>0</v>
      </c>
      <c r="M57" s="134"/>
      <c r="N57" s="50"/>
      <c r="O57" s="342" t="s">
        <v>82</v>
      </c>
      <c r="P57" s="339" t="s">
        <v>75</v>
      </c>
      <c r="Q57" s="344">
        <v>0</v>
      </c>
      <c r="R57" s="337">
        <f>IF(C58&gt;0,-C58,0)</f>
        <v>-251.27</v>
      </c>
    </row>
    <row r="58" spans="1:18" s="384" customFormat="1" ht="16.5" thickBot="1">
      <c r="A58" s="61"/>
      <c r="B58" s="59" t="s">
        <v>12</v>
      </c>
      <c r="C58" s="50">
        <f>SUM(D58:L58)</f>
        <v>251.27</v>
      </c>
      <c r="D58" s="161"/>
      <c r="E58" s="161"/>
      <c r="F58" s="161">
        <v>251.27</v>
      </c>
      <c r="G58" s="161"/>
      <c r="H58" s="161"/>
      <c r="I58" s="161"/>
      <c r="J58" s="161"/>
      <c r="K58" s="161"/>
      <c r="L58" s="245"/>
      <c r="M58" s="237">
        <v>3.2500000000000001E-2</v>
      </c>
      <c r="N58" s="50"/>
      <c r="O58" s="343" t="s">
        <v>83</v>
      </c>
      <c r="P58" s="341" t="s">
        <v>76</v>
      </c>
      <c r="Q58" s="116">
        <f>IF(-C58&gt;0,-C58,0)</f>
        <v>0</v>
      </c>
      <c r="R58" s="116">
        <f>IF(C58&gt;0,0,0)</f>
        <v>0</v>
      </c>
    </row>
    <row r="59" spans="1:18" s="384" customFormat="1" ht="16.5" thickBot="1">
      <c r="A59" s="103">
        <f>A53</f>
        <v>41365</v>
      </c>
      <c r="B59" s="50" t="s">
        <v>56</v>
      </c>
      <c r="C59" s="158">
        <f>SUM(C51:C58)</f>
        <v>12840.959541789209</v>
      </c>
      <c r="D59" s="158">
        <f>SUM(D51:D58)</f>
        <v>-631194.16496921331</v>
      </c>
      <c r="E59" s="158">
        <f>SUM(E51:E58)</f>
        <v>695410.10451100068</v>
      </c>
      <c r="F59" s="158">
        <f>SUM(F51:F58)</f>
        <v>-51374.98000000001</v>
      </c>
      <c r="G59" s="158">
        <f t="shared" ref="G59:K59" si="4">SUM(G48:G58)</f>
        <v>0</v>
      </c>
      <c r="H59" s="158">
        <f t="shared" si="4"/>
        <v>0</v>
      </c>
      <c r="I59" s="158">
        <f t="shared" si="4"/>
        <v>0</v>
      </c>
      <c r="J59" s="158">
        <f t="shared" si="4"/>
        <v>0</v>
      </c>
      <c r="K59" s="158">
        <f t="shared" si="4"/>
        <v>0</v>
      </c>
      <c r="L59" s="158">
        <f>SUM(L51:L58)</f>
        <v>0</v>
      </c>
      <c r="M59" s="57"/>
      <c r="N59" s="385"/>
      <c r="O59" s="385"/>
      <c r="P59" s="385"/>
      <c r="Q59" s="385"/>
      <c r="R59" s="338">
        <f>ROUND(SUM(Q54:R58),2)</f>
        <v>0</v>
      </c>
    </row>
    <row r="60" spans="1:18" s="384" customFormat="1" ht="16.5" thickTop="1" thickBot="1">
      <c r="A60" s="53"/>
      <c r="C60" s="385"/>
      <c r="M60" s="52"/>
    </row>
    <row r="61" spans="1:18" s="384" customFormat="1" ht="16.5" thickBot="1">
      <c r="A61" s="58">
        <v>41425</v>
      </c>
      <c r="B61" s="59" t="s">
        <v>84</v>
      </c>
      <c r="C61" s="50">
        <f>SUM(D61:L61)</f>
        <v>291085.24359799817</v>
      </c>
      <c r="D61" s="244">
        <v>-577860.59273000155</v>
      </c>
      <c r="E61" s="244">
        <v>868945.83632799971</v>
      </c>
      <c r="F61" s="161">
        <v>0</v>
      </c>
      <c r="G61" s="161"/>
      <c r="H61" s="161"/>
      <c r="I61" s="161"/>
      <c r="J61" s="388"/>
      <c r="K61" s="161"/>
      <c r="L61" s="161">
        <v>0</v>
      </c>
      <c r="M61" s="133"/>
      <c r="N61" s="50"/>
      <c r="O61" s="336" t="s">
        <v>106</v>
      </c>
      <c r="P61" s="93"/>
      <c r="Q61" s="93"/>
      <c r="R61" s="94"/>
    </row>
    <row r="62" spans="1:18" s="384" customFormat="1" ht="15.75">
      <c r="A62" s="58"/>
      <c r="B62" s="59" t="s">
        <v>148</v>
      </c>
      <c r="C62" s="50">
        <f>SUM(D62:F62)</f>
        <v>0</v>
      </c>
      <c r="D62" s="241"/>
      <c r="E62" s="241">
        <v>0</v>
      </c>
      <c r="F62" s="161"/>
      <c r="G62" s="161"/>
      <c r="H62" s="161"/>
      <c r="I62" s="161"/>
      <c r="J62" s="161"/>
      <c r="K62" s="161"/>
      <c r="L62" s="161"/>
      <c r="M62" s="133"/>
      <c r="N62" s="50"/>
      <c r="O62" s="347" t="s">
        <v>211</v>
      </c>
      <c r="P62" s="339" t="s">
        <v>27</v>
      </c>
      <c r="Q62" s="335">
        <v>0</v>
      </c>
      <c r="R62" s="337">
        <v>0</v>
      </c>
    </row>
    <row r="63" spans="1:18" s="384" customFormat="1" ht="15.75">
      <c r="A63" s="58"/>
      <c r="B63" s="20" t="s">
        <v>157</v>
      </c>
      <c r="C63" s="50">
        <f>SUM(D63:L63)</f>
        <v>0</v>
      </c>
      <c r="D63" s="242">
        <v>0</v>
      </c>
      <c r="E63" s="241"/>
      <c r="F63" s="161"/>
      <c r="G63" s="161"/>
      <c r="H63" s="161"/>
      <c r="I63" s="161"/>
      <c r="J63" s="161"/>
      <c r="K63" s="161"/>
      <c r="L63" s="161"/>
      <c r="M63" s="133"/>
      <c r="N63" s="50"/>
      <c r="O63" s="334" t="s">
        <v>79</v>
      </c>
      <c r="P63" s="339" t="s">
        <v>17</v>
      </c>
      <c r="Q63" s="335">
        <f>IF((-C59+C67)&gt;0,(-C59+C67),0)</f>
        <v>291514.20359799819</v>
      </c>
      <c r="R63" s="337">
        <f>IF((-C59+C67)&lt;0,(-C59+C67),0)</f>
        <v>0</v>
      </c>
    </row>
    <row r="64" spans="1:18" s="384" customFormat="1" ht="15.75">
      <c r="A64" s="58"/>
      <c r="B64" s="59" t="s">
        <v>49</v>
      </c>
      <c r="C64" s="50">
        <f>SUM(D64:L64)</f>
        <v>0</v>
      </c>
      <c r="D64" s="161"/>
      <c r="E64" s="161"/>
      <c r="F64" s="161"/>
      <c r="G64" s="161"/>
      <c r="H64" s="161"/>
      <c r="I64" s="161"/>
      <c r="J64" s="161"/>
      <c r="K64" s="161"/>
      <c r="L64" s="243">
        <v>0</v>
      </c>
      <c r="M64" s="134"/>
      <c r="N64" s="50"/>
      <c r="O64" s="340" t="s">
        <v>80</v>
      </c>
      <c r="P64" s="339" t="s">
        <v>20</v>
      </c>
      <c r="Q64" s="112">
        <f>IF((C61+C62)&lt;0,(-C61-C62),0)</f>
        <v>0</v>
      </c>
      <c r="R64" s="337">
        <f>IF((C61+C62)&gt;0,(-C61-C62),0)</f>
        <v>-291085.24359799817</v>
      </c>
    </row>
    <row r="65" spans="1:18" s="384" customFormat="1" ht="15.75">
      <c r="A65" s="58"/>
      <c r="B65" s="59" t="s">
        <v>144</v>
      </c>
      <c r="C65" s="50">
        <f>SUM(D65:L65)</f>
        <v>0</v>
      </c>
      <c r="D65" s="161"/>
      <c r="E65" s="161"/>
      <c r="F65" s="161"/>
      <c r="G65" s="161"/>
      <c r="H65" s="161"/>
      <c r="I65" s="161"/>
      <c r="J65" s="161"/>
      <c r="K65" s="161"/>
      <c r="L65" s="243">
        <v>0</v>
      </c>
      <c r="M65" s="134"/>
      <c r="N65" s="50"/>
      <c r="O65" s="342" t="s">
        <v>82</v>
      </c>
      <c r="P65" s="339" t="s">
        <v>75</v>
      </c>
      <c r="Q65" s="344">
        <v>0</v>
      </c>
      <c r="R65" s="337">
        <f>IF(C66&gt;0,-C66,0)</f>
        <v>-428.96</v>
      </c>
    </row>
    <row r="66" spans="1:18" s="384" customFormat="1" ht="16.5" thickBot="1">
      <c r="A66" s="61"/>
      <c r="B66" s="59" t="s">
        <v>12</v>
      </c>
      <c r="C66" s="50">
        <f>SUM(D66:L66)</f>
        <v>428.96</v>
      </c>
      <c r="D66" s="161"/>
      <c r="E66" s="161"/>
      <c r="F66" s="161">
        <v>428.96</v>
      </c>
      <c r="G66" s="161"/>
      <c r="H66" s="161"/>
      <c r="I66" s="161"/>
      <c r="J66" s="161"/>
      <c r="K66" s="161"/>
      <c r="L66" s="245"/>
      <c r="M66" s="237">
        <v>3.2500000000000001E-2</v>
      </c>
      <c r="N66" s="50"/>
      <c r="O66" s="343" t="s">
        <v>83</v>
      </c>
      <c r="P66" s="341" t="s">
        <v>76</v>
      </c>
      <c r="Q66" s="116">
        <f>IF(-C66&gt;0,-C66,0)</f>
        <v>0</v>
      </c>
      <c r="R66" s="116">
        <f>IF(C66&gt;0,0,0)</f>
        <v>0</v>
      </c>
    </row>
    <row r="67" spans="1:18" s="384" customFormat="1" ht="16.5" thickBot="1">
      <c r="A67" s="103">
        <f>A61</f>
        <v>41425</v>
      </c>
      <c r="B67" s="50" t="s">
        <v>56</v>
      </c>
      <c r="C67" s="158">
        <f>SUM(C59:C66)</f>
        <v>304355.16313978739</v>
      </c>
      <c r="D67" s="158">
        <f>SUM(D59:D66)</f>
        <v>-1209054.7576992149</v>
      </c>
      <c r="E67" s="158">
        <f>SUM(E59:E66)</f>
        <v>1564355.9408390005</v>
      </c>
      <c r="F67" s="158">
        <f>SUM(F59:F66)</f>
        <v>-50946.020000000011</v>
      </c>
      <c r="G67" s="158">
        <f t="shared" ref="G67:K67" si="5">SUM(G56:G66)</f>
        <v>0</v>
      </c>
      <c r="H67" s="158">
        <f t="shared" si="5"/>
        <v>0</v>
      </c>
      <c r="I67" s="158">
        <f t="shared" si="5"/>
        <v>0</v>
      </c>
      <c r="J67" s="158">
        <f t="shared" si="5"/>
        <v>0</v>
      </c>
      <c r="K67" s="158">
        <f t="shared" si="5"/>
        <v>0</v>
      </c>
      <c r="L67" s="158">
        <f>SUM(L59:L66)</f>
        <v>0</v>
      </c>
      <c r="M67" s="57"/>
      <c r="N67" s="385"/>
      <c r="O67" s="385"/>
      <c r="P67" s="385"/>
      <c r="Q67" s="385"/>
      <c r="R67" s="338">
        <f>ROUND(SUM(Q62:R66),2)</f>
        <v>0</v>
      </c>
    </row>
    <row r="68" spans="1:18" s="384" customFormat="1" ht="16.5" thickTop="1" thickBot="1">
      <c r="A68" s="53"/>
      <c r="C68" s="385"/>
      <c r="M68" s="52"/>
    </row>
    <row r="69" spans="1:18" s="384" customFormat="1" ht="16.5" thickBot="1">
      <c r="A69" s="58">
        <v>41426</v>
      </c>
      <c r="B69" s="59" t="s">
        <v>84</v>
      </c>
      <c r="C69" s="50">
        <f>SUM(D69:L69)</f>
        <v>839471.48552700132</v>
      </c>
      <c r="D69" s="244">
        <v>-173993.23901399877</v>
      </c>
      <c r="E69" s="244">
        <v>1013464.7245410001</v>
      </c>
      <c r="F69" s="161">
        <v>0</v>
      </c>
      <c r="G69" s="161"/>
      <c r="H69" s="161"/>
      <c r="I69" s="161"/>
      <c r="J69" s="388"/>
      <c r="K69" s="161"/>
      <c r="L69" s="161">
        <v>0</v>
      </c>
      <c r="M69" s="133"/>
      <c r="N69" s="50"/>
      <c r="O69" s="336" t="s">
        <v>106</v>
      </c>
      <c r="P69" s="93"/>
      <c r="Q69" s="93"/>
      <c r="R69" s="94"/>
    </row>
    <row r="70" spans="1:18" s="384" customFormat="1" ht="15.75">
      <c r="A70" s="58"/>
      <c r="B70" s="59" t="s">
        <v>148</v>
      </c>
      <c r="C70" s="50">
        <f>SUM(D70:F70)</f>
        <v>0</v>
      </c>
      <c r="D70" s="241"/>
      <c r="E70" s="241">
        <v>0</v>
      </c>
      <c r="F70" s="161"/>
      <c r="G70" s="161"/>
      <c r="H70" s="161"/>
      <c r="I70" s="161"/>
      <c r="J70" s="161"/>
      <c r="K70" s="161"/>
      <c r="L70" s="161"/>
      <c r="M70" s="133"/>
      <c r="N70" s="50"/>
      <c r="O70" s="347" t="s">
        <v>211</v>
      </c>
      <c r="P70" s="339" t="s">
        <v>27</v>
      </c>
      <c r="Q70" s="335">
        <v>0</v>
      </c>
      <c r="R70" s="337">
        <v>0</v>
      </c>
    </row>
    <row r="71" spans="1:18" s="384" customFormat="1" ht="15.75">
      <c r="A71" s="58"/>
      <c r="B71" s="20" t="s">
        <v>157</v>
      </c>
      <c r="C71" s="50">
        <f>SUM(D71:L71)</f>
        <v>0</v>
      </c>
      <c r="D71" s="242">
        <v>0</v>
      </c>
      <c r="E71" s="241"/>
      <c r="F71" s="161"/>
      <c r="G71" s="161"/>
      <c r="H71" s="161"/>
      <c r="I71" s="161"/>
      <c r="J71" s="161"/>
      <c r="K71" s="161"/>
      <c r="L71" s="161"/>
      <c r="M71" s="133"/>
      <c r="N71" s="50"/>
      <c r="O71" s="334" t="s">
        <v>79</v>
      </c>
      <c r="P71" s="339" t="s">
        <v>17</v>
      </c>
      <c r="Q71" s="335">
        <f>IF((-C67+C75)&gt;0,(-C67+C75),0)</f>
        <v>841432.56552700151</v>
      </c>
      <c r="R71" s="337">
        <f>IF((-C67+C75)&lt;0,(-C67+C75),0)</f>
        <v>0</v>
      </c>
    </row>
    <row r="72" spans="1:18" s="384" customFormat="1" ht="15.75">
      <c r="A72" s="58"/>
      <c r="B72" s="59" t="s">
        <v>49</v>
      </c>
      <c r="C72" s="50">
        <f>SUM(D72:L72)</f>
        <v>0</v>
      </c>
      <c r="D72" s="161"/>
      <c r="E72" s="161"/>
      <c r="F72" s="161"/>
      <c r="G72" s="161"/>
      <c r="H72" s="161"/>
      <c r="I72" s="161"/>
      <c r="J72" s="161"/>
      <c r="K72" s="161"/>
      <c r="L72" s="243">
        <v>0</v>
      </c>
      <c r="M72" s="134"/>
      <c r="N72" s="50"/>
      <c r="O72" s="340" t="s">
        <v>80</v>
      </c>
      <c r="P72" s="339" t="s">
        <v>20</v>
      </c>
      <c r="Q72" s="112">
        <f>IF((C69+C70)&lt;0,(-C69-C70),0)</f>
        <v>0</v>
      </c>
      <c r="R72" s="337">
        <f>IF((C69+C70)&gt;0,(-C69-C70),0)</f>
        <v>-839471.48552700132</v>
      </c>
    </row>
    <row r="73" spans="1:18" s="384" customFormat="1" ht="15.75">
      <c r="A73" s="58"/>
      <c r="B73" s="59" t="s">
        <v>144</v>
      </c>
      <c r="C73" s="50">
        <f>SUM(D73:L73)</f>
        <v>0</v>
      </c>
      <c r="D73" s="161"/>
      <c r="E73" s="161"/>
      <c r="F73" s="161"/>
      <c r="G73" s="161"/>
      <c r="H73" s="161"/>
      <c r="I73" s="161"/>
      <c r="J73" s="161"/>
      <c r="K73" s="161"/>
      <c r="L73" s="243">
        <v>0</v>
      </c>
      <c r="M73" s="134"/>
      <c r="N73" s="50"/>
      <c r="O73" s="342" t="s">
        <v>82</v>
      </c>
      <c r="P73" s="339" t="s">
        <v>75</v>
      </c>
      <c r="Q73" s="344">
        <v>0</v>
      </c>
      <c r="R73" s="337">
        <f>IF(C74&gt;0,-C74,0)</f>
        <v>-1961.08</v>
      </c>
    </row>
    <row r="74" spans="1:18" s="384" customFormat="1" ht="16.5" thickBot="1">
      <c r="A74" s="61"/>
      <c r="B74" s="59" t="s">
        <v>12</v>
      </c>
      <c r="C74" s="50">
        <f>SUM(D74:L74)</f>
        <v>1961.08</v>
      </c>
      <c r="D74" s="161"/>
      <c r="E74" s="161"/>
      <c r="F74" s="161">
        <v>1961.08</v>
      </c>
      <c r="G74" s="161"/>
      <c r="H74" s="161"/>
      <c r="I74" s="161"/>
      <c r="J74" s="161"/>
      <c r="K74" s="161"/>
      <c r="L74" s="245"/>
      <c r="M74" s="237">
        <v>3.2500000000000001E-2</v>
      </c>
      <c r="N74" s="50"/>
      <c r="O74" s="343" t="s">
        <v>83</v>
      </c>
      <c r="P74" s="341" t="s">
        <v>76</v>
      </c>
      <c r="Q74" s="116">
        <f>IF(-C74&gt;0,-C74,0)</f>
        <v>0</v>
      </c>
      <c r="R74" s="116">
        <f>IF(C74&gt;0,0,0)</f>
        <v>0</v>
      </c>
    </row>
    <row r="75" spans="1:18" s="384" customFormat="1" ht="16.5" thickBot="1">
      <c r="A75" s="103">
        <f>A69</f>
        <v>41426</v>
      </c>
      <c r="B75" s="50" t="s">
        <v>56</v>
      </c>
      <c r="C75" s="158">
        <f>SUM(C67:C74)</f>
        <v>1145787.7286667889</v>
      </c>
      <c r="D75" s="158">
        <f>SUM(D67:D74)</f>
        <v>-1383047.9967132136</v>
      </c>
      <c r="E75" s="158">
        <f>SUM(E67:E74)</f>
        <v>2577820.6653800006</v>
      </c>
      <c r="F75" s="158">
        <f>SUM(F67:F74)</f>
        <v>-48984.94000000001</v>
      </c>
      <c r="G75" s="158">
        <f t="shared" ref="G75:K75" si="6">SUM(G64:G74)</f>
        <v>0</v>
      </c>
      <c r="H75" s="158">
        <f t="shared" si="6"/>
        <v>0</v>
      </c>
      <c r="I75" s="158">
        <f t="shared" si="6"/>
        <v>0</v>
      </c>
      <c r="J75" s="158">
        <f t="shared" si="6"/>
        <v>0</v>
      </c>
      <c r="K75" s="158">
        <f t="shared" si="6"/>
        <v>0</v>
      </c>
      <c r="L75" s="158">
        <f>SUM(L67:L74)</f>
        <v>0</v>
      </c>
      <c r="M75" s="57"/>
      <c r="N75" s="385"/>
      <c r="O75" s="385"/>
      <c r="P75" s="385"/>
      <c r="Q75" s="385"/>
      <c r="R75" s="338">
        <f>ROUND(SUM(Q70:R74),2)</f>
        <v>0</v>
      </c>
    </row>
    <row r="76" spans="1:18" ht="16.5" thickTop="1" thickBot="1"/>
    <row r="77" spans="1:18" s="384" customFormat="1" ht="16.5" thickBot="1">
      <c r="A77" s="58">
        <v>41456</v>
      </c>
      <c r="B77" s="59" t="s">
        <v>84</v>
      </c>
      <c r="C77" s="50">
        <f>SUM(D77:L77)</f>
        <v>777094.91390700196</v>
      </c>
      <c r="D77" s="244">
        <v>-494523.11633399874</v>
      </c>
      <c r="E77" s="244">
        <v>1271618.0302410007</v>
      </c>
      <c r="F77" s="161">
        <v>0</v>
      </c>
      <c r="G77" s="161"/>
      <c r="H77" s="161"/>
      <c r="I77" s="161"/>
      <c r="J77" s="388"/>
      <c r="K77" s="161"/>
      <c r="L77" s="161">
        <v>0</v>
      </c>
      <c r="M77" s="133"/>
      <c r="N77" s="50"/>
      <c r="O77" s="336" t="s">
        <v>106</v>
      </c>
      <c r="P77" s="93"/>
      <c r="Q77" s="93"/>
      <c r="R77" s="94"/>
    </row>
    <row r="78" spans="1:18" s="384" customFormat="1" ht="15.75">
      <c r="A78" s="58"/>
      <c r="B78" s="59" t="s">
        <v>148</v>
      </c>
      <c r="C78" s="50">
        <f>SUM(D78:F78)</f>
        <v>0</v>
      </c>
      <c r="D78" s="241"/>
      <c r="E78" s="241">
        <v>0</v>
      </c>
      <c r="F78" s="161"/>
      <c r="G78" s="161"/>
      <c r="H78" s="161"/>
      <c r="I78" s="161"/>
      <c r="J78" s="161"/>
      <c r="K78" s="161"/>
      <c r="L78" s="161"/>
      <c r="M78" s="133"/>
      <c r="N78" s="50"/>
      <c r="O78" s="347" t="s">
        <v>211</v>
      </c>
      <c r="P78" s="339" t="s">
        <v>27</v>
      </c>
      <c r="Q78" s="335">
        <v>0</v>
      </c>
      <c r="R78" s="337">
        <v>0</v>
      </c>
    </row>
    <row r="79" spans="1:18" s="384" customFormat="1" ht="15.75">
      <c r="A79" s="58"/>
      <c r="B79" s="20" t="s">
        <v>157</v>
      </c>
      <c r="C79" s="50">
        <f>SUM(D79:L79)</f>
        <v>0</v>
      </c>
      <c r="D79" s="242">
        <v>0</v>
      </c>
      <c r="E79" s="241"/>
      <c r="F79" s="161"/>
      <c r="G79" s="161"/>
      <c r="H79" s="161"/>
      <c r="I79" s="161"/>
      <c r="J79" s="161"/>
      <c r="K79" s="161"/>
      <c r="L79" s="161"/>
      <c r="M79" s="133"/>
      <c r="N79" s="50"/>
      <c r="O79" s="334" t="s">
        <v>79</v>
      </c>
      <c r="P79" s="339" t="s">
        <v>17</v>
      </c>
      <c r="Q79" s="335">
        <f>IF((-C75+C83)&gt;0,(-C75+C83),0)</f>
        <v>781250.40390700195</v>
      </c>
      <c r="R79" s="337">
        <f>IF((-C75+C83)&lt;0,(-C75+C83),0)</f>
        <v>0</v>
      </c>
    </row>
    <row r="80" spans="1:18" s="384" customFormat="1" ht="15.75">
      <c r="A80" s="58"/>
      <c r="B80" s="59" t="s">
        <v>49</v>
      </c>
      <c r="C80" s="50">
        <f>SUM(D80:L80)</f>
        <v>0</v>
      </c>
      <c r="D80" s="161"/>
      <c r="E80" s="161"/>
      <c r="F80" s="161"/>
      <c r="G80" s="161"/>
      <c r="H80" s="161"/>
      <c r="I80" s="161"/>
      <c r="J80" s="161"/>
      <c r="K80" s="161"/>
      <c r="L80" s="243">
        <v>0</v>
      </c>
      <c r="M80" s="134"/>
      <c r="N80" s="50"/>
      <c r="O80" s="340" t="s">
        <v>80</v>
      </c>
      <c r="P80" s="339" t="s">
        <v>20</v>
      </c>
      <c r="Q80" s="112">
        <f>IF((C77+C78)&lt;0,(-C77-C78),0)</f>
        <v>0</v>
      </c>
      <c r="R80" s="337">
        <f>IF((C77+C78)&gt;0,(-C77-C78),0)</f>
        <v>-777094.91390700196</v>
      </c>
    </row>
    <row r="81" spans="1:18" s="384" customFormat="1" ht="15.75">
      <c r="A81" s="58"/>
      <c r="B81" s="59" t="s">
        <v>144</v>
      </c>
      <c r="C81" s="50">
        <f>SUM(D81:L81)</f>
        <v>0</v>
      </c>
      <c r="D81" s="161"/>
      <c r="E81" s="161"/>
      <c r="F81" s="161"/>
      <c r="G81" s="161"/>
      <c r="H81" s="161"/>
      <c r="I81" s="161"/>
      <c r="J81" s="161"/>
      <c r="K81" s="161"/>
      <c r="L81" s="243">
        <v>0</v>
      </c>
      <c r="M81" s="134"/>
      <c r="N81" s="50"/>
      <c r="O81" s="342" t="s">
        <v>82</v>
      </c>
      <c r="P81" s="339" t="s">
        <v>75</v>
      </c>
      <c r="Q81" s="344">
        <v>0</v>
      </c>
      <c r="R81" s="337">
        <f>IF(C82&gt;0,-C82,0)</f>
        <v>-4155.49</v>
      </c>
    </row>
    <row r="82" spans="1:18" s="384" customFormat="1" ht="16.5" thickBot="1">
      <c r="A82" s="61"/>
      <c r="B82" s="59" t="s">
        <v>12</v>
      </c>
      <c r="C82" s="50">
        <f>SUM(D82:L82)</f>
        <v>4155.49</v>
      </c>
      <c r="D82" s="161"/>
      <c r="E82" s="161"/>
      <c r="F82" s="161">
        <v>4155.49</v>
      </c>
      <c r="G82" s="161"/>
      <c r="H82" s="161"/>
      <c r="I82" s="161"/>
      <c r="J82" s="161"/>
      <c r="K82" s="161"/>
      <c r="L82" s="245"/>
      <c r="M82" s="237">
        <v>3.2500000000000001E-2</v>
      </c>
      <c r="N82" s="50"/>
      <c r="O82" s="343" t="s">
        <v>83</v>
      </c>
      <c r="P82" s="341" t="s">
        <v>76</v>
      </c>
      <c r="Q82" s="116">
        <f>IF(-C82&gt;0,-C82,0)</f>
        <v>0</v>
      </c>
      <c r="R82" s="116">
        <f>IF(C82&gt;0,0,0)</f>
        <v>0</v>
      </c>
    </row>
    <row r="83" spans="1:18" s="384" customFormat="1" ht="16.5" thickBot="1">
      <c r="A83" s="103">
        <f>A77</f>
        <v>41456</v>
      </c>
      <c r="B83" s="50" t="s">
        <v>56</v>
      </c>
      <c r="C83" s="158">
        <f>SUM(C75:C82)</f>
        <v>1927038.1325737908</v>
      </c>
      <c r="D83" s="158">
        <f>SUM(D75:D82)</f>
        <v>-1877571.1130472124</v>
      </c>
      <c r="E83" s="158">
        <f>SUM(E75:E82)</f>
        <v>3849438.6956210015</v>
      </c>
      <c r="F83" s="158">
        <f>SUM(F75:F82)</f>
        <v>-44829.450000000012</v>
      </c>
      <c r="G83" s="158">
        <f t="shared" ref="G83:K83" si="7">SUM(G72:G82)</f>
        <v>0</v>
      </c>
      <c r="H83" s="158">
        <f t="shared" si="7"/>
        <v>0</v>
      </c>
      <c r="I83" s="158">
        <f t="shared" si="7"/>
        <v>0</v>
      </c>
      <c r="J83" s="158">
        <f t="shared" si="7"/>
        <v>0</v>
      </c>
      <c r="K83" s="158">
        <f t="shared" si="7"/>
        <v>0</v>
      </c>
      <c r="L83" s="158">
        <f>SUM(L75:L82)</f>
        <v>0</v>
      </c>
      <c r="M83" s="57"/>
      <c r="N83" s="385"/>
      <c r="O83" s="385"/>
      <c r="P83" s="385"/>
      <c r="Q83" s="385"/>
      <c r="R83" s="338">
        <f>ROUND(SUM(Q78:R82),2)</f>
        <v>0</v>
      </c>
    </row>
    <row r="84" spans="1:18" ht="16.5" thickTop="1" thickBot="1"/>
    <row r="85" spans="1:18" s="384" customFormat="1" ht="16.5" thickBot="1">
      <c r="A85" s="58">
        <v>41487</v>
      </c>
      <c r="B85" s="59" t="s">
        <v>84</v>
      </c>
      <c r="C85" s="50">
        <f>SUM(D85:L85)</f>
        <v>564000.44398000068</v>
      </c>
      <c r="D85" s="244">
        <v>-646266.22842499963</v>
      </c>
      <c r="E85" s="244">
        <v>1210266.6724050003</v>
      </c>
      <c r="F85" s="161">
        <v>0</v>
      </c>
      <c r="G85" s="161"/>
      <c r="H85" s="161"/>
      <c r="I85" s="161"/>
      <c r="J85" s="388"/>
      <c r="K85" s="161"/>
      <c r="L85" s="161">
        <v>0</v>
      </c>
      <c r="M85" s="133"/>
      <c r="N85" s="50"/>
      <c r="O85" s="336" t="s">
        <v>106</v>
      </c>
      <c r="P85" s="93"/>
      <c r="Q85" s="93"/>
      <c r="R85" s="94"/>
    </row>
    <row r="86" spans="1:18" s="384" customFormat="1" ht="15.75">
      <c r="A86" s="58"/>
      <c r="B86" s="59" t="s">
        <v>148</v>
      </c>
      <c r="C86" s="50">
        <f>SUM(D86:F86)</f>
        <v>0</v>
      </c>
      <c r="D86" s="241"/>
      <c r="E86" s="241">
        <v>0</v>
      </c>
      <c r="F86" s="161"/>
      <c r="G86" s="161"/>
      <c r="H86" s="161"/>
      <c r="I86" s="161"/>
      <c r="J86" s="161"/>
      <c r="K86" s="161"/>
      <c r="L86" s="161"/>
      <c r="M86" s="133"/>
      <c r="N86" s="50"/>
      <c r="O86" s="347" t="s">
        <v>211</v>
      </c>
      <c r="P86" s="339" t="s">
        <v>27</v>
      </c>
      <c r="Q86" s="335">
        <v>0</v>
      </c>
      <c r="R86" s="337">
        <v>0</v>
      </c>
    </row>
    <row r="87" spans="1:18" s="384" customFormat="1" ht="15.75">
      <c r="A87" s="58"/>
      <c r="B87" s="20" t="s">
        <v>157</v>
      </c>
      <c r="C87" s="50">
        <f>SUM(D87:L87)</f>
        <v>0</v>
      </c>
      <c r="D87" s="242">
        <v>0</v>
      </c>
      <c r="E87" s="241"/>
      <c r="F87" s="161"/>
      <c r="G87" s="161"/>
      <c r="H87" s="161"/>
      <c r="I87" s="161"/>
      <c r="J87" s="161"/>
      <c r="K87" s="161"/>
      <c r="L87" s="161"/>
      <c r="M87" s="133"/>
      <c r="N87" s="50"/>
      <c r="O87" s="334" t="s">
        <v>79</v>
      </c>
      <c r="P87" s="339" t="s">
        <v>17</v>
      </c>
      <c r="Q87" s="335">
        <f>IF((-C83+C91)&gt;0,(-C83+C91),0)</f>
        <v>569983.25398000097</v>
      </c>
      <c r="R87" s="337">
        <f>IF((-C83+C91)&lt;0,(-C83+C91),0)</f>
        <v>0</v>
      </c>
    </row>
    <row r="88" spans="1:18" s="384" customFormat="1" ht="15.75">
      <c r="A88" s="58"/>
      <c r="B88" s="59" t="s">
        <v>49</v>
      </c>
      <c r="C88" s="50">
        <f>SUM(D88:L88)</f>
        <v>0</v>
      </c>
      <c r="D88" s="161"/>
      <c r="E88" s="161"/>
      <c r="F88" s="161"/>
      <c r="G88" s="161"/>
      <c r="H88" s="161"/>
      <c r="I88" s="161"/>
      <c r="J88" s="161"/>
      <c r="K88" s="161"/>
      <c r="L88" s="243">
        <v>0</v>
      </c>
      <c r="M88" s="134"/>
      <c r="N88" s="50"/>
      <c r="O88" s="340" t="s">
        <v>80</v>
      </c>
      <c r="P88" s="339" t="s">
        <v>20</v>
      </c>
      <c r="Q88" s="112">
        <f>IF((C85+C86)&lt;0,(-C85-C86),0)</f>
        <v>0</v>
      </c>
      <c r="R88" s="337">
        <f>IF((C85+C86)&gt;0,(-C85-C86),0)</f>
        <v>-564000.44398000068</v>
      </c>
    </row>
    <row r="89" spans="1:18" s="384" customFormat="1" ht="15.75">
      <c r="A89" s="58"/>
      <c r="B89" s="59" t="s">
        <v>144</v>
      </c>
      <c r="C89" s="50">
        <f>SUM(D89:L89)</f>
        <v>0</v>
      </c>
      <c r="D89" s="161"/>
      <c r="E89" s="161"/>
      <c r="F89" s="161"/>
      <c r="G89" s="161"/>
      <c r="H89" s="161"/>
      <c r="I89" s="161"/>
      <c r="J89" s="161"/>
      <c r="K89" s="161"/>
      <c r="L89" s="243">
        <v>0</v>
      </c>
      <c r="M89" s="134"/>
      <c r="N89" s="50"/>
      <c r="O89" s="342" t="s">
        <v>82</v>
      </c>
      <c r="P89" s="339" t="s">
        <v>75</v>
      </c>
      <c r="Q89" s="344">
        <v>0</v>
      </c>
      <c r="R89" s="337">
        <f>IF(C90&gt;0,-C90,0)</f>
        <v>-5982.81</v>
      </c>
    </row>
    <row r="90" spans="1:18" s="384" customFormat="1" ht="16.5" thickBot="1">
      <c r="A90" s="61"/>
      <c r="B90" s="59" t="s">
        <v>12</v>
      </c>
      <c r="C90" s="50">
        <f>SUM(D90:L90)</f>
        <v>5982.81</v>
      </c>
      <c r="D90" s="161"/>
      <c r="E90" s="161"/>
      <c r="F90" s="161">
        <v>5982.81</v>
      </c>
      <c r="G90" s="161"/>
      <c r="H90" s="161"/>
      <c r="I90" s="161"/>
      <c r="J90" s="161"/>
      <c r="K90" s="161"/>
      <c r="L90" s="245"/>
      <c r="M90" s="237">
        <v>3.2500000000000001E-2</v>
      </c>
      <c r="N90" s="50"/>
      <c r="O90" s="343" t="s">
        <v>83</v>
      </c>
      <c r="P90" s="341" t="s">
        <v>76</v>
      </c>
      <c r="Q90" s="116">
        <f>IF(-C90&gt;0,-C90,0)</f>
        <v>0</v>
      </c>
      <c r="R90" s="116">
        <f>IF(C90&gt;0,0,0)</f>
        <v>0</v>
      </c>
    </row>
    <row r="91" spans="1:18" s="384" customFormat="1" ht="16.5" thickBot="1">
      <c r="A91" s="103">
        <f>A85</f>
        <v>41487</v>
      </c>
      <c r="B91" s="50" t="s">
        <v>56</v>
      </c>
      <c r="C91" s="158">
        <f>SUM(C83:C90)</f>
        <v>2497021.3865537918</v>
      </c>
      <c r="D91" s="158">
        <f>SUM(D83:D90)</f>
        <v>-2523837.3414722122</v>
      </c>
      <c r="E91" s="158">
        <f>SUM(E83:E90)</f>
        <v>5059705.3680260014</v>
      </c>
      <c r="F91" s="158">
        <f>SUM(F83:F90)</f>
        <v>-38846.640000000014</v>
      </c>
      <c r="G91" s="158">
        <f t="shared" ref="G91:K91" si="8">SUM(G80:G90)</f>
        <v>0</v>
      </c>
      <c r="H91" s="158">
        <f t="shared" si="8"/>
        <v>0</v>
      </c>
      <c r="I91" s="158">
        <f t="shared" si="8"/>
        <v>0</v>
      </c>
      <c r="J91" s="158">
        <f t="shared" si="8"/>
        <v>0</v>
      </c>
      <c r="K91" s="158">
        <f t="shared" si="8"/>
        <v>0</v>
      </c>
      <c r="L91" s="158">
        <f>SUM(L83:L90)</f>
        <v>0</v>
      </c>
      <c r="M91" s="57"/>
      <c r="N91" s="385"/>
      <c r="O91" s="385"/>
      <c r="P91" s="385"/>
      <c r="Q91" s="385"/>
      <c r="R91" s="338">
        <f>ROUND(SUM(Q86:R90),2)</f>
        <v>0</v>
      </c>
    </row>
    <row r="92" spans="1:18" s="384" customFormat="1" ht="16.5" thickTop="1" thickBot="1">
      <c r="A92" s="53"/>
      <c r="M92" s="52"/>
    </row>
    <row r="93" spans="1:18" s="384" customFormat="1" ht="16.5" thickBot="1">
      <c r="A93" s="58">
        <v>41518</v>
      </c>
      <c r="B93" s="59" t="s">
        <v>84</v>
      </c>
      <c r="C93" s="50">
        <f>SUM(D93:L93)</f>
        <v>208713.47537599935</v>
      </c>
      <c r="D93" s="244">
        <v>-814688.68566800107</v>
      </c>
      <c r="E93" s="244">
        <v>1023402.1610440004</v>
      </c>
      <c r="F93" s="161">
        <v>0</v>
      </c>
      <c r="G93" s="161"/>
      <c r="H93" s="161"/>
      <c r="I93" s="161"/>
      <c r="J93" s="388"/>
      <c r="K93" s="161"/>
      <c r="L93" s="161">
        <v>0</v>
      </c>
      <c r="M93" s="133"/>
      <c r="N93" s="50"/>
      <c r="O93" s="336" t="s">
        <v>106</v>
      </c>
      <c r="P93" s="93"/>
      <c r="Q93" s="93"/>
      <c r="R93" s="94"/>
    </row>
    <row r="94" spans="1:18" s="384" customFormat="1" ht="15.75">
      <c r="A94" s="58"/>
      <c r="B94" s="59" t="s">
        <v>148</v>
      </c>
      <c r="C94" s="50">
        <f>SUM(D94:F94)</f>
        <v>0</v>
      </c>
      <c r="D94" s="241"/>
      <c r="E94" s="241">
        <v>0</v>
      </c>
      <c r="F94" s="161"/>
      <c r="G94" s="161"/>
      <c r="H94" s="161"/>
      <c r="I94" s="161"/>
      <c r="J94" s="161"/>
      <c r="K94" s="161"/>
      <c r="L94" s="161"/>
      <c r="M94" s="133"/>
      <c r="N94" s="50"/>
      <c r="O94" s="347" t="s">
        <v>211</v>
      </c>
      <c r="P94" s="339" t="s">
        <v>27</v>
      </c>
      <c r="Q94" s="335">
        <v>0</v>
      </c>
      <c r="R94" s="337">
        <v>0</v>
      </c>
    </row>
    <row r="95" spans="1:18" s="384" customFormat="1" ht="15.75">
      <c r="A95" s="58"/>
      <c r="B95" s="20" t="s">
        <v>157</v>
      </c>
      <c r="C95" s="50">
        <f>SUM(D95:L95)</f>
        <v>0</v>
      </c>
      <c r="D95" s="242">
        <v>0</v>
      </c>
      <c r="E95" s="241"/>
      <c r="F95" s="161"/>
      <c r="G95" s="161"/>
      <c r="H95" s="161"/>
      <c r="I95" s="161"/>
      <c r="J95" s="161"/>
      <c r="K95" s="161"/>
      <c r="L95" s="161"/>
      <c r="M95" s="133"/>
      <c r="N95" s="50"/>
      <c r="O95" s="334" t="s">
        <v>79</v>
      </c>
      <c r="P95" s="339" t="s">
        <v>17</v>
      </c>
      <c r="Q95" s="335">
        <f>IF((-C91+C99)&gt;0,(-C91+C99),0)</f>
        <v>215758.87537599914</v>
      </c>
      <c r="R95" s="337">
        <f>IF((-C91+C99)&lt;0,(-C91+C99),0)</f>
        <v>0</v>
      </c>
    </row>
    <row r="96" spans="1:18" s="384" customFormat="1" ht="15.75">
      <c r="A96" s="58"/>
      <c r="B96" s="59" t="s">
        <v>49</v>
      </c>
      <c r="C96" s="50">
        <f>SUM(D96:L96)</f>
        <v>0</v>
      </c>
      <c r="D96" s="161"/>
      <c r="E96" s="161"/>
      <c r="F96" s="161"/>
      <c r="G96" s="161"/>
      <c r="H96" s="161"/>
      <c r="I96" s="161"/>
      <c r="J96" s="161"/>
      <c r="K96" s="161"/>
      <c r="L96" s="243">
        <v>0</v>
      </c>
      <c r="M96" s="134"/>
      <c r="N96" s="50"/>
      <c r="O96" s="340" t="s">
        <v>80</v>
      </c>
      <c r="P96" s="339" t="s">
        <v>20</v>
      </c>
      <c r="Q96" s="112">
        <f>IF((C93+C94)&lt;0,(-C93-C94),0)</f>
        <v>0</v>
      </c>
      <c r="R96" s="337">
        <f>IF((C93+C94)&gt;0,(-C93-C94),0)</f>
        <v>-208713.47537599935</v>
      </c>
    </row>
    <row r="97" spans="1:18" s="384" customFormat="1" ht="15.75">
      <c r="A97" s="58"/>
      <c r="B97" s="59" t="s">
        <v>144</v>
      </c>
      <c r="C97" s="50">
        <f>SUM(D97:L97)</f>
        <v>0</v>
      </c>
      <c r="D97" s="161"/>
      <c r="E97" s="161"/>
      <c r="F97" s="161"/>
      <c r="G97" s="161"/>
      <c r="H97" s="161"/>
      <c r="I97" s="161"/>
      <c r="J97" s="161"/>
      <c r="K97" s="161"/>
      <c r="L97" s="243">
        <v>0</v>
      </c>
      <c r="M97" s="134"/>
      <c r="N97" s="50"/>
      <c r="O97" s="342" t="s">
        <v>82</v>
      </c>
      <c r="P97" s="339" t="s">
        <v>75</v>
      </c>
      <c r="Q97" s="344">
        <v>0</v>
      </c>
      <c r="R97" s="337">
        <f>IF(C98&gt;0,-C98,0)</f>
        <v>-7045.4</v>
      </c>
    </row>
    <row r="98" spans="1:18" s="384" customFormat="1" ht="16.5" thickBot="1">
      <c r="A98" s="61"/>
      <c r="B98" s="59" t="s">
        <v>12</v>
      </c>
      <c r="C98" s="50">
        <f>SUM(D98:L98)</f>
        <v>7045.4</v>
      </c>
      <c r="D98" s="161"/>
      <c r="E98" s="161"/>
      <c r="F98" s="161">
        <v>7045.4</v>
      </c>
      <c r="G98" s="161"/>
      <c r="H98" s="161"/>
      <c r="I98" s="161"/>
      <c r="J98" s="161"/>
      <c r="K98" s="161"/>
      <c r="L98" s="245"/>
      <c r="M98" s="237">
        <v>3.2500000000000001E-2</v>
      </c>
      <c r="N98" s="50"/>
      <c r="O98" s="343" t="s">
        <v>83</v>
      </c>
      <c r="P98" s="341" t="s">
        <v>76</v>
      </c>
      <c r="Q98" s="116">
        <f>IF(-C98&gt;0,-C98,0)</f>
        <v>0</v>
      </c>
      <c r="R98" s="116">
        <f>IF(C98&gt;0,0,0)</f>
        <v>0</v>
      </c>
    </row>
    <row r="99" spans="1:18" s="384" customFormat="1" ht="16.5" thickBot="1">
      <c r="A99" s="103">
        <f>A93</f>
        <v>41518</v>
      </c>
      <c r="B99" s="50" t="s">
        <v>56</v>
      </c>
      <c r="C99" s="158">
        <f>SUM(C91:C98)</f>
        <v>2712780.261929791</v>
      </c>
      <c r="D99" s="158">
        <f>SUM(D91:D98)</f>
        <v>-3338526.0271402132</v>
      </c>
      <c r="E99" s="158">
        <f>SUM(E91:E98)</f>
        <v>6083107.529070002</v>
      </c>
      <c r="F99" s="158">
        <f>SUM(F91:F98)</f>
        <v>-31801.240000000013</v>
      </c>
      <c r="G99" s="158">
        <f t="shared" ref="G99:K99" si="9">SUM(G88:G98)</f>
        <v>0</v>
      </c>
      <c r="H99" s="158">
        <f t="shared" si="9"/>
        <v>0</v>
      </c>
      <c r="I99" s="158">
        <f t="shared" si="9"/>
        <v>0</v>
      </c>
      <c r="J99" s="158">
        <f t="shared" si="9"/>
        <v>0</v>
      </c>
      <c r="K99" s="158">
        <f t="shared" si="9"/>
        <v>0</v>
      </c>
      <c r="L99" s="158">
        <f>SUM(L91:L98)</f>
        <v>0</v>
      </c>
      <c r="M99" s="57"/>
      <c r="N99" s="385"/>
      <c r="O99" s="385"/>
      <c r="P99" s="385"/>
      <c r="Q99" s="385"/>
      <c r="R99" s="338">
        <f>ROUND(SUM(Q94:R98),2)</f>
        <v>0</v>
      </c>
    </row>
    <row r="100" spans="1:18" ht="16.5" thickTop="1" thickBot="1"/>
    <row r="101" spans="1:18" s="384" customFormat="1" ht="16.5" thickBot="1">
      <c r="A101" s="58">
        <v>41578</v>
      </c>
      <c r="B101" s="59" t="s">
        <v>84</v>
      </c>
      <c r="C101" s="50">
        <f>SUM(D101:L101)</f>
        <v>-464484.39013699861</v>
      </c>
      <c r="D101" s="244">
        <v>-726195.13553999923</v>
      </c>
      <c r="E101" s="244">
        <v>261710.74540300062</v>
      </c>
      <c r="F101" s="161">
        <v>0</v>
      </c>
      <c r="G101" s="161"/>
      <c r="H101" s="161"/>
      <c r="I101" s="161"/>
      <c r="J101" s="388"/>
      <c r="K101" s="161"/>
      <c r="L101" s="161">
        <v>0</v>
      </c>
      <c r="M101" s="133"/>
      <c r="N101" s="50"/>
      <c r="O101" s="336" t="s">
        <v>106</v>
      </c>
      <c r="P101" s="93"/>
      <c r="Q101" s="93"/>
      <c r="R101" s="94"/>
    </row>
    <row r="102" spans="1:18" s="384" customFormat="1" ht="15.75">
      <c r="A102" s="58"/>
      <c r="B102" s="59" t="s">
        <v>148</v>
      </c>
      <c r="C102" s="50">
        <f>SUM(D102:F102)</f>
        <v>0</v>
      </c>
      <c r="D102" s="241"/>
      <c r="E102" s="241">
        <v>0</v>
      </c>
      <c r="F102" s="161"/>
      <c r="G102" s="161"/>
      <c r="H102" s="161"/>
      <c r="I102" s="161"/>
      <c r="J102" s="161"/>
      <c r="K102" s="161"/>
      <c r="L102" s="161"/>
      <c r="M102" s="133"/>
      <c r="N102" s="50"/>
      <c r="O102" s="347" t="s">
        <v>211</v>
      </c>
      <c r="P102" s="339" t="s">
        <v>27</v>
      </c>
      <c r="Q102" s="335">
        <v>0</v>
      </c>
      <c r="R102" s="337">
        <v>0</v>
      </c>
    </row>
    <row r="103" spans="1:18" s="384" customFormat="1" ht="15.75">
      <c r="A103" s="58"/>
      <c r="B103" s="20" t="s">
        <v>157</v>
      </c>
      <c r="C103" s="50">
        <f>SUM(D103:L103)</f>
        <v>0</v>
      </c>
      <c r="D103" s="242">
        <v>0</v>
      </c>
      <c r="E103" s="241"/>
      <c r="F103" s="161"/>
      <c r="G103" s="161"/>
      <c r="H103" s="161"/>
      <c r="I103" s="161"/>
      <c r="J103" s="161"/>
      <c r="K103" s="161"/>
      <c r="L103" s="161"/>
      <c r="M103" s="133"/>
      <c r="N103" s="50"/>
      <c r="O103" s="334" t="s">
        <v>79</v>
      </c>
      <c r="P103" s="339" t="s">
        <v>17</v>
      </c>
      <c r="Q103" s="335">
        <f>IF((-C99+C107)&gt;0,(-C99+C107),0)</f>
        <v>0</v>
      </c>
      <c r="R103" s="337">
        <f>IF((-C99+C107)&lt;0,(-C99+C107),0)</f>
        <v>-457766.2701369985</v>
      </c>
    </row>
    <row r="104" spans="1:18" s="384" customFormat="1" ht="15.75">
      <c r="A104" s="58"/>
      <c r="B104" s="59" t="s">
        <v>49</v>
      </c>
      <c r="C104" s="50">
        <f>SUM(D104:L104)</f>
        <v>0</v>
      </c>
      <c r="D104" s="161"/>
      <c r="E104" s="161"/>
      <c r="F104" s="161"/>
      <c r="G104" s="161"/>
      <c r="H104" s="161"/>
      <c r="I104" s="161"/>
      <c r="J104" s="161"/>
      <c r="K104" s="161"/>
      <c r="L104" s="243">
        <v>0</v>
      </c>
      <c r="M104" s="134"/>
      <c r="N104" s="50"/>
      <c r="O104" s="340" t="s">
        <v>80</v>
      </c>
      <c r="P104" s="339" t="s">
        <v>20</v>
      </c>
      <c r="Q104" s="112">
        <f>IF((C101+C102)&lt;0,(-C101-C102),0)</f>
        <v>464484.39013699861</v>
      </c>
      <c r="R104" s="337">
        <f>IF((C101+C102)&gt;0,(-C101-C102),0)</f>
        <v>0</v>
      </c>
    </row>
    <row r="105" spans="1:18" s="384" customFormat="1" ht="15.75">
      <c r="A105" s="58"/>
      <c r="B105" s="59" t="s">
        <v>144</v>
      </c>
      <c r="C105" s="50">
        <f>SUM(D105:L105)</f>
        <v>0</v>
      </c>
      <c r="D105" s="161"/>
      <c r="E105" s="161"/>
      <c r="F105" s="161"/>
      <c r="G105" s="161"/>
      <c r="H105" s="161"/>
      <c r="I105" s="161"/>
      <c r="J105" s="161"/>
      <c r="K105" s="161"/>
      <c r="L105" s="243">
        <v>0</v>
      </c>
      <c r="M105" s="134"/>
      <c r="N105" s="50"/>
      <c r="O105" s="342" t="s">
        <v>82</v>
      </c>
      <c r="P105" s="339" t="s">
        <v>75</v>
      </c>
      <c r="Q105" s="344">
        <v>0</v>
      </c>
      <c r="R105" s="337">
        <f>IF(C106&gt;0,-C106,0)</f>
        <v>-6718.12</v>
      </c>
    </row>
    <row r="106" spans="1:18" s="384" customFormat="1" ht="16.5" thickBot="1">
      <c r="A106" s="61"/>
      <c r="B106" s="59" t="s">
        <v>12</v>
      </c>
      <c r="C106" s="50">
        <f>SUM(D106:L106)</f>
        <v>6718.12</v>
      </c>
      <c r="D106" s="161"/>
      <c r="E106" s="161"/>
      <c r="F106" s="161">
        <v>6718.12</v>
      </c>
      <c r="G106" s="161"/>
      <c r="H106" s="161"/>
      <c r="I106" s="161"/>
      <c r="J106" s="161"/>
      <c r="K106" s="161"/>
      <c r="L106" s="245"/>
      <c r="M106" s="237">
        <v>3.2500000000000001E-2</v>
      </c>
      <c r="N106" s="50"/>
      <c r="O106" s="343" t="s">
        <v>83</v>
      </c>
      <c r="P106" s="341" t="s">
        <v>76</v>
      </c>
      <c r="Q106" s="116">
        <f>IF(-C106&gt;0,-C106,0)</f>
        <v>0</v>
      </c>
      <c r="R106" s="116">
        <f>IF(C106&gt;0,0,0)</f>
        <v>0</v>
      </c>
    </row>
    <row r="107" spans="1:18" s="384" customFormat="1" ht="16.5" thickBot="1">
      <c r="A107" s="103">
        <f>A101</f>
        <v>41578</v>
      </c>
      <c r="B107" s="50" t="s">
        <v>56</v>
      </c>
      <c r="C107" s="158">
        <f>SUM(C99:C106)</f>
        <v>2255013.9917927925</v>
      </c>
      <c r="D107" s="158">
        <f>SUM(D99:D106)</f>
        <v>-4064721.1626802124</v>
      </c>
      <c r="E107" s="158">
        <f>SUM(E99:E106)</f>
        <v>6344818.2744730022</v>
      </c>
      <c r="F107" s="158">
        <f>SUM(F99:F106)</f>
        <v>-25083.120000000014</v>
      </c>
      <c r="G107" s="158">
        <f t="shared" ref="G107:K107" si="10">SUM(G96:G106)</f>
        <v>0</v>
      </c>
      <c r="H107" s="158">
        <f t="shared" si="10"/>
        <v>0</v>
      </c>
      <c r="I107" s="158">
        <f t="shared" si="10"/>
        <v>0</v>
      </c>
      <c r="J107" s="158">
        <f t="shared" si="10"/>
        <v>0</v>
      </c>
      <c r="K107" s="158">
        <f t="shared" si="10"/>
        <v>0</v>
      </c>
      <c r="L107" s="158">
        <f>SUM(L99:L106)</f>
        <v>0</v>
      </c>
      <c r="M107" s="57"/>
      <c r="N107" s="385"/>
      <c r="O107" s="385"/>
      <c r="P107" s="385"/>
      <c r="Q107" s="385"/>
      <c r="R107" s="338">
        <f>ROUND(SUM(Q102:R106),2)</f>
        <v>0</v>
      </c>
    </row>
    <row r="108" spans="1:18" s="384" customFormat="1" ht="15.75" thickTop="1">
      <c r="A108" s="53"/>
      <c r="M108" s="52"/>
    </row>
    <row r="109" spans="1:18" s="384" customFormat="1" ht="15.75">
      <c r="A109" s="103">
        <v>41579</v>
      </c>
      <c r="B109" s="2" t="s">
        <v>230</v>
      </c>
      <c r="C109" s="50">
        <f>SUM(D109:L109)</f>
        <v>-1145801.7486667871</v>
      </c>
      <c r="D109" s="161">
        <f>-D75</f>
        <v>1383047.9967132136</v>
      </c>
      <c r="E109" s="161">
        <f>-E75</f>
        <v>-2577820.6653800006</v>
      </c>
      <c r="F109" s="161">
        <f>-F75-14.02</f>
        <v>48970.920000000013</v>
      </c>
      <c r="G109" s="161"/>
      <c r="H109" s="161"/>
      <c r="I109" s="161"/>
      <c r="J109" s="161"/>
      <c r="K109" s="161"/>
      <c r="L109" s="245"/>
      <c r="M109" s="52"/>
    </row>
    <row r="110" spans="1:18" s="384" customFormat="1" ht="16.5" thickBot="1">
      <c r="A110" s="103"/>
      <c r="B110" s="2" t="s">
        <v>233</v>
      </c>
      <c r="C110" s="158">
        <f>SUM(C107:C109)</f>
        <v>1109212.2431260054</v>
      </c>
      <c r="D110" s="158">
        <f>SUM(D107:D109)</f>
        <v>-2681673.1659669988</v>
      </c>
      <c r="E110" s="158">
        <f>SUM(E107:E109)</f>
        <v>3766997.6090930016</v>
      </c>
      <c r="F110" s="158">
        <f>SUM(F107:F109)</f>
        <v>23887.8</v>
      </c>
      <c r="G110" s="158"/>
      <c r="H110" s="158"/>
      <c r="I110" s="158"/>
      <c r="J110" s="158"/>
      <c r="K110" s="158"/>
      <c r="L110" s="158">
        <f>SUM(L107:L109)</f>
        <v>0</v>
      </c>
      <c r="M110" s="52"/>
    </row>
    <row r="111" spans="1:18" s="384" customFormat="1" ht="16.5" thickTop="1" thickBot="1">
      <c r="A111" s="53"/>
      <c r="M111" s="52"/>
    </row>
    <row r="112" spans="1:18" s="384" customFormat="1" ht="16.5" thickBot="1">
      <c r="A112" s="58">
        <f>EOMONTH(A101,1)</f>
        <v>41608</v>
      </c>
      <c r="B112" s="59" t="s">
        <v>84</v>
      </c>
      <c r="C112" s="50">
        <f>SUM(D112:L112)</f>
        <v>-1144165.7052559927</v>
      </c>
      <c r="D112" s="244">
        <v>-363626.86552299373</v>
      </c>
      <c r="E112" s="244">
        <v>-780538.83973299898</v>
      </c>
      <c r="F112" s="161">
        <v>0</v>
      </c>
      <c r="G112" s="161"/>
      <c r="H112" s="161"/>
      <c r="I112" s="161"/>
      <c r="J112" s="388"/>
      <c r="K112" s="161"/>
      <c r="L112" s="161">
        <v>0</v>
      </c>
      <c r="M112" s="133"/>
      <c r="N112" s="50"/>
      <c r="O112" s="336" t="s">
        <v>106</v>
      </c>
      <c r="P112" s="93"/>
      <c r="Q112" s="93"/>
      <c r="R112" s="94"/>
    </row>
    <row r="113" spans="1:18" s="384" customFormat="1" ht="15.75">
      <c r="A113" s="58"/>
      <c r="B113" s="59" t="s">
        <v>148</v>
      </c>
      <c r="C113" s="50">
        <f>SUM(D113:F113)</f>
        <v>0</v>
      </c>
      <c r="D113" s="241"/>
      <c r="E113" s="241">
        <v>0</v>
      </c>
      <c r="F113" s="161"/>
      <c r="G113" s="161"/>
      <c r="H113" s="161"/>
      <c r="I113" s="161"/>
      <c r="J113" s="161"/>
      <c r="K113" s="161"/>
      <c r="L113" s="161"/>
      <c r="M113" s="133"/>
      <c r="N113" s="50"/>
      <c r="O113" s="347" t="s">
        <v>232</v>
      </c>
      <c r="P113" s="339" t="s">
        <v>27</v>
      </c>
      <c r="Q113" s="335">
        <f>-C109</f>
        <v>1145801.7486667871</v>
      </c>
      <c r="R113" s="337">
        <v>0</v>
      </c>
    </row>
    <row r="114" spans="1:18" s="384" customFormat="1" ht="15.75">
      <c r="A114" s="58"/>
      <c r="B114" s="20" t="s">
        <v>157</v>
      </c>
      <c r="C114" s="50">
        <f>SUM(D114:L114)</f>
        <v>0</v>
      </c>
      <c r="D114" s="242">
        <v>0</v>
      </c>
      <c r="E114" s="241"/>
      <c r="F114" s="161"/>
      <c r="G114" s="161"/>
      <c r="H114" s="161"/>
      <c r="I114" s="161"/>
      <c r="J114" s="161"/>
      <c r="K114" s="161"/>
      <c r="L114" s="161"/>
      <c r="M114" s="133"/>
      <c r="N114" s="50"/>
      <c r="O114" s="334" t="s">
        <v>79</v>
      </c>
      <c r="P114" s="339" t="s">
        <v>17</v>
      </c>
      <c r="Q114" s="335">
        <f>IF((-C107+C118)&gt;0,(-C107+C118),0)</f>
        <v>0</v>
      </c>
      <c r="R114" s="337">
        <f>IF((-C107+C118)&lt;0,(-C107+C118),0)</f>
        <v>-2288512.7239227798</v>
      </c>
    </row>
    <row r="115" spans="1:18" s="384" customFormat="1" ht="15.75">
      <c r="A115" s="58"/>
      <c r="B115" s="59" t="s">
        <v>49</v>
      </c>
      <c r="C115" s="50">
        <f>SUM(D115:L115)</f>
        <v>0</v>
      </c>
      <c r="D115" s="161"/>
      <c r="E115" s="161"/>
      <c r="F115" s="161"/>
      <c r="G115" s="161"/>
      <c r="H115" s="161"/>
      <c r="I115" s="161"/>
      <c r="J115" s="161"/>
      <c r="K115" s="161"/>
      <c r="L115" s="243">
        <v>0</v>
      </c>
      <c r="M115" s="134"/>
      <c r="N115" s="50"/>
      <c r="O115" s="340" t="s">
        <v>80</v>
      </c>
      <c r="P115" s="339" t="s">
        <v>20</v>
      </c>
      <c r="Q115" s="112">
        <f>IF((C112+C113)&lt;0,(-C112-C113),0)</f>
        <v>1144165.7052559927</v>
      </c>
      <c r="R115" s="337">
        <f>IF((C112+C113)&gt;0,(-C112-C113),0)</f>
        <v>0</v>
      </c>
    </row>
    <row r="116" spans="1:18" s="384" customFormat="1" ht="15.75">
      <c r="A116" s="58"/>
      <c r="B116" s="59" t="s">
        <v>144</v>
      </c>
      <c r="C116" s="50">
        <f>SUM(D116:L116)</f>
        <v>0</v>
      </c>
      <c r="D116" s="161"/>
      <c r="E116" s="161"/>
      <c r="F116" s="161"/>
      <c r="G116" s="161"/>
      <c r="H116" s="161"/>
      <c r="I116" s="161"/>
      <c r="J116" s="161"/>
      <c r="K116" s="161"/>
      <c r="L116" s="243">
        <v>0</v>
      </c>
      <c r="M116" s="134"/>
      <c r="N116" s="50"/>
      <c r="O116" s="342" t="s">
        <v>82</v>
      </c>
      <c r="P116" s="339" t="s">
        <v>75</v>
      </c>
      <c r="Q116" s="344">
        <v>0</v>
      </c>
      <c r="R116" s="337">
        <f>IF(C117&gt;0,-C117,0)</f>
        <v>-1454.73</v>
      </c>
    </row>
    <row r="117" spans="1:18" s="384" customFormat="1" ht="16.5" thickBot="1">
      <c r="A117" s="61"/>
      <c r="B117" s="59" t="s">
        <v>12</v>
      </c>
      <c r="C117" s="50">
        <f>SUM(D117:L117)</f>
        <v>1454.73</v>
      </c>
      <c r="D117" s="161"/>
      <c r="E117" s="161"/>
      <c r="F117" s="161">
        <v>1454.73</v>
      </c>
      <c r="G117" s="161"/>
      <c r="H117" s="161"/>
      <c r="I117" s="161"/>
      <c r="J117" s="161"/>
      <c r="K117" s="161"/>
      <c r="L117" s="245"/>
      <c r="M117" s="237">
        <v>3.2500000000000001E-2</v>
      </c>
      <c r="N117" s="50"/>
      <c r="O117" s="343" t="s">
        <v>83</v>
      </c>
      <c r="P117" s="341" t="s">
        <v>76</v>
      </c>
      <c r="Q117" s="116">
        <f>IF(-C117&gt;0,-C117,0)</f>
        <v>0</v>
      </c>
      <c r="R117" s="116">
        <f>IF(C117&gt;0,0,0)</f>
        <v>0</v>
      </c>
    </row>
    <row r="118" spans="1:18" s="384" customFormat="1" ht="16.5" thickBot="1">
      <c r="A118" s="103">
        <f>A112</f>
        <v>41608</v>
      </c>
      <c r="B118" s="50" t="s">
        <v>56</v>
      </c>
      <c r="C118" s="158">
        <f>SUM(C110:C117)</f>
        <v>-33498.732129987307</v>
      </c>
      <c r="D118" s="158">
        <f>SUM(D110:D117)</f>
        <v>-3045300.0314899925</v>
      </c>
      <c r="E118" s="158">
        <f>SUM(E110:E117)</f>
        <v>2986458.7693600026</v>
      </c>
      <c r="F118" s="158">
        <f>SUM(F110:F117)</f>
        <v>25342.53</v>
      </c>
      <c r="G118" s="158">
        <f t="shared" ref="G118:K118" si="11">SUM(G104:G117)</f>
        <v>0</v>
      </c>
      <c r="H118" s="158">
        <f t="shared" si="11"/>
        <v>0</v>
      </c>
      <c r="I118" s="158">
        <f t="shared" si="11"/>
        <v>0</v>
      </c>
      <c r="J118" s="158">
        <f t="shared" si="11"/>
        <v>0</v>
      </c>
      <c r="K118" s="158">
        <f t="shared" si="11"/>
        <v>0</v>
      </c>
      <c r="L118" s="158">
        <f>SUM(L107:L117)</f>
        <v>0</v>
      </c>
      <c r="M118" s="57"/>
      <c r="N118" s="385"/>
      <c r="O118" s="385"/>
      <c r="P118" s="385"/>
      <c r="Q118" s="385"/>
      <c r="R118" s="338">
        <f>ROUND(SUM(Q113:R117),2)</f>
        <v>0</v>
      </c>
    </row>
    <row r="119" spans="1:18" s="384" customFormat="1" ht="16.5" thickTop="1" thickBot="1">
      <c r="A119" s="53"/>
      <c r="M119" s="52"/>
    </row>
    <row r="120" spans="1:18" s="384" customFormat="1" ht="16.5" thickBot="1">
      <c r="A120" s="58">
        <f>EOMONTH(A112,1)</f>
        <v>41639</v>
      </c>
      <c r="B120" s="59" t="s">
        <v>84</v>
      </c>
      <c r="C120" s="50">
        <f>SUM(D120:L120)</f>
        <v>-2092232.3191750022</v>
      </c>
      <c r="D120" s="244">
        <f>Jan!$H$55</f>
        <v>-743591.89883300196</v>
      </c>
      <c r="E120" s="244">
        <f>Jan!$I$55</f>
        <v>-1348640.4203420002</v>
      </c>
      <c r="F120" s="161">
        <v>0</v>
      </c>
      <c r="G120" s="161"/>
      <c r="H120" s="161"/>
      <c r="I120" s="161"/>
      <c r="J120" s="388"/>
      <c r="K120" s="161"/>
      <c r="L120" s="161">
        <v>0</v>
      </c>
      <c r="M120" s="133"/>
      <c r="N120" s="50"/>
      <c r="O120" s="336" t="s">
        <v>235</v>
      </c>
      <c r="P120" s="93"/>
      <c r="Q120" s="93"/>
      <c r="R120" s="94"/>
    </row>
    <row r="121" spans="1:18" s="384" customFormat="1" ht="15.75">
      <c r="A121" s="58"/>
      <c r="B121" s="59" t="s">
        <v>148</v>
      </c>
      <c r="C121" s="50">
        <f>SUM(D121:F121)</f>
        <v>0</v>
      </c>
      <c r="D121" s="241"/>
      <c r="E121" s="241">
        <v>0</v>
      </c>
      <c r="F121" s="161"/>
      <c r="G121" s="161"/>
      <c r="H121" s="161"/>
      <c r="I121" s="161"/>
      <c r="J121" s="161"/>
      <c r="K121" s="161"/>
      <c r="L121" s="161"/>
      <c r="M121" s="133"/>
      <c r="N121" s="50"/>
      <c r="O121" s="347" t="s">
        <v>232</v>
      </c>
      <c r="P121" s="339" t="s">
        <v>27</v>
      </c>
      <c r="Q121" s="335">
        <v>0</v>
      </c>
      <c r="R121" s="337">
        <v>0</v>
      </c>
    </row>
    <row r="122" spans="1:18" s="384" customFormat="1" ht="15.75">
      <c r="A122" s="58"/>
      <c r="B122" s="20" t="s">
        <v>157</v>
      </c>
      <c r="C122" s="50">
        <f>SUM(D122:L122)</f>
        <v>0</v>
      </c>
      <c r="D122" s="242">
        <v>0</v>
      </c>
      <c r="E122" s="241"/>
      <c r="F122" s="161"/>
      <c r="G122" s="161"/>
      <c r="H122" s="161"/>
      <c r="I122" s="161"/>
      <c r="J122" s="161"/>
      <c r="K122" s="161"/>
      <c r="L122" s="161"/>
      <c r="M122" s="133"/>
      <c r="N122" s="50"/>
      <c r="O122" s="334" t="s">
        <v>79</v>
      </c>
      <c r="P122" s="339" t="s">
        <v>17</v>
      </c>
      <c r="Q122" s="335">
        <f>IF((-C115+C126)&gt;0,(-C115+C126),0)</f>
        <v>0</v>
      </c>
      <c r="R122" s="337">
        <f>IF((-C118+C126)&lt;0,(-C118+C126),0)-C121</f>
        <v>-2095156.2791750021</v>
      </c>
    </row>
    <row r="123" spans="1:18" s="384" customFormat="1" ht="15.75">
      <c r="A123" s="58"/>
      <c r="B123" s="59" t="s">
        <v>49</v>
      </c>
      <c r="C123" s="50">
        <f>SUM(D123:L123)</f>
        <v>0</v>
      </c>
      <c r="D123" s="161"/>
      <c r="E123" s="161"/>
      <c r="F123" s="161"/>
      <c r="G123" s="161"/>
      <c r="H123" s="161"/>
      <c r="I123" s="161"/>
      <c r="J123" s="161"/>
      <c r="K123" s="161"/>
      <c r="L123" s="243">
        <v>0</v>
      </c>
      <c r="M123" s="134"/>
      <c r="N123" s="50"/>
      <c r="O123" s="340" t="s">
        <v>80</v>
      </c>
      <c r="P123" s="339" t="s">
        <v>20</v>
      </c>
      <c r="Q123" s="112">
        <f>IF((C120)&lt;0,(-C120),0)</f>
        <v>2092232.3191750022</v>
      </c>
      <c r="R123" s="337">
        <f>IF((C120+C121)&gt;0,(-C120-C121),0)</f>
        <v>0</v>
      </c>
    </row>
    <row r="124" spans="1:18" s="384" customFormat="1" ht="15.75">
      <c r="A124" s="58"/>
      <c r="B124" s="59" t="s">
        <v>144</v>
      </c>
      <c r="C124" s="50">
        <f>SUM(D124:L124)</f>
        <v>0</v>
      </c>
      <c r="D124" s="161"/>
      <c r="E124" s="161"/>
      <c r="F124" s="161"/>
      <c r="G124" s="161"/>
      <c r="H124" s="161"/>
      <c r="I124" s="161"/>
      <c r="J124" s="161"/>
      <c r="K124" s="161"/>
      <c r="L124" s="243">
        <v>0</v>
      </c>
      <c r="M124" s="134"/>
      <c r="N124" s="50"/>
      <c r="O124" s="342" t="s">
        <v>82</v>
      </c>
      <c r="P124" s="339" t="s">
        <v>75</v>
      </c>
      <c r="Q124" s="344">
        <v>0</v>
      </c>
      <c r="R124" s="337">
        <f>IF(C125&gt;0,-C125,0)</f>
        <v>0</v>
      </c>
    </row>
    <row r="125" spans="1:18" s="384" customFormat="1" ht="16.5" thickBot="1">
      <c r="A125" s="61"/>
      <c r="B125" s="59" t="s">
        <v>12</v>
      </c>
      <c r="C125" s="50">
        <f>SUM(D125:L125)</f>
        <v>-2923.96</v>
      </c>
      <c r="D125" s="161"/>
      <c r="E125" s="161"/>
      <c r="F125" s="161">
        <f>ROUND(((C118)+(C120)/2)*(M125/12),2)</f>
        <v>-2923.96</v>
      </c>
      <c r="G125" s="161"/>
      <c r="H125" s="161"/>
      <c r="I125" s="161"/>
      <c r="J125" s="161"/>
      <c r="K125" s="161"/>
      <c r="L125" s="245"/>
      <c r="M125" s="237">
        <v>3.2500000000000001E-2</v>
      </c>
      <c r="N125" s="50"/>
      <c r="O125" s="343" t="s">
        <v>83</v>
      </c>
      <c r="P125" s="341" t="s">
        <v>76</v>
      </c>
      <c r="Q125" s="116">
        <f>IF(-C125&gt;0,-C125,0)</f>
        <v>2923.96</v>
      </c>
      <c r="R125" s="116">
        <f>IF(C125&gt;0,0,0)</f>
        <v>0</v>
      </c>
    </row>
    <row r="126" spans="1:18" s="384" customFormat="1" ht="16.5" thickBot="1">
      <c r="A126" s="103">
        <f>A120</f>
        <v>41639</v>
      </c>
      <c r="B126" s="50" t="s">
        <v>56</v>
      </c>
      <c r="C126" s="158">
        <f>SUM(C120:C125,C118)</f>
        <v>-2128655.0113049895</v>
      </c>
      <c r="D126" s="158">
        <f>SUM(D120:D125,D118)</f>
        <v>-3788891.9303229945</v>
      </c>
      <c r="E126" s="158">
        <f>SUM(E120:E125,E118)</f>
        <v>1637818.3490180024</v>
      </c>
      <c r="F126" s="158">
        <f>SUM(F120:F125,F118)</f>
        <v>22418.57</v>
      </c>
      <c r="G126" s="158">
        <f t="shared" ref="G126:K126" si="12">SUM(G112:G125)</f>
        <v>0</v>
      </c>
      <c r="H126" s="158">
        <f t="shared" si="12"/>
        <v>0</v>
      </c>
      <c r="I126" s="158">
        <f t="shared" si="12"/>
        <v>0</v>
      </c>
      <c r="J126" s="158">
        <f t="shared" si="12"/>
        <v>0</v>
      </c>
      <c r="K126" s="158">
        <f t="shared" si="12"/>
        <v>0</v>
      </c>
      <c r="L126" s="158">
        <f>SUM(L120:L125,L118)</f>
        <v>0</v>
      </c>
      <c r="M126" s="57"/>
      <c r="N126" s="385"/>
      <c r="O126" s="385"/>
      <c r="P126" s="385"/>
      <c r="Q126" s="66"/>
      <c r="R126" s="338">
        <f>ROUND(SUM(Q121:R125),2)</f>
        <v>0</v>
      </c>
    </row>
    <row r="127" spans="1:18" ht="17.25" thickTop="1" thickBot="1">
      <c r="A127" s="144"/>
      <c r="B127" s="9" t="s">
        <v>247</v>
      </c>
      <c r="C127" s="1">
        <f>SUM(D127:L127)</f>
        <v>-1156793.8500000001</v>
      </c>
      <c r="D127" s="384"/>
      <c r="E127" s="384">
        <v>-1111877.48</v>
      </c>
      <c r="F127" s="384">
        <v>-44916.37</v>
      </c>
      <c r="G127" s="161"/>
      <c r="H127" s="161"/>
      <c r="I127" s="161"/>
      <c r="J127" s="388"/>
      <c r="K127" s="161"/>
      <c r="L127" s="161"/>
    </row>
    <row r="128" spans="1:18" ht="16.5" thickBot="1">
      <c r="B128" s="9" t="s">
        <v>241</v>
      </c>
      <c r="C128" s="474">
        <f>SUM(C126:C127)</f>
        <v>-3285448.8613049896</v>
      </c>
      <c r="D128" s="474">
        <f>SUM(D126:D127)</f>
        <v>-3788891.9303229945</v>
      </c>
      <c r="E128" s="474">
        <f>SUM(E126:E127)</f>
        <v>525940.86901800241</v>
      </c>
      <c r="F128" s="474">
        <f>SUM(F126:F127)</f>
        <v>-22497.800000000003</v>
      </c>
      <c r="G128" s="474"/>
      <c r="H128" s="474"/>
      <c r="I128" s="474"/>
      <c r="J128" s="474"/>
      <c r="K128" s="474"/>
      <c r="L128" s="474">
        <f>SUM(L126:L127)</f>
        <v>0</v>
      </c>
      <c r="O128" s="336" t="s">
        <v>236</v>
      </c>
      <c r="P128" s="93"/>
      <c r="Q128" s="93"/>
      <c r="R128" s="94"/>
    </row>
    <row r="129" spans="2:18" ht="15.75">
      <c r="B129" s="9" t="s">
        <v>242</v>
      </c>
      <c r="C129" s="1" t="e">
        <f>_xll.Get_Balance("201312","YTD","USD","Total","A","","001","191010","GD","WA","DL")</f>
        <v>#VALUE!</v>
      </c>
      <c r="D129" s="384"/>
      <c r="E129" s="384"/>
      <c r="F129" s="384"/>
      <c r="G129" s="384"/>
      <c r="H129" s="384"/>
      <c r="I129" s="384"/>
      <c r="J129" s="384"/>
      <c r="K129" s="384"/>
      <c r="L129" s="384"/>
      <c r="O129" s="347" t="s">
        <v>232</v>
      </c>
      <c r="P129" s="339" t="s">
        <v>27</v>
      </c>
      <c r="Q129" s="335">
        <v>0</v>
      </c>
      <c r="R129" s="337">
        <v>0</v>
      </c>
    </row>
    <row r="130" spans="2:18" ht="16.5" thickBot="1">
      <c r="B130" s="9" t="s">
        <v>243</v>
      </c>
      <c r="C130" s="158" t="e">
        <f>C128-C129</f>
        <v>#VALUE!</v>
      </c>
      <c r="D130" s="384"/>
      <c r="E130" s="384"/>
      <c r="F130" s="384"/>
      <c r="G130" s="384"/>
      <c r="H130" s="384"/>
      <c r="I130" s="384"/>
      <c r="J130" s="384"/>
      <c r="K130" s="384"/>
      <c r="L130" s="384"/>
      <c r="O130" s="334" t="s">
        <v>79</v>
      </c>
      <c r="P130" s="339" t="s">
        <v>17</v>
      </c>
      <c r="Q130" s="335">
        <f>IF((-C123+C134)&gt;0,(-C123+C134),0)</f>
        <v>0</v>
      </c>
      <c r="R130" s="337">
        <v>-4133742.32</v>
      </c>
    </row>
    <row r="131" spans="2:18" ht="15.75" thickTop="1">
      <c r="D131" s="384"/>
      <c r="E131" s="384"/>
      <c r="F131" s="384"/>
      <c r="G131" s="384"/>
      <c r="H131" s="384"/>
      <c r="I131" s="384"/>
      <c r="J131" s="384"/>
      <c r="K131" s="384"/>
      <c r="L131" s="384"/>
      <c r="O131" s="340" t="s">
        <v>80</v>
      </c>
      <c r="P131" s="339" t="s">
        <v>20</v>
      </c>
      <c r="Q131" s="112">
        <v>4128061.51</v>
      </c>
      <c r="R131" s="337" t="e">
        <f>IF((C128+C129)&gt;0,(-C128-C129),0)</f>
        <v>#VALUE!</v>
      </c>
    </row>
    <row r="132" spans="2:18">
      <c r="D132" s="384"/>
      <c r="E132" s="384"/>
      <c r="F132" s="384"/>
      <c r="G132" s="384"/>
      <c r="H132" s="384"/>
      <c r="I132" s="384"/>
      <c r="J132" s="384"/>
      <c r="K132" s="384"/>
      <c r="L132" s="384"/>
      <c r="O132" s="342" t="s">
        <v>82</v>
      </c>
      <c r="P132" s="339" t="s">
        <v>75</v>
      </c>
      <c r="Q132" s="344">
        <v>0</v>
      </c>
      <c r="R132" s="337">
        <f>IF(C133&gt;0,-C133,0)</f>
        <v>0</v>
      </c>
    </row>
    <row r="133" spans="2:18" ht="15.75" thickBot="1">
      <c r="O133" s="343" t="s">
        <v>83</v>
      </c>
      <c r="P133" s="341" t="s">
        <v>76</v>
      </c>
      <c r="Q133" s="116">
        <v>5680.81</v>
      </c>
      <c r="R133" s="116">
        <f>IF(C133&gt;0,0,0)</f>
        <v>0</v>
      </c>
    </row>
    <row r="134" spans="2:18">
      <c r="B134" s="384"/>
      <c r="C134" s="384"/>
      <c r="D134" s="384"/>
      <c r="E134" s="384"/>
      <c r="F134" s="384"/>
      <c r="G134" s="384"/>
      <c r="H134" s="384"/>
      <c r="I134" s="384"/>
      <c r="J134" s="384"/>
      <c r="K134" s="384"/>
      <c r="L134" s="384"/>
      <c r="O134" s="385"/>
      <c r="P134" s="385"/>
      <c r="Q134" s="66"/>
      <c r="R134" s="338" t="e">
        <f>ROUND(SUM(Q129:R133),2)</f>
        <v>#VALUE!</v>
      </c>
    </row>
    <row r="135" spans="2:18" ht="15.75" thickBot="1">
      <c r="B135" s="384"/>
      <c r="C135" s="384"/>
      <c r="D135" s="384"/>
      <c r="E135" s="384"/>
      <c r="F135" s="384"/>
      <c r="G135" s="384"/>
      <c r="H135" s="384"/>
      <c r="I135" s="384"/>
      <c r="J135" s="384"/>
      <c r="K135" s="384"/>
      <c r="L135" s="384"/>
    </row>
    <row r="136" spans="2:18" ht="15.75" thickBot="1">
      <c r="O136" s="336" t="s">
        <v>237</v>
      </c>
      <c r="P136" s="93"/>
      <c r="Q136" s="93"/>
      <c r="R136" s="94"/>
    </row>
    <row r="137" spans="2:18">
      <c r="O137" s="347" t="s">
        <v>232</v>
      </c>
      <c r="P137" s="339" t="s">
        <v>27</v>
      </c>
      <c r="Q137" s="335">
        <v>0</v>
      </c>
      <c r="R137" s="337">
        <v>0</v>
      </c>
    </row>
    <row r="138" spans="2:18">
      <c r="O138" s="334" t="s">
        <v>79</v>
      </c>
      <c r="P138" s="339" t="s">
        <v>17</v>
      </c>
      <c r="Q138" s="335">
        <f>R122-R130</f>
        <v>2038586.0408249977</v>
      </c>
      <c r="R138" s="337">
        <v>0</v>
      </c>
    </row>
    <row r="139" spans="2:18">
      <c r="O139" s="340" t="s">
        <v>80</v>
      </c>
      <c r="P139" s="339" t="s">
        <v>20</v>
      </c>
      <c r="Q139" s="112">
        <v>0</v>
      </c>
      <c r="R139" s="337">
        <f>Q123-Q131</f>
        <v>-2035829.1908249976</v>
      </c>
    </row>
    <row r="140" spans="2:18">
      <c r="O140" s="342" t="s">
        <v>82</v>
      </c>
      <c r="P140" s="339" t="s">
        <v>75</v>
      </c>
      <c r="Q140" s="344">
        <v>0</v>
      </c>
      <c r="R140" s="337">
        <f>IF(C141&gt;0,-C141,0)</f>
        <v>0</v>
      </c>
    </row>
    <row r="141" spans="2:18" ht="15.75" thickBot="1">
      <c r="O141" s="343" t="s">
        <v>83</v>
      </c>
      <c r="P141" s="341" t="s">
        <v>76</v>
      </c>
      <c r="Q141" s="116">
        <f>IF(-C141&gt;0,-C141,0)</f>
        <v>0</v>
      </c>
      <c r="R141" s="116">
        <f>Q125-Q133</f>
        <v>-2756.8500000000004</v>
      </c>
    </row>
    <row r="142" spans="2:18">
      <c r="O142" s="385"/>
      <c r="P142" s="385"/>
      <c r="Q142" s="66"/>
      <c r="R142" s="338">
        <f>ROUND(SUM(Q137:R141),2)</f>
        <v>0</v>
      </c>
    </row>
    <row r="1002" spans="3:3">
      <c r="C1002" s="1">
        <v>-2130</v>
      </c>
    </row>
    <row r="1010" spans="3:3">
      <c r="C1010" s="1">
        <f>7004298-2130</f>
        <v>7002168</v>
      </c>
    </row>
  </sheetData>
  <phoneticPr fontId="0" type="noConversion"/>
  <conditionalFormatting sqref="R19 R27 R43 R35 R51 R59 R67 R75 R83 R91 R99 R107 R118 R126">
    <cfRule type="cellIs" dxfId="115" priority="183" stopIfTrue="1" operator="equal">
      <formula>0</formula>
    </cfRule>
    <cfRule type="cellIs" dxfId="114" priority="184" stopIfTrue="1" operator="notEqual">
      <formula>0</formula>
    </cfRule>
  </conditionalFormatting>
  <conditionalFormatting sqref="R134">
    <cfRule type="cellIs" dxfId="113" priority="3" stopIfTrue="1" operator="equal">
      <formula>0</formula>
    </cfRule>
    <cfRule type="cellIs" dxfId="112" priority="4" stopIfTrue="1" operator="notEqual">
      <formula>0</formula>
    </cfRule>
  </conditionalFormatting>
  <conditionalFormatting sqref="R142">
    <cfRule type="cellIs" dxfId="111" priority="1" stopIfTrue="1" operator="equal">
      <formula>0</formula>
    </cfRule>
    <cfRule type="cellIs" dxfId="110" priority="2" stopIfTrue="1" operator="notEqual">
      <formula>0</formula>
    </cfRule>
  </conditionalFormatting>
  <printOptions gridLinesSet="0"/>
  <pageMargins left="0.18" right="0.18" top="0.5" bottom="0.55000000000000004" header="0.5" footer="0.5"/>
  <pageSetup scale="23" orientation="landscape" horizontalDpi="300" verticalDpi="300" r:id="rId1"/>
  <headerFooter alignWithMargins="0">
    <oddFooter>&amp;L&amp;F&amp;C&amp;A&amp;R&amp;D &amp;T</oddFooter>
  </headerFooter>
  <customProperties>
    <customPr name="xxe4aPID" r:id="rId2"/>
  </customPropertie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>
    <tabColor rgb="FFFFFF00"/>
    <pageSetUpPr fitToPage="1"/>
  </sheetPr>
  <dimension ref="A1:U1066"/>
  <sheetViews>
    <sheetView showGridLines="0" view="pageBreakPreview" zoomScaleNormal="100" zoomScaleSheetLayoutView="100" workbookViewId="0">
      <pane ySplit="7" topLeftCell="A126" activePane="bottomLeft" state="frozen"/>
      <selection activeCell="G51" sqref="G51:J55"/>
      <selection pane="bottomLeft" activeCell="A51" sqref="A51"/>
    </sheetView>
  </sheetViews>
  <sheetFormatPr defaultColWidth="9.7109375" defaultRowHeight="15"/>
  <cols>
    <col min="1" max="1" width="11.42578125" style="53" customWidth="1"/>
    <col min="2" max="2" width="40.140625" style="1" bestFit="1" customWidth="1"/>
    <col min="3" max="3" width="18.42578125" style="1" customWidth="1"/>
    <col min="4" max="4" width="19.140625" style="1" bestFit="1" customWidth="1"/>
    <col min="5" max="5" width="19.42578125" style="1" bestFit="1" customWidth="1"/>
    <col min="6" max="7" width="13.140625" style="1" customWidth="1"/>
    <col min="8" max="8" width="16.7109375" style="1" bestFit="1" customWidth="1"/>
    <col min="9" max="9" width="14.42578125" style="1" hidden="1" customWidth="1"/>
    <col min="10" max="10" width="13.28515625" style="1" hidden="1" customWidth="1"/>
    <col min="11" max="11" width="15.140625" style="1" hidden="1" customWidth="1"/>
    <col min="12" max="12" width="18.140625" style="1" hidden="1" customWidth="1"/>
    <col min="13" max="13" width="15.7109375" style="1" bestFit="1" customWidth="1"/>
    <col min="14" max="14" width="12.5703125" style="1" customWidth="1"/>
    <col min="15" max="15" width="11.28515625" style="1" customWidth="1"/>
    <col min="16" max="16" width="2.28515625" style="1" customWidth="1"/>
    <col min="17" max="17" width="26.85546875" style="1" customWidth="1"/>
    <col min="18" max="18" width="16.42578125" style="1" customWidth="1"/>
    <col min="19" max="19" width="17" style="1" customWidth="1"/>
    <col min="20" max="20" width="22.5703125" style="1" customWidth="1"/>
    <col min="21" max="16384" width="9.7109375" style="1"/>
  </cols>
  <sheetData>
    <row r="1" spans="1:21" ht="15.75">
      <c r="A1" s="51" t="s">
        <v>13</v>
      </c>
      <c r="M1" s="41"/>
    </row>
    <row r="2" spans="1:21" ht="15.75">
      <c r="A2" s="51" t="s">
        <v>46</v>
      </c>
    </row>
    <row r="3" spans="1:21" ht="15.75">
      <c r="A3" s="51" t="s">
        <v>47</v>
      </c>
    </row>
    <row r="4" spans="1:21" ht="15.75">
      <c r="A4" s="51" t="s">
        <v>104</v>
      </c>
    </row>
    <row r="5" spans="1:21">
      <c r="Q5" s="265"/>
      <c r="R5" s="5"/>
      <c r="S5" s="5"/>
      <c r="T5" s="5"/>
    </row>
    <row r="6" spans="1:21" s="55" customFormat="1" ht="15.75" customHeight="1">
      <c r="A6" s="54"/>
      <c r="C6" s="55" t="s">
        <v>21</v>
      </c>
      <c r="D6" s="55" t="s">
        <v>2</v>
      </c>
      <c r="E6" s="55" t="s">
        <v>3</v>
      </c>
      <c r="F6" s="55" t="s">
        <v>48</v>
      </c>
      <c r="G6" s="55" t="s">
        <v>144</v>
      </c>
      <c r="H6" s="55" t="s">
        <v>4</v>
      </c>
      <c r="I6" s="55" t="s">
        <v>5</v>
      </c>
      <c r="J6" s="55" t="s">
        <v>50</v>
      </c>
      <c r="K6" s="55" t="s">
        <v>51</v>
      </c>
      <c r="L6" s="55" t="s">
        <v>6</v>
      </c>
      <c r="M6" s="55" t="s">
        <v>52</v>
      </c>
      <c r="N6" s="55" t="s">
        <v>14</v>
      </c>
      <c r="O6" s="55" t="s">
        <v>85</v>
      </c>
    </row>
    <row r="7" spans="1:21" s="55" customFormat="1" ht="15.75" customHeight="1">
      <c r="A7" s="54"/>
      <c r="C7" s="55" t="s">
        <v>16</v>
      </c>
      <c r="D7" s="55" t="s">
        <v>7</v>
      </c>
      <c r="E7" s="55" t="s">
        <v>7</v>
      </c>
      <c r="F7" s="55" t="s">
        <v>7</v>
      </c>
      <c r="G7" s="55" t="s">
        <v>34</v>
      </c>
      <c r="I7" s="55" t="s">
        <v>8</v>
      </c>
      <c r="J7" s="55" t="s">
        <v>53</v>
      </c>
      <c r="K7" s="55" t="s">
        <v>54</v>
      </c>
      <c r="L7" s="55" t="s">
        <v>55</v>
      </c>
      <c r="M7" s="55" t="s">
        <v>7</v>
      </c>
      <c r="N7" s="55" t="s">
        <v>9</v>
      </c>
    </row>
    <row r="8" spans="1:21" s="331" customFormat="1" ht="16.5" thickBot="1">
      <c r="A8" s="104">
        <v>41153</v>
      </c>
      <c r="B8" s="50" t="s">
        <v>56</v>
      </c>
      <c r="C8" s="158">
        <v>-3561203.4705467741</v>
      </c>
      <c r="D8" s="158">
        <v>-3313366.0104997735</v>
      </c>
      <c r="E8" s="158">
        <v>-222352.0300469994</v>
      </c>
      <c r="F8" s="158">
        <v>0</v>
      </c>
      <c r="G8" s="158">
        <v>0</v>
      </c>
      <c r="H8" s="158">
        <v>-25485.43</v>
      </c>
      <c r="I8" s="158">
        <v>0</v>
      </c>
      <c r="J8" s="158">
        <v>0</v>
      </c>
      <c r="K8" s="158">
        <v>0</v>
      </c>
      <c r="L8" s="158">
        <v>0</v>
      </c>
      <c r="M8" s="158">
        <v>0</v>
      </c>
      <c r="N8" s="158">
        <v>0</v>
      </c>
      <c r="O8" s="50"/>
      <c r="P8" s="50"/>
      <c r="Q8" s="384"/>
      <c r="R8" s="384"/>
      <c r="S8" s="384"/>
      <c r="T8" s="384"/>
      <c r="U8" s="384"/>
    </row>
    <row r="9" spans="1:21" ht="15.75" thickTop="1">
      <c r="S9" s="384"/>
      <c r="T9" s="384"/>
      <c r="U9" s="384"/>
    </row>
    <row r="10" spans="1:21" s="202" customFormat="1" ht="15.75">
      <c r="A10" s="256"/>
      <c r="B10" s="161" t="s">
        <v>205</v>
      </c>
      <c r="C10" s="221">
        <v>1550000</v>
      </c>
      <c r="D10" s="221">
        <f>887740.8-((887740.8/1550000)*H10)</f>
        <v>883736.20005990437</v>
      </c>
      <c r="E10" s="221">
        <f>662259.2-((662259.2/1550000)*H10)</f>
        <v>659271.7478600872</v>
      </c>
      <c r="F10" s="221"/>
      <c r="G10" s="221"/>
      <c r="H10" s="221">
        <f>16564.81*(C10/(C10+C11))</f>
        <v>6992.0520800084523</v>
      </c>
      <c r="I10" s="221"/>
      <c r="J10" s="221"/>
      <c r="K10" s="221"/>
      <c r="L10" s="221"/>
      <c r="M10" s="221"/>
      <c r="N10" s="221"/>
      <c r="T10" s="257"/>
    </row>
    <row r="11" spans="1:21" s="202" customFormat="1" ht="15.75">
      <c r="A11" s="256"/>
      <c r="B11" s="161" t="s">
        <v>206</v>
      </c>
      <c r="C11" s="221">
        <v>2122091.5699999998</v>
      </c>
      <c r="D11" s="221">
        <f>1215398.23-((1215398.23/2122091.57)*H11)</f>
        <v>1209915.5669534774</v>
      </c>
      <c r="E11" s="221">
        <f>906693.34-((906693.34/2122091.57)*H11)</f>
        <v>902603.24512653111</v>
      </c>
      <c r="F11" s="221"/>
      <c r="G11" s="221"/>
      <c r="H11" s="388">
        <f>16564.81*(C11/(C10+C11))</f>
        <v>9572.757919991549</v>
      </c>
      <c r="I11" s="221"/>
      <c r="J11" s="221"/>
      <c r="K11" s="221"/>
      <c r="L11" s="221"/>
      <c r="M11" s="221"/>
      <c r="N11" s="221"/>
      <c r="T11" s="257"/>
    </row>
    <row r="12" spans="1:21" s="202" customFormat="1" ht="16.5" thickBot="1">
      <c r="A12" s="256"/>
      <c r="B12" s="161" t="s">
        <v>204</v>
      </c>
      <c r="C12" s="390">
        <f t="shared" ref="C12:H12" si="0">SUM(C8:C11)</f>
        <v>110888.09945322573</v>
      </c>
      <c r="D12" s="258">
        <f t="shared" si="0"/>
        <v>-1219714.2434863918</v>
      </c>
      <c r="E12" s="390">
        <f t="shared" si="0"/>
        <v>1339522.9629396189</v>
      </c>
      <c r="F12" s="390">
        <f t="shared" si="0"/>
        <v>0</v>
      </c>
      <c r="G12" s="390">
        <f t="shared" si="0"/>
        <v>0</v>
      </c>
      <c r="H12" s="390">
        <f t="shared" si="0"/>
        <v>-8920.619999999999</v>
      </c>
      <c r="I12" s="258">
        <v>0</v>
      </c>
      <c r="J12" s="258">
        <v>0</v>
      </c>
      <c r="K12" s="258">
        <v>0</v>
      </c>
      <c r="L12" s="258">
        <v>0</v>
      </c>
      <c r="M12" s="390">
        <f>SUM(M8:M11)</f>
        <v>0</v>
      </c>
      <c r="N12" s="390">
        <f>SUM(N8:N11)</f>
        <v>0</v>
      </c>
      <c r="T12" s="257"/>
    </row>
    <row r="13" spans="1:21" s="331" customFormat="1" ht="15.75" thickTop="1">
      <c r="A13" s="53"/>
      <c r="T13" s="384"/>
    </row>
    <row r="14" spans="1:21" s="331" customFormat="1" ht="15.75" thickBot="1">
      <c r="A14" s="53"/>
      <c r="T14" s="384"/>
    </row>
    <row r="15" spans="1:21" s="331" customFormat="1" ht="16.5" thickBot="1">
      <c r="A15" s="58"/>
      <c r="Q15" s="336" t="s">
        <v>107</v>
      </c>
      <c r="R15" s="332"/>
      <c r="S15" s="332"/>
      <c r="T15" s="228"/>
    </row>
    <row r="16" spans="1:21" s="331" customFormat="1" ht="15.75">
      <c r="A16" s="58">
        <v>41213</v>
      </c>
      <c r="B16" s="59" t="s">
        <v>84</v>
      </c>
      <c r="C16" s="50">
        <f>SUM(D16:N16)</f>
        <v>114978.85263290035</v>
      </c>
      <c r="D16" s="241">
        <v>-28954.004801100353</v>
      </c>
      <c r="E16" s="241">
        <v>143932.8574340007</v>
      </c>
      <c r="F16" s="242">
        <v>0</v>
      </c>
      <c r="G16" s="242">
        <v>0</v>
      </c>
      <c r="H16" s="50">
        <v>0</v>
      </c>
      <c r="I16" s="50"/>
      <c r="J16" s="50"/>
      <c r="K16" s="50"/>
      <c r="L16" s="50"/>
      <c r="M16" s="50"/>
      <c r="N16" s="50">
        <v>0</v>
      </c>
      <c r="O16" s="106"/>
      <c r="P16" s="50"/>
      <c r="Q16" s="345" t="s">
        <v>81</v>
      </c>
      <c r="R16" s="346" t="s">
        <v>58</v>
      </c>
      <c r="S16" s="112">
        <f>C10+C11+C16+C19+C17</f>
        <v>3781223.9826329001</v>
      </c>
      <c r="T16" s="117">
        <f>IF((-C12+C20)&lt;0,(-C8+C20),0)</f>
        <v>0</v>
      </c>
    </row>
    <row r="17" spans="1:20" s="331" customFormat="1" ht="15.75">
      <c r="A17" s="62"/>
      <c r="B17" s="59" t="s">
        <v>148</v>
      </c>
      <c r="C17" s="50">
        <f>SUM(D17:N17)</f>
        <v>-5986.75</v>
      </c>
      <c r="D17" s="242">
        <v>-5986.75</v>
      </c>
      <c r="E17" s="242">
        <v>0</v>
      </c>
      <c r="F17" s="242"/>
      <c r="G17" s="243"/>
      <c r="H17" s="60"/>
      <c r="I17" s="50"/>
      <c r="J17" s="87"/>
      <c r="K17" s="87"/>
      <c r="L17" s="50"/>
      <c r="M17" s="50"/>
      <c r="N17" s="50"/>
      <c r="O17" s="106"/>
      <c r="P17" s="50"/>
      <c r="Q17" s="347" t="s">
        <v>11</v>
      </c>
      <c r="R17" s="348" t="s">
        <v>62</v>
      </c>
      <c r="S17" s="112">
        <v>0</v>
      </c>
      <c r="T17" s="227">
        <f>-C11</f>
        <v>-2122091.5699999998</v>
      </c>
    </row>
    <row r="18" spans="1:20" s="331" customFormat="1" ht="15.75">
      <c r="A18" s="62"/>
      <c r="B18" s="59" t="s">
        <v>144</v>
      </c>
      <c r="C18" s="50">
        <f>SUM(D18:N18)</f>
        <v>0</v>
      </c>
      <c r="D18" s="161">
        <v>0</v>
      </c>
      <c r="E18" s="161"/>
      <c r="F18" s="161"/>
      <c r="G18" s="242">
        <v>0</v>
      </c>
      <c r="H18" s="105"/>
      <c r="I18" s="50"/>
      <c r="J18" s="87"/>
      <c r="K18" s="50"/>
      <c r="L18" s="50"/>
      <c r="M18" s="50"/>
      <c r="N18" s="50"/>
      <c r="O18" s="106"/>
      <c r="P18" s="50"/>
      <c r="Q18" s="347" t="s">
        <v>11</v>
      </c>
      <c r="R18" s="348" t="s">
        <v>207</v>
      </c>
      <c r="S18" s="112">
        <v>0</v>
      </c>
      <c r="T18" s="227">
        <f>-C10</f>
        <v>-1550000</v>
      </c>
    </row>
    <row r="19" spans="1:20" s="331" customFormat="1" ht="15.75">
      <c r="A19" s="62"/>
      <c r="B19" s="59" t="s">
        <v>57</v>
      </c>
      <c r="C19" s="64">
        <f>SUM(D19:N19)</f>
        <v>140.31</v>
      </c>
      <c r="D19" s="64"/>
      <c r="E19" s="64"/>
      <c r="F19" s="64"/>
      <c r="G19" s="64"/>
      <c r="H19" s="64">
        <v>140.31</v>
      </c>
      <c r="I19" s="64"/>
      <c r="J19" s="64"/>
      <c r="K19" s="64"/>
      <c r="L19" s="64"/>
      <c r="M19" s="64"/>
      <c r="N19" s="64"/>
      <c r="O19" s="99">
        <v>0.01</v>
      </c>
      <c r="P19" s="50"/>
      <c r="Q19" s="340" t="s">
        <v>80</v>
      </c>
      <c r="R19" s="339" t="s">
        <v>59</v>
      </c>
      <c r="S19" s="88">
        <f>IF((-C16-C17-C18)&gt;0,(-C16-C17-C18),0)</f>
        <v>0</v>
      </c>
      <c r="T19" s="89">
        <f>IF((-C16-C17-C18)&lt;0,(-C16-C17-C18),0)</f>
        <v>-108992.10263290035</v>
      </c>
    </row>
    <row r="20" spans="1:20" s="331" customFormat="1" ht="16.5" thickBot="1">
      <c r="A20" s="104">
        <f>A16</f>
        <v>41213</v>
      </c>
      <c r="B20" s="50" t="s">
        <v>56</v>
      </c>
      <c r="C20" s="158">
        <f>SUM(C12:C19)</f>
        <v>220020.51208612608</v>
      </c>
      <c r="D20" s="158">
        <f>SUM(D12:D19)</f>
        <v>-1254654.9982874922</v>
      </c>
      <c r="E20" s="158">
        <f>SUM(E12:E19)</f>
        <v>1483455.8203736194</v>
      </c>
      <c r="F20" s="158">
        <f t="shared" ref="F20:G20" si="1">SUM(F12:F19)</f>
        <v>0</v>
      </c>
      <c r="G20" s="158">
        <f t="shared" si="1"/>
        <v>0</v>
      </c>
      <c r="H20" s="158">
        <f>SUM(H12:H19)</f>
        <v>-8780.31</v>
      </c>
      <c r="I20" s="158">
        <f>SUM(I8:I19)</f>
        <v>0</v>
      </c>
      <c r="J20" s="158">
        <f>SUM(J8:J19)</f>
        <v>0</v>
      </c>
      <c r="K20" s="158">
        <f>SUM(K8:K19)</f>
        <v>0</v>
      </c>
      <c r="L20" s="158">
        <f>SUM(L8:L19)</f>
        <v>0</v>
      </c>
      <c r="M20" s="158">
        <f>SUM(M12:M19)</f>
        <v>0</v>
      </c>
      <c r="N20" s="158">
        <f>SUM(N12:N19)</f>
        <v>0</v>
      </c>
      <c r="O20" s="50"/>
      <c r="P20" s="50"/>
      <c r="Q20" s="342" t="s">
        <v>154</v>
      </c>
      <c r="R20" s="339" t="s">
        <v>77</v>
      </c>
      <c r="S20" s="88">
        <f>IF(C19&lt;0,C19,0)</f>
        <v>0</v>
      </c>
      <c r="T20" s="89">
        <f>IF(-C19&lt;0,-C19,0)</f>
        <v>-140.31</v>
      </c>
    </row>
    <row r="21" spans="1:20" s="331" customFormat="1" ht="16.5" thickTop="1" thickBot="1">
      <c r="A21" s="53"/>
      <c r="Q21" s="343" t="s">
        <v>83</v>
      </c>
      <c r="R21" s="341" t="s">
        <v>78</v>
      </c>
      <c r="S21" s="118">
        <f>IF(-C19&gt;0,-C19,0)</f>
        <v>0</v>
      </c>
      <c r="T21" s="111"/>
    </row>
    <row r="22" spans="1:20">
      <c r="Q22" s="331"/>
      <c r="R22" s="331"/>
      <c r="S22" s="331"/>
      <c r="T22" s="338">
        <f>ROUND(SUM(S16:T21),2)</f>
        <v>0</v>
      </c>
    </row>
    <row r="23" spans="1:20" ht="15.75" thickBot="1"/>
    <row r="24" spans="1:20" s="384" customFormat="1" ht="16.5" thickBot="1">
      <c r="A24" s="58"/>
      <c r="Q24" s="336" t="s">
        <v>216</v>
      </c>
      <c r="R24" s="332"/>
      <c r="S24" s="332"/>
      <c r="T24" s="228"/>
    </row>
    <row r="25" spans="1:20" s="384" customFormat="1" ht="15.75">
      <c r="A25" s="58">
        <v>41243</v>
      </c>
      <c r="B25" s="59" t="s">
        <v>84</v>
      </c>
      <c r="C25" s="50">
        <f>SUM(D25:N25)</f>
        <v>873005.70846981579</v>
      </c>
      <c r="D25" s="241">
        <v>893965.62064781552</v>
      </c>
      <c r="E25" s="241">
        <v>-20959.912177999737</v>
      </c>
      <c r="F25" s="242">
        <v>0</v>
      </c>
      <c r="G25" s="242">
        <v>0</v>
      </c>
      <c r="H25" s="50">
        <v>0</v>
      </c>
      <c r="I25" s="50"/>
      <c r="J25" s="50"/>
      <c r="K25" s="50"/>
      <c r="L25" s="50"/>
      <c r="M25" s="50"/>
      <c r="N25" s="50">
        <v>0</v>
      </c>
      <c r="O25" s="106"/>
      <c r="P25" s="50"/>
      <c r="Q25" s="345" t="s">
        <v>81</v>
      </c>
      <c r="R25" s="346" t="s">
        <v>58</v>
      </c>
      <c r="S25" s="112">
        <v>873552.80846981588</v>
      </c>
      <c r="T25" s="117">
        <v>0</v>
      </c>
    </row>
    <row r="26" spans="1:20" s="384" customFormat="1" ht="15.75">
      <c r="A26" s="62"/>
      <c r="B26" s="59" t="s">
        <v>148</v>
      </c>
      <c r="C26" s="50">
        <v>0</v>
      </c>
      <c r="D26" s="242">
        <v>0</v>
      </c>
      <c r="E26" s="242">
        <v>0</v>
      </c>
      <c r="F26" s="242"/>
      <c r="G26" s="243"/>
      <c r="H26" s="60"/>
      <c r="I26" s="50"/>
      <c r="J26" s="87"/>
      <c r="K26" s="87"/>
      <c r="L26" s="50"/>
      <c r="M26" s="50"/>
      <c r="N26" s="50"/>
      <c r="O26" s="106"/>
      <c r="P26" s="50"/>
      <c r="Q26" s="347" t="s">
        <v>11</v>
      </c>
      <c r="R26" s="348" t="s">
        <v>62</v>
      </c>
      <c r="S26" s="112">
        <v>0</v>
      </c>
      <c r="T26" s="227">
        <v>0</v>
      </c>
    </row>
    <row r="27" spans="1:20" s="384" customFormat="1" ht="15.75">
      <c r="A27" s="62"/>
      <c r="B27" s="59" t="s">
        <v>144</v>
      </c>
      <c r="C27" s="50">
        <f>SUM(D27:N27)</f>
        <v>0</v>
      </c>
      <c r="D27" s="161">
        <v>0</v>
      </c>
      <c r="E27" s="161"/>
      <c r="F27" s="161"/>
      <c r="G27" s="242">
        <v>0</v>
      </c>
      <c r="H27" s="105"/>
      <c r="I27" s="50"/>
      <c r="J27" s="87"/>
      <c r="K27" s="50"/>
      <c r="L27" s="50"/>
      <c r="M27" s="50"/>
      <c r="N27" s="50"/>
      <c r="O27" s="106"/>
      <c r="P27" s="50"/>
      <c r="Q27" s="347" t="s">
        <v>11</v>
      </c>
      <c r="R27" s="348" t="s">
        <v>207</v>
      </c>
      <c r="S27" s="112">
        <v>0</v>
      </c>
      <c r="T27" s="227">
        <v>0</v>
      </c>
    </row>
    <row r="28" spans="1:20" s="384" customFormat="1" ht="15.75">
      <c r="A28" s="62"/>
      <c r="B28" s="59" t="s">
        <v>57</v>
      </c>
      <c r="C28" s="64">
        <f>SUM(D28:N28)</f>
        <v>547.1</v>
      </c>
      <c r="D28" s="64"/>
      <c r="E28" s="64"/>
      <c r="F28" s="64"/>
      <c r="G28" s="64"/>
      <c r="H28" s="64">
        <v>547.1</v>
      </c>
      <c r="I28" s="64"/>
      <c r="J28" s="64"/>
      <c r="K28" s="64"/>
      <c r="L28" s="64"/>
      <c r="M28" s="64"/>
      <c r="N28" s="64"/>
      <c r="O28" s="99">
        <v>0.01</v>
      </c>
      <c r="P28" s="50"/>
      <c r="Q28" s="340" t="s">
        <v>80</v>
      </c>
      <c r="R28" s="339" t="s">
        <v>59</v>
      </c>
      <c r="S28" s="88">
        <v>0</v>
      </c>
      <c r="T28" s="89">
        <v>-873005.70846981579</v>
      </c>
    </row>
    <row r="29" spans="1:20" s="384" customFormat="1" ht="16.5" thickBot="1">
      <c r="A29" s="104">
        <f>A25</f>
        <v>41243</v>
      </c>
      <c r="B29" s="50" t="s">
        <v>56</v>
      </c>
      <c r="C29" s="158">
        <f t="shared" ref="C29:H29" si="2">SUM(C20:C28)</f>
        <v>1093573.3205559419</v>
      </c>
      <c r="D29" s="158">
        <f t="shared" si="2"/>
        <v>-360689.37763967668</v>
      </c>
      <c r="E29" s="158">
        <f t="shared" si="2"/>
        <v>1462495.9081956197</v>
      </c>
      <c r="F29" s="158">
        <f t="shared" si="2"/>
        <v>0</v>
      </c>
      <c r="G29" s="158">
        <f t="shared" si="2"/>
        <v>0</v>
      </c>
      <c r="H29" s="158">
        <f t="shared" si="2"/>
        <v>-8233.2099999999991</v>
      </c>
      <c r="I29" s="158">
        <f t="shared" ref="I29:L29" si="3">SUM(I13:I28)</f>
        <v>0</v>
      </c>
      <c r="J29" s="158">
        <f t="shared" si="3"/>
        <v>0</v>
      </c>
      <c r="K29" s="158">
        <f t="shared" si="3"/>
        <v>0</v>
      </c>
      <c r="L29" s="158">
        <f t="shared" si="3"/>
        <v>0</v>
      </c>
      <c r="M29" s="158">
        <f>SUM(M20:M28)</f>
        <v>0</v>
      </c>
      <c r="N29" s="158">
        <f>SUM(N20:N28)</f>
        <v>0</v>
      </c>
      <c r="O29" s="50"/>
      <c r="P29" s="50"/>
      <c r="Q29" s="342" t="s">
        <v>154</v>
      </c>
      <c r="R29" s="339" t="s">
        <v>77</v>
      </c>
      <c r="S29" s="88">
        <v>0</v>
      </c>
      <c r="T29" s="89">
        <v>-547.1</v>
      </c>
    </row>
    <row r="30" spans="1:20" s="384" customFormat="1" ht="16.5" thickTop="1" thickBot="1">
      <c r="A30" s="53"/>
      <c r="Q30" s="343" t="s">
        <v>83</v>
      </c>
      <c r="R30" s="341" t="s">
        <v>78</v>
      </c>
      <c r="S30" s="118">
        <v>0</v>
      </c>
      <c r="T30" s="111"/>
    </row>
    <row r="31" spans="1:20" s="384" customFormat="1">
      <c r="A31" s="53"/>
      <c r="T31" s="338">
        <f>ROUND(SUM(S25:T30),2)</f>
        <v>0</v>
      </c>
    </row>
    <row r="32" spans="1:20" ht="16.5" thickBot="1">
      <c r="A32" s="649" t="s">
        <v>213</v>
      </c>
      <c r="B32" s="649"/>
      <c r="C32" s="649"/>
      <c r="D32" s="649"/>
      <c r="E32" s="649"/>
      <c r="F32" s="649"/>
      <c r="G32" s="649"/>
      <c r="H32" s="649"/>
      <c r="I32" s="649"/>
      <c r="J32" s="649"/>
      <c r="K32" s="649"/>
      <c r="L32" s="649"/>
      <c r="M32" s="649"/>
      <c r="N32" s="649"/>
      <c r="O32" s="649"/>
      <c r="P32" s="202"/>
      <c r="Q32" s="202"/>
      <c r="R32" s="202"/>
      <c r="S32" s="202"/>
      <c r="T32" s="202"/>
    </row>
    <row r="33" spans="1:20" ht="15.75" thickBot="1">
      <c r="A33" s="256"/>
      <c r="B33" s="202"/>
      <c r="C33" s="202"/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418" t="s">
        <v>217</v>
      </c>
      <c r="R33" s="402"/>
      <c r="S33" s="402"/>
      <c r="T33" s="419"/>
    </row>
    <row r="34" spans="1:20" ht="15.75">
      <c r="A34" s="420">
        <v>41243</v>
      </c>
      <c r="B34" s="421" t="s">
        <v>84</v>
      </c>
      <c r="C34" s="161">
        <f>SUM(D34:N34)</f>
        <v>700985.36846981547</v>
      </c>
      <c r="D34" s="241">
        <v>760588.19064781535</v>
      </c>
      <c r="E34" s="241">
        <v>-59602.822177999886</v>
      </c>
      <c r="F34" s="242">
        <v>0</v>
      </c>
      <c r="G34" s="242">
        <v>0</v>
      </c>
      <c r="H34" s="161">
        <v>0</v>
      </c>
      <c r="I34" s="161"/>
      <c r="J34" s="161"/>
      <c r="K34" s="161"/>
      <c r="L34" s="161"/>
      <c r="M34" s="161"/>
      <c r="N34" s="161">
        <v>0</v>
      </c>
      <c r="O34" s="422"/>
      <c r="P34" s="202"/>
      <c r="Q34" s="423" t="s">
        <v>81</v>
      </c>
      <c r="R34" s="424" t="s">
        <v>58</v>
      </c>
      <c r="S34" s="425">
        <v>0</v>
      </c>
      <c r="T34" s="426">
        <f>C34+C37-S25</f>
        <v>-172092.01000000036</v>
      </c>
    </row>
    <row r="35" spans="1:20" ht="15.75">
      <c r="A35" s="427"/>
      <c r="B35" s="421" t="s">
        <v>148</v>
      </c>
      <c r="C35" s="161">
        <v>0</v>
      </c>
      <c r="D35" s="242">
        <v>0</v>
      </c>
      <c r="E35" s="242">
        <v>0</v>
      </c>
      <c r="F35" s="242"/>
      <c r="G35" s="243"/>
      <c r="H35" s="242"/>
      <c r="I35" s="161"/>
      <c r="J35" s="243"/>
      <c r="K35" s="243"/>
      <c r="L35" s="161"/>
      <c r="M35" s="161"/>
      <c r="N35" s="161"/>
      <c r="O35" s="422"/>
      <c r="P35" s="202"/>
      <c r="Q35" s="428" t="s">
        <v>11</v>
      </c>
      <c r="R35" s="429" t="s">
        <v>62</v>
      </c>
      <c r="S35" s="425">
        <v>0</v>
      </c>
      <c r="T35" s="430">
        <v>0</v>
      </c>
    </row>
    <row r="36" spans="1:20" ht="15.75">
      <c r="A36" s="427"/>
      <c r="B36" s="421" t="s">
        <v>144</v>
      </c>
      <c r="C36" s="161">
        <f>SUM(D36:N36)</f>
        <v>0</v>
      </c>
      <c r="D36" s="161">
        <v>0</v>
      </c>
      <c r="E36" s="161"/>
      <c r="F36" s="161"/>
      <c r="G36" s="242">
        <v>0</v>
      </c>
      <c r="H36" s="431"/>
      <c r="I36" s="161"/>
      <c r="J36" s="243"/>
      <c r="K36" s="161"/>
      <c r="L36" s="161"/>
      <c r="M36" s="161"/>
      <c r="N36" s="161"/>
      <c r="O36" s="422"/>
      <c r="P36" s="202"/>
      <c r="Q36" s="428" t="s">
        <v>11</v>
      </c>
      <c r="R36" s="429" t="s">
        <v>207</v>
      </c>
      <c r="S36" s="425">
        <v>0</v>
      </c>
      <c r="T36" s="430">
        <v>0</v>
      </c>
    </row>
    <row r="37" spans="1:20" ht="15.75">
      <c r="A37" s="427"/>
      <c r="B37" s="421" t="s">
        <v>57</v>
      </c>
      <c r="C37" s="203">
        <f>SUM(D37:N37)</f>
        <v>475.43</v>
      </c>
      <c r="D37" s="203"/>
      <c r="E37" s="203"/>
      <c r="F37" s="203"/>
      <c r="G37" s="203"/>
      <c r="H37" s="203">
        <v>475.43</v>
      </c>
      <c r="I37" s="203"/>
      <c r="J37" s="203"/>
      <c r="K37" s="203"/>
      <c r="L37" s="203"/>
      <c r="M37" s="203"/>
      <c r="N37" s="203"/>
      <c r="O37" s="432">
        <v>0.01</v>
      </c>
      <c r="P37" s="202"/>
      <c r="Q37" s="433" t="s">
        <v>80</v>
      </c>
      <c r="R37" s="434" t="s">
        <v>59</v>
      </c>
      <c r="S37" s="435">
        <f>-T28-C34</f>
        <v>172020.34000000032</v>
      </c>
      <c r="T37" s="436">
        <v>0</v>
      </c>
    </row>
    <row r="38" spans="1:20" ht="16.5" thickBot="1">
      <c r="A38" s="437">
        <f>A34</f>
        <v>41243</v>
      </c>
      <c r="B38" s="161" t="s">
        <v>56</v>
      </c>
      <c r="C38" s="390">
        <f t="shared" ref="C38:H38" si="4">SUM(C34:C37,C20)</f>
        <v>921481.31055594166</v>
      </c>
      <c r="D38" s="390">
        <f t="shared" si="4"/>
        <v>-494066.80763967684</v>
      </c>
      <c r="E38" s="390">
        <f t="shared" si="4"/>
        <v>1423852.9981956196</v>
      </c>
      <c r="F38" s="390">
        <f t="shared" si="4"/>
        <v>0</v>
      </c>
      <c r="G38" s="390">
        <f t="shared" si="4"/>
        <v>0</v>
      </c>
      <c r="H38" s="390">
        <f t="shared" si="4"/>
        <v>-8304.8799999999992</v>
      </c>
      <c r="I38" s="390">
        <f t="shared" ref="I38:L38" si="5">SUM(I29:I37)</f>
        <v>0</v>
      </c>
      <c r="J38" s="390">
        <f t="shared" si="5"/>
        <v>0</v>
      </c>
      <c r="K38" s="390">
        <f t="shared" si="5"/>
        <v>0</v>
      </c>
      <c r="L38" s="390">
        <f t="shared" si="5"/>
        <v>0</v>
      </c>
      <c r="M38" s="390">
        <f>SUM(M32:M37)</f>
        <v>0</v>
      </c>
      <c r="N38" s="390">
        <f>SUM(N32:N37)</f>
        <v>0</v>
      </c>
      <c r="O38" s="161"/>
      <c r="P38" s="202"/>
      <c r="Q38" s="438" t="s">
        <v>154</v>
      </c>
      <c r="R38" s="434" t="s">
        <v>77</v>
      </c>
      <c r="S38" s="435">
        <f>C28-C37</f>
        <v>71.670000000000016</v>
      </c>
      <c r="T38" s="436">
        <v>0</v>
      </c>
    </row>
    <row r="39" spans="1:20" ht="16.5" thickTop="1" thickBot="1">
      <c r="A39" s="256"/>
      <c r="B39" s="202"/>
      <c r="C39" s="202"/>
      <c r="D39" s="202"/>
      <c r="E39" s="202"/>
      <c r="F39" s="202"/>
      <c r="G39" s="202"/>
      <c r="H39" s="202"/>
      <c r="I39" s="202"/>
      <c r="J39" s="202"/>
      <c r="K39" s="202"/>
      <c r="L39" s="202"/>
      <c r="M39" s="202"/>
      <c r="N39" s="202"/>
      <c r="O39" s="202"/>
      <c r="P39" s="202"/>
      <c r="Q39" s="439" t="s">
        <v>83</v>
      </c>
      <c r="R39" s="440" t="s">
        <v>78</v>
      </c>
      <c r="S39" s="441">
        <v>0</v>
      </c>
      <c r="T39" s="442">
        <v>0</v>
      </c>
    </row>
    <row r="40" spans="1:20">
      <c r="A40" s="256"/>
      <c r="B40" s="202"/>
      <c r="C40" s="202"/>
      <c r="D40" s="202"/>
      <c r="E40" s="202"/>
      <c r="F40" s="202"/>
      <c r="G40" s="202"/>
      <c r="H40" s="202"/>
      <c r="I40" s="202"/>
      <c r="J40" s="202"/>
      <c r="K40" s="202"/>
      <c r="L40" s="202"/>
      <c r="M40" s="202"/>
      <c r="N40" s="202"/>
      <c r="O40" s="202"/>
      <c r="P40" s="202"/>
      <c r="Q40" s="202"/>
      <c r="R40" s="202"/>
      <c r="S40" s="202"/>
      <c r="T40" s="338">
        <f>ROUND(SUM(S34:T39),2)</f>
        <v>0</v>
      </c>
    </row>
    <row r="41" spans="1:20" s="384" customFormat="1" ht="15.75" thickBot="1">
      <c r="A41" s="53"/>
    </row>
    <row r="42" spans="1:20" s="384" customFormat="1" ht="16.5" thickBot="1">
      <c r="A42" s="58"/>
      <c r="Q42" s="336" t="s">
        <v>107</v>
      </c>
      <c r="R42" s="332"/>
      <c r="S42" s="332"/>
      <c r="T42" s="228"/>
    </row>
    <row r="43" spans="1:20" s="384" customFormat="1" ht="15.75">
      <c r="A43" s="58">
        <v>41274</v>
      </c>
      <c r="B43" s="59" t="s">
        <v>84</v>
      </c>
      <c r="C43" s="50">
        <f>SUM(D43:N43)</f>
        <v>134368.12753900047</v>
      </c>
      <c r="D43" s="241">
        <v>505847.59770200029</v>
      </c>
      <c r="E43" s="241">
        <v>-371479.47016299982</v>
      </c>
      <c r="F43" s="242">
        <v>0</v>
      </c>
      <c r="G43" s="242">
        <v>0</v>
      </c>
      <c r="H43" s="50">
        <v>0</v>
      </c>
      <c r="I43" s="50"/>
      <c r="J43" s="50"/>
      <c r="K43" s="50"/>
      <c r="L43" s="50"/>
      <c r="M43" s="50"/>
      <c r="N43" s="50">
        <v>0</v>
      </c>
      <c r="O43" s="106"/>
      <c r="P43" s="50"/>
      <c r="Q43" s="345" t="s">
        <v>81</v>
      </c>
      <c r="R43" s="346" t="s">
        <v>58</v>
      </c>
      <c r="S43" s="112">
        <f>IF((-C38+C47)&gt;0,(-C38+C47),0)</f>
        <v>135192.01753900037</v>
      </c>
      <c r="T43" s="117">
        <f>IF((-C38+C47)&lt;0,(-C38+C47),0)</f>
        <v>0</v>
      </c>
    </row>
    <row r="44" spans="1:20" s="384" customFormat="1" ht="15.75">
      <c r="A44" s="62"/>
      <c r="B44" s="59" t="s">
        <v>148</v>
      </c>
      <c r="C44" s="50">
        <v>0</v>
      </c>
      <c r="D44" s="242">
        <v>0</v>
      </c>
      <c r="E44" s="242">
        <v>0</v>
      </c>
      <c r="F44" s="242"/>
      <c r="G44" s="243"/>
      <c r="H44" s="60"/>
      <c r="I44" s="50"/>
      <c r="J44" s="87"/>
      <c r="K44" s="87"/>
      <c r="L44" s="50"/>
      <c r="M44" s="50"/>
      <c r="N44" s="50"/>
      <c r="O44" s="106"/>
      <c r="P44" s="50"/>
      <c r="Q44" s="347" t="s">
        <v>11</v>
      </c>
      <c r="R44" s="348" t="s">
        <v>62</v>
      </c>
      <c r="S44" s="112">
        <v>0</v>
      </c>
      <c r="T44" s="227">
        <v>0</v>
      </c>
    </row>
    <row r="45" spans="1:20" s="384" customFormat="1" ht="15.75">
      <c r="A45" s="62"/>
      <c r="B45" s="59" t="s">
        <v>144</v>
      </c>
      <c r="C45" s="50">
        <f>SUM(D45:N45)</f>
        <v>0</v>
      </c>
      <c r="D45" s="161">
        <v>0</v>
      </c>
      <c r="E45" s="161"/>
      <c r="F45" s="161"/>
      <c r="G45" s="242">
        <v>0</v>
      </c>
      <c r="H45" s="105"/>
      <c r="I45" s="50"/>
      <c r="J45" s="87"/>
      <c r="K45" s="50"/>
      <c r="L45" s="50"/>
      <c r="M45" s="50"/>
      <c r="N45" s="50"/>
      <c r="O45" s="106"/>
      <c r="P45" s="50"/>
      <c r="Q45" s="347" t="s">
        <v>11</v>
      </c>
      <c r="R45" s="348" t="s">
        <v>207</v>
      </c>
      <c r="S45" s="112">
        <v>0</v>
      </c>
      <c r="T45" s="227">
        <v>0</v>
      </c>
    </row>
    <row r="46" spans="1:20" s="384" customFormat="1" ht="15.75">
      <c r="A46" s="62"/>
      <c r="B46" s="59" t="s">
        <v>57</v>
      </c>
      <c r="C46" s="64">
        <f>SUM(D46:N46)</f>
        <v>823.89</v>
      </c>
      <c r="D46" s="64"/>
      <c r="E46" s="64"/>
      <c r="F46" s="64"/>
      <c r="G46" s="64"/>
      <c r="H46" s="64">
        <f>ROUND(((C38)+(C43)/2)*(O46/12),2)</f>
        <v>823.89</v>
      </c>
      <c r="I46" s="64"/>
      <c r="J46" s="64"/>
      <c r="K46" s="64"/>
      <c r="L46" s="64"/>
      <c r="M46" s="64"/>
      <c r="N46" s="64"/>
      <c r="O46" s="99">
        <v>0.01</v>
      </c>
      <c r="P46" s="50"/>
      <c r="Q46" s="340" t="s">
        <v>80</v>
      </c>
      <c r="R46" s="339" t="s">
        <v>59</v>
      </c>
      <c r="S46" s="88">
        <f>IF((-C43-C44-C45)&gt;0,(-C43-C44-C45),0)</f>
        <v>0</v>
      </c>
      <c r="T46" s="89">
        <f>IF((-C43-C44-C45)&lt;0,(-C43-C44-C45),0)</f>
        <v>-134368.12753900047</v>
      </c>
    </row>
    <row r="47" spans="1:20" s="384" customFormat="1" ht="16.5" thickBot="1">
      <c r="A47" s="104">
        <f>A43</f>
        <v>41274</v>
      </c>
      <c r="B47" s="50" t="s">
        <v>56</v>
      </c>
      <c r="C47" s="158">
        <f>SUM(C38:C46)</f>
        <v>1056673.328094942</v>
      </c>
      <c r="D47" s="158">
        <f>SUM(D38:D46)</f>
        <v>11780.790062323445</v>
      </c>
      <c r="E47" s="158">
        <f>SUM(E38:E46)</f>
        <v>1052373.5280326197</v>
      </c>
      <c r="F47" s="158">
        <f t="shared" ref="F47:G47" si="6">SUM(F38:F46)</f>
        <v>0</v>
      </c>
      <c r="G47" s="158">
        <f t="shared" si="6"/>
        <v>0</v>
      </c>
      <c r="H47" s="158">
        <f>SUM(H38:H46)</f>
        <v>-7480.9899999999989</v>
      </c>
      <c r="I47" s="158">
        <f>SUM(I32:I46)</f>
        <v>0</v>
      </c>
      <c r="J47" s="158">
        <f>SUM(J32:J46)</f>
        <v>0</v>
      </c>
      <c r="K47" s="158">
        <f>SUM(K32:K46)</f>
        <v>0</v>
      </c>
      <c r="L47" s="158">
        <f>SUM(L32:L46)</f>
        <v>0</v>
      </c>
      <c r="M47" s="158">
        <f>SUM(M38:M46)</f>
        <v>0</v>
      </c>
      <c r="N47" s="158">
        <f>SUM(N38:N46)</f>
        <v>0</v>
      </c>
      <c r="O47" s="50"/>
      <c r="P47" s="50"/>
      <c r="Q47" s="342" t="s">
        <v>154</v>
      </c>
      <c r="R47" s="339" t="s">
        <v>77</v>
      </c>
      <c r="S47" s="88">
        <f>IF(C46&lt;0,C46,0)</f>
        <v>0</v>
      </c>
      <c r="T47" s="89">
        <f>IF(-C46&lt;0,-C46,0)</f>
        <v>-823.89</v>
      </c>
    </row>
    <row r="48" spans="1:20" s="384" customFormat="1" ht="16.5" thickTop="1" thickBot="1">
      <c r="A48" s="53"/>
      <c r="Q48" s="343" t="s">
        <v>83</v>
      </c>
      <c r="R48" s="341" t="s">
        <v>78</v>
      </c>
      <c r="S48" s="118">
        <f>IF(-C46&gt;0,-C46,0)</f>
        <v>0</v>
      </c>
      <c r="T48" s="111"/>
    </row>
    <row r="49" spans="1:20" s="384" customFormat="1">
      <c r="A49" s="53"/>
      <c r="T49" s="338">
        <f>ROUND(SUM(S43:T48),2)</f>
        <v>0</v>
      </c>
    </row>
    <row r="50" spans="1:20" ht="15.75" thickBot="1"/>
    <row r="51" spans="1:20" s="384" customFormat="1" ht="16.5" thickBot="1">
      <c r="A51" s="58"/>
      <c r="Q51" s="336" t="s">
        <v>107</v>
      </c>
      <c r="R51" s="332"/>
      <c r="S51" s="332"/>
      <c r="T51" s="228"/>
    </row>
    <row r="52" spans="1:20" s="384" customFormat="1" ht="15.75">
      <c r="A52" s="58">
        <v>41275</v>
      </c>
      <c r="B52" s="59" t="s">
        <v>84</v>
      </c>
      <c r="C52" s="50">
        <f>SUM(D52:N52)</f>
        <v>-1358486.1640380016</v>
      </c>
      <c r="D52" s="241">
        <v>-794093.61202800181</v>
      </c>
      <c r="E52" s="241">
        <v>-564392.55200999975</v>
      </c>
      <c r="F52" s="242">
        <v>0</v>
      </c>
      <c r="G52" s="242">
        <v>0</v>
      </c>
      <c r="H52" s="50">
        <v>0</v>
      </c>
      <c r="I52" s="50"/>
      <c r="J52" s="50"/>
      <c r="K52" s="50"/>
      <c r="L52" s="50"/>
      <c r="M52" s="50"/>
      <c r="N52" s="50">
        <v>0</v>
      </c>
      <c r="O52" s="106"/>
      <c r="P52" s="50"/>
      <c r="Q52" s="345" t="s">
        <v>81</v>
      </c>
      <c r="R52" s="346" t="s">
        <v>58</v>
      </c>
      <c r="S52" s="112">
        <f>IF((-C47+C56)&gt;0,(-C47+C56),0)</f>
        <v>0</v>
      </c>
      <c r="T52" s="117">
        <f>IF((-C47+C56)&lt;0,(-C47+C56),0)</f>
        <v>-1358171.6340380015</v>
      </c>
    </row>
    <row r="53" spans="1:20" s="384" customFormat="1" ht="15.75">
      <c r="A53" s="62"/>
      <c r="B53" s="59" t="s">
        <v>148</v>
      </c>
      <c r="C53" s="50">
        <v>0</v>
      </c>
      <c r="D53" s="242">
        <v>0</v>
      </c>
      <c r="E53" s="242">
        <v>0</v>
      </c>
      <c r="F53" s="242"/>
      <c r="G53" s="243"/>
      <c r="H53" s="60"/>
      <c r="I53" s="50"/>
      <c r="J53" s="87"/>
      <c r="K53" s="87"/>
      <c r="L53" s="50"/>
      <c r="M53" s="50"/>
      <c r="N53" s="50"/>
      <c r="O53" s="106"/>
      <c r="P53" s="50"/>
      <c r="Q53" s="347" t="s">
        <v>11</v>
      </c>
      <c r="R53" s="348" t="s">
        <v>62</v>
      </c>
      <c r="S53" s="112">
        <v>0</v>
      </c>
      <c r="T53" s="227">
        <v>0</v>
      </c>
    </row>
    <row r="54" spans="1:20" s="384" customFormat="1" ht="15.75">
      <c r="A54" s="62"/>
      <c r="B54" s="59" t="s">
        <v>144</v>
      </c>
      <c r="C54" s="50">
        <f>SUM(D54:N54)</f>
        <v>0</v>
      </c>
      <c r="D54" s="161">
        <v>0</v>
      </c>
      <c r="E54" s="161"/>
      <c r="F54" s="161"/>
      <c r="G54" s="242">
        <v>0</v>
      </c>
      <c r="H54" s="105"/>
      <c r="I54" s="50"/>
      <c r="J54" s="87"/>
      <c r="K54" s="50"/>
      <c r="L54" s="50"/>
      <c r="M54" s="50"/>
      <c r="N54" s="50"/>
      <c r="O54" s="106"/>
      <c r="P54" s="50"/>
      <c r="Q54" s="347" t="s">
        <v>11</v>
      </c>
      <c r="R54" s="348" t="s">
        <v>207</v>
      </c>
      <c r="S54" s="112">
        <v>0</v>
      </c>
      <c r="T54" s="227">
        <v>0</v>
      </c>
    </row>
    <row r="55" spans="1:20" s="384" customFormat="1" ht="15.75">
      <c r="A55" s="62"/>
      <c r="B55" s="59" t="s">
        <v>57</v>
      </c>
      <c r="C55" s="64">
        <f>SUM(D55:N55)</f>
        <v>314.52999999999997</v>
      </c>
      <c r="D55" s="64"/>
      <c r="E55" s="64"/>
      <c r="F55" s="64"/>
      <c r="G55" s="64"/>
      <c r="H55" s="64">
        <f>ROUND(((C47)+(C52)/2)*(O55/12),2)</f>
        <v>314.52999999999997</v>
      </c>
      <c r="I55" s="64"/>
      <c r="J55" s="64"/>
      <c r="K55" s="64"/>
      <c r="L55" s="64"/>
      <c r="M55" s="64"/>
      <c r="N55" s="64"/>
      <c r="O55" s="99">
        <v>0.01</v>
      </c>
      <c r="P55" s="50"/>
      <c r="Q55" s="340" t="s">
        <v>80</v>
      </c>
      <c r="R55" s="339" t="s">
        <v>59</v>
      </c>
      <c r="S55" s="88">
        <f>IF((-C52-C53-C54)&gt;0,(-C52-C53-C54),0)</f>
        <v>1358486.1640380016</v>
      </c>
      <c r="T55" s="89">
        <f>IF((-C52-C53-C54)&lt;0,(-C52-C53-C54),0)</f>
        <v>0</v>
      </c>
    </row>
    <row r="56" spans="1:20" s="384" customFormat="1" ht="16.5" thickBot="1">
      <c r="A56" s="104">
        <f>A52</f>
        <v>41275</v>
      </c>
      <c r="B56" s="50" t="s">
        <v>56</v>
      </c>
      <c r="C56" s="158">
        <f t="shared" ref="C56:H56" si="7">SUM(C47:C55)</f>
        <v>-301498.3059430595</v>
      </c>
      <c r="D56" s="158">
        <f t="shared" si="7"/>
        <v>-782312.82196567836</v>
      </c>
      <c r="E56" s="158">
        <f t="shared" si="7"/>
        <v>487980.97602261999</v>
      </c>
      <c r="F56" s="158">
        <f t="shared" si="7"/>
        <v>0</v>
      </c>
      <c r="G56" s="158">
        <f t="shared" si="7"/>
        <v>0</v>
      </c>
      <c r="H56" s="158">
        <f t="shared" si="7"/>
        <v>-7166.4599999999991</v>
      </c>
      <c r="I56" s="158">
        <f>SUM(I41:I55)</f>
        <v>0</v>
      </c>
      <c r="J56" s="158">
        <f>SUM(J41:J55)</f>
        <v>0</v>
      </c>
      <c r="K56" s="158">
        <f>SUM(K41:K55)</f>
        <v>0</v>
      </c>
      <c r="L56" s="158">
        <f>SUM(L41:L55)</f>
        <v>0</v>
      </c>
      <c r="M56" s="158">
        <f>SUM(M47:M55)</f>
        <v>0</v>
      </c>
      <c r="N56" s="158">
        <f>SUM(N47:N55)</f>
        <v>0</v>
      </c>
      <c r="O56" s="50"/>
      <c r="P56" s="50"/>
      <c r="Q56" s="342" t="s">
        <v>154</v>
      </c>
      <c r="R56" s="339" t="s">
        <v>77</v>
      </c>
      <c r="S56" s="88">
        <f>IF(C55&lt;0,C55,0)</f>
        <v>0</v>
      </c>
      <c r="T56" s="89">
        <f>IF(-C55&lt;0,-C55,0)</f>
        <v>-314.52999999999997</v>
      </c>
    </row>
    <row r="57" spans="1:20" s="384" customFormat="1" ht="16.5" thickTop="1" thickBot="1">
      <c r="A57" s="53"/>
      <c r="Q57" s="343" t="s">
        <v>83</v>
      </c>
      <c r="R57" s="341" t="s">
        <v>78</v>
      </c>
      <c r="S57" s="118">
        <f>IF(-C55&gt;0,-C55,0)</f>
        <v>0</v>
      </c>
      <c r="T57" s="111"/>
    </row>
    <row r="58" spans="1:20" s="384" customFormat="1">
      <c r="A58" s="53"/>
      <c r="T58" s="338">
        <f>ROUND(SUM(S52:T57),2)</f>
        <v>0</v>
      </c>
    </row>
    <row r="59" spans="1:20" s="384" customFormat="1" ht="15.75" thickBot="1">
      <c r="A59" s="53"/>
    </row>
    <row r="60" spans="1:20" s="384" customFormat="1" ht="16.5" thickBot="1">
      <c r="A60" s="58"/>
      <c r="Q60" s="336" t="s">
        <v>107</v>
      </c>
      <c r="R60" s="332"/>
      <c r="S60" s="332"/>
      <c r="T60" s="228"/>
    </row>
    <row r="61" spans="1:20" s="384" customFormat="1" ht="15.75">
      <c r="A61" s="58">
        <v>41333</v>
      </c>
      <c r="B61" s="59" t="s">
        <v>84</v>
      </c>
      <c r="C61" s="50">
        <f>SUM(D61:N61)</f>
        <v>187567.52458600083</v>
      </c>
      <c r="D61" s="241">
        <v>369349.48148000054</v>
      </c>
      <c r="E61" s="241">
        <v>-181781.95689399971</v>
      </c>
      <c r="F61" s="242">
        <v>0</v>
      </c>
      <c r="G61" s="242">
        <v>0</v>
      </c>
      <c r="H61" s="50">
        <v>0</v>
      </c>
      <c r="I61" s="50"/>
      <c r="J61" s="50"/>
      <c r="K61" s="50"/>
      <c r="L61" s="50"/>
      <c r="M61" s="50"/>
      <c r="N61" s="50">
        <v>0</v>
      </c>
      <c r="O61" s="106"/>
      <c r="P61" s="50"/>
      <c r="Q61" s="345" t="s">
        <v>81</v>
      </c>
      <c r="R61" s="346" t="s">
        <v>58</v>
      </c>
      <c r="S61" s="112">
        <f>IF((-C56+C65)&gt;0,(-C56+C65),0)</f>
        <v>187394.42458600082</v>
      </c>
      <c r="T61" s="117">
        <f>IF((-C56+C65)&lt;0,(-C56+C65),0)</f>
        <v>0</v>
      </c>
    </row>
    <row r="62" spans="1:20" s="384" customFormat="1" ht="15.75">
      <c r="A62" s="62"/>
      <c r="B62" s="59" t="s">
        <v>148</v>
      </c>
      <c r="C62" s="50">
        <v>0</v>
      </c>
      <c r="D62" s="242">
        <v>0</v>
      </c>
      <c r="E62" s="242">
        <v>0</v>
      </c>
      <c r="F62" s="242"/>
      <c r="G62" s="243"/>
      <c r="H62" s="60"/>
      <c r="I62" s="50"/>
      <c r="J62" s="87"/>
      <c r="K62" s="87"/>
      <c r="L62" s="50"/>
      <c r="M62" s="50"/>
      <c r="N62" s="50"/>
      <c r="O62" s="106"/>
      <c r="P62" s="50"/>
      <c r="Q62" s="347" t="s">
        <v>11</v>
      </c>
      <c r="R62" s="348" t="s">
        <v>62</v>
      </c>
      <c r="S62" s="112">
        <v>0</v>
      </c>
      <c r="T62" s="227">
        <v>0</v>
      </c>
    </row>
    <row r="63" spans="1:20" s="384" customFormat="1" ht="15.75">
      <c r="A63" s="62"/>
      <c r="B63" s="59" t="s">
        <v>144</v>
      </c>
      <c r="C63" s="50">
        <f>SUM(D63:N63)</f>
        <v>0</v>
      </c>
      <c r="D63" s="161">
        <v>0</v>
      </c>
      <c r="E63" s="161"/>
      <c r="F63" s="161"/>
      <c r="G63" s="242">
        <v>0</v>
      </c>
      <c r="H63" s="105"/>
      <c r="I63" s="50"/>
      <c r="J63" s="87"/>
      <c r="K63" s="50"/>
      <c r="L63" s="50"/>
      <c r="M63" s="50"/>
      <c r="N63" s="50"/>
      <c r="O63" s="106"/>
      <c r="P63" s="50"/>
      <c r="Q63" s="347" t="s">
        <v>11</v>
      </c>
      <c r="R63" s="348" t="s">
        <v>207</v>
      </c>
      <c r="S63" s="112">
        <v>0</v>
      </c>
      <c r="T63" s="227">
        <v>0</v>
      </c>
    </row>
    <row r="64" spans="1:20" s="384" customFormat="1" ht="15.75">
      <c r="A64" s="62"/>
      <c r="B64" s="59" t="s">
        <v>57</v>
      </c>
      <c r="C64" s="64">
        <f>SUM(D64:N64)</f>
        <v>-173.1</v>
      </c>
      <c r="D64" s="64"/>
      <c r="E64" s="64"/>
      <c r="F64" s="64"/>
      <c r="G64" s="64"/>
      <c r="H64" s="64">
        <f>ROUND(((C56)+(C61)/2)*(O64/12),2)</f>
        <v>-173.1</v>
      </c>
      <c r="I64" s="64"/>
      <c r="J64" s="64"/>
      <c r="K64" s="64"/>
      <c r="L64" s="64"/>
      <c r="M64" s="64"/>
      <c r="N64" s="64"/>
      <c r="O64" s="99">
        <v>0.01</v>
      </c>
      <c r="P64" s="50"/>
      <c r="Q64" s="340" t="s">
        <v>80</v>
      </c>
      <c r="R64" s="339" t="s">
        <v>59</v>
      </c>
      <c r="S64" s="88">
        <f>IF((-C61-C62-C63)&gt;0,(-C61-C62-C63),0)</f>
        <v>0</v>
      </c>
      <c r="T64" s="89">
        <f>IF((-C61-C62-C63)&lt;0,(-C61-C62-C63),0)</f>
        <v>-187567.52458600083</v>
      </c>
    </row>
    <row r="65" spans="1:20" s="384" customFormat="1" ht="16.5" thickBot="1">
      <c r="A65" s="104">
        <f>A61</f>
        <v>41333</v>
      </c>
      <c r="B65" s="50" t="s">
        <v>56</v>
      </c>
      <c r="C65" s="158">
        <f>SUM(C56:C64)</f>
        <v>-114103.88135705868</v>
      </c>
      <c r="D65" s="158">
        <f>SUM(D56:D64)</f>
        <v>-412963.34048567782</v>
      </c>
      <c r="E65" s="158">
        <f>SUM(E56:E64)</f>
        <v>306199.01912862028</v>
      </c>
      <c r="F65" s="158">
        <f t="shared" ref="F65" si="8">SUM(F56:F64)</f>
        <v>0</v>
      </c>
      <c r="G65" s="158">
        <f t="shared" ref="G65" si="9">SUM(G56:G64)</f>
        <v>0</v>
      </c>
      <c r="H65" s="158">
        <f>SUM(H56:H64)</f>
        <v>-7339.5599999999995</v>
      </c>
      <c r="I65" s="158">
        <f>SUM(I50:I64)</f>
        <v>0</v>
      </c>
      <c r="J65" s="158">
        <f>SUM(J50:J64)</f>
        <v>0</v>
      </c>
      <c r="K65" s="158">
        <f>SUM(K50:K64)</f>
        <v>0</v>
      </c>
      <c r="L65" s="158">
        <f>SUM(L50:L64)</f>
        <v>0</v>
      </c>
      <c r="M65" s="158">
        <f>SUM(M56:M64)</f>
        <v>0</v>
      </c>
      <c r="N65" s="158">
        <f>SUM(N56:N64)</f>
        <v>0</v>
      </c>
      <c r="O65" s="50"/>
      <c r="P65" s="50"/>
      <c r="Q65" s="342" t="s">
        <v>154</v>
      </c>
      <c r="R65" s="339" t="s">
        <v>77</v>
      </c>
      <c r="S65" s="88">
        <f>IF(-C64&lt;0,C64,0)</f>
        <v>0</v>
      </c>
      <c r="T65" s="89">
        <f>IF(-C64&lt;0,-C64,0)</f>
        <v>0</v>
      </c>
    </row>
    <row r="66" spans="1:20" s="384" customFormat="1" ht="16.5" thickTop="1" thickBot="1">
      <c r="A66" s="53"/>
      <c r="Q66" s="343" t="s">
        <v>83</v>
      </c>
      <c r="R66" s="341" t="s">
        <v>78</v>
      </c>
      <c r="S66" s="118">
        <f>IF(-C64&gt;0,-C64,0)</f>
        <v>173.1</v>
      </c>
      <c r="T66" s="111">
        <f>IF(-C64&lt;0,-C64,0)</f>
        <v>0</v>
      </c>
    </row>
    <row r="67" spans="1:20" s="384" customFormat="1">
      <c r="A67" s="53"/>
      <c r="T67" s="338">
        <f>ROUND(SUM(S61:T66),2)</f>
        <v>0</v>
      </c>
    </row>
    <row r="68" spans="1:20" s="384" customFormat="1" ht="15.75" thickBot="1">
      <c r="A68" s="53"/>
    </row>
    <row r="69" spans="1:20" s="384" customFormat="1" ht="16.5" thickBot="1">
      <c r="A69" s="58"/>
      <c r="Q69" s="336" t="s">
        <v>107</v>
      </c>
      <c r="R69" s="332"/>
      <c r="S69" s="332"/>
      <c r="T69" s="228"/>
    </row>
    <row r="70" spans="1:20" s="384" customFormat="1" ht="15.75">
      <c r="A70" s="58">
        <v>41364</v>
      </c>
      <c r="B70" s="59" t="s">
        <v>84</v>
      </c>
      <c r="C70" s="50">
        <f>SUM(D70:N70)</f>
        <v>-70192.864177000942</v>
      </c>
      <c r="D70" s="241">
        <v>140554.57549299859</v>
      </c>
      <c r="E70" s="241">
        <v>-210747.43966999953</v>
      </c>
      <c r="F70" s="242">
        <v>0</v>
      </c>
      <c r="G70" s="242">
        <v>0</v>
      </c>
      <c r="H70" s="50">
        <v>0</v>
      </c>
      <c r="I70" s="50"/>
      <c r="J70" s="50"/>
      <c r="K70" s="50"/>
      <c r="L70" s="50"/>
      <c r="M70" s="50"/>
      <c r="N70" s="50">
        <v>0</v>
      </c>
      <c r="O70" s="106"/>
      <c r="P70" s="50"/>
      <c r="Q70" s="345" t="s">
        <v>81</v>
      </c>
      <c r="R70" s="346" t="s">
        <v>58</v>
      </c>
      <c r="S70" s="112">
        <f>IF((-C65+C74)&gt;0,(-C65+C74),0)</f>
        <v>0</v>
      </c>
      <c r="T70" s="117">
        <f>IF((-C65+C74)&lt;0,(-C65+C74),0)</f>
        <v>-70317.194177000929</v>
      </c>
    </row>
    <row r="71" spans="1:20" s="384" customFormat="1" ht="15.75">
      <c r="A71" s="62"/>
      <c r="B71" s="59" t="s">
        <v>148</v>
      </c>
      <c r="C71" s="50">
        <v>0</v>
      </c>
      <c r="D71" s="242">
        <v>0</v>
      </c>
      <c r="E71" s="242">
        <v>0</v>
      </c>
      <c r="F71" s="242"/>
      <c r="G71" s="243"/>
      <c r="H71" s="60"/>
      <c r="I71" s="50"/>
      <c r="J71" s="87"/>
      <c r="K71" s="87"/>
      <c r="L71" s="50"/>
      <c r="M71" s="50"/>
      <c r="N71" s="50"/>
      <c r="O71" s="106"/>
      <c r="P71" s="50"/>
      <c r="Q71" s="347" t="s">
        <v>11</v>
      </c>
      <c r="R71" s="348" t="s">
        <v>62</v>
      </c>
      <c r="S71" s="112">
        <v>0</v>
      </c>
      <c r="T71" s="227">
        <v>0</v>
      </c>
    </row>
    <row r="72" spans="1:20" s="384" customFormat="1" ht="15.75">
      <c r="A72" s="62"/>
      <c r="B72" s="59" t="s">
        <v>144</v>
      </c>
      <c r="C72" s="50">
        <f>SUM(D72:N72)</f>
        <v>0</v>
      </c>
      <c r="D72" s="161">
        <v>0</v>
      </c>
      <c r="E72" s="161"/>
      <c r="F72" s="161"/>
      <c r="G72" s="242">
        <v>0</v>
      </c>
      <c r="H72" s="105"/>
      <c r="I72" s="50"/>
      <c r="J72" s="87"/>
      <c r="K72" s="50"/>
      <c r="L72" s="50"/>
      <c r="M72" s="50"/>
      <c r="N72" s="50"/>
      <c r="O72" s="106"/>
      <c r="P72" s="50"/>
      <c r="Q72" s="347" t="s">
        <v>11</v>
      </c>
      <c r="R72" s="348" t="s">
        <v>207</v>
      </c>
      <c r="S72" s="112">
        <v>0</v>
      </c>
      <c r="T72" s="227">
        <v>0</v>
      </c>
    </row>
    <row r="73" spans="1:20" s="384" customFormat="1" ht="15.75">
      <c r="A73" s="62"/>
      <c r="B73" s="59" t="s">
        <v>57</v>
      </c>
      <c r="C73" s="64">
        <f>SUM(D73:N73)</f>
        <v>-124.33</v>
      </c>
      <c r="D73" s="64"/>
      <c r="E73" s="64"/>
      <c r="F73" s="64"/>
      <c r="G73" s="64"/>
      <c r="H73" s="64">
        <v>-124.33</v>
      </c>
      <c r="I73" s="64"/>
      <c r="J73" s="64"/>
      <c r="K73" s="64"/>
      <c r="L73" s="64"/>
      <c r="M73" s="64"/>
      <c r="N73" s="64"/>
      <c r="O73" s="99">
        <v>0.01</v>
      </c>
      <c r="P73" s="50"/>
      <c r="Q73" s="340" t="s">
        <v>80</v>
      </c>
      <c r="R73" s="339" t="s">
        <v>59</v>
      </c>
      <c r="S73" s="88">
        <f>IF((-C70-C71-C72)&gt;0,(-C70-C71-C72),0)</f>
        <v>70192.864177000942</v>
      </c>
      <c r="T73" s="89">
        <f>IF((-C70-C71-C72)&lt;0,(-C70-C71-C72),0)</f>
        <v>0</v>
      </c>
    </row>
    <row r="74" spans="1:20" s="384" customFormat="1" ht="16.5" thickBot="1">
      <c r="A74" s="104">
        <f>A70</f>
        <v>41364</v>
      </c>
      <c r="B74" s="50" t="s">
        <v>56</v>
      </c>
      <c r="C74" s="158">
        <f>SUM(C65:C73)</f>
        <v>-184421.07553405961</v>
      </c>
      <c r="D74" s="158">
        <f>SUM(D65:D73)</f>
        <v>-272408.76499267924</v>
      </c>
      <c r="E74" s="158">
        <f>SUM(E65:E73)</f>
        <v>95451.579458620748</v>
      </c>
      <c r="F74" s="158">
        <f t="shared" ref="F74:G74" si="10">SUM(F65:F73)</f>
        <v>0</v>
      </c>
      <c r="G74" s="158">
        <f t="shared" si="10"/>
        <v>0</v>
      </c>
      <c r="H74" s="158">
        <f>SUM(H65:H73)</f>
        <v>-7463.8899999999994</v>
      </c>
      <c r="I74" s="158">
        <f>SUM(I59:I73)</f>
        <v>0</v>
      </c>
      <c r="J74" s="158">
        <f>SUM(J59:J73)</f>
        <v>0</v>
      </c>
      <c r="K74" s="158">
        <f>SUM(K59:K73)</f>
        <v>0</v>
      </c>
      <c r="L74" s="158">
        <f>SUM(L59:L73)</f>
        <v>0</v>
      </c>
      <c r="M74" s="158">
        <f>SUM(M65:M73)</f>
        <v>0</v>
      </c>
      <c r="N74" s="158">
        <f>SUM(N65:N73)</f>
        <v>0</v>
      </c>
      <c r="O74" s="50"/>
      <c r="P74" s="50"/>
      <c r="Q74" s="342" t="s">
        <v>154</v>
      </c>
      <c r="R74" s="339" t="s">
        <v>77</v>
      </c>
      <c r="S74" s="88">
        <f>IF(-C73&lt;0,C73,0)</f>
        <v>0</v>
      </c>
      <c r="T74" s="89">
        <f>IF(-C73&lt;0,-C73,0)</f>
        <v>0</v>
      </c>
    </row>
    <row r="75" spans="1:20" s="384" customFormat="1" ht="16.5" thickTop="1" thickBot="1">
      <c r="A75" s="53"/>
      <c r="Q75" s="343" t="s">
        <v>83</v>
      </c>
      <c r="R75" s="341" t="s">
        <v>78</v>
      </c>
      <c r="S75" s="118">
        <f>IF(-C73&gt;0,-C73,0)</f>
        <v>124.33</v>
      </c>
      <c r="T75" s="111">
        <f>IF(-C73&lt;0,-C73,0)</f>
        <v>0</v>
      </c>
    </row>
    <row r="76" spans="1:20" s="384" customFormat="1">
      <c r="A76" s="53"/>
      <c r="T76" s="338">
        <f>ROUND(SUM(S70:T75),2)</f>
        <v>0</v>
      </c>
    </row>
    <row r="77" spans="1:20" s="384" customFormat="1" ht="15.75" thickBot="1">
      <c r="A77" s="53"/>
    </row>
    <row r="78" spans="1:20" s="384" customFormat="1" ht="16.5" thickBot="1">
      <c r="A78" s="58"/>
      <c r="Q78" s="336" t="s">
        <v>107</v>
      </c>
      <c r="R78" s="332"/>
      <c r="S78" s="332"/>
      <c r="T78" s="228"/>
    </row>
    <row r="79" spans="1:20" s="384" customFormat="1" ht="15.75">
      <c r="A79" s="58">
        <v>41394</v>
      </c>
      <c r="B79" s="59" t="s">
        <v>84</v>
      </c>
      <c r="C79" s="50">
        <f>SUM(D79:N79)</f>
        <v>-119237.76640399999</v>
      </c>
      <c r="D79" s="241">
        <v>-143506.72479399992</v>
      </c>
      <c r="E79" s="241">
        <v>24268.958389999927</v>
      </c>
      <c r="F79" s="242">
        <v>0</v>
      </c>
      <c r="G79" s="242">
        <v>0</v>
      </c>
      <c r="H79" s="50">
        <v>0</v>
      </c>
      <c r="I79" s="50"/>
      <c r="J79" s="50"/>
      <c r="K79" s="50"/>
      <c r="L79" s="50"/>
      <c r="M79" s="50"/>
      <c r="N79" s="50">
        <v>0</v>
      </c>
      <c r="O79" s="106"/>
      <c r="P79" s="50"/>
      <c r="Q79" s="345" t="s">
        <v>81</v>
      </c>
      <c r="R79" s="346" t="s">
        <v>58</v>
      </c>
      <c r="S79" s="112">
        <f>IF((-C74+C83)&gt;0,(-C74+C83),0)</f>
        <v>0</v>
      </c>
      <c r="T79" s="117">
        <f>IF((-C74+C83)&lt;0,(-C74+C83),0)</f>
        <v>-119441.13640399999</v>
      </c>
    </row>
    <row r="80" spans="1:20" s="384" customFormat="1" ht="15.75">
      <c r="A80" s="62"/>
      <c r="B80" s="59" t="s">
        <v>148</v>
      </c>
      <c r="C80" s="50">
        <v>0</v>
      </c>
      <c r="D80" s="242">
        <v>0</v>
      </c>
      <c r="E80" s="242">
        <v>0</v>
      </c>
      <c r="F80" s="242"/>
      <c r="G80" s="243"/>
      <c r="H80" s="60"/>
      <c r="I80" s="50"/>
      <c r="J80" s="87"/>
      <c r="K80" s="87"/>
      <c r="L80" s="50"/>
      <c r="M80" s="50"/>
      <c r="N80" s="50"/>
      <c r="O80" s="106"/>
      <c r="P80" s="50"/>
      <c r="Q80" s="347" t="s">
        <v>11</v>
      </c>
      <c r="R80" s="348" t="s">
        <v>62</v>
      </c>
      <c r="S80" s="112">
        <v>0</v>
      </c>
      <c r="T80" s="227">
        <v>0</v>
      </c>
    </row>
    <row r="81" spans="1:20" s="384" customFormat="1" ht="15.75">
      <c r="A81" s="62"/>
      <c r="B81" s="59" t="s">
        <v>144</v>
      </c>
      <c r="C81" s="50">
        <f>SUM(D81:N81)</f>
        <v>0</v>
      </c>
      <c r="D81" s="161">
        <v>0</v>
      </c>
      <c r="E81" s="161"/>
      <c r="F81" s="161"/>
      <c r="G81" s="242">
        <v>0</v>
      </c>
      <c r="H81" s="105"/>
      <c r="I81" s="50"/>
      <c r="J81" s="87"/>
      <c r="K81" s="50"/>
      <c r="L81" s="50"/>
      <c r="M81" s="50"/>
      <c r="N81" s="50"/>
      <c r="O81" s="106"/>
      <c r="P81" s="50"/>
      <c r="Q81" s="347" t="s">
        <v>11</v>
      </c>
      <c r="R81" s="348" t="s">
        <v>207</v>
      </c>
      <c r="S81" s="112">
        <v>0</v>
      </c>
      <c r="T81" s="227">
        <v>0</v>
      </c>
    </row>
    <row r="82" spans="1:20" s="384" customFormat="1" ht="15.75">
      <c r="A82" s="62"/>
      <c r="B82" s="59" t="s">
        <v>57</v>
      </c>
      <c r="C82" s="64">
        <f>SUM(D82:N82)</f>
        <v>-203.37</v>
      </c>
      <c r="D82" s="64"/>
      <c r="E82" s="64"/>
      <c r="F82" s="64"/>
      <c r="G82" s="64"/>
      <c r="H82" s="64">
        <v>-203.37</v>
      </c>
      <c r="I82" s="64"/>
      <c r="J82" s="64"/>
      <c r="K82" s="64"/>
      <c r="L82" s="64"/>
      <c r="M82" s="64"/>
      <c r="N82" s="64"/>
      <c r="O82" s="99">
        <v>0.01</v>
      </c>
      <c r="P82" s="50"/>
      <c r="Q82" s="340" t="s">
        <v>80</v>
      </c>
      <c r="R82" s="339" t="s">
        <v>59</v>
      </c>
      <c r="S82" s="88">
        <f>IF((-C79-C80-C81)&gt;0,(-C79-C80-C81),0)</f>
        <v>119237.76640399999</v>
      </c>
      <c r="T82" s="89">
        <f>IF((-C79-C80-C81)&lt;0,(-C79-C80-C81),0)</f>
        <v>0</v>
      </c>
    </row>
    <row r="83" spans="1:20" s="384" customFormat="1" ht="16.5" thickBot="1">
      <c r="A83" s="104">
        <f>A79</f>
        <v>41394</v>
      </c>
      <c r="B83" s="50" t="s">
        <v>56</v>
      </c>
      <c r="C83" s="158">
        <f>SUM(C74:C82)</f>
        <v>-303862.2119380596</v>
      </c>
      <c r="D83" s="158">
        <f>SUM(D74:D82)</f>
        <v>-415915.48978667916</v>
      </c>
      <c r="E83" s="158">
        <f>SUM(E74:E82)</f>
        <v>119720.53784862068</v>
      </c>
      <c r="F83" s="158">
        <f t="shared" ref="F83:G83" si="11">SUM(F74:F82)</f>
        <v>0</v>
      </c>
      <c r="G83" s="158">
        <f t="shared" si="11"/>
        <v>0</v>
      </c>
      <c r="H83" s="158">
        <f>SUM(H74:H82)</f>
        <v>-7667.2599999999993</v>
      </c>
      <c r="I83" s="158">
        <f>SUM(I68:I82)</f>
        <v>0</v>
      </c>
      <c r="J83" s="158">
        <f>SUM(J68:J82)</f>
        <v>0</v>
      </c>
      <c r="K83" s="158">
        <f>SUM(K68:K82)</f>
        <v>0</v>
      </c>
      <c r="L83" s="158">
        <f>SUM(L68:L82)</f>
        <v>0</v>
      </c>
      <c r="M83" s="158">
        <f>SUM(M74:M82)</f>
        <v>0</v>
      </c>
      <c r="N83" s="158">
        <f>SUM(N74:N82)</f>
        <v>0</v>
      </c>
      <c r="O83" s="50"/>
      <c r="P83" s="50"/>
      <c r="Q83" s="342" t="s">
        <v>154</v>
      </c>
      <c r="R83" s="339" t="s">
        <v>77</v>
      </c>
      <c r="S83" s="88">
        <f>IF(-C82&lt;0,C82,0)</f>
        <v>0</v>
      </c>
      <c r="T83" s="89">
        <f>IF(-C82&lt;0,-C82,0)</f>
        <v>0</v>
      </c>
    </row>
    <row r="84" spans="1:20" s="384" customFormat="1" ht="16.5" thickTop="1" thickBot="1">
      <c r="A84" s="53"/>
      <c r="C84" s="385"/>
      <c r="Q84" s="343" t="s">
        <v>83</v>
      </c>
      <c r="R84" s="341" t="s">
        <v>78</v>
      </c>
      <c r="S84" s="118">
        <f>IF(-C82&gt;0,-C82,0)</f>
        <v>203.37</v>
      </c>
      <c r="T84" s="111">
        <f>IF(-C82&lt;0,-C82,0)</f>
        <v>0</v>
      </c>
    </row>
    <row r="85" spans="1:20" s="384" customFormat="1">
      <c r="A85" s="53"/>
      <c r="T85" s="338">
        <f>ROUND(SUM(S79:T84),2)</f>
        <v>0</v>
      </c>
    </row>
    <row r="86" spans="1:20" s="384" customFormat="1" ht="15.75" thickBot="1">
      <c r="A86" s="53"/>
    </row>
    <row r="87" spans="1:20" s="384" customFormat="1" ht="16.5" thickBot="1">
      <c r="A87" s="58"/>
      <c r="Q87" s="336" t="s">
        <v>107</v>
      </c>
      <c r="R87" s="332"/>
      <c r="S87" s="332"/>
      <c r="T87" s="228"/>
    </row>
    <row r="88" spans="1:20" s="384" customFormat="1" ht="15.75">
      <c r="A88" s="58">
        <v>41425</v>
      </c>
      <c r="B88" s="59" t="s">
        <v>84</v>
      </c>
      <c r="C88" s="50">
        <f>SUM(D88:N88)</f>
        <v>96129.565981999214</v>
      </c>
      <c r="D88" s="241">
        <v>-261363.31669000082</v>
      </c>
      <c r="E88" s="241">
        <v>357492.88267200004</v>
      </c>
      <c r="F88" s="242">
        <v>0</v>
      </c>
      <c r="G88" s="242">
        <v>0</v>
      </c>
      <c r="H88" s="50">
        <v>0</v>
      </c>
      <c r="I88" s="50"/>
      <c r="J88" s="50"/>
      <c r="K88" s="50"/>
      <c r="L88" s="50"/>
      <c r="M88" s="50"/>
      <c r="N88" s="50">
        <v>0</v>
      </c>
      <c r="O88" s="106"/>
      <c r="P88" s="50"/>
      <c r="Q88" s="345" t="s">
        <v>81</v>
      </c>
      <c r="R88" s="346" t="s">
        <v>58</v>
      </c>
      <c r="S88" s="112">
        <f>IF((-C83+C92)&gt;0,(-C83+C92),0)</f>
        <v>95916.405981999211</v>
      </c>
      <c r="T88" s="117">
        <f>IF((-C83+C92)&lt;0,(-C83+C92),0)</f>
        <v>0</v>
      </c>
    </row>
    <row r="89" spans="1:20" s="384" customFormat="1" ht="15.75">
      <c r="A89" s="62"/>
      <c r="B89" s="59" t="s">
        <v>148</v>
      </c>
      <c r="C89" s="50">
        <v>0</v>
      </c>
      <c r="D89" s="242">
        <v>0</v>
      </c>
      <c r="E89" s="242">
        <v>0</v>
      </c>
      <c r="F89" s="242"/>
      <c r="G89" s="243"/>
      <c r="H89" s="60"/>
      <c r="I89" s="50"/>
      <c r="J89" s="87"/>
      <c r="K89" s="87"/>
      <c r="L89" s="50"/>
      <c r="M89" s="50"/>
      <c r="N89" s="50"/>
      <c r="O89" s="106"/>
      <c r="P89" s="50"/>
      <c r="Q89" s="347" t="s">
        <v>11</v>
      </c>
      <c r="R89" s="348" t="s">
        <v>62</v>
      </c>
      <c r="S89" s="112">
        <v>0</v>
      </c>
      <c r="T89" s="227">
        <v>0</v>
      </c>
    </row>
    <row r="90" spans="1:20" s="384" customFormat="1" ht="15.75">
      <c r="A90" s="62"/>
      <c r="B90" s="59" t="s">
        <v>144</v>
      </c>
      <c r="C90" s="50">
        <f>SUM(D90:N90)</f>
        <v>0</v>
      </c>
      <c r="D90" s="161">
        <v>0</v>
      </c>
      <c r="E90" s="161"/>
      <c r="F90" s="161"/>
      <c r="G90" s="242">
        <v>0</v>
      </c>
      <c r="H90" s="105"/>
      <c r="I90" s="50"/>
      <c r="J90" s="87"/>
      <c r="K90" s="50"/>
      <c r="L90" s="50"/>
      <c r="M90" s="50"/>
      <c r="N90" s="50"/>
      <c r="O90" s="106"/>
      <c r="P90" s="50"/>
      <c r="Q90" s="347" t="s">
        <v>11</v>
      </c>
      <c r="R90" s="348" t="s">
        <v>207</v>
      </c>
      <c r="S90" s="112">
        <v>0</v>
      </c>
      <c r="T90" s="227">
        <v>0</v>
      </c>
    </row>
    <row r="91" spans="1:20" s="384" customFormat="1" ht="15.75">
      <c r="A91" s="62"/>
      <c r="B91" s="59" t="s">
        <v>57</v>
      </c>
      <c r="C91" s="64">
        <f>SUM(D91:N91)</f>
        <v>-213.16</v>
      </c>
      <c r="D91" s="64"/>
      <c r="E91" s="64"/>
      <c r="F91" s="64"/>
      <c r="G91" s="64"/>
      <c r="H91" s="64">
        <v>-213.16</v>
      </c>
      <c r="I91" s="64"/>
      <c r="J91" s="64"/>
      <c r="K91" s="64"/>
      <c r="L91" s="64"/>
      <c r="M91" s="64"/>
      <c r="N91" s="64"/>
      <c r="O91" s="99">
        <v>0.01</v>
      </c>
      <c r="P91" s="50"/>
      <c r="Q91" s="340" t="s">
        <v>80</v>
      </c>
      <c r="R91" s="339" t="s">
        <v>59</v>
      </c>
      <c r="S91" s="88">
        <f>IF((-C88-C89-C90)&gt;0,(-C88-C89-C90),0)</f>
        <v>0</v>
      </c>
      <c r="T91" s="89">
        <f>IF((-C88-C89-C90)&lt;0,(-C88-C89-C90),0)</f>
        <v>-96129.565981999214</v>
      </c>
    </row>
    <row r="92" spans="1:20" s="384" customFormat="1" ht="16.5" thickBot="1">
      <c r="A92" s="104">
        <f>A88</f>
        <v>41425</v>
      </c>
      <c r="B92" s="50" t="s">
        <v>56</v>
      </c>
      <c r="C92" s="158">
        <f t="shared" ref="C92:H92" si="12">SUM(C83:C91)</f>
        <v>-207945.80595606039</v>
      </c>
      <c r="D92" s="158">
        <f t="shared" si="12"/>
        <v>-677278.80647667998</v>
      </c>
      <c r="E92" s="158">
        <f t="shared" si="12"/>
        <v>477213.42052062071</v>
      </c>
      <c r="F92" s="158">
        <f t="shared" si="12"/>
        <v>0</v>
      </c>
      <c r="G92" s="158">
        <f t="shared" si="12"/>
        <v>0</v>
      </c>
      <c r="H92" s="158">
        <f t="shared" si="12"/>
        <v>-7880.4199999999992</v>
      </c>
      <c r="I92" s="158">
        <f>SUM(I77:I91)</f>
        <v>0</v>
      </c>
      <c r="J92" s="158">
        <f>SUM(J77:J91)</f>
        <v>0</v>
      </c>
      <c r="K92" s="158">
        <f>SUM(K77:K91)</f>
        <v>0</v>
      </c>
      <c r="L92" s="158">
        <f>SUM(L77:L91)</f>
        <v>0</v>
      </c>
      <c r="M92" s="158">
        <f>SUM(M83:M91)</f>
        <v>0</v>
      </c>
      <c r="N92" s="158">
        <f>SUM(N83:N91)</f>
        <v>0</v>
      </c>
      <c r="O92" s="50"/>
      <c r="P92" s="50"/>
      <c r="Q92" s="342" t="s">
        <v>154</v>
      </c>
      <c r="R92" s="339" t="s">
        <v>77</v>
      </c>
      <c r="S92" s="88">
        <f>IF(-C91&lt;0,C91,0)</f>
        <v>0</v>
      </c>
      <c r="T92" s="89">
        <f>IF(-C91&lt;0,-C91,0)</f>
        <v>0</v>
      </c>
    </row>
    <row r="93" spans="1:20" s="384" customFormat="1" ht="16.5" thickTop="1" thickBot="1">
      <c r="A93" s="53"/>
      <c r="Q93" s="343" t="s">
        <v>83</v>
      </c>
      <c r="R93" s="341" t="s">
        <v>78</v>
      </c>
      <c r="S93" s="118">
        <f>IF(-C91&gt;0,-C91,0)</f>
        <v>213.16</v>
      </c>
      <c r="T93" s="111">
        <f>IF(-C91&lt;0,-C91,0)</f>
        <v>0</v>
      </c>
    </row>
    <row r="94" spans="1:20" s="384" customFormat="1">
      <c r="A94" s="53"/>
      <c r="T94" s="338">
        <f>ROUND(SUM(S88:T93),2)</f>
        <v>0</v>
      </c>
    </row>
    <row r="95" spans="1:20" s="384" customFormat="1" ht="15.75" thickBot="1">
      <c r="A95" s="53"/>
    </row>
    <row r="96" spans="1:20" s="384" customFormat="1" ht="16.5" thickBot="1">
      <c r="A96" s="58"/>
      <c r="Q96" s="336" t="s">
        <v>107</v>
      </c>
      <c r="R96" s="332"/>
      <c r="S96" s="332"/>
      <c r="T96" s="228"/>
    </row>
    <row r="97" spans="1:20" s="384" customFormat="1" ht="15.75">
      <c r="A97" s="58">
        <v>41426</v>
      </c>
      <c r="B97" s="59" t="s">
        <v>84</v>
      </c>
      <c r="C97" s="50">
        <f>SUM(D97:N97)</f>
        <v>316646.56350300065</v>
      </c>
      <c r="D97" s="241">
        <v>-87258.97678599949</v>
      </c>
      <c r="E97" s="241">
        <v>403905.54028900014</v>
      </c>
      <c r="F97" s="242">
        <v>0</v>
      </c>
      <c r="G97" s="242">
        <v>0</v>
      </c>
      <c r="H97" s="50">
        <v>0</v>
      </c>
      <c r="I97" s="50"/>
      <c r="J97" s="50"/>
      <c r="K97" s="50"/>
      <c r="L97" s="50"/>
      <c r="M97" s="50"/>
      <c r="N97" s="50">
        <v>0</v>
      </c>
      <c r="O97" s="106"/>
      <c r="P97" s="50"/>
      <c r="Q97" s="345" t="s">
        <v>81</v>
      </c>
      <c r="R97" s="346" t="s">
        <v>58</v>
      </c>
      <c r="S97" s="112">
        <f>IF((-C92+C101)&gt;0,(-C92+C101),0)</f>
        <v>316605.21350300068</v>
      </c>
      <c r="T97" s="117">
        <f>IF((-C92+C101)&lt;0,(-C92+C101),0)</f>
        <v>0</v>
      </c>
    </row>
    <row r="98" spans="1:20" s="384" customFormat="1" ht="15.75">
      <c r="A98" s="62"/>
      <c r="B98" s="59" t="s">
        <v>148</v>
      </c>
      <c r="C98" s="50">
        <v>0</v>
      </c>
      <c r="D98" s="242">
        <v>0</v>
      </c>
      <c r="E98" s="242">
        <v>0</v>
      </c>
      <c r="F98" s="242"/>
      <c r="G98" s="243"/>
      <c r="H98" s="60"/>
      <c r="I98" s="50"/>
      <c r="J98" s="87"/>
      <c r="K98" s="87"/>
      <c r="L98" s="50"/>
      <c r="M98" s="50"/>
      <c r="N98" s="50"/>
      <c r="O98" s="106"/>
      <c r="P98" s="50"/>
      <c r="Q98" s="347" t="s">
        <v>11</v>
      </c>
      <c r="R98" s="348" t="s">
        <v>62</v>
      </c>
      <c r="S98" s="112">
        <v>0</v>
      </c>
      <c r="T98" s="227">
        <v>0</v>
      </c>
    </row>
    <row r="99" spans="1:20" s="384" customFormat="1" ht="15.75">
      <c r="A99" s="62"/>
      <c r="B99" s="59" t="s">
        <v>144</v>
      </c>
      <c r="C99" s="50">
        <f>SUM(D99:N99)</f>
        <v>0</v>
      </c>
      <c r="D99" s="161">
        <v>0</v>
      </c>
      <c r="E99" s="161"/>
      <c r="F99" s="161"/>
      <c r="G99" s="242">
        <v>0</v>
      </c>
      <c r="H99" s="105"/>
      <c r="I99" s="50"/>
      <c r="J99" s="87"/>
      <c r="K99" s="50"/>
      <c r="L99" s="50"/>
      <c r="M99" s="50"/>
      <c r="N99" s="50"/>
      <c r="O99" s="106"/>
      <c r="P99" s="50"/>
      <c r="Q99" s="347" t="s">
        <v>11</v>
      </c>
      <c r="R99" s="348" t="s">
        <v>207</v>
      </c>
      <c r="S99" s="112">
        <v>0</v>
      </c>
      <c r="T99" s="227">
        <v>0</v>
      </c>
    </row>
    <row r="100" spans="1:20" s="384" customFormat="1" ht="15.75">
      <c r="A100" s="62"/>
      <c r="B100" s="59" t="s">
        <v>57</v>
      </c>
      <c r="C100" s="64">
        <f>SUM(D100:N100)</f>
        <v>-41.35</v>
      </c>
      <c r="D100" s="64"/>
      <c r="E100" s="64"/>
      <c r="F100" s="64"/>
      <c r="G100" s="64"/>
      <c r="H100" s="64">
        <f>ROUND(((C92)+(C97)/2)*(O100/12),2)</f>
        <v>-41.35</v>
      </c>
      <c r="I100" s="64"/>
      <c r="J100" s="64"/>
      <c r="K100" s="64"/>
      <c r="L100" s="64"/>
      <c r="M100" s="64"/>
      <c r="N100" s="64"/>
      <c r="O100" s="99">
        <v>0.01</v>
      </c>
      <c r="P100" s="50"/>
      <c r="Q100" s="340" t="s">
        <v>80</v>
      </c>
      <c r="R100" s="339" t="s">
        <v>59</v>
      </c>
      <c r="S100" s="88">
        <f>IF((-C97-C98-C99)&gt;0,(-C97-C98-C99),0)</f>
        <v>0</v>
      </c>
      <c r="T100" s="89">
        <f>IF((-C97-C98-C99)&lt;0,(-C97-C98-C99),0)</f>
        <v>-316646.56350300065</v>
      </c>
    </row>
    <row r="101" spans="1:20" s="384" customFormat="1" ht="16.5" thickBot="1">
      <c r="A101" s="104">
        <f>A97</f>
        <v>41426</v>
      </c>
      <c r="B101" s="50" t="s">
        <v>56</v>
      </c>
      <c r="C101" s="158">
        <f>SUM(C92:C100)</f>
        <v>108659.40754694026</v>
      </c>
      <c r="D101" s="158">
        <f>SUM(D92:D100)</f>
        <v>-764537.78326267947</v>
      </c>
      <c r="E101" s="158">
        <f>SUM(E92:E100)</f>
        <v>881118.9608096208</v>
      </c>
      <c r="F101" s="158">
        <f t="shared" ref="F101" si="13">SUM(F92:F100)</f>
        <v>0</v>
      </c>
      <c r="G101" s="158">
        <f t="shared" ref="G101" si="14">SUM(G92:G100)</f>
        <v>0</v>
      </c>
      <c r="H101" s="158">
        <f t="shared" ref="H101" si="15">SUM(H92:H100)</f>
        <v>-7921.7699999999995</v>
      </c>
      <c r="I101" s="158">
        <f>SUM(I86:I100)</f>
        <v>0</v>
      </c>
      <c r="J101" s="158">
        <f>SUM(J86:J100)</f>
        <v>0</v>
      </c>
      <c r="K101" s="158">
        <f>SUM(K86:K100)</f>
        <v>0</v>
      </c>
      <c r="L101" s="158">
        <f>SUM(L86:L100)</f>
        <v>0</v>
      </c>
      <c r="M101" s="158">
        <f>SUM(M92:M100)</f>
        <v>0</v>
      </c>
      <c r="N101" s="158">
        <f>SUM(N92:N100)</f>
        <v>0</v>
      </c>
      <c r="O101" s="50"/>
      <c r="P101" s="50"/>
      <c r="Q101" s="342" t="s">
        <v>154</v>
      </c>
      <c r="R101" s="339" t="s">
        <v>77</v>
      </c>
      <c r="S101" s="88">
        <f>IF(-C100&lt;0,C100,0)</f>
        <v>0</v>
      </c>
      <c r="T101" s="89">
        <f>IF(-C100&lt;0,-C100,0)</f>
        <v>0</v>
      </c>
    </row>
    <row r="102" spans="1:20" s="384" customFormat="1" ht="16.5" thickTop="1" thickBot="1">
      <c r="A102" s="53"/>
      <c r="Q102" s="343" t="s">
        <v>83</v>
      </c>
      <c r="R102" s="341" t="s">
        <v>78</v>
      </c>
      <c r="S102" s="118">
        <f>IF(-C100&gt;0,-C100,0)</f>
        <v>41.35</v>
      </c>
      <c r="T102" s="111">
        <f>IF(-C100&lt;0,-C100,0)</f>
        <v>0</v>
      </c>
    </row>
    <row r="103" spans="1:20" s="384" customFormat="1">
      <c r="A103" s="53"/>
      <c r="T103" s="338">
        <f>ROUND(SUM(S97:T102),2)</f>
        <v>0</v>
      </c>
    </row>
    <row r="104" spans="1:20" ht="15.75" thickBot="1"/>
    <row r="105" spans="1:20" s="384" customFormat="1" ht="16.5" thickBot="1">
      <c r="A105" s="58"/>
      <c r="Q105" s="336" t="s">
        <v>107</v>
      </c>
      <c r="R105" s="332"/>
      <c r="S105" s="332"/>
      <c r="T105" s="228"/>
    </row>
    <row r="106" spans="1:20" s="384" customFormat="1" ht="15.75">
      <c r="A106" s="58">
        <v>41456</v>
      </c>
      <c r="B106" s="59" t="s">
        <v>84</v>
      </c>
      <c r="C106" s="50">
        <f>SUM(D106:N106)</f>
        <v>269453.32351300115</v>
      </c>
      <c r="D106" s="241">
        <v>-247183.18822599918</v>
      </c>
      <c r="E106" s="241">
        <v>516636.51173900033</v>
      </c>
      <c r="F106" s="242">
        <v>0</v>
      </c>
      <c r="G106" s="242">
        <v>0</v>
      </c>
      <c r="H106" s="50">
        <v>0</v>
      </c>
      <c r="I106" s="50"/>
      <c r="J106" s="50"/>
      <c r="K106" s="50"/>
      <c r="L106" s="50"/>
      <c r="M106" s="50"/>
      <c r="N106" s="50">
        <v>0</v>
      </c>
      <c r="O106" s="106"/>
      <c r="P106" s="50"/>
      <c r="Q106" s="345" t="s">
        <v>81</v>
      </c>
      <c r="R106" s="346" t="s">
        <v>58</v>
      </c>
      <c r="S106" s="112">
        <f>IF((-C101+C110)&gt;0,(-C101+C110),0)</f>
        <v>269656.14351300115</v>
      </c>
      <c r="T106" s="117">
        <f>IF((-C101+C110)&lt;0,(-C101+C110),0)</f>
        <v>0</v>
      </c>
    </row>
    <row r="107" spans="1:20" s="384" customFormat="1" ht="15.75">
      <c r="A107" s="62"/>
      <c r="B107" s="59" t="s">
        <v>148</v>
      </c>
      <c r="C107" s="50">
        <v>0</v>
      </c>
      <c r="D107" s="242">
        <v>0</v>
      </c>
      <c r="E107" s="242">
        <v>0</v>
      </c>
      <c r="F107" s="242"/>
      <c r="G107" s="243"/>
      <c r="H107" s="60"/>
      <c r="I107" s="50"/>
      <c r="J107" s="87"/>
      <c r="K107" s="87"/>
      <c r="L107" s="50"/>
      <c r="M107" s="50"/>
      <c r="N107" s="50"/>
      <c r="O107" s="106"/>
      <c r="P107" s="50"/>
      <c r="Q107" s="347" t="s">
        <v>11</v>
      </c>
      <c r="R107" s="348" t="s">
        <v>62</v>
      </c>
      <c r="S107" s="112">
        <v>0</v>
      </c>
      <c r="T107" s="227">
        <v>0</v>
      </c>
    </row>
    <row r="108" spans="1:20" s="384" customFormat="1" ht="15.75">
      <c r="A108" s="62"/>
      <c r="B108" s="59" t="s">
        <v>144</v>
      </c>
      <c r="C108" s="50">
        <f>SUM(D108:N108)</f>
        <v>0</v>
      </c>
      <c r="D108" s="161">
        <v>0</v>
      </c>
      <c r="E108" s="161"/>
      <c r="F108" s="161"/>
      <c r="G108" s="242">
        <v>0</v>
      </c>
      <c r="H108" s="105"/>
      <c r="I108" s="50"/>
      <c r="J108" s="87"/>
      <c r="K108" s="50"/>
      <c r="L108" s="50"/>
      <c r="M108" s="50"/>
      <c r="N108" s="50"/>
      <c r="O108" s="106"/>
      <c r="P108" s="50"/>
      <c r="Q108" s="347" t="s">
        <v>11</v>
      </c>
      <c r="R108" s="348" t="s">
        <v>207</v>
      </c>
      <c r="S108" s="112">
        <v>0</v>
      </c>
      <c r="T108" s="227">
        <v>0</v>
      </c>
    </row>
    <row r="109" spans="1:20" s="384" customFormat="1" ht="15.75">
      <c r="A109" s="62"/>
      <c r="B109" s="59" t="s">
        <v>57</v>
      </c>
      <c r="C109" s="64">
        <f>SUM(D109:N109)</f>
        <v>202.82</v>
      </c>
      <c r="D109" s="64"/>
      <c r="E109" s="64"/>
      <c r="F109" s="64"/>
      <c r="G109" s="64"/>
      <c r="H109" s="64">
        <v>202.82</v>
      </c>
      <c r="I109" s="64"/>
      <c r="J109" s="64"/>
      <c r="K109" s="64"/>
      <c r="L109" s="64"/>
      <c r="M109" s="64"/>
      <c r="N109" s="64"/>
      <c r="O109" s="99">
        <v>0.01</v>
      </c>
      <c r="P109" s="50"/>
      <c r="Q109" s="340" t="s">
        <v>80</v>
      </c>
      <c r="R109" s="339" t="s">
        <v>59</v>
      </c>
      <c r="S109" s="88">
        <f>IF((-C106-C107-C108)&gt;0,(-C106-C107-C108),0)</f>
        <v>0</v>
      </c>
      <c r="T109" s="89">
        <f>IF((-C106-C107-C108)&lt;0,(-C106-C107-C108),0)</f>
        <v>-269453.32351300115</v>
      </c>
    </row>
    <row r="110" spans="1:20" s="384" customFormat="1" ht="16.5" thickBot="1">
      <c r="A110" s="104">
        <f>A106</f>
        <v>41456</v>
      </c>
      <c r="B110" s="50" t="s">
        <v>56</v>
      </c>
      <c r="C110" s="158">
        <f>SUM(C101:C109)</f>
        <v>378315.55105994141</v>
      </c>
      <c r="D110" s="158">
        <f>SUM(D101:D109)</f>
        <v>-1011720.9714886786</v>
      </c>
      <c r="E110" s="158">
        <f>SUM(E101:E109)</f>
        <v>1397755.4725486212</v>
      </c>
      <c r="F110" s="158">
        <f t="shared" ref="F110:H110" si="16">SUM(F101:F109)</f>
        <v>0</v>
      </c>
      <c r="G110" s="158">
        <f t="shared" si="16"/>
        <v>0</v>
      </c>
      <c r="H110" s="158">
        <f t="shared" si="16"/>
        <v>-7718.95</v>
      </c>
      <c r="I110" s="158">
        <f>SUM(I95:I109)</f>
        <v>0</v>
      </c>
      <c r="J110" s="158">
        <f>SUM(J95:J109)</f>
        <v>0</v>
      </c>
      <c r="K110" s="158">
        <f>SUM(K95:K109)</f>
        <v>0</v>
      </c>
      <c r="L110" s="158">
        <f>SUM(L95:L109)</f>
        <v>0</v>
      </c>
      <c r="M110" s="158">
        <f>SUM(M101:M109)</f>
        <v>0</v>
      </c>
      <c r="N110" s="158">
        <f>SUM(N101:N109)</f>
        <v>0</v>
      </c>
      <c r="O110" s="50"/>
      <c r="P110" s="50"/>
      <c r="Q110" s="342" t="s">
        <v>154</v>
      </c>
      <c r="R110" s="339" t="s">
        <v>77</v>
      </c>
      <c r="S110" s="88">
        <v>0</v>
      </c>
      <c r="T110" s="89">
        <f>IF(-C109&lt;0,-C109,0)</f>
        <v>-202.82</v>
      </c>
    </row>
    <row r="111" spans="1:20" s="384" customFormat="1" ht="16.5" thickTop="1" thickBot="1">
      <c r="A111" s="53"/>
      <c r="Q111" s="343" t="s">
        <v>83</v>
      </c>
      <c r="R111" s="341" t="s">
        <v>78</v>
      </c>
      <c r="S111" s="118">
        <f>IF(-C109&gt;0,-C109,0)</f>
        <v>0</v>
      </c>
      <c r="T111" s="111">
        <v>0</v>
      </c>
    </row>
    <row r="112" spans="1:20" s="384" customFormat="1">
      <c r="A112" s="53"/>
      <c r="T112" s="338">
        <f>ROUND(SUM(S106:T111),2)</f>
        <v>0</v>
      </c>
    </row>
    <row r="113" spans="1:20" ht="15.75" thickBot="1"/>
    <row r="114" spans="1:20" s="384" customFormat="1" ht="16.5" thickBot="1">
      <c r="A114" s="58"/>
      <c r="Q114" s="336" t="s">
        <v>107</v>
      </c>
      <c r="R114" s="332"/>
      <c r="S114" s="332"/>
      <c r="T114" s="228"/>
    </row>
    <row r="115" spans="1:20" s="384" customFormat="1" ht="15.75">
      <c r="A115" s="58">
        <v>41487</v>
      </c>
      <c r="B115" s="59" t="s">
        <v>84</v>
      </c>
      <c r="C115" s="50">
        <f>SUM(D115:N115)</f>
        <v>112699.18364000041</v>
      </c>
      <c r="D115" s="241">
        <v>-357404.51535499981</v>
      </c>
      <c r="E115" s="241">
        <v>470103.69899500022</v>
      </c>
      <c r="F115" s="242">
        <v>0</v>
      </c>
      <c r="G115" s="242">
        <v>0</v>
      </c>
      <c r="H115" s="50">
        <v>0</v>
      </c>
      <c r="I115" s="50"/>
      <c r="J115" s="50"/>
      <c r="K115" s="50"/>
      <c r="L115" s="50"/>
      <c r="M115" s="50"/>
      <c r="N115" s="50">
        <v>0</v>
      </c>
      <c r="O115" s="106"/>
      <c r="P115" s="50"/>
      <c r="Q115" s="345" t="s">
        <v>81</v>
      </c>
      <c r="R115" s="346" t="s">
        <v>58</v>
      </c>
      <c r="S115" s="112">
        <f>IF((-C110+C119)&gt;0,(-C110+C119),0)</f>
        <v>113061.40364000038</v>
      </c>
      <c r="T115" s="117">
        <f>IF((-C110+C119)&lt;0,(-C110+C119),0)</f>
        <v>0</v>
      </c>
    </row>
    <row r="116" spans="1:20" s="384" customFormat="1" ht="15.75">
      <c r="A116" s="62"/>
      <c r="B116" s="59" t="s">
        <v>148</v>
      </c>
      <c r="C116" s="50">
        <v>0</v>
      </c>
      <c r="D116" s="242">
        <v>0</v>
      </c>
      <c r="E116" s="242">
        <v>0</v>
      </c>
      <c r="F116" s="242"/>
      <c r="G116" s="243"/>
      <c r="H116" s="60"/>
      <c r="I116" s="50"/>
      <c r="J116" s="87"/>
      <c r="K116" s="87"/>
      <c r="L116" s="50"/>
      <c r="M116" s="50"/>
      <c r="N116" s="50"/>
      <c r="O116" s="106"/>
      <c r="P116" s="50"/>
      <c r="Q116" s="347" t="s">
        <v>11</v>
      </c>
      <c r="R116" s="348" t="s">
        <v>62</v>
      </c>
      <c r="S116" s="112">
        <v>0</v>
      </c>
      <c r="T116" s="227">
        <v>0</v>
      </c>
    </row>
    <row r="117" spans="1:20" s="384" customFormat="1" ht="15.75">
      <c r="A117" s="62"/>
      <c r="B117" s="59" t="s">
        <v>144</v>
      </c>
      <c r="C117" s="50">
        <f>SUM(D117:N117)</f>
        <v>0</v>
      </c>
      <c r="D117" s="161">
        <v>0</v>
      </c>
      <c r="E117" s="161"/>
      <c r="F117" s="161"/>
      <c r="G117" s="242">
        <v>0</v>
      </c>
      <c r="H117" s="105"/>
      <c r="I117" s="50"/>
      <c r="J117" s="87"/>
      <c r="K117" s="50"/>
      <c r="L117" s="50"/>
      <c r="M117" s="50"/>
      <c r="N117" s="50"/>
      <c r="O117" s="106"/>
      <c r="P117" s="50"/>
      <c r="Q117" s="347" t="s">
        <v>11</v>
      </c>
      <c r="R117" s="348" t="s">
        <v>207</v>
      </c>
      <c r="S117" s="112">
        <v>0</v>
      </c>
      <c r="T117" s="227">
        <v>0</v>
      </c>
    </row>
    <row r="118" spans="1:20" s="384" customFormat="1" ht="15.75">
      <c r="A118" s="62"/>
      <c r="B118" s="59" t="s">
        <v>57</v>
      </c>
      <c r="C118" s="64">
        <f>SUM(D118:N118)</f>
        <v>362.22</v>
      </c>
      <c r="D118" s="64"/>
      <c r="E118" s="64"/>
      <c r="F118" s="64"/>
      <c r="G118" s="64"/>
      <c r="H118" s="64">
        <v>362.22</v>
      </c>
      <c r="I118" s="64"/>
      <c r="J118" s="64"/>
      <c r="K118" s="64"/>
      <c r="L118" s="64"/>
      <c r="M118" s="64"/>
      <c r="N118" s="64"/>
      <c r="O118" s="99">
        <v>0.01</v>
      </c>
      <c r="P118" s="50"/>
      <c r="Q118" s="340" t="s">
        <v>80</v>
      </c>
      <c r="R118" s="339" t="s">
        <v>59</v>
      </c>
      <c r="S118" s="88">
        <f>IF((-C115-C116-C117)&gt;0,(-C115-C116-C117),0)</f>
        <v>0</v>
      </c>
      <c r="T118" s="89">
        <f>IF((-C115-C116-C117)&lt;0,(-C115-C116-C117),0)</f>
        <v>-112699.18364000041</v>
      </c>
    </row>
    <row r="119" spans="1:20" s="384" customFormat="1" ht="16.5" thickBot="1">
      <c r="A119" s="104">
        <f>A115</f>
        <v>41487</v>
      </c>
      <c r="B119" s="50" t="s">
        <v>56</v>
      </c>
      <c r="C119" s="158">
        <f>SUM(C110:C118)</f>
        <v>491376.95469994179</v>
      </c>
      <c r="D119" s="158">
        <f>SUM(D110:D118)</f>
        <v>-1369125.4868436784</v>
      </c>
      <c r="E119" s="158">
        <f>SUM(E110:E118)</f>
        <v>1867859.1715436215</v>
      </c>
      <c r="F119" s="158">
        <f t="shared" ref="F119:H119" si="17">SUM(F110:F118)</f>
        <v>0</v>
      </c>
      <c r="G119" s="158">
        <f t="shared" si="17"/>
        <v>0</v>
      </c>
      <c r="H119" s="158">
        <f t="shared" si="17"/>
        <v>-7356.73</v>
      </c>
      <c r="I119" s="158">
        <f>SUM(I104:I118)</f>
        <v>0</v>
      </c>
      <c r="J119" s="158">
        <f>SUM(J104:J118)</f>
        <v>0</v>
      </c>
      <c r="K119" s="158">
        <f>SUM(K104:K118)</f>
        <v>0</v>
      </c>
      <c r="L119" s="158">
        <f>SUM(L104:L118)</f>
        <v>0</v>
      </c>
      <c r="M119" s="158">
        <f>SUM(M110:M118)</f>
        <v>0</v>
      </c>
      <c r="N119" s="158">
        <f>SUM(N110:N118)</f>
        <v>0</v>
      </c>
      <c r="O119" s="50"/>
      <c r="P119" s="50"/>
      <c r="Q119" s="342" t="s">
        <v>154</v>
      </c>
      <c r="R119" s="339" t="s">
        <v>77</v>
      </c>
      <c r="S119" s="88">
        <v>0</v>
      </c>
      <c r="T119" s="89">
        <f>IF(-C118&lt;0,-C118,0)</f>
        <v>-362.22</v>
      </c>
    </row>
    <row r="120" spans="1:20" s="384" customFormat="1" ht="16.5" thickTop="1" thickBot="1">
      <c r="A120" s="53"/>
      <c r="Q120" s="343" t="s">
        <v>83</v>
      </c>
      <c r="R120" s="341" t="s">
        <v>78</v>
      </c>
      <c r="S120" s="118">
        <f>IF(-C118&gt;0,-C118,0)</f>
        <v>0</v>
      </c>
      <c r="T120" s="111">
        <v>0</v>
      </c>
    </row>
    <row r="121" spans="1:20" s="384" customFormat="1">
      <c r="A121" s="53"/>
      <c r="T121" s="338">
        <f>ROUND(SUM(S115:T120),2)</f>
        <v>0</v>
      </c>
    </row>
    <row r="122" spans="1:20" ht="15.75" thickBot="1"/>
    <row r="123" spans="1:20" s="384" customFormat="1" ht="16.5" thickBot="1">
      <c r="A123" s="58"/>
      <c r="Q123" s="336" t="s">
        <v>107</v>
      </c>
      <c r="R123" s="332"/>
      <c r="S123" s="332"/>
      <c r="T123" s="228"/>
    </row>
    <row r="124" spans="1:20" s="384" customFormat="1" ht="15.75">
      <c r="A124" s="58">
        <v>41518</v>
      </c>
      <c r="B124" s="59" t="s">
        <v>84</v>
      </c>
      <c r="C124" s="50">
        <f>SUM(D124:N124)</f>
        <v>-78276.439306000422</v>
      </c>
      <c r="D124" s="241">
        <v>-455176.44495200075</v>
      </c>
      <c r="E124" s="241">
        <v>376900.00564600033</v>
      </c>
      <c r="F124" s="242">
        <v>0</v>
      </c>
      <c r="G124" s="242">
        <v>0</v>
      </c>
      <c r="H124" s="50">
        <v>0</v>
      </c>
      <c r="I124" s="50"/>
      <c r="J124" s="50"/>
      <c r="K124" s="50"/>
      <c r="L124" s="50"/>
      <c r="M124" s="50"/>
      <c r="N124" s="50">
        <v>0</v>
      </c>
      <c r="O124" s="106"/>
      <c r="P124" s="50"/>
      <c r="Q124" s="345" t="s">
        <v>81</v>
      </c>
      <c r="R124" s="346" t="s">
        <v>58</v>
      </c>
      <c r="S124" s="112">
        <f>IF((-C119+C128)&gt;0,(-C119+C128),0)</f>
        <v>0</v>
      </c>
      <c r="T124" s="117">
        <f>IF((-C119+C128)&lt;0,(-C119+C128),0)</f>
        <v>-77899.569306000427</v>
      </c>
    </row>
    <row r="125" spans="1:20" s="384" customFormat="1" ht="15.75">
      <c r="A125" s="62"/>
      <c r="B125" s="59" t="s">
        <v>148</v>
      </c>
      <c r="C125" s="50">
        <v>0</v>
      </c>
      <c r="D125" s="242">
        <v>0</v>
      </c>
      <c r="E125" s="242">
        <v>0</v>
      </c>
      <c r="F125" s="242"/>
      <c r="G125" s="243"/>
      <c r="H125" s="60"/>
      <c r="I125" s="50"/>
      <c r="J125" s="87"/>
      <c r="K125" s="87"/>
      <c r="L125" s="50"/>
      <c r="M125" s="50"/>
      <c r="N125" s="50"/>
      <c r="O125" s="106"/>
      <c r="P125" s="50"/>
      <c r="Q125" s="347" t="s">
        <v>11</v>
      </c>
      <c r="R125" s="348" t="s">
        <v>62</v>
      </c>
      <c r="S125" s="112">
        <v>0</v>
      </c>
      <c r="T125" s="227">
        <v>0</v>
      </c>
    </row>
    <row r="126" spans="1:20" s="384" customFormat="1" ht="15.75">
      <c r="A126" s="62"/>
      <c r="B126" s="59" t="s">
        <v>144</v>
      </c>
      <c r="C126" s="50">
        <f>SUM(D126:N126)</f>
        <v>0</v>
      </c>
      <c r="D126" s="161">
        <v>0</v>
      </c>
      <c r="E126" s="161"/>
      <c r="F126" s="161"/>
      <c r="G126" s="242">
        <v>0</v>
      </c>
      <c r="H126" s="105"/>
      <c r="I126" s="50"/>
      <c r="J126" s="87"/>
      <c r="K126" s="50"/>
      <c r="L126" s="50"/>
      <c r="M126" s="50"/>
      <c r="N126" s="50"/>
      <c r="O126" s="106"/>
      <c r="P126" s="50"/>
      <c r="Q126" s="347" t="s">
        <v>11</v>
      </c>
      <c r="R126" s="348" t="s">
        <v>207</v>
      </c>
      <c r="S126" s="112">
        <v>0</v>
      </c>
      <c r="T126" s="227">
        <v>0</v>
      </c>
    </row>
    <row r="127" spans="1:20" s="384" customFormat="1" ht="15.75">
      <c r="A127" s="62"/>
      <c r="B127" s="59" t="s">
        <v>57</v>
      </c>
      <c r="C127" s="64">
        <f>SUM(D127:N127)</f>
        <v>376.87</v>
      </c>
      <c r="D127" s="64"/>
      <c r="E127" s="64"/>
      <c r="F127" s="64"/>
      <c r="G127" s="64"/>
      <c r="H127" s="64">
        <f>ROUND(((C119)+(C124)/2)*(O127/12),2)</f>
        <v>376.87</v>
      </c>
      <c r="I127" s="64"/>
      <c r="J127" s="64"/>
      <c r="K127" s="64"/>
      <c r="L127" s="64"/>
      <c r="M127" s="64"/>
      <c r="N127" s="64"/>
      <c r="O127" s="99">
        <v>0.01</v>
      </c>
      <c r="P127" s="50"/>
      <c r="Q127" s="340" t="s">
        <v>80</v>
      </c>
      <c r="R127" s="339" t="s">
        <v>59</v>
      </c>
      <c r="S127" s="88">
        <f>IF((-C124-C125-C126)&gt;0,(-C124-C125-C126),0)</f>
        <v>78276.439306000422</v>
      </c>
      <c r="T127" s="89">
        <f>IF((-C124-C125-C126)&lt;0,(-C124-C125-C126),0)</f>
        <v>0</v>
      </c>
    </row>
    <row r="128" spans="1:20" s="384" customFormat="1" ht="16.5" thickBot="1">
      <c r="A128" s="104">
        <f>A124</f>
        <v>41518</v>
      </c>
      <c r="B128" s="50" t="s">
        <v>56</v>
      </c>
      <c r="C128" s="158">
        <f>SUM(C119:C127)</f>
        <v>413477.38539394137</v>
      </c>
      <c r="D128" s="158">
        <f>SUM(D119:D127)</f>
        <v>-1824301.931795679</v>
      </c>
      <c r="E128" s="158">
        <f>SUM(E119:E127)</f>
        <v>2244759.1771896216</v>
      </c>
      <c r="F128" s="158">
        <f t="shared" ref="F128:H128" si="18">SUM(F119:F127)</f>
        <v>0</v>
      </c>
      <c r="G128" s="158">
        <f t="shared" si="18"/>
        <v>0</v>
      </c>
      <c r="H128" s="158">
        <f t="shared" si="18"/>
        <v>-6979.86</v>
      </c>
      <c r="I128" s="158">
        <f>SUM(I113:I127)</f>
        <v>0</v>
      </c>
      <c r="J128" s="158">
        <f>SUM(J113:J127)</f>
        <v>0</v>
      </c>
      <c r="K128" s="158">
        <f>SUM(K113:K127)</f>
        <v>0</v>
      </c>
      <c r="L128" s="158">
        <f>SUM(L113:L127)</f>
        <v>0</v>
      </c>
      <c r="M128" s="158">
        <f>SUM(M119:M127)</f>
        <v>0</v>
      </c>
      <c r="N128" s="158">
        <f>SUM(N119:N127)</f>
        <v>0</v>
      </c>
      <c r="O128" s="50"/>
      <c r="P128" s="50"/>
      <c r="Q128" s="342" t="s">
        <v>154</v>
      </c>
      <c r="R128" s="339" t="s">
        <v>77</v>
      </c>
      <c r="S128" s="88">
        <v>0</v>
      </c>
      <c r="T128" s="89">
        <f>IF(-C127&lt;0,-C127,0)</f>
        <v>-376.87</v>
      </c>
    </row>
    <row r="129" spans="1:20" s="384" customFormat="1" ht="16.5" thickTop="1" thickBot="1">
      <c r="A129" s="53"/>
      <c r="Q129" s="343" t="s">
        <v>83</v>
      </c>
      <c r="R129" s="341" t="s">
        <v>78</v>
      </c>
      <c r="S129" s="118">
        <f>IF(-C127&gt;0,-C127,0)</f>
        <v>0</v>
      </c>
      <c r="T129" s="111">
        <v>0</v>
      </c>
    </row>
    <row r="130" spans="1:20" s="384" customFormat="1">
      <c r="A130" s="53"/>
      <c r="T130" s="338">
        <f>ROUND(SUM(S124:T129),2)</f>
        <v>0</v>
      </c>
    </row>
    <row r="131" spans="1:20" ht="15.75">
      <c r="B131" s="2" t="s">
        <v>11</v>
      </c>
      <c r="C131" s="50">
        <f>SUM(D131:H131)</f>
        <v>-108659.43754694135</v>
      </c>
      <c r="D131" s="242">
        <f>-D101</f>
        <v>764537.78326267947</v>
      </c>
      <c r="E131" s="242">
        <f>-E101-0.03</f>
        <v>-881118.99080962082</v>
      </c>
      <c r="F131" s="242"/>
      <c r="G131" s="243"/>
      <c r="H131" s="60">
        <f>-H101</f>
        <v>7921.7699999999995</v>
      </c>
      <c r="I131" s="50"/>
      <c r="J131" s="87"/>
      <c r="K131" s="87"/>
      <c r="L131" s="50"/>
      <c r="M131" s="50"/>
      <c r="N131" s="50"/>
    </row>
    <row r="132" spans="1:20" s="384" customFormat="1" ht="16.5" thickBot="1">
      <c r="A132" s="53"/>
      <c r="B132" s="2" t="s">
        <v>227</v>
      </c>
      <c r="C132" s="158">
        <f t="shared" ref="C132:H132" si="19">SUM(C128:C131)</f>
        <v>304817.94784700003</v>
      </c>
      <c r="D132" s="158">
        <f t="shared" si="19"/>
        <v>-1059764.1485329997</v>
      </c>
      <c r="E132" s="158">
        <f t="shared" si="19"/>
        <v>1363640.1863800008</v>
      </c>
      <c r="F132" s="158">
        <f t="shared" si="19"/>
        <v>0</v>
      </c>
      <c r="G132" s="158">
        <f t="shared" si="19"/>
        <v>0</v>
      </c>
      <c r="H132" s="158">
        <f t="shared" si="19"/>
        <v>941.90999999999985</v>
      </c>
      <c r="I132" s="158">
        <f>SUM(I117:I131)</f>
        <v>0</v>
      </c>
      <c r="J132" s="158">
        <f>SUM(J117:J131)</f>
        <v>0</v>
      </c>
      <c r="K132" s="158">
        <f>SUM(K117:K131)</f>
        <v>0</v>
      </c>
      <c r="L132" s="158">
        <f>SUM(L117:L131)</f>
        <v>0</v>
      </c>
      <c r="M132" s="158">
        <f>SUM(M123:M131)</f>
        <v>0</v>
      </c>
      <c r="N132" s="158">
        <f>SUM(N123:N131)</f>
        <v>0</v>
      </c>
    </row>
    <row r="133" spans="1:20" s="384" customFormat="1" ht="15.75" thickTop="1">
      <c r="A133" s="53"/>
    </row>
    <row r="134" spans="1:20" s="384" customFormat="1">
      <c r="A134" s="53"/>
    </row>
    <row r="135" spans="1:20" s="384" customFormat="1" ht="15.75" thickBot="1">
      <c r="A135" s="53"/>
    </row>
    <row r="136" spans="1:20" s="384" customFormat="1" ht="16.5" thickBot="1">
      <c r="A136" s="58"/>
      <c r="Q136" s="336" t="s">
        <v>107</v>
      </c>
      <c r="R136" s="332"/>
      <c r="S136" s="332"/>
      <c r="T136" s="228"/>
    </row>
    <row r="137" spans="1:20" s="384" customFormat="1" ht="15.75">
      <c r="A137" s="58">
        <v>41578</v>
      </c>
      <c r="B137" s="59" t="s">
        <v>84</v>
      </c>
      <c r="C137" s="50">
        <f>SUM(D137:N137)</f>
        <v>-484520.52738299966</v>
      </c>
      <c r="D137" s="241">
        <v>-566000.77746000001</v>
      </c>
      <c r="E137" s="241">
        <v>81480.250077000353</v>
      </c>
      <c r="F137" s="242">
        <v>0</v>
      </c>
      <c r="G137" s="242">
        <v>0</v>
      </c>
      <c r="H137" s="50">
        <v>0</v>
      </c>
      <c r="I137" s="50"/>
      <c r="J137" s="50"/>
      <c r="K137" s="50"/>
      <c r="L137" s="50"/>
      <c r="M137" s="50"/>
      <c r="N137" s="50">
        <v>0</v>
      </c>
      <c r="O137" s="106"/>
      <c r="P137" s="50"/>
      <c r="Q137" s="345" t="s">
        <v>81</v>
      </c>
      <c r="R137" s="346" t="s">
        <v>58</v>
      </c>
      <c r="S137" s="112">
        <f>IF((-C128+C141)&gt;0,(-C128+C141),0)</f>
        <v>0</v>
      </c>
      <c r="T137" s="117">
        <f>IF((-C128+C141)&lt;0,(-C128+C141),0)</f>
        <v>-593127.83492994099</v>
      </c>
    </row>
    <row r="138" spans="1:20" s="384" customFormat="1" ht="15.75">
      <c r="A138" s="62"/>
      <c r="B138" s="59" t="s">
        <v>148</v>
      </c>
      <c r="C138" s="50">
        <f>SUM(D138:H138)</f>
        <v>0</v>
      </c>
      <c r="D138" s="242">
        <v>0</v>
      </c>
      <c r="E138" s="242">
        <v>0</v>
      </c>
      <c r="F138" s="242"/>
      <c r="G138" s="243"/>
      <c r="H138" s="60">
        <v>0</v>
      </c>
      <c r="I138" s="50"/>
      <c r="J138" s="87"/>
      <c r="K138" s="87"/>
      <c r="L138" s="50"/>
      <c r="M138" s="50"/>
      <c r="N138" s="50"/>
      <c r="O138" s="106"/>
      <c r="P138" s="50"/>
      <c r="Q138" s="347" t="s">
        <v>11</v>
      </c>
      <c r="R138" s="348" t="s">
        <v>62</v>
      </c>
      <c r="S138" s="112">
        <f>-C131</f>
        <v>108659.43754694135</v>
      </c>
      <c r="T138" s="227">
        <v>0</v>
      </c>
    </row>
    <row r="139" spans="1:20" s="384" customFormat="1" ht="15.75">
      <c r="A139" s="62"/>
      <c r="B139" s="59" t="s">
        <v>144</v>
      </c>
      <c r="C139" s="50">
        <f>SUM(D139:N139)</f>
        <v>0</v>
      </c>
      <c r="D139" s="161"/>
      <c r="E139" s="161"/>
      <c r="F139" s="161"/>
      <c r="G139" s="242">
        <v>0</v>
      </c>
      <c r="H139" s="105"/>
      <c r="I139" s="50"/>
      <c r="J139" s="87"/>
      <c r="K139" s="50"/>
      <c r="L139" s="50"/>
      <c r="M139" s="50"/>
      <c r="N139" s="50"/>
      <c r="O139" s="106"/>
      <c r="P139" s="50"/>
      <c r="Q139" s="347" t="s">
        <v>11</v>
      </c>
      <c r="R139" s="348" t="s">
        <v>207</v>
      </c>
      <c r="S139" s="112">
        <v>0</v>
      </c>
      <c r="T139" s="227">
        <v>0</v>
      </c>
    </row>
    <row r="140" spans="1:20" s="384" customFormat="1" ht="15.75">
      <c r="A140" s="62"/>
      <c r="B140" s="59" t="s">
        <v>57</v>
      </c>
      <c r="C140" s="64">
        <f>SUM(D140:N140)</f>
        <v>52.13</v>
      </c>
      <c r="D140" s="64"/>
      <c r="E140" s="64"/>
      <c r="F140" s="64"/>
      <c r="G140" s="64"/>
      <c r="H140" s="64">
        <v>52.13</v>
      </c>
      <c r="I140" s="64"/>
      <c r="J140" s="64"/>
      <c r="K140" s="64"/>
      <c r="L140" s="64"/>
      <c r="M140" s="64"/>
      <c r="N140" s="64"/>
      <c r="O140" s="99">
        <v>0.01</v>
      </c>
      <c r="P140" s="50"/>
      <c r="Q140" s="340" t="s">
        <v>80</v>
      </c>
      <c r="R140" s="339" t="s">
        <v>59</v>
      </c>
      <c r="S140" s="88">
        <f>IF((-C137-C138-C139)&gt;0,(-C137-C138-C139),0)</f>
        <v>484520.52738299966</v>
      </c>
      <c r="T140" s="89">
        <f>IF((-C137-C138-C139)&lt;0,(-C137-C138-C139),0)</f>
        <v>0</v>
      </c>
    </row>
    <row r="141" spans="1:20" s="384" customFormat="1" ht="16.5" thickBot="1">
      <c r="A141" s="104">
        <f>A137</f>
        <v>41578</v>
      </c>
      <c r="B141" s="50" t="s">
        <v>56</v>
      </c>
      <c r="C141" s="158">
        <f t="shared" ref="C141:H141" si="20">SUM(C132:C140)</f>
        <v>-179650.44953599962</v>
      </c>
      <c r="D141" s="158">
        <f t="shared" si="20"/>
        <v>-1625764.9259929997</v>
      </c>
      <c r="E141" s="158">
        <f t="shared" si="20"/>
        <v>1445120.4364570011</v>
      </c>
      <c r="F141" s="158">
        <f t="shared" si="20"/>
        <v>0</v>
      </c>
      <c r="G141" s="158">
        <f t="shared" si="20"/>
        <v>0</v>
      </c>
      <c r="H141" s="158">
        <f t="shared" si="20"/>
        <v>994.03999999999985</v>
      </c>
      <c r="I141" s="158">
        <f>SUM(I122:I140)</f>
        <v>0</v>
      </c>
      <c r="J141" s="158">
        <f>SUM(J122:J140)</f>
        <v>0</v>
      </c>
      <c r="K141" s="158">
        <f>SUM(K122:K140)</f>
        <v>0</v>
      </c>
      <c r="L141" s="158">
        <f>SUM(L122:L140)</f>
        <v>0</v>
      </c>
      <c r="M141" s="158">
        <f>SUM(M128:M140)</f>
        <v>0</v>
      </c>
      <c r="N141" s="158">
        <f>SUM(N128:N140)</f>
        <v>0</v>
      </c>
      <c r="O141" s="50"/>
      <c r="P141" s="50"/>
      <c r="Q141" s="342" t="s">
        <v>154</v>
      </c>
      <c r="R141" s="339" t="s">
        <v>77</v>
      </c>
      <c r="S141" s="88">
        <v>0</v>
      </c>
      <c r="T141" s="89">
        <f>IF(-C140&lt;0,-C140,0)</f>
        <v>-52.13</v>
      </c>
    </row>
    <row r="142" spans="1:20" s="384" customFormat="1" ht="16.5" thickTop="1" thickBot="1">
      <c r="A142" s="53"/>
      <c r="Q142" s="343" t="s">
        <v>83</v>
      </c>
      <c r="R142" s="341" t="s">
        <v>78</v>
      </c>
      <c r="S142" s="118">
        <f>IF(-C140&gt;0,-C140,0)</f>
        <v>0</v>
      </c>
      <c r="T142" s="111">
        <v>0</v>
      </c>
    </row>
    <row r="143" spans="1:20" s="384" customFormat="1">
      <c r="A143" s="53"/>
      <c r="T143" s="338">
        <f>ROUND(SUM(S137:T142),2)</f>
        <v>0</v>
      </c>
    </row>
    <row r="144" spans="1:20" s="384" customFormat="1" ht="15.75" thickBot="1">
      <c r="A144" s="53"/>
    </row>
    <row r="145" spans="1:20" s="384" customFormat="1" ht="16.5" thickBot="1">
      <c r="A145" s="58"/>
      <c r="Q145" s="336" t="s">
        <v>107</v>
      </c>
      <c r="R145" s="332"/>
      <c r="S145" s="332"/>
      <c r="T145" s="228"/>
    </row>
    <row r="146" spans="1:20" s="384" customFormat="1" ht="15.75">
      <c r="A146" s="58">
        <f>EOMONTH(A141,1)</f>
        <v>41608</v>
      </c>
      <c r="B146" s="59" t="s">
        <v>84</v>
      </c>
      <c r="C146" s="50">
        <f>SUM(D146:N146)</f>
        <v>-593071.07474399754</v>
      </c>
      <c r="D146" s="241">
        <v>-244467.20447699772</v>
      </c>
      <c r="E146" s="241">
        <v>-348603.87026699982</v>
      </c>
      <c r="F146" s="242">
        <v>0</v>
      </c>
      <c r="G146" s="242">
        <v>0</v>
      </c>
      <c r="H146" s="50">
        <v>0</v>
      </c>
      <c r="I146" s="50"/>
      <c r="J146" s="50"/>
      <c r="K146" s="50"/>
      <c r="L146" s="50"/>
      <c r="M146" s="50"/>
      <c r="N146" s="50">
        <v>0</v>
      </c>
      <c r="O146" s="106"/>
      <c r="P146" s="50"/>
      <c r="Q146" s="345" t="s">
        <v>81</v>
      </c>
      <c r="R146" s="346" t="s">
        <v>58</v>
      </c>
      <c r="S146" s="112">
        <f>IF((-C141+C150)&gt;0,(-C141+C150),0)</f>
        <v>0</v>
      </c>
      <c r="T146" s="117">
        <f>IF((-C141+C150)&lt;0,(-C141+C150),0)</f>
        <v>-591098.89221899747</v>
      </c>
    </row>
    <row r="147" spans="1:20" s="384" customFormat="1" ht="15.75">
      <c r="A147" s="62"/>
      <c r="B147" s="59" t="s">
        <v>148</v>
      </c>
      <c r="C147" s="50">
        <f>SUM(D147:H147)</f>
        <v>2369.0025250000003</v>
      </c>
      <c r="D147" s="242">
        <v>2367.0300000000002</v>
      </c>
      <c r="E147" s="242">
        <v>0</v>
      </c>
      <c r="F147" s="242"/>
      <c r="G147" s="243"/>
      <c r="H147" s="60">
        <v>1.9725250000000001</v>
      </c>
      <c r="I147" s="50"/>
      <c r="J147" s="87"/>
      <c r="K147" s="87"/>
      <c r="L147" s="50"/>
      <c r="M147" s="50"/>
      <c r="N147" s="50"/>
      <c r="O147" s="106"/>
      <c r="P147" s="50"/>
      <c r="Q147" s="347" t="s">
        <v>11</v>
      </c>
      <c r="R147" s="348" t="s">
        <v>62</v>
      </c>
      <c r="S147" s="112">
        <v>0</v>
      </c>
      <c r="T147" s="227">
        <v>0</v>
      </c>
    </row>
    <row r="148" spans="1:20" s="384" customFormat="1" ht="15.75">
      <c r="A148" s="62"/>
      <c r="B148" s="59" t="s">
        <v>144</v>
      </c>
      <c r="C148" s="50">
        <f>SUM(D148:N148)</f>
        <v>0</v>
      </c>
      <c r="D148" s="161"/>
      <c r="E148" s="161"/>
      <c r="F148" s="161"/>
      <c r="G148" s="242">
        <v>0</v>
      </c>
      <c r="H148" s="105"/>
      <c r="I148" s="50"/>
      <c r="J148" s="87"/>
      <c r="K148" s="50"/>
      <c r="L148" s="50"/>
      <c r="M148" s="50"/>
      <c r="N148" s="50"/>
      <c r="O148" s="106"/>
      <c r="P148" s="50"/>
      <c r="Q148" s="347" t="s">
        <v>11</v>
      </c>
      <c r="R148" s="348" t="s">
        <v>207</v>
      </c>
      <c r="S148" s="112">
        <v>0</v>
      </c>
      <c r="T148" s="227">
        <v>0</v>
      </c>
    </row>
    <row r="149" spans="1:20" s="384" customFormat="1" ht="15.75">
      <c r="A149" s="62"/>
      <c r="B149" s="59" t="s">
        <v>57</v>
      </c>
      <c r="C149" s="64">
        <f>SUM(D149:N149)</f>
        <v>-396.82</v>
      </c>
      <c r="D149" s="64"/>
      <c r="E149" s="64"/>
      <c r="F149" s="64"/>
      <c r="G149" s="64"/>
      <c r="H149" s="64">
        <v>-396.82</v>
      </c>
      <c r="I149" s="64"/>
      <c r="J149" s="64"/>
      <c r="K149" s="64"/>
      <c r="L149" s="64"/>
      <c r="M149" s="64"/>
      <c r="N149" s="64"/>
      <c r="O149" s="99">
        <v>0.01</v>
      </c>
      <c r="P149" s="50"/>
      <c r="Q149" s="340" t="s">
        <v>80</v>
      </c>
      <c r="R149" s="339" t="s">
        <v>59</v>
      </c>
      <c r="S149" s="88">
        <f>IF((-C146-C147-C148)&gt;0,(-C146-C147-C148),0)</f>
        <v>590702.07221899752</v>
      </c>
      <c r="T149" s="89">
        <f>IF((-C146-C147-C148)&lt;0,(-C146-C147-C148),0)</f>
        <v>0</v>
      </c>
    </row>
    <row r="150" spans="1:20" s="384" customFormat="1" ht="16.5" thickBot="1">
      <c r="A150" s="104">
        <f>A146</f>
        <v>41608</v>
      </c>
      <c r="B150" s="50" t="s">
        <v>56</v>
      </c>
      <c r="C150" s="158">
        <f t="shared" ref="C150:H150" si="21">SUM(C141:C149)</f>
        <v>-770749.34175499715</v>
      </c>
      <c r="D150" s="158">
        <f t="shared" si="21"/>
        <v>-1867865.1004699974</v>
      </c>
      <c r="E150" s="158">
        <f t="shared" si="21"/>
        <v>1096516.5661900013</v>
      </c>
      <c r="F150" s="158">
        <f t="shared" si="21"/>
        <v>0</v>
      </c>
      <c r="G150" s="158">
        <f t="shared" si="21"/>
        <v>0</v>
      </c>
      <c r="H150" s="158">
        <f t="shared" si="21"/>
        <v>599.19252499999993</v>
      </c>
      <c r="I150" s="158">
        <f>SUM(I131:I149)</f>
        <v>0</v>
      </c>
      <c r="J150" s="158">
        <f>SUM(J131:J149)</f>
        <v>0</v>
      </c>
      <c r="K150" s="158">
        <f>SUM(K131:K149)</f>
        <v>0</v>
      </c>
      <c r="L150" s="158">
        <f>SUM(L131:L149)</f>
        <v>0</v>
      </c>
      <c r="M150" s="158">
        <f>SUM(M137:M149)</f>
        <v>0</v>
      </c>
      <c r="N150" s="158">
        <f>SUM(N137:N149)</f>
        <v>0</v>
      </c>
      <c r="O150" s="50"/>
      <c r="P150" s="50"/>
      <c r="Q150" s="342" t="s">
        <v>154</v>
      </c>
      <c r="R150" s="339" t="s">
        <v>77</v>
      </c>
      <c r="S150" s="88">
        <v>0</v>
      </c>
      <c r="T150" s="89">
        <f>IF(-C149&lt;0,-C149,0)</f>
        <v>0</v>
      </c>
    </row>
    <row r="151" spans="1:20" s="384" customFormat="1" ht="16.5" thickTop="1" thickBot="1">
      <c r="A151" s="53"/>
      <c r="Q151" s="343" t="s">
        <v>83</v>
      </c>
      <c r="R151" s="341" t="s">
        <v>78</v>
      </c>
      <c r="S151" s="118">
        <f>IF(-C149&gt;0,-C149,0)</f>
        <v>396.82</v>
      </c>
      <c r="T151" s="111">
        <v>0</v>
      </c>
    </row>
    <row r="152" spans="1:20" s="384" customFormat="1">
      <c r="A152" s="53"/>
      <c r="T152" s="338">
        <f>ROUND(SUM(S146:T151),2)</f>
        <v>0</v>
      </c>
    </row>
    <row r="153" spans="1:20" s="384" customFormat="1" ht="15.75" thickBot="1">
      <c r="A153" s="53"/>
    </row>
    <row r="154" spans="1:20" s="384" customFormat="1" ht="16.5" thickBot="1">
      <c r="A154" s="58"/>
      <c r="Q154" s="336" t="s">
        <v>238</v>
      </c>
      <c r="R154" s="332"/>
      <c r="S154" s="332"/>
      <c r="T154" s="228"/>
    </row>
    <row r="155" spans="1:20" s="384" customFormat="1" ht="15.75">
      <c r="A155" s="58">
        <f>EOMONTH(A150,1)</f>
        <v>41639</v>
      </c>
      <c r="B155" s="59" t="s">
        <v>84</v>
      </c>
      <c r="C155" s="50">
        <f>SUM(D155:N155)</f>
        <v>-820435.88225500053</v>
      </c>
      <c r="D155" s="241">
        <f>Jan!$J$55</f>
        <v>-301284.36970700044</v>
      </c>
      <c r="E155" s="241">
        <f>Jan!$K$55</f>
        <v>-519151.51254800009</v>
      </c>
      <c r="F155" s="242">
        <v>0</v>
      </c>
      <c r="G155" s="242">
        <v>0</v>
      </c>
      <c r="H155" s="50">
        <v>0</v>
      </c>
      <c r="I155" s="50"/>
      <c r="J155" s="50"/>
      <c r="K155" s="50"/>
      <c r="L155" s="50"/>
      <c r="M155" s="50"/>
      <c r="N155" s="50">
        <v>0</v>
      </c>
      <c r="O155" s="106"/>
      <c r="P155" s="50"/>
      <c r="Q155" s="345" t="s">
        <v>81</v>
      </c>
      <c r="R155" s="346" t="s">
        <v>58</v>
      </c>
      <c r="S155" s="112">
        <f>IF((-C150+C159)&gt;0,(-C150+C159),0)</f>
        <v>0</v>
      </c>
      <c r="T155" s="117">
        <f>IF((-C150+C159)&lt;0,(-C150+C159),0)</f>
        <v>-821420.02225500043</v>
      </c>
    </row>
    <row r="156" spans="1:20" s="384" customFormat="1" ht="15.75">
      <c r="A156" s="62"/>
      <c r="B156" s="59" t="s">
        <v>234</v>
      </c>
      <c r="C156" s="50">
        <f>SUM(D156:H156)</f>
        <v>0</v>
      </c>
      <c r="D156" s="242">
        <v>0</v>
      </c>
      <c r="E156" s="242">
        <v>0</v>
      </c>
      <c r="F156" s="242"/>
      <c r="G156" s="243"/>
      <c r="H156" s="105">
        <v>0</v>
      </c>
      <c r="I156" s="50"/>
      <c r="J156" s="87"/>
      <c r="K156" s="87"/>
      <c r="L156" s="50"/>
      <c r="M156" s="50"/>
      <c r="N156" s="50"/>
      <c r="O156" s="106"/>
      <c r="P156" s="50"/>
      <c r="Q156" s="347" t="s">
        <v>11</v>
      </c>
      <c r="R156" s="348" t="s">
        <v>62</v>
      </c>
      <c r="S156" s="112">
        <v>0</v>
      </c>
      <c r="T156" s="227">
        <v>0</v>
      </c>
    </row>
    <row r="157" spans="1:20" s="384" customFormat="1" ht="15.75">
      <c r="A157" s="62"/>
      <c r="B157" s="59" t="s">
        <v>144</v>
      </c>
      <c r="C157" s="50">
        <f>SUM(D157:N157)</f>
        <v>0</v>
      </c>
      <c r="D157" s="161"/>
      <c r="E157" s="161"/>
      <c r="F157" s="161"/>
      <c r="G157" s="242">
        <v>0</v>
      </c>
      <c r="H157" s="105">
        <v>0</v>
      </c>
      <c r="I157" s="50"/>
      <c r="J157" s="87"/>
      <c r="K157" s="50"/>
      <c r="L157" s="50"/>
      <c r="M157" s="50"/>
      <c r="N157" s="50"/>
      <c r="O157" s="106"/>
      <c r="P157" s="50"/>
      <c r="Q157" s="347" t="s">
        <v>11</v>
      </c>
      <c r="R157" s="348" t="s">
        <v>207</v>
      </c>
      <c r="S157" s="112">
        <v>0</v>
      </c>
      <c r="T157" s="227">
        <v>0</v>
      </c>
    </row>
    <row r="158" spans="1:20" s="384" customFormat="1" ht="15.75">
      <c r="A158" s="62"/>
      <c r="B158" s="59" t="s">
        <v>57</v>
      </c>
      <c r="C158" s="64">
        <f>SUM(D158:N158)</f>
        <v>-984.14</v>
      </c>
      <c r="D158" s="64"/>
      <c r="E158" s="64"/>
      <c r="F158" s="64"/>
      <c r="G158" s="64"/>
      <c r="H158" s="64">
        <f>ROUND(((C150)+(C155)/2)*(O158/12),2)</f>
        <v>-984.14</v>
      </c>
      <c r="I158" s="64"/>
      <c r="J158" s="64"/>
      <c r="K158" s="64"/>
      <c r="L158" s="64"/>
      <c r="M158" s="64"/>
      <c r="N158" s="64"/>
      <c r="O158" s="99">
        <v>0.01</v>
      </c>
      <c r="P158" s="50"/>
      <c r="Q158" s="340" t="s">
        <v>80</v>
      </c>
      <c r="R158" s="339" t="s">
        <v>59</v>
      </c>
      <c r="S158" s="88">
        <f>IF((-C155-C157)&gt;0,(-C155-C157),0)</f>
        <v>820435.88225500053</v>
      </c>
      <c r="T158" s="89">
        <f>IF((-C155-C156-C157)&lt;0,(-C155-C156-C157),0)</f>
        <v>0</v>
      </c>
    </row>
    <row r="159" spans="1:20" s="384" customFormat="1" ht="16.5" thickBot="1">
      <c r="A159" s="104">
        <f>A155</f>
        <v>41639</v>
      </c>
      <c r="B159" s="50" t="s">
        <v>56</v>
      </c>
      <c r="C159" s="158">
        <f>SUM(C150:C158)</f>
        <v>-1592169.3640099976</v>
      </c>
      <c r="D159" s="158">
        <f t="shared" ref="D159" si="22">SUM(D150:D158)</f>
        <v>-2169149.4701769976</v>
      </c>
      <c r="E159" s="158">
        <f t="shared" ref="E159" si="23">SUM(E150:E158)</f>
        <v>577365.05364200124</v>
      </c>
      <c r="F159" s="158">
        <f t="shared" ref="F159" si="24">SUM(F150:F158)</f>
        <v>0</v>
      </c>
      <c r="G159" s="158">
        <f t="shared" ref="G159" si="25">SUM(G150:G158)</f>
        <v>0</v>
      </c>
      <c r="H159" s="158">
        <f t="shared" ref="H159" si="26">SUM(H150:H158)</f>
        <v>-384.94747500000005</v>
      </c>
      <c r="I159" s="158">
        <f>SUM(I140:I158)</f>
        <v>0</v>
      </c>
      <c r="J159" s="158">
        <f>SUM(J140:J158)</f>
        <v>0</v>
      </c>
      <c r="K159" s="158">
        <f>SUM(K140:K158)</f>
        <v>0</v>
      </c>
      <c r="L159" s="158">
        <f>SUM(L140:L158)</f>
        <v>0</v>
      </c>
      <c r="M159" s="158">
        <f>SUM(M146:M158)</f>
        <v>0</v>
      </c>
      <c r="N159" s="158">
        <f>SUM(N146:N158)</f>
        <v>0</v>
      </c>
      <c r="O159" s="50"/>
      <c r="P159" s="50"/>
      <c r="Q159" s="342" t="s">
        <v>154</v>
      </c>
      <c r="R159" s="339" t="s">
        <v>77</v>
      </c>
      <c r="S159" s="88">
        <v>0</v>
      </c>
      <c r="T159" s="89">
        <f>IF(-C158&lt;0,-C158,0)</f>
        <v>0</v>
      </c>
    </row>
    <row r="160" spans="1:20" s="384" customFormat="1" ht="17.25" thickTop="1" thickBot="1">
      <c r="A160" s="53"/>
      <c r="B160" s="9" t="s">
        <v>247</v>
      </c>
      <c r="C160" s="384">
        <f>SUM(D160:H160)</f>
        <v>-487553.62</v>
      </c>
      <c r="D160" s="241"/>
      <c r="E160" s="241">
        <v>-481637.67</v>
      </c>
      <c r="F160" s="242"/>
      <c r="G160" s="242"/>
      <c r="H160" s="50">
        <v>-5915.95</v>
      </c>
      <c r="Q160" s="343" t="s">
        <v>83</v>
      </c>
      <c r="R160" s="341" t="s">
        <v>78</v>
      </c>
      <c r="S160" s="118">
        <f>IF(-C158&gt;0,-C158,0)</f>
        <v>984.14</v>
      </c>
      <c r="T160" s="111">
        <v>0</v>
      </c>
    </row>
    <row r="161" spans="1:20" s="384" customFormat="1" ht="15.75">
      <c r="A161" s="53"/>
      <c r="B161" s="9" t="s">
        <v>241</v>
      </c>
      <c r="C161" s="474">
        <f>SUM(C159:C160)</f>
        <v>-2079722.9840099975</v>
      </c>
      <c r="D161" s="474">
        <f>D160+D159</f>
        <v>-2169149.4701769976</v>
      </c>
      <c r="E161" s="474">
        <f>E160+E159</f>
        <v>95727.383642001252</v>
      </c>
      <c r="F161" s="474">
        <f>F160+F159</f>
        <v>0</v>
      </c>
      <c r="G161" s="474">
        <f>G160+G159</f>
        <v>0</v>
      </c>
      <c r="H161" s="474">
        <f>H160+H159</f>
        <v>-6300.8974749999998</v>
      </c>
      <c r="I161" s="474"/>
      <c r="J161" s="474"/>
      <c r="K161" s="474"/>
      <c r="L161" s="474"/>
      <c r="M161" s="474">
        <f>M160+M159</f>
        <v>0</v>
      </c>
      <c r="N161" s="474">
        <f>N160+N159</f>
        <v>0</v>
      </c>
      <c r="S161" s="66"/>
      <c r="T161" s="338">
        <f>ROUND(SUM(S155:T160),2)</f>
        <v>0</v>
      </c>
    </row>
    <row r="162" spans="1:20" ht="16.5" thickBot="1">
      <c r="B162" s="9" t="s">
        <v>242</v>
      </c>
      <c r="C162" s="384" t="e">
        <f>_xll.Get_Balance("201312","YTD","USD","Total","A","","001","191010","GD","ID","DL")</f>
        <v>#VALUE!</v>
      </c>
      <c r="D162" s="384"/>
      <c r="E162" s="384"/>
      <c r="F162" s="384"/>
      <c r="G162" s="384"/>
      <c r="H162" s="384"/>
      <c r="M162" s="384"/>
      <c r="N162" s="384"/>
    </row>
    <row r="163" spans="1:20" ht="16.5" thickBot="1">
      <c r="B163" s="9" t="s">
        <v>243</v>
      </c>
      <c r="C163" s="158" t="e">
        <f>C161-C162</f>
        <v>#VALUE!</v>
      </c>
      <c r="D163" s="384"/>
      <c r="E163" s="384"/>
      <c r="F163" s="384"/>
      <c r="G163" s="384"/>
      <c r="H163" s="384"/>
      <c r="I163" s="384"/>
      <c r="J163" s="384"/>
      <c r="K163" s="384"/>
      <c r="L163" s="384"/>
      <c r="M163" s="384"/>
      <c r="N163" s="384"/>
      <c r="Q163" s="336" t="s">
        <v>239</v>
      </c>
      <c r="R163" s="332"/>
      <c r="S163" s="332"/>
      <c r="T163" s="228"/>
    </row>
    <row r="164" spans="1:20" ht="15.75" thickTop="1">
      <c r="D164" s="384"/>
      <c r="E164" s="384"/>
      <c r="F164" s="384"/>
      <c r="G164" s="384"/>
      <c r="H164" s="384"/>
      <c r="I164" s="384"/>
      <c r="J164" s="384"/>
      <c r="K164" s="384"/>
      <c r="L164" s="384"/>
      <c r="M164" s="384"/>
      <c r="N164" s="384"/>
      <c r="Q164" s="345" t="s">
        <v>81</v>
      </c>
      <c r="R164" s="346" t="s">
        <v>58</v>
      </c>
      <c r="S164" s="112">
        <v>0</v>
      </c>
      <c r="T164" s="117">
        <v>-1943728.32</v>
      </c>
    </row>
    <row r="165" spans="1:20">
      <c r="Q165" s="347" t="s">
        <v>11</v>
      </c>
      <c r="R165" s="348" t="s">
        <v>62</v>
      </c>
      <c r="S165" s="112">
        <v>0</v>
      </c>
      <c r="T165" s="227">
        <v>0</v>
      </c>
    </row>
    <row r="166" spans="1:20">
      <c r="Q166" s="347" t="s">
        <v>11</v>
      </c>
      <c r="R166" s="348" t="s">
        <v>207</v>
      </c>
      <c r="S166" s="112">
        <v>0</v>
      </c>
      <c r="T166" s="227">
        <v>0</v>
      </c>
    </row>
    <row r="167" spans="1:20">
      <c r="Q167" s="340" t="s">
        <v>80</v>
      </c>
      <c r="R167" s="339" t="s">
        <v>59</v>
      </c>
      <c r="S167" s="88">
        <v>1942276.75</v>
      </c>
      <c r="T167" s="89">
        <f>IF((-C164-C165-C166)&lt;0,(-C164-C165-C166),0)</f>
        <v>0</v>
      </c>
    </row>
    <row r="168" spans="1:20">
      <c r="Q168" s="342" t="s">
        <v>154</v>
      </c>
      <c r="R168" s="339" t="s">
        <v>77</v>
      </c>
      <c r="S168" s="88">
        <v>0</v>
      </c>
      <c r="T168" s="89">
        <f>IF(-C167&lt;0,-C167,0)</f>
        <v>0</v>
      </c>
    </row>
    <row r="169" spans="1:20" ht="15.75" thickBot="1">
      <c r="Q169" s="343" t="s">
        <v>83</v>
      </c>
      <c r="R169" s="341" t="s">
        <v>78</v>
      </c>
      <c r="S169" s="118">
        <v>1451.57</v>
      </c>
      <c r="T169" s="111">
        <v>0</v>
      </c>
    </row>
    <row r="170" spans="1:20">
      <c r="Q170" s="384"/>
      <c r="R170" s="384"/>
      <c r="S170" s="66"/>
      <c r="T170" s="338">
        <f>ROUND(SUM(S164:T169),2)</f>
        <v>0</v>
      </c>
    </row>
    <row r="171" spans="1:20" ht="15.75" thickBot="1"/>
    <row r="172" spans="1:20" ht="15.75" thickBot="1">
      <c r="Q172" s="336" t="s">
        <v>240</v>
      </c>
      <c r="R172" s="332"/>
      <c r="S172" s="332"/>
      <c r="T172" s="228"/>
    </row>
    <row r="173" spans="1:20">
      <c r="Q173" s="345" t="s">
        <v>81</v>
      </c>
      <c r="R173" s="346" t="s">
        <v>58</v>
      </c>
      <c r="S173" s="112">
        <f>T155-T164</f>
        <v>1122308.2977449996</v>
      </c>
      <c r="T173" s="117">
        <f>IF((-C168+C177)&lt;0,(-C168+C177),0)</f>
        <v>0</v>
      </c>
    </row>
    <row r="174" spans="1:20">
      <c r="Q174" s="347" t="s">
        <v>11</v>
      </c>
      <c r="R174" s="348" t="s">
        <v>62</v>
      </c>
      <c r="S174" s="112">
        <v>0</v>
      </c>
      <c r="T174" s="227">
        <v>0</v>
      </c>
    </row>
    <row r="175" spans="1:20">
      <c r="Q175" s="347" t="s">
        <v>11</v>
      </c>
      <c r="R175" s="348" t="s">
        <v>207</v>
      </c>
      <c r="S175" s="112">
        <v>0</v>
      </c>
      <c r="T175" s="227">
        <v>0</v>
      </c>
    </row>
    <row r="176" spans="1:20">
      <c r="Q176" s="340" t="s">
        <v>80</v>
      </c>
      <c r="R176" s="339" t="s">
        <v>59</v>
      </c>
      <c r="S176" s="88">
        <f>IF((-C173-C175)&gt;0,(-C173-C175),0)</f>
        <v>0</v>
      </c>
      <c r="T176" s="89">
        <f>S158-S167</f>
        <v>-1121840.8677449995</v>
      </c>
    </row>
    <row r="177" spans="17:20">
      <c r="Q177" s="342" t="s">
        <v>154</v>
      </c>
      <c r="R177" s="339" t="s">
        <v>77</v>
      </c>
      <c r="S177" s="88">
        <v>0</v>
      </c>
      <c r="T177" s="89">
        <f>IF(-C176&lt;0,-C176,0)</f>
        <v>0</v>
      </c>
    </row>
    <row r="178" spans="17:20" ht="15.75" thickBot="1">
      <c r="Q178" s="343" t="s">
        <v>83</v>
      </c>
      <c r="R178" s="341" t="s">
        <v>78</v>
      </c>
      <c r="S178" s="118">
        <f>IF(-C176&gt;0,-C176,0)</f>
        <v>0</v>
      </c>
      <c r="T178" s="111">
        <f>S160-S169</f>
        <v>-467.42999999999995</v>
      </c>
    </row>
    <row r="179" spans="17:20">
      <c r="Q179" s="384"/>
      <c r="R179" s="384"/>
      <c r="S179" s="66"/>
      <c r="T179" s="338">
        <f>ROUND(SUM(S173:T178),2)</f>
        <v>0</v>
      </c>
    </row>
    <row r="1058" spans="3:3">
      <c r="C1058" s="1">
        <v>-2130</v>
      </c>
    </row>
    <row r="1066" spans="3:3">
      <c r="C1066" s="1">
        <f>7004298-2130</f>
        <v>7002168</v>
      </c>
    </row>
  </sheetData>
  <mergeCells count="1">
    <mergeCell ref="A32:O32"/>
  </mergeCells>
  <phoneticPr fontId="0" type="noConversion"/>
  <conditionalFormatting sqref="T31 T22 T49 T40 T58">
    <cfRule type="cellIs" dxfId="109" priority="258" stopIfTrue="1" operator="equal">
      <formula>0</formula>
    </cfRule>
    <cfRule type="cellIs" dxfId="108" priority="259" stopIfTrue="1" operator="notEqual">
      <formula>0</formula>
    </cfRule>
  </conditionalFormatting>
  <conditionalFormatting sqref="T31 T22 T49 T40 T58">
    <cfRule type="cellIs" dxfId="107" priority="236" stopIfTrue="1" operator="equal">
      <formula>0</formula>
    </cfRule>
  </conditionalFormatting>
  <printOptions gridLinesSet="0"/>
  <pageMargins left="0.18" right="0" top="0.5" bottom="0.5" header="0.5" footer="0.25"/>
  <pageSetup scale="18" orientation="landscape" horizontalDpi="300" verticalDpi="300" r:id="rId1"/>
  <headerFooter alignWithMargins="0">
    <oddFooter>&amp;L&amp;F&amp;C&amp;A&amp;R&amp;D  &amp;T</oddFooter>
  </headerFooter>
  <customProperties>
    <customPr name="xxe4aPID" r:id="rId2"/>
  </customPropertie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1">
    <pageSetUpPr fitToPage="1"/>
  </sheetPr>
  <dimension ref="A1:T1153"/>
  <sheetViews>
    <sheetView showGridLines="0" view="pageBreakPreview" zoomScaleNormal="100" zoomScaleSheetLayoutView="100" workbookViewId="0">
      <pane ySplit="7" topLeftCell="A86" activePane="bottomLeft" state="frozen"/>
      <selection activeCell="G51" sqref="G51:J55"/>
      <selection pane="bottomLeft" activeCell="G51" sqref="G51:J55"/>
    </sheetView>
  </sheetViews>
  <sheetFormatPr defaultColWidth="9.7109375" defaultRowHeight="15"/>
  <cols>
    <col min="1" max="1" width="11.42578125" style="53" customWidth="1"/>
    <col min="2" max="2" width="27.140625" style="331" customWidth="1"/>
    <col min="3" max="3" width="18.42578125" style="331" customWidth="1"/>
    <col min="4" max="4" width="19.140625" style="331" bestFit="1" customWidth="1"/>
    <col min="5" max="5" width="19.42578125" style="331" bestFit="1" customWidth="1"/>
    <col min="6" max="7" width="13.140625" style="331" customWidth="1"/>
    <col min="8" max="8" width="16.7109375" style="331" bestFit="1" customWidth="1"/>
    <col min="9" max="9" width="14.42578125" style="331" hidden="1" customWidth="1"/>
    <col min="10" max="10" width="13.28515625" style="331" hidden="1" customWidth="1"/>
    <col min="11" max="11" width="15.140625" style="331" hidden="1" customWidth="1"/>
    <col min="12" max="12" width="18.140625" style="331" hidden="1" customWidth="1"/>
    <col min="13" max="14" width="12.5703125" style="331" customWidth="1"/>
    <col min="15" max="15" width="11.28515625" style="331" customWidth="1"/>
    <col min="16" max="16" width="2.28515625" style="331" customWidth="1"/>
    <col min="17" max="17" width="26.85546875" style="331" customWidth="1"/>
    <col min="18" max="18" width="16.42578125" style="331" customWidth="1"/>
    <col min="19" max="19" width="17" style="331" customWidth="1"/>
    <col min="20" max="20" width="19.7109375" style="331" customWidth="1"/>
    <col min="21" max="16384" width="9.7109375" style="331"/>
  </cols>
  <sheetData>
    <row r="1" spans="1:20" ht="15.75">
      <c r="A1" s="51" t="s">
        <v>13</v>
      </c>
      <c r="M1" s="41"/>
    </row>
    <row r="2" spans="1:20" ht="15.75">
      <c r="A2" s="51" t="s">
        <v>46</v>
      </c>
    </row>
    <row r="3" spans="1:20" ht="15.75">
      <c r="A3" s="51" t="s">
        <v>201</v>
      </c>
    </row>
    <row r="4" spans="1:20" ht="15.75">
      <c r="A4" s="51" t="s">
        <v>202</v>
      </c>
    </row>
    <row r="5" spans="1:20">
      <c r="Q5" s="265"/>
      <c r="R5" s="5"/>
      <c r="S5" s="5"/>
      <c r="T5" s="5"/>
    </row>
    <row r="6" spans="1:20" s="55" customFormat="1" ht="15.75" customHeight="1">
      <c r="A6" s="54"/>
      <c r="C6" s="55" t="s">
        <v>21</v>
      </c>
      <c r="D6" s="55" t="s">
        <v>2</v>
      </c>
      <c r="E6" s="55" t="s">
        <v>3</v>
      </c>
      <c r="F6" s="55" t="s">
        <v>48</v>
      </c>
      <c r="G6" s="55" t="s">
        <v>144</v>
      </c>
      <c r="H6" s="55" t="s">
        <v>4</v>
      </c>
      <c r="I6" s="55" t="s">
        <v>5</v>
      </c>
      <c r="J6" s="55" t="s">
        <v>50</v>
      </c>
      <c r="K6" s="55" t="s">
        <v>51</v>
      </c>
      <c r="L6" s="55" t="s">
        <v>6</v>
      </c>
      <c r="M6" s="55" t="s">
        <v>52</v>
      </c>
      <c r="N6" s="55" t="s">
        <v>14</v>
      </c>
      <c r="O6" s="55" t="s">
        <v>85</v>
      </c>
    </row>
    <row r="7" spans="1:20" s="55" customFormat="1" ht="15.75" customHeight="1">
      <c r="A7" s="54"/>
      <c r="C7" s="55" t="s">
        <v>203</v>
      </c>
      <c r="D7" s="55" t="s">
        <v>7</v>
      </c>
      <c r="E7" s="55" t="s">
        <v>7</v>
      </c>
      <c r="F7" s="55" t="s">
        <v>7</v>
      </c>
      <c r="G7" s="55" t="s">
        <v>34</v>
      </c>
      <c r="I7" s="55" t="s">
        <v>8</v>
      </c>
      <c r="J7" s="55" t="s">
        <v>53</v>
      </c>
      <c r="K7" s="55" t="s">
        <v>54</v>
      </c>
      <c r="L7" s="55" t="s">
        <v>55</v>
      </c>
      <c r="M7" s="55" t="s">
        <v>7</v>
      </c>
      <c r="N7" s="55" t="s">
        <v>9</v>
      </c>
    </row>
    <row r="8" spans="1:20" s="382" customFormat="1" ht="15.75" hidden="1" customHeight="1">
      <c r="A8" s="380"/>
      <c r="B8" s="247" t="s">
        <v>11</v>
      </c>
      <c r="C8" s="381"/>
      <c r="D8" s="381"/>
      <c r="E8" s="381"/>
      <c r="F8" s="381"/>
      <c r="G8" s="381"/>
      <c r="H8" s="381"/>
      <c r="I8" s="381"/>
      <c r="J8" s="381"/>
      <c r="K8" s="381"/>
      <c r="L8" s="381"/>
      <c r="M8" s="381"/>
      <c r="N8" s="381"/>
      <c r="T8" s="374"/>
    </row>
    <row r="9" spans="1:20" s="382" customFormat="1" ht="16.5" hidden="1" customHeight="1" thickBot="1">
      <c r="A9" s="380"/>
      <c r="B9" s="247" t="s">
        <v>204</v>
      </c>
      <c r="C9" s="383">
        <v>-1550000</v>
      </c>
      <c r="D9" s="383">
        <f>-'ID Def 191010'!D10</f>
        <v>-883736.20005990437</v>
      </c>
      <c r="E9" s="383">
        <f>-'ID Def 191010'!E10</f>
        <v>-659271.7478600872</v>
      </c>
      <c r="F9" s="383">
        <v>0</v>
      </c>
      <c r="G9" s="383">
        <v>0</v>
      </c>
      <c r="H9" s="383">
        <f>-'ID Def 191010'!H10</f>
        <v>-6992.0520800084523</v>
      </c>
      <c r="I9" s="383">
        <v>0</v>
      </c>
      <c r="J9" s="383">
        <v>0</v>
      </c>
      <c r="K9" s="383">
        <v>0</v>
      </c>
      <c r="L9" s="383">
        <v>0</v>
      </c>
      <c r="M9" s="383">
        <v>0</v>
      </c>
      <c r="N9" s="383">
        <v>0</v>
      </c>
      <c r="T9" s="374"/>
    </row>
    <row r="10" spans="1:20" s="55" customFormat="1" ht="15.75" hidden="1" customHeight="1" thickTop="1" thickBot="1">
      <c r="A10" s="54"/>
    </row>
    <row r="11" spans="1:20" ht="15.75" hidden="1" customHeight="1" thickBot="1">
      <c r="Q11" s="336" t="s">
        <v>107</v>
      </c>
      <c r="R11" s="332"/>
      <c r="S11" s="332"/>
      <c r="T11" s="228"/>
    </row>
    <row r="12" spans="1:20" ht="15.75" hidden="1" customHeight="1">
      <c r="A12" s="58">
        <v>41183</v>
      </c>
      <c r="B12" s="59" t="s">
        <v>84</v>
      </c>
      <c r="C12" s="11">
        <v>0</v>
      </c>
      <c r="D12" s="248">
        <v>0</v>
      </c>
      <c r="E12" s="248">
        <v>0</v>
      </c>
      <c r="F12" s="249">
        <v>0</v>
      </c>
      <c r="G12" s="249">
        <v>0</v>
      </c>
      <c r="H12" s="50">
        <v>0</v>
      </c>
      <c r="I12" s="50"/>
      <c r="J12" s="50"/>
      <c r="K12" s="50"/>
      <c r="L12" s="50"/>
      <c r="M12" s="50"/>
      <c r="N12" s="50">
        <v>0</v>
      </c>
      <c r="O12" s="106"/>
      <c r="P12" s="50"/>
      <c r="Q12" s="392" t="s">
        <v>209</v>
      </c>
      <c r="R12" s="393" t="s">
        <v>207</v>
      </c>
      <c r="S12" s="335">
        <f>IF(SUM(C12:C15)&gt;0,C12+C13+C15+C14,0)</f>
        <v>0</v>
      </c>
      <c r="T12" s="337">
        <f>IF(SUM(C12:C15)&lt;0,C12+C13+C15+C14,0)</f>
        <v>-1291.67</v>
      </c>
    </row>
    <row r="13" spans="1:20" ht="15.75" hidden="1" customHeight="1">
      <c r="A13" s="62"/>
      <c r="B13" s="59" t="s">
        <v>148</v>
      </c>
      <c r="C13" s="11">
        <v>0</v>
      </c>
      <c r="D13" s="249"/>
      <c r="E13" s="249">
        <v>0</v>
      </c>
      <c r="F13" s="249"/>
      <c r="G13" s="250"/>
      <c r="H13" s="60"/>
      <c r="I13" s="50"/>
      <c r="J13" s="87"/>
      <c r="K13" s="87"/>
      <c r="L13" s="50"/>
      <c r="M13" s="50"/>
      <c r="N13" s="50"/>
      <c r="O13" s="106"/>
      <c r="P13" s="50"/>
      <c r="Q13" s="347" t="s">
        <v>11</v>
      </c>
      <c r="R13" s="348" t="s">
        <v>62</v>
      </c>
      <c r="S13" s="335">
        <v>0</v>
      </c>
      <c r="T13" s="337">
        <v>0</v>
      </c>
    </row>
    <row r="14" spans="1:20" ht="15.75" hidden="1" customHeight="1">
      <c r="A14" s="62"/>
      <c r="B14" s="59" t="s">
        <v>144</v>
      </c>
      <c r="C14" s="11">
        <v>0</v>
      </c>
      <c r="D14" s="247">
        <v>0</v>
      </c>
      <c r="E14" s="247"/>
      <c r="F14" s="247"/>
      <c r="G14" s="249">
        <v>0</v>
      </c>
      <c r="H14" s="105"/>
      <c r="I14" s="50"/>
      <c r="J14" s="87"/>
      <c r="K14" s="50"/>
      <c r="L14" s="50"/>
      <c r="M14" s="50"/>
      <c r="N14" s="50"/>
      <c r="O14" s="106"/>
      <c r="P14" s="50"/>
      <c r="Q14" s="340" t="s">
        <v>80</v>
      </c>
      <c r="R14" s="339" t="s">
        <v>59</v>
      </c>
      <c r="S14" s="112">
        <f>IF(SUM(C12)&lt;0,-C12,0)</f>
        <v>0</v>
      </c>
      <c r="T14" s="337">
        <f>IF(SUM(C12)&gt;0,-C12,0)</f>
        <v>0</v>
      </c>
    </row>
    <row r="15" spans="1:20" ht="15.75" hidden="1" customHeight="1">
      <c r="A15" s="62"/>
      <c r="B15" s="59" t="s">
        <v>57</v>
      </c>
      <c r="C15" s="64">
        <v>-1291.67</v>
      </c>
      <c r="D15" s="64"/>
      <c r="E15" s="64"/>
      <c r="F15" s="64"/>
      <c r="G15" s="64"/>
      <c r="H15" s="64">
        <v>-1291.67</v>
      </c>
      <c r="I15" s="64"/>
      <c r="J15" s="64"/>
      <c r="K15" s="64"/>
      <c r="L15" s="64"/>
      <c r="M15" s="64"/>
      <c r="N15" s="64"/>
      <c r="O15" s="99">
        <v>0.01</v>
      </c>
      <c r="P15" s="50"/>
      <c r="Q15" s="342" t="s">
        <v>154</v>
      </c>
      <c r="R15" s="339" t="s">
        <v>77</v>
      </c>
      <c r="S15" s="344">
        <v>0</v>
      </c>
      <c r="T15" s="337">
        <f>IF(SUM(C15)&gt;0,-C15,0)</f>
        <v>0</v>
      </c>
    </row>
    <row r="16" spans="1:20" ht="16.5" hidden="1" customHeight="1" thickBot="1">
      <c r="A16" s="104">
        <f>A12</f>
        <v>41183</v>
      </c>
      <c r="B16" s="50" t="s">
        <v>56</v>
      </c>
      <c r="C16" s="158">
        <f>SUM(C9:C15)</f>
        <v>-1551291.67</v>
      </c>
      <c r="D16" s="158">
        <f t="shared" ref="D16:N16" si="0">SUM(D9:D15)</f>
        <v>-883736.20005990437</v>
      </c>
      <c r="E16" s="158">
        <f t="shared" si="0"/>
        <v>-659271.7478600872</v>
      </c>
      <c r="F16" s="158">
        <f t="shared" si="0"/>
        <v>0</v>
      </c>
      <c r="G16" s="158">
        <f t="shared" si="0"/>
        <v>0</v>
      </c>
      <c r="H16" s="158">
        <f t="shared" si="0"/>
        <v>-8283.7220800084524</v>
      </c>
      <c r="I16" s="158">
        <f t="shared" si="0"/>
        <v>0</v>
      </c>
      <c r="J16" s="158">
        <f t="shared" si="0"/>
        <v>0</v>
      </c>
      <c r="K16" s="158">
        <f t="shared" si="0"/>
        <v>0</v>
      </c>
      <c r="L16" s="158">
        <f t="shared" si="0"/>
        <v>0</v>
      </c>
      <c r="M16" s="158">
        <f t="shared" si="0"/>
        <v>0</v>
      </c>
      <c r="N16" s="158">
        <f t="shared" si="0"/>
        <v>0</v>
      </c>
      <c r="O16" s="50"/>
      <c r="P16" s="50"/>
      <c r="Q16" s="343" t="s">
        <v>83</v>
      </c>
      <c r="R16" s="341" t="s">
        <v>78</v>
      </c>
      <c r="S16" s="116">
        <f>IF(SUM(C15)&lt;0,-C15,0)</f>
        <v>1291.67</v>
      </c>
      <c r="T16" s="391">
        <v>0</v>
      </c>
    </row>
    <row r="17" spans="1:20" ht="16.5" hidden="1" customHeight="1" thickTop="1" thickBot="1">
      <c r="T17" s="338">
        <v>0</v>
      </c>
    </row>
    <row r="18" spans="1:20" s="384" customFormat="1" ht="15.75" hidden="1" customHeight="1" thickBot="1">
      <c r="A18" s="53"/>
      <c r="Q18" s="336" t="s">
        <v>107</v>
      </c>
      <c r="R18" s="332"/>
      <c r="S18" s="332"/>
      <c r="T18" s="228"/>
    </row>
    <row r="19" spans="1:20" s="384" customFormat="1" ht="15.75" hidden="1" customHeight="1">
      <c r="A19" s="58">
        <v>41214</v>
      </c>
      <c r="B19" s="59" t="s">
        <v>84</v>
      </c>
      <c r="C19" s="11">
        <f>SUM(D19:N19)</f>
        <v>0</v>
      </c>
      <c r="D19" s="248">
        <v>0</v>
      </c>
      <c r="E19" s="248">
        <v>0</v>
      </c>
      <c r="F19" s="249">
        <v>0</v>
      </c>
      <c r="G19" s="249">
        <v>0</v>
      </c>
      <c r="H19" s="50">
        <v>0</v>
      </c>
      <c r="I19" s="50"/>
      <c r="J19" s="50"/>
      <c r="K19" s="50"/>
      <c r="L19" s="50"/>
      <c r="M19" s="50"/>
      <c r="N19" s="50">
        <v>0</v>
      </c>
      <c r="O19" s="106"/>
      <c r="P19" s="50"/>
      <c r="Q19" s="392" t="s">
        <v>209</v>
      </c>
      <c r="R19" s="393" t="s">
        <v>207</v>
      </c>
      <c r="S19" s="335">
        <f>IF(SUM(C19:C22)&gt;0,C19+C20+C22+C21,0)</f>
        <v>0</v>
      </c>
      <c r="T19" s="337">
        <f>IF(SUM(C19:C22)&lt;0,C19+C20+C22+C21,0)</f>
        <v>-1292.74</v>
      </c>
    </row>
    <row r="20" spans="1:20" s="384" customFormat="1" ht="15.75" hidden="1" customHeight="1">
      <c r="A20" s="62"/>
      <c r="B20" s="59" t="s">
        <v>148</v>
      </c>
      <c r="C20" s="11">
        <f>SUM(D20:N20)</f>
        <v>0</v>
      </c>
      <c r="D20" s="249"/>
      <c r="E20" s="249">
        <v>0</v>
      </c>
      <c r="F20" s="249"/>
      <c r="G20" s="250"/>
      <c r="H20" s="60"/>
      <c r="I20" s="50"/>
      <c r="J20" s="87"/>
      <c r="K20" s="87"/>
      <c r="L20" s="50"/>
      <c r="M20" s="50"/>
      <c r="N20" s="50"/>
      <c r="O20" s="106"/>
      <c r="P20" s="50"/>
      <c r="Q20" s="347" t="s">
        <v>11</v>
      </c>
      <c r="R20" s="348" t="s">
        <v>62</v>
      </c>
      <c r="S20" s="335">
        <v>0</v>
      </c>
      <c r="T20" s="337">
        <v>0</v>
      </c>
    </row>
    <row r="21" spans="1:20" s="384" customFormat="1" ht="15.75" hidden="1" customHeight="1">
      <c r="A21" s="62"/>
      <c r="B21" s="59" t="s">
        <v>144</v>
      </c>
      <c r="C21" s="11">
        <f>SUM(D21:N21)</f>
        <v>0</v>
      </c>
      <c r="D21" s="247">
        <v>0</v>
      </c>
      <c r="E21" s="247"/>
      <c r="F21" s="247"/>
      <c r="G21" s="249">
        <v>0</v>
      </c>
      <c r="H21" s="105"/>
      <c r="I21" s="50"/>
      <c r="J21" s="87"/>
      <c r="K21" s="50"/>
      <c r="L21" s="50"/>
      <c r="M21" s="50"/>
      <c r="N21" s="50"/>
      <c r="O21" s="106"/>
      <c r="P21" s="50"/>
      <c r="Q21" s="340" t="s">
        <v>80</v>
      </c>
      <c r="R21" s="339" t="s">
        <v>59</v>
      </c>
      <c r="S21" s="112">
        <f>IF(SUM(C19)&lt;0,-C19,0)</f>
        <v>0</v>
      </c>
      <c r="T21" s="337">
        <f>IF(SUM(C19)&gt;0,-C19,0)</f>
        <v>0</v>
      </c>
    </row>
    <row r="22" spans="1:20" s="384" customFormat="1" ht="15.75" hidden="1" customHeight="1">
      <c r="A22" s="62"/>
      <c r="B22" s="59" t="s">
        <v>57</v>
      </c>
      <c r="C22" s="64">
        <f>SUM(D22:N22)</f>
        <v>-1292.74</v>
      </c>
      <c r="D22" s="64"/>
      <c r="E22" s="64"/>
      <c r="F22" s="64"/>
      <c r="G22" s="64"/>
      <c r="H22" s="64">
        <f>ROUND(((C16)+(C19)/2)*(O22/12),2)</f>
        <v>-1292.74</v>
      </c>
      <c r="I22" s="64"/>
      <c r="J22" s="64"/>
      <c r="K22" s="64"/>
      <c r="L22" s="64"/>
      <c r="M22" s="64"/>
      <c r="N22" s="64"/>
      <c r="O22" s="99">
        <v>0.01</v>
      </c>
      <c r="P22" s="50"/>
      <c r="Q22" s="342" t="s">
        <v>154</v>
      </c>
      <c r="R22" s="339" t="s">
        <v>77</v>
      </c>
      <c r="S22" s="344">
        <v>0</v>
      </c>
      <c r="T22" s="337">
        <f>IF(SUM(C22)&gt;0,-C22,0)</f>
        <v>0</v>
      </c>
    </row>
    <row r="23" spans="1:20" s="384" customFormat="1" ht="16.5" hidden="1" customHeight="1" thickBot="1">
      <c r="A23" s="104">
        <f>A19</f>
        <v>41214</v>
      </c>
      <c r="B23" s="50" t="s">
        <v>56</v>
      </c>
      <c r="C23" s="158">
        <f>SUM(C16:C22)</f>
        <v>-1552584.41</v>
      </c>
      <c r="D23" s="158">
        <f>SUM(D16:D22)</f>
        <v>-883736.20005990437</v>
      </c>
      <c r="E23" s="158">
        <f t="shared" ref="E23:N23" si="1">SUM(E16:E22)</f>
        <v>-659271.7478600872</v>
      </c>
      <c r="F23" s="158">
        <f t="shared" si="1"/>
        <v>0</v>
      </c>
      <c r="G23" s="158">
        <f t="shared" si="1"/>
        <v>0</v>
      </c>
      <c r="H23" s="158">
        <f>SUM(H16:H22)</f>
        <v>-9576.4620800084522</v>
      </c>
      <c r="I23" s="158">
        <f t="shared" si="1"/>
        <v>0</v>
      </c>
      <c r="J23" s="158">
        <f t="shared" si="1"/>
        <v>0</v>
      </c>
      <c r="K23" s="158">
        <f t="shared" si="1"/>
        <v>0</v>
      </c>
      <c r="L23" s="158">
        <f t="shared" si="1"/>
        <v>0</v>
      </c>
      <c r="M23" s="158">
        <f t="shared" si="1"/>
        <v>0</v>
      </c>
      <c r="N23" s="158">
        <f t="shared" si="1"/>
        <v>0</v>
      </c>
      <c r="O23" s="50"/>
      <c r="P23" s="50"/>
      <c r="Q23" s="343" t="s">
        <v>83</v>
      </c>
      <c r="R23" s="341" t="s">
        <v>78</v>
      </c>
      <c r="S23" s="116">
        <f>IF(SUM(C22)&lt;0,-C22,0)</f>
        <v>1292.74</v>
      </c>
      <c r="T23" s="391">
        <v>0</v>
      </c>
    </row>
    <row r="24" spans="1:20" s="384" customFormat="1" ht="16.5" hidden="1" customHeight="1" thickTop="1" thickBot="1">
      <c r="A24" s="53"/>
      <c r="T24" s="338">
        <v>0</v>
      </c>
    </row>
    <row r="25" spans="1:20" s="384" customFormat="1" ht="15.75" hidden="1" customHeight="1" thickBot="1">
      <c r="A25" s="53"/>
      <c r="Q25" s="336" t="s">
        <v>107</v>
      </c>
      <c r="R25" s="332"/>
      <c r="S25" s="332"/>
      <c r="T25" s="228"/>
    </row>
    <row r="26" spans="1:20" s="384" customFormat="1" ht="15.75" hidden="1" customHeight="1">
      <c r="A26" s="58">
        <v>41244</v>
      </c>
      <c r="B26" s="59" t="s">
        <v>84</v>
      </c>
      <c r="C26" s="11">
        <f>SUM(D26:N26)</f>
        <v>0</v>
      </c>
      <c r="D26" s="248">
        <v>0</v>
      </c>
      <c r="E26" s="248">
        <v>0</v>
      </c>
      <c r="F26" s="249">
        <v>0</v>
      </c>
      <c r="G26" s="249">
        <v>0</v>
      </c>
      <c r="H26" s="50">
        <v>0</v>
      </c>
      <c r="I26" s="50"/>
      <c r="J26" s="50"/>
      <c r="K26" s="50"/>
      <c r="L26" s="50"/>
      <c r="M26" s="50"/>
      <c r="N26" s="50">
        <v>0</v>
      </c>
      <c r="O26" s="106"/>
      <c r="P26" s="50"/>
      <c r="Q26" s="392" t="s">
        <v>209</v>
      </c>
      <c r="R26" s="393" t="s">
        <v>207</v>
      </c>
      <c r="S26" s="335">
        <f>IF(SUM(C26:C29)&gt;0,C26+C27+C29+C28,0)</f>
        <v>0</v>
      </c>
      <c r="T26" s="337">
        <f>IF(SUM(C26:C29)&lt;0,C26+C27+C29+C28,0)</f>
        <v>-1293.82</v>
      </c>
    </row>
    <row r="27" spans="1:20" s="384" customFormat="1" ht="15.75" hidden="1" customHeight="1">
      <c r="A27" s="62"/>
      <c r="B27" s="59" t="s">
        <v>148</v>
      </c>
      <c r="C27" s="11">
        <f>SUM(D27:N27)</f>
        <v>0</v>
      </c>
      <c r="D27" s="249"/>
      <c r="E27" s="249">
        <v>0</v>
      </c>
      <c r="F27" s="249"/>
      <c r="G27" s="250"/>
      <c r="H27" s="60"/>
      <c r="I27" s="50"/>
      <c r="J27" s="87"/>
      <c r="K27" s="87"/>
      <c r="L27" s="50"/>
      <c r="M27" s="50"/>
      <c r="N27" s="50"/>
      <c r="O27" s="106"/>
      <c r="P27" s="50"/>
      <c r="Q27" s="347" t="s">
        <v>11</v>
      </c>
      <c r="R27" s="348" t="s">
        <v>62</v>
      </c>
      <c r="S27" s="335">
        <v>0</v>
      </c>
      <c r="T27" s="337">
        <v>0</v>
      </c>
    </row>
    <row r="28" spans="1:20" s="384" customFormat="1" ht="15.75" hidden="1" customHeight="1">
      <c r="A28" s="62"/>
      <c r="B28" s="59" t="s">
        <v>144</v>
      </c>
      <c r="C28" s="11">
        <f>SUM(D28:N28)</f>
        <v>0</v>
      </c>
      <c r="D28" s="247">
        <v>0</v>
      </c>
      <c r="E28" s="247"/>
      <c r="F28" s="247"/>
      <c r="G28" s="249">
        <v>0</v>
      </c>
      <c r="H28" s="105"/>
      <c r="I28" s="50"/>
      <c r="J28" s="87"/>
      <c r="K28" s="50"/>
      <c r="L28" s="50"/>
      <c r="M28" s="50"/>
      <c r="N28" s="50"/>
      <c r="O28" s="106"/>
      <c r="P28" s="50"/>
      <c r="Q28" s="340" t="s">
        <v>80</v>
      </c>
      <c r="R28" s="339" t="s">
        <v>59</v>
      </c>
      <c r="S28" s="112">
        <f>IF(SUM(C26)&lt;0,-C26,0)</f>
        <v>0</v>
      </c>
      <c r="T28" s="337">
        <f>IF(SUM(C26)&gt;0,-C26,0)</f>
        <v>0</v>
      </c>
    </row>
    <row r="29" spans="1:20" s="384" customFormat="1" ht="15.75" hidden="1" customHeight="1">
      <c r="A29" s="62"/>
      <c r="B29" s="59" t="s">
        <v>57</v>
      </c>
      <c r="C29" s="64">
        <f>SUM(D29:N29)</f>
        <v>-1293.82</v>
      </c>
      <c r="D29" s="64"/>
      <c r="E29" s="64"/>
      <c r="F29" s="64"/>
      <c r="G29" s="64"/>
      <c r="H29" s="64">
        <f>ROUND(((C23)+(C26)/2)*(O29/12),2)</f>
        <v>-1293.82</v>
      </c>
      <c r="I29" s="64"/>
      <c r="J29" s="64"/>
      <c r="K29" s="64"/>
      <c r="L29" s="64"/>
      <c r="M29" s="64"/>
      <c r="N29" s="64"/>
      <c r="O29" s="99">
        <v>0.01</v>
      </c>
      <c r="P29" s="50"/>
      <c r="Q29" s="342" t="s">
        <v>154</v>
      </c>
      <c r="R29" s="339" t="s">
        <v>77</v>
      </c>
      <c r="S29" s="344">
        <v>0</v>
      </c>
      <c r="T29" s="337">
        <f>IF(SUM(C29)&gt;0,-C29,0)</f>
        <v>0</v>
      </c>
    </row>
    <row r="30" spans="1:20" s="384" customFormat="1" ht="16.5" hidden="1" thickBot="1">
      <c r="A30" s="104">
        <f>A26</f>
        <v>41244</v>
      </c>
      <c r="B30" s="50" t="s">
        <v>56</v>
      </c>
      <c r="C30" s="158">
        <f>SUM(C23:C29)</f>
        <v>-1553878.23</v>
      </c>
      <c r="D30" s="158">
        <f>SUM(D23:D29)</f>
        <v>-883736.20005990437</v>
      </c>
      <c r="E30" s="158">
        <f t="shared" ref="E30:G30" si="2">SUM(E23:E29)</f>
        <v>-659271.7478600872</v>
      </c>
      <c r="F30" s="158">
        <f t="shared" si="2"/>
        <v>0</v>
      </c>
      <c r="G30" s="158">
        <f t="shared" si="2"/>
        <v>0</v>
      </c>
      <c r="H30" s="158">
        <f>SUM(H23:H29)</f>
        <v>-10870.282080008452</v>
      </c>
      <c r="I30" s="158">
        <f t="shared" ref="I30:N30" si="3">SUM(I23:I29)</f>
        <v>0</v>
      </c>
      <c r="J30" s="158">
        <f t="shared" si="3"/>
        <v>0</v>
      </c>
      <c r="K30" s="158">
        <f t="shared" si="3"/>
        <v>0</v>
      </c>
      <c r="L30" s="158">
        <f t="shared" si="3"/>
        <v>0</v>
      </c>
      <c r="M30" s="158">
        <f t="shared" si="3"/>
        <v>0</v>
      </c>
      <c r="N30" s="158">
        <f t="shared" si="3"/>
        <v>0</v>
      </c>
      <c r="O30" s="50"/>
      <c r="P30" s="50"/>
      <c r="Q30" s="343" t="s">
        <v>83</v>
      </c>
      <c r="R30" s="341" t="s">
        <v>78</v>
      </c>
      <c r="S30" s="116">
        <f>IF(SUM(C29)&lt;0,-C29,0)</f>
        <v>1293.82</v>
      </c>
      <c r="T30" s="391">
        <v>0</v>
      </c>
    </row>
    <row r="31" spans="1:20" s="384" customFormat="1" ht="16.5" hidden="1" thickTop="1" thickBot="1">
      <c r="A31" s="53"/>
      <c r="T31" s="338">
        <v>0</v>
      </c>
    </row>
    <row r="32" spans="1:20" s="356" customFormat="1" ht="15.75" hidden="1" thickBot="1">
      <c r="A32" s="53"/>
      <c r="B32" s="384"/>
      <c r="C32" s="384"/>
      <c r="D32" s="384"/>
      <c r="E32" s="384"/>
      <c r="F32" s="384"/>
      <c r="G32" s="384"/>
      <c r="H32" s="384"/>
      <c r="I32" s="384"/>
      <c r="J32" s="384"/>
      <c r="K32" s="384"/>
      <c r="L32" s="384"/>
      <c r="M32" s="384"/>
      <c r="N32" s="384"/>
      <c r="O32" s="384"/>
      <c r="P32" s="384"/>
      <c r="Q32" s="336" t="s">
        <v>107</v>
      </c>
      <c r="R32" s="332"/>
      <c r="S32" s="332"/>
      <c r="T32" s="228"/>
    </row>
    <row r="33" spans="1:20" s="356" customFormat="1" ht="15.75" hidden="1">
      <c r="A33" s="58">
        <v>41305</v>
      </c>
      <c r="B33" s="59" t="s">
        <v>84</v>
      </c>
      <c r="C33" s="11">
        <f>SUM(D33:N33)</f>
        <v>0</v>
      </c>
      <c r="D33" s="248">
        <v>0</v>
      </c>
      <c r="E33" s="248">
        <v>0</v>
      </c>
      <c r="F33" s="249">
        <v>0</v>
      </c>
      <c r="G33" s="249">
        <v>0</v>
      </c>
      <c r="H33" s="50">
        <v>0</v>
      </c>
      <c r="I33" s="50"/>
      <c r="J33" s="50"/>
      <c r="K33" s="50"/>
      <c r="L33" s="50"/>
      <c r="M33" s="50"/>
      <c r="N33" s="50">
        <v>0</v>
      </c>
      <c r="O33" s="106"/>
      <c r="P33" s="50"/>
      <c r="Q33" s="392" t="s">
        <v>209</v>
      </c>
      <c r="R33" s="393" t="s">
        <v>207</v>
      </c>
      <c r="S33" s="335">
        <f>IF(SUM(C33:C36)&gt;0,C33+C34+C36+C35,0)</f>
        <v>0</v>
      </c>
      <c r="T33" s="337">
        <f>IF(SUM(C33:C36)&lt;0,C33+C34+C36+C35,0)</f>
        <v>-1294.9000000000001</v>
      </c>
    </row>
    <row r="34" spans="1:20" s="356" customFormat="1" ht="15.75" hidden="1">
      <c r="A34" s="62"/>
      <c r="B34" s="59" t="s">
        <v>148</v>
      </c>
      <c r="C34" s="11">
        <f>SUM(D34:N34)</f>
        <v>0</v>
      </c>
      <c r="D34" s="249"/>
      <c r="E34" s="249">
        <v>0</v>
      </c>
      <c r="F34" s="249"/>
      <c r="G34" s="250"/>
      <c r="H34" s="60"/>
      <c r="I34" s="50"/>
      <c r="J34" s="87"/>
      <c r="K34" s="87"/>
      <c r="L34" s="50"/>
      <c r="M34" s="50"/>
      <c r="N34" s="50"/>
      <c r="O34" s="106"/>
      <c r="P34" s="50"/>
      <c r="Q34" s="347" t="s">
        <v>11</v>
      </c>
      <c r="R34" s="348" t="s">
        <v>62</v>
      </c>
      <c r="S34" s="335">
        <v>0</v>
      </c>
      <c r="T34" s="337">
        <v>0</v>
      </c>
    </row>
    <row r="35" spans="1:20" s="356" customFormat="1" ht="15.75" hidden="1">
      <c r="A35" s="62"/>
      <c r="B35" s="59" t="s">
        <v>144</v>
      </c>
      <c r="C35" s="11">
        <f>SUM(D35:N35)</f>
        <v>0</v>
      </c>
      <c r="D35" s="247">
        <v>0</v>
      </c>
      <c r="E35" s="247"/>
      <c r="F35" s="247"/>
      <c r="G35" s="249">
        <v>0</v>
      </c>
      <c r="H35" s="105"/>
      <c r="I35" s="50"/>
      <c r="J35" s="87"/>
      <c r="K35" s="50"/>
      <c r="L35" s="50"/>
      <c r="M35" s="50"/>
      <c r="N35" s="50"/>
      <c r="O35" s="106"/>
      <c r="P35" s="50"/>
      <c r="Q35" s="340" t="s">
        <v>80</v>
      </c>
      <c r="R35" s="339" t="s">
        <v>59</v>
      </c>
      <c r="S35" s="112">
        <f>IF(SUM(C33)&lt;0,-C33,0)</f>
        <v>0</v>
      </c>
      <c r="T35" s="337">
        <f>IF(SUM(C33)&gt;0,-C33,0)</f>
        <v>0</v>
      </c>
    </row>
    <row r="36" spans="1:20" s="356" customFormat="1" ht="15.75" hidden="1">
      <c r="A36" s="62"/>
      <c r="B36" s="59" t="s">
        <v>57</v>
      </c>
      <c r="C36" s="64">
        <f>SUM(D36:N36)</f>
        <v>-1294.9000000000001</v>
      </c>
      <c r="D36" s="64"/>
      <c r="E36" s="64"/>
      <c r="F36" s="64"/>
      <c r="G36" s="64"/>
      <c r="H36" s="64">
        <f>ROUND(((C30)+(C33)/2)*(O36/12),2)</f>
        <v>-1294.9000000000001</v>
      </c>
      <c r="I36" s="64"/>
      <c r="J36" s="64"/>
      <c r="K36" s="64"/>
      <c r="L36" s="64"/>
      <c r="M36" s="64"/>
      <c r="N36" s="64"/>
      <c r="O36" s="99">
        <v>0.01</v>
      </c>
      <c r="P36" s="50"/>
      <c r="Q36" s="342" t="s">
        <v>154</v>
      </c>
      <c r="R36" s="339" t="s">
        <v>77</v>
      </c>
      <c r="S36" s="344">
        <v>0</v>
      </c>
      <c r="T36" s="337">
        <f>IF(SUM(C36)&gt;0,-C36,0)</f>
        <v>0</v>
      </c>
    </row>
    <row r="37" spans="1:20" s="356" customFormat="1" ht="16.5" hidden="1" thickBot="1">
      <c r="A37" s="104">
        <f>A33</f>
        <v>41305</v>
      </c>
      <c r="B37" s="50" t="s">
        <v>56</v>
      </c>
      <c r="C37" s="158">
        <f>SUM(C30:C36)</f>
        <v>-1555173.13</v>
      </c>
      <c r="D37" s="158">
        <f>SUM(D30:D36)</f>
        <v>-883736.20005990437</v>
      </c>
      <c r="E37" s="158">
        <f t="shared" ref="E37:G37" si="4">SUM(E30:E36)</f>
        <v>-659271.7478600872</v>
      </c>
      <c r="F37" s="158">
        <f t="shared" si="4"/>
        <v>0</v>
      </c>
      <c r="G37" s="158">
        <f t="shared" si="4"/>
        <v>0</v>
      </c>
      <c r="H37" s="158">
        <f>SUM(H30:H36)</f>
        <v>-12165.182080008452</v>
      </c>
      <c r="I37" s="158">
        <f t="shared" ref="I37:N37" si="5">SUM(I30:I36)</f>
        <v>0</v>
      </c>
      <c r="J37" s="158">
        <f t="shared" si="5"/>
        <v>0</v>
      </c>
      <c r="K37" s="158">
        <f t="shared" si="5"/>
        <v>0</v>
      </c>
      <c r="L37" s="158">
        <f t="shared" si="5"/>
        <v>0</v>
      </c>
      <c r="M37" s="158">
        <f t="shared" si="5"/>
        <v>0</v>
      </c>
      <c r="N37" s="158">
        <f t="shared" si="5"/>
        <v>0</v>
      </c>
      <c r="O37" s="50"/>
      <c r="P37" s="50"/>
      <c r="Q37" s="343" t="s">
        <v>83</v>
      </c>
      <c r="R37" s="341" t="s">
        <v>78</v>
      </c>
      <c r="S37" s="116">
        <f>IF(SUM(C36)&lt;0,-C36,0)</f>
        <v>1294.9000000000001</v>
      </c>
      <c r="T37" s="391">
        <v>0</v>
      </c>
    </row>
    <row r="38" spans="1:20" s="356" customFormat="1" ht="15.75" hidden="1" thickTop="1">
      <c r="A38" s="53"/>
      <c r="B38" s="384"/>
      <c r="C38" s="384"/>
      <c r="D38" s="384"/>
      <c r="E38" s="384"/>
      <c r="F38" s="384"/>
      <c r="G38" s="384"/>
      <c r="H38" s="384"/>
      <c r="I38" s="384"/>
      <c r="J38" s="384"/>
      <c r="K38" s="384"/>
      <c r="L38" s="384"/>
      <c r="M38" s="384"/>
      <c r="N38" s="384"/>
      <c r="O38" s="384"/>
      <c r="P38" s="384"/>
      <c r="Q38" s="384"/>
      <c r="R38" s="384"/>
      <c r="S38" s="384"/>
      <c r="T38" s="338">
        <v>0</v>
      </c>
    </row>
    <row r="39" spans="1:20" s="356" customFormat="1" ht="15.75" hidden="1" thickBot="1">
      <c r="A39" s="53"/>
      <c r="B39" s="384"/>
      <c r="C39" s="384"/>
      <c r="D39" s="384"/>
      <c r="E39" s="384"/>
      <c r="F39" s="384"/>
      <c r="G39" s="384"/>
      <c r="H39" s="384"/>
      <c r="I39" s="384"/>
      <c r="J39" s="384"/>
      <c r="K39" s="384"/>
      <c r="L39" s="384"/>
      <c r="M39" s="384"/>
      <c r="N39" s="384"/>
      <c r="O39" s="384"/>
      <c r="P39" s="384"/>
      <c r="Q39" s="384"/>
      <c r="R39" s="384"/>
      <c r="S39" s="384"/>
      <c r="T39" s="384"/>
    </row>
    <row r="40" spans="1:20" s="356" customFormat="1" ht="15.75" hidden="1" thickBot="1">
      <c r="A40" s="53"/>
      <c r="B40" s="384"/>
      <c r="C40" s="384"/>
      <c r="D40" s="384"/>
      <c r="E40" s="384"/>
      <c r="F40" s="384"/>
      <c r="G40" s="384"/>
      <c r="H40" s="384"/>
      <c r="I40" s="384"/>
      <c r="J40" s="384"/>
      <c r="K40" s="384"/>
      <c r="L40" s="384"/>
      <c r="M40" s="384"/>
      <c r="N40" s="384"/>
      <c r="O40" s="384"/>
      <c r="P40" s="384"/>
      <c r="Q40" s="336" t="s">
        <v>107</v>
      </c>
      <c r="R40" s="332"/>
      <c r="S40" s="332"/>
      <c r="T40" s="228"/>
    </row>
    <row r="41" spans="1:20" s="356" customFormat="1" ht="15.75" hidden="1">
      <c r="A41" s="58">
        <v>41333</v>
      </c>
      <c r="B41" s="59" t="s">
        <v>84</v>
      </c>
      <c r="C41" s="11">
        <f>SUM(D41:N41)</f>
        <v>0</v>
      </c>
      <c r="D41" s="248">
        <v>0</v>
      </c>
      <c r="E41" s="248">
        <v>0</v>
      </c>
      <c r="F41" s="249">
        <v>0</v>
      </c>
      <c r="G41" s="249">
        <v>0</v>
      </c>
      <c r="H41" s="50">
        <v>0</v>
      </c>
      <c r="I41" s="50"/>
      <c r="J41" s="50"/>
      <c r="K41" s="50"/>
      <c r="L41" s="50"/>
      <c r="M41" s="50"/>
      <c r="N41" s="50">
        <v>0</v>
      </c>
      <c r="O41" s="106"/>
      <c r="P41" s="50"/>
      <c r="Q41" s="392" t="s">
        <v>209</v>
      </c>
      <c r="R41" s="393" t="s">
        <v>207</v>
      </c>
      <c r="S41" s="335">
        <f>IF(SUM(C41:C44)&gt;0,C41+C42+C44+C43,0)</f>
        <v>0</v>
      </c>
      <c r="T41" s="337">
        <f>IF(SUM(C41:C44)&lt;0,C41+C42+C44+C43,0)</f>
        <v>-1295.98</v>
      </c>
    </row>
    <row r="42" spans="1:20" s="356" customFormat="1" ht="15.75" hidden="1">
      <c r="A42" s="62"/>
      <c r="B42" s="59" t="s">
        <v>148</v>
      </c>
      <c r="C42" s="11">
        <f>SUM(D42:N42)</f>
        <v>0</v>
      </c>
      <c r="D42" s="249"/>
      <c r="E42" s="249">
        <v>0</v>
      </c>
      <c r="F42" s="249"/>
      <c r="G42" s="250"/>
      <c r="H42" s="60"/>
      <c r="I42" s="50"/>
      <c r="J42" s="87"/>
      <c r="K42" s="87"/>
      <c r="L42" s="50"/>
      <c r="M42" s="50"/>
      <c r="N42" s="50"/>
      <c r="O42" s="106"/>
      <c r="P42" s="50"/>
      <c r="Q42" s="347" t="s">
        <v>11</v>
      </c>
      <c r="R42" s="348" t="s">
        <v>62</v>
      </c>
      <c r="S42" s="335">
        <v>0</v>
      </c>
      <c r="T42" s="337">
        <v>0</v>
      </c>
    </row>
    <row r="43" spans="1:20" s="356" customFormat="1" ht="15.75" hidden="1">
      <c r="A43" s="62"/>
      <c r="B43" s="59" t="s">
        <v>144</v>
      </c>
      <c r="C43" s="11">
        <f>SUM(D43:N43)</f>
        <v>0</v>
      </c>
      <c r="D43" s="247">
        <v>0</v>
      </c>
      <c r="E43" s="247"/>
      <c r="F43" s="247"/>
      <c r="G43" s="249">
        <v>0</v>
      </c>
      <c r="H43" s="105"/>
      <c r="I43" s="50"/>
      <c r="J43" s="87"/>
      <c r="K43" s="50"/>
      <c r="L43" s="50"/>
      <c r="M43" s="50"/>
      <c r="N43" s="50"/>
      <c r="O43" s="106"/>
      <c r="P43" s="50"/>
      <c r="Q43" s="340" t="s">
        <v>80</v>
      </c>
      <c r="R43" s="339" t="s">
        <v>59</v>
      </c>
      <c r="S43" s="112">
        <f>IF(SUM(C41)&lt;0,-C41,0)</f>
        <v>0</v>
      </c>
      <c r="T43" s="337">
        <f>IF(SUM(C41)&gt;0,-C41,0)</f>
        <v>0</v>
      </c>
    </row>
    <row r="44" spans="1:20" s="356" customFormat="1" ht="15.75" hidden="1">
      <c r="A44" s="62"/>
      <c r="B44" s="59" t="s">
        <v>57</v>
      </c>
      <c r="C44" s="64">
        <f>SUM(D44:N44)</f>
        <v>-1295.98</v>
      </c>
      <c r="D44" s="64"/>
      <c r="E44" s="64"/>
      <c r="F44" s="64"/>
      <c r="G44" s="64"/>
      <c r="H44" s="64">
        <v>-1295.98</v>
      </c>
      <c r="I44" s="64"/>
      <c r="J44" s="64"/>
      <c r="K44" s="64"/>
      <c r="L44" s="64"/>
      <c r="M44" s="64"/>
      <c r="N44" s="64"/>
      <c r="O44" s="99">
        <v>0.01</v>
      </c>
      <c r="P44" s="50"/>
      <c r="Q44" s="342" t="s">
        <v>154</v>
      </c>
      <c r="R44" s="339" t="s">
        <v>77</v>
      </c>
      <c r="S44" s="344">
        <v>0</v>
      </c>
      <c r="T44" s="337">
        <f>IF(SUM(C44)&gt;0,-C44,0)</f>
        <v>0</v>
      </c>
    </row>
    <row r="45" spans="1:20" s="356" customFormat="1" ht="16.5" hidden="1" thickBot="1">
      <c r="A45" s="104">
        <f>A41</f>
        <v>41333</v>
      </c>
      <c r="B45" s="50" t="s">
        <v>56</v>
      </c>
      <c r="C45" s="158">
        <f>SUM(C37:C44)</f>
        <v>-1556469.1099999999</v>
      </c>
      <c r="D45" s="158">
        <f>SUM(D37:D44)</f>
        <v>-883736.20005990437</v>
      </c>
      <c r="E45" s="158">
        <f>SUM(E37:E44)</f>
        <v>-659271.7478600872</v>
      </c>
      <c r="F45" s="158">
        <f t="shared" ref="F45:G45" si="6">SUM(F37:F44)</f>
        <v>0</v>
      </c>
      <c r="G45" s="158">
        <f t="shared" si="6"/>
        <v>0</v>
      </c>
      <c r="H45" s="158">
        <f>SUM(H37:H44)</f>
        <v>-13461.162080008451</v>
      </c>
      <c r="I45" s="158">
        <f t="shared" ref="I45:N45" si="7">SUM(I37:I44)</f>
        <v>0</v>
      </c>
      <c r="J45" s="158">
        <f t="shared" si="7"/>
        <v>0</v>
      </c>
      <c r="K45" s="158">
        <f t="shared" si="7"/>
        <v>0</v>
      </c>
      <c r="L45" s="158">
        <f t="shared" si="7"/>
        <v>0</v>
      </c>
      <c r="M45" s="158">
        <f t="shared" si="7"/>
        <v>0</v>
      </c>
      <c r="N45" s="158">
        <f t="shared" si="7"/>
        <v>0</v>
      </c>
      <c r="O45" s="50"/>
      <c r="P45" s="50"/>
      <c r="Q45" s="343" t="s">
        <v>83</v>
      </c>
      <c r="R45" s="341" t="s">
        <v>78</v>
      </c>
      <c r="S45" s="116">
        <f>IF(SUM(C44)&lt;0,-C44,0)</f>
        <v>1295.98</v>
      </c>
      <c r="T45" s="391">
        <v>0</v>
      </c>
    </row>
    <row r="46" spans="1:20" s="356" customFormat="1" ht="15.75" hidden="1" thickTop="1">
      <c r="A46" s="53"/>
      <c r="B46" s="384"/>
      <c r="C46" s="384"/>
      <c r="D46" s="384"/>
      <c r="E46" s="384"/>
      <c r="F46" s="384"/>
      <c r="G46" s="384"/>
      <c r="H46" s="384"/>
      <c r="I46" s="384"/>
      <c r="J46" s="384"/>
      <c r="K46" s="384"/>
      <c r="L46" s="384"/>
      <c r="M46" s="384"/>
      <c r="N46" s="384"/>
      <c r="O46" s="384"/>
      <c r="P46" s="384"/>
      <c r="Q46" s="384"/>
      <c r="R46" s="384"/>
      <c r="S46" s="384"/>
      <c r="T46" s="338">
        <v>0</v>
      </c>
    </row>
    <row r="47" spans="1:20" s="356" customFormat="1" ht="15.75" hidden="1" thickBot="1">
      <c r="A47" s="53"/>
      <c r="B47" s="384"/>
      <c r="C47" s="384"/>
      <c r="D47" s="384"/>
      <c r="E47" s="384"/>
      <c r="F47" s="384"/>
      <c r="G47" s="384"/>
      <c r="H47" s="384"/>
      <c r="I47" s="384"/>
      <c r="J47" s="384"/>
      <c r="K47" s="384"/>
      <c r="L47" s="384"/>
      <c r="M47" s="384"/>
      <c r="N47" s="384"/>
      <c r="O47" s="384"/>
      <c r="P47" s="384"/>
      <c r="Q47" s="384"/>
      <c r="R47" s="384"/>
      <c r="S47" s="384"/>
      <c r="T47" s="384"/>
    </row>
    <row r="48" spans="1:20" s="356" customFormat="1" ht="15.75" hidden="1" thickBot="1">
      <c r="A48" s="53"/>
      <c r="B48" s="384"/>
      <c r="C48" s="384"/>
      <c r="D48" s="384"/>
      <c r="E48" s="384"/>
      <c r="F48" s="384"/>
      <c r="G48" s="384"/>
      <c r="H48" s="384"/>
      <c r="I48" s="384"/>
      <c r="J48" s="384"/>
      <c r="K48" s="384"/>
      <c r="L48" s="384"/>
      <c r="M48" s="384"/>
      <c r="N48" s="384"/>
      <c r="O48" s="384"/>
      <c r="P48" s="384"/>
      <c r="Q48" s="336" t="s">
        <v>107</v>
      </c>
      <c r="R48" s="332"/>
      <c r="S48" s="332"/>
      <c r="T48" s="228"/>
    </row>
    <row r="49" spans="1:20" s="356" customFormat="1" ht="15.75" hidden="1">
      <c r="A49" s="58">
        <v>41364</v>
      </c>
      <c r="B49" s="59" t="s">
        <v>84</v>
      </c>
      <c r="C49" s="11">
        <f>SUM(D49:N49)</f>
        <v>0</v>
      </c>
      <c r="D49" s="248">
        <v>0</v>
      </c>
      <c r="E49" s="248">
        <v>0</v>
      </c>
      <c r="F49" s="249">
        <v>0</v>
      </c>
      <c r="G49" s="249">
        <v>0</v>
      </c>
      <c r="H49" s="50">
        <v>0</v>
      </c>
      <c r="I49" s="50"/>
      <c r="J49" s="50"/>
      <c r="K49" s="50"/>
      <c r="L49" s="50"/>
      <c r="M49" s="50"/>
      <c r="N49" s="50">
        <v>0</v>
      </c>
      <c r="O49" s="106"/>
      <c r="P49" s="50"/>
      <c r="Q49" s="392" t="s">
        <v>209</v>
      </c>
      <c r="R49" s="393" t="s">
        <v>207</v>
      </c>
      <c r="S49" s="335">
        <f>IF(SUM(C49:C52)&gt;0,C49+C50+C52+C51,0)</f>
        <v>0</v>
      </c>
      <c r="T49" s="337">
        <f>IF(SUM(C49:C52)&lt;0,C49+C50+C52+C51,0)</f>
        <v>-1297.06</v>
      </c>
    </row>
    <row r="50" spans="1:20" s="356" customFormat="1" ht="15.75" hidden="1">
      <c r="A50" s="62"/>
      <c r="B50" s="59" t="s">
        <v>148</v>
      </c>
      <c r="C50" s="11">
        <f>SUM(D50:N50)</f>
        <v>0</v>
      </c>
      <c r="D50" s="249"/>
      <c r="E50" s="249">
        <v>0</v>
      </c>
      <c r="F50" s="249"/>
      <c r="G50" s="250"/>
      <c r="H50" s="60"/>
      <c r="I50" s="50"/>
      <c r="J50" s="87"/>
      <c r="K50" s="87"/>
      <c r="L50" s="50"/>
      <c r="M50" s="50"/>
      <c r="N50" s="50"/>
      <c r="O50" s="106"/>
      <c r="P50" s="50"/>
      <c r="Q50" s="347" t="s">
        <v>11</v>
      </c>
      <c r="R50" s="348" t="s">
        <v>62</v>
      </c>
      <c r="S50" s="335">
        <v>0</v>
      </c>
      <c r="T50" s="337">
        <v>0</v>
      </c>
    </row>
    <row r="51" spans="1:20" s="356" customFormat="1" ht="15.75" hidden="1">
      <c r="A51" s="62"/>
      <c r="B51" s="59" t="s">
        <v>144</v>
      </c>
      <c r="C51" s="11">
        <f>SUM(D51:N51)</f>
        <v>0</v>
      </c>
      <c r="D51" s="247">
        <v>0</v>
      </c>
      <c r="E51" s="247"/>
      <c r="F51" s="247"/>
      <c r="G51" s="249">
        <v>0</v>
      </c>
      <c r="H51" s="105"/>
      <c r="I51" s="50"/>
      <c r="J51" s="87"/>
      <c r="K51" s="50"/>
      <c r="L51" s="50"/>
      <c r="M51" s="50"/>
      <c r="N51" s="50"/>
      <c r="O51" s="106"/>
      <c r="P51" s="50"/>
      <c r="Q51" s="340" t="s">
        <v>80</v>
      </c>
      <c r="R51" s="339" t="s">
        <v>59</v>
      </c>
      <c r="S51" s="112">
        <f>IF(SUM(C49)&lt;0,-C49,0)</f>
        <v>0</v>
      </c>
      <c r="T51" s="337">
        <f>IF(SUM(C49)&gt;0,-C49,0)</f>
        <v>0</v>
      </c>
    </row>
    <row r="52" spans="1:20" s="356" customFormat="1" ht="15.75" hidden="1">
      <c r="A52" s="62"/>
      <c r="B52" s="59" t="s">
        <v>57</v>
      </c>
      <c r="C52" s="64">
        <f>SUM(D52:N52)</f>
        <v>-1297.06</v>
      </c>
      <c r="D52" s="64"/>
      <c r="E52" s="64"/>
      <c r="F52" s="64"/>
      <c r="G52" s="64"/>
      <c r="H52" s="64">
        <v>-1297.06</v>
      </c>
      <c r="I52" s="64"/>
      <c r="J52" s="64"/>
      <c r="K52" s="64"/>
      <c r="L52" s="64"/>
      <c r="M52" s="64"/>
      <c r="N52" s="64"/>
      <c r="O52" s="99">
        <v>0.01</v>
      </c>
      <c r="P52" s="50"/>
      <c r="Q52" s="342" t="s">
        <v>154</v>
      </c>
      <c r="R52" s="339" t="s">
        <v>77</v>
      </c>
      <c r="S52" s="344">
        <v>0</v>
      </c>
      <c r="T52" s="337">
        <f>IF(SUM(C52)&gt;0,-C52,0)</f>
        <v>0</v>
      </c>
    </row>
    <row r="53" spans="1:20" s="356" customFormat="1" ht="16.5" hidden="1" thickBot="1">
      <c r="A53" s="104">
        <f>A49</f>
        <v>41364</v>
      </c>
      <c r="B53" s="50" t="s">
        <v>56</v>
      </c>
      <c r="C53" s="158">
        <f>SUM(C45:C52)</f>
        <v>-1557766.17</v>
      </c>
      <c r="D53" s="158">
        <f>SUM(D45:D52)</f>
        <v>-883736.20005990437</v>
      </c>
      <c r="E53" s="158">
        <f>SUM(E45:E52)</f>
        <v>-659271.7478600872</v>
      </c>
      <c r="F53" s="158">
        <f t="shared" ref="F53:G53" si="8">SUM(F45:F52)</f>
        <v>0</v>
      </c>
      <c r="G53" s="158">
        <f t="shared" si="8"/>
        <v>0</v>
      </c>
      <c r="H53" s="158">
        <f>SUM(H45:H52)</f>
        <v>-14758.222080008451</v>
      </c>
      <c r="I53" s="158">
        <f t="shared" ref="I53:N53" si="9">SUM(I45:I52)</f>
        <v>0</v>
      </c>
      <c r="J53" s="158">
        <f t="shared" si="9"/>
        <v>0</v>
      </c>
      <c r="K53" s="158">
        <f t="shared" si="9"/>
        <v>0</v>
      </c>
      <c r="L53" s="158">
        <f t="shared" si="9"/>
        <v>0</v>
      </c>
      <c r="M53" s="158">
        <f t="shared" si="9"/>
        <v>0</v>
      </c>
      <c r="N53" s="158">
        <f t="shared" si="9"/>
        <v>0</v>
      </c>
      <c r="O53" s="50"/>
      <c r="P53" s="50"/>
      <c r="Q53" s="343" t="s">
        <v>83</v>
      </c>
      <c r="R53" s="341" t="s">
        <v>78</v>
      </c>
      <c r="S53" s="116">
        <f>IF(SUM(C52)&lt;0,-C52,0)</f>
        <v>1297.06</v>
      </c>
      <c r="T53" s="391">
        <v>0</v>
      </c>
    </row>
    <row r="54" spans="1:20" s="356" customFormat="1" ht="15.75" hidden="1" thickTop="1">
      <c r="A54" s="53"/>
      <c r="B54" s="384"/>
      <c r="C54" s="384"/>
      <c r="D54" s="384"/>
      <c r="E54" s="384"/>
      <c r="F54" s="384"/>
      <c r="G54" s="384"/>
      <c r="H54" s="384"/>
      <c r="I54" s="384"/>
      <c r="J54" s="384"/>
      <c r="K54" s="384"/>
      <c r="L54" s="384"/>
      <c r="M54" s="384"/>
      <c r="N54" s="384"/>
      <c r="O54" s="384"/>
      <c r="P54" s="384"/>
      <c r="Q54" s="384"/>
      <c r="R54" s="384"/>
      <c r="S54" s="384"/>
      <c r="T54" s="338">
        <v>0</v>
      </c>
    </row>
    <row r="55" spans="1:20" s="356" customFormat="1" ht="15.75" hidden="1" thickBot="1">
      <c r="A55" s="53"/>
      <c r="B55" s="384"/>
      <c r="C55" s="384"/>
      <c r="D55" s="384"/>
      <c r="E55" s="384"/>
      <c r="F55" s="384"/>
      <c r="G55" s="384"/>
      <c r="H55" s="384"/>
      <c r="I55" s="384"/>
      <c r="J55" s="384"/>
      <c r="K55" s="384"/>
      <c r="L55" s="384"/>
      <c r="M55" s="384"/>
      <c r="N55" s="384"/>
      <c r="O55" s="384"/>
      <c r="P55" s="384"/>
      <c r="Q55" s="384"/>
      <c r="R55" s="384"/>
      <c r="S55" s="384"/>
      <c r="T55" s="384"/>
    </row>
    <row r="56" spans="1:20" s="356" customFormat="1" ht="15.75" hidden="1" thickBot="1">
      <c r="A56" s="53"/>
      <c r="B56" s="384"/>
      <c r="C56" s="384"/>
      <c r="D56" s="384"/>
      <c r="E56" s="384"/>
      <c r="F56" s="384"/>
      <c r="G56" s="384"/>
      <c r="H56" s="384"/>
      <c r="I56" s="384"/>
      <c r="J56" s="384"/>
      <c r="K56" s="384"/>
      <c r="L56" s="384"/>
      <c r="M56" s="384"/>
      <c r="N56" s="384"/>
      <c r="O56" s="384"/>
      <c r="P56" s="384"/>
      <c r="Q56" s="336" t="s">
        <v>107</v>
      </c>
      <c r="R56" s="332"/>
      <c r="S56" s="332"/>
      <c r="T56" s="228"/>
    </row>
    <row r="57" spans="1:20" s="356" customFormat="1" ht="15.75" hidden="1">
      <c r="A57" s="58">
        <v>41394</v>
      </c>
      <c r="B57" s="59" t="s">
        <v>84</v>
      </c>
      <c r="C57" s="11">
        <f>SUM(D57:N57)</f>
        <v>0</v>
      </c>
      <c r="D57" s="248">
        <v>0</v>
      </c>
      <c r="E57" s="248">
        <v>0</v>
      </c>
      <c r="F57" s="249">
        <v>0</v>
      </c>
      <c r="G57" s="249">
        <v>0</v>
      </c>
      <c r="H57" s="50">
        <v>0</v>
      </c>
      <c r="I57" s="50"/>
      <c r="J57" s="50"/>
      <c r="K57" s="50"/>
      <c r="L57" s="50"/>
      <c r="M57" s="50"/>
      <c r="N57" s="50">
        <v>0</v>
      </c>
      <c r="O57" s="106"/>
      <c r="P57" s="50"/>
      <c r="Q57" s="392" t="s">
        <v>209</v>
      </c>
      <c r="R57" s="393" t="s">
        <v>207</v>
      </c>
      <c r="S57" s="335">
        <f>IF(SUM(C57:C60)&gt;0,C57+C58+C60+C59,0)</f>
        <v>0</v>
      </c>
      <c r="T57" s="337">
        <f>IF(SUM(C57:C60)&lt;0,C57+C58+C60+C59,0)</f>
        <v>-1298.1400000000001</v>
      </c>
    </row>
    <row r="58" spans="1:20" s="356" customFormat="1" ht="15.75" hidden="1">
      <c r="A58" s="62"/>
      <c r="B58" s="59" t="s">
        <v>148</v>
      </c>
      <c r="C58" s="11">
        <f>SUM(D58:N58)</f>
        <v>0</v>
      </c>
      <c r="D58" s="249"/>
      <c r="E58" s="249">
        <v>0</v>
      </c>
      <c r="F58" s="249"/>
      <c r="G58" s="250"/>
      <c r="H58" s="60"/>
      <c r="I58" s="50"/>
      <c r="J58" s="87"/>
      <c r="K58" s="87"/>
      <c r="L58" s="50"/>
      <c r="M58" s="50"/>
      <c r="N58" s="50"/>
      <c r="O58" s="106"/>
      <c r="P58" s="50"/>
      <c r="Q58" s="347" t="s">
        <v>11</v>
      </c>
      <c r="R58" s="348" t="s">
        <v>62</v>
      </c>
      <c r="S58" s="335">
        <v>0</v>
      </c>
      <c r="T58" s="337">
        <v>0</v>
      </c>
    </row>
    <row r="59" spans="1:20" s="356" customFormat="1" ht="15.75" hidden="1">
      <c r="A59" s="62"/>
      <c r="B59" s="59" t="s">
        <v>144</v>
      </c>
      <c r="C59" s="11">
        <f>SUM(D59:N59)</f>
        <v>0</v>
      </c>
      <c r="D59" s="247">
        <v>0</v>
      </c>
      <c r="E59" s="247"/>
      <c r="F59" s="247"/>
      <c r="G59" s="249">
        <v>0</v>
      </c>
      <c r="H59" s="105"/>
      <c r="I59" s="50"/>
      <c r="J59" s="87"/>
      <c r="K59" s="50"/>
      <c r="L59" s="50"/>
      <c r="M59" s="50"/>
      <c r="N59" s="50"/>
      <c r="O59" s="106"/>
      <c r="P59" s="50"/>
      <c r="Q59" s="340" t="s">
        <v>80</v>
      </c>
      <c r="R59" s="339" t="s">
        <v>59</v>
      </c>
      <c r="S59" s="112">
        <f>IF(SUM(C57)&lt;0,-C57,0)</f>
        <v>0</v>
      </c>
      <c r="T59" s="337">
        <f>IF(SUM(C57)&gt;0,-C57,0)</f>
        <v>0</v>
      </c>
    </row>
    <row r="60" spans="1:20" s="356" customFormat="1" ht="15.75" hidden="1">
      <c r="A60" s="62"/>
      <c r="B60" s="59" t="s">
        <v>57</v>
      </c>
      <c r="C60" s="64">
        <f>SUM(D60:N60)</f>
        <v>-1298.1400000000001</v>
      </c>
      <c r="D60" s="64"/>
      <c r="E60" s="64"/>
      <c r="F60" s="64"/>
      <c r="G60" s="64"/>
      <c r="H60" s="64">
        <v>-1298.1400000000001</v>
      </c>
      <c r="I60" s="64"/>
      <c r="J60" s="64"/>
      <c r="K60" s="64"/>
      <c r="L60" s="64"/>
      <c r="M60" s="64"/>
      <c r="N60" s="64"/>
      <c r="O60" s="99">
        <v>0.01</v>
      </c>
      <c r="P60" s="50"/>
      <c r="Q60" s="342" t="s">
        <v>154</v>
      </c>
      <c r="R60" s="339" t="s">
        <v>77</v>
      </c>
      <c r="S60" s="344">
        <v>0</v>
      </c>
      <c r="T60" s="337">
        <f>IF(SUM(C60)&gt;0,-C60,0)</f>
        <v>0</v>
      </c>
    </row>
    <row r="61" spans="1:20" s="356" customFormat="1" ht="16.5" hidden="1" thickBot="1">
      <c r="A61" s="104">
        <f>A57</f>
        <v>41394</v>
      </c>
      <c r="B61" s="50" t="s">
        <v>56</v>
      </c>
      <c r="C61" s="158">
        <f>SUM(C53:C60)</f>
        <v>-1559064.3099999998</v>
      </c>
      <c r="D61" s="158">
        <f>SUM(D53:D60)</f>
        <v>-883736.20005990437</v>
      </c>
      <c r="E61" s="158">
        <f>SUM(E53:E60)</f>
        <v>-659271.7478600872</v>
      </c>
      <c r="F61" s="158">
        <f t="shared" ref="F61:G61" si="10">SUM(F53:F60)</f>
        <v>0</v>
      </c>
      <c r="G61" s="158">
        <f t="shared" si="10"/>
        <v>0</v>
      </c>
      <c r="H61" s="158">
        <f>SUM(H53:H60)</f>
        <v>-16056.36208000845</v>
      </c>
      <c r="I61" s="158">
        <f t="shared" ref="I61:N61" si="11">SUM(I53:I60)</f>
        <v>0</v>
      </c>
      <c r="J61" s="158">
        <f t="shared" si="11"/>
        <v>0</v>
      </c>
      <c r="K61" s="158">
        <f t="shared" si="11"/>
        <v>0</v>
      </c>
      <c r="L61" s="158">
        <f t="shared" si="11"/>
        <v>0</v>
      </c>
      <c r="M61" s="158">
        <f t="shared" si="11"/>
        <v>0</v>
      </c>
      <c r="N61" s="158">
        <f t="shared" si="11"/>
        <v>0</v>
      </c>
      <c r="O61" s="50"/>
      <c r="P61" s="50"/>
      <c r="Q61" s="343" t="s">
        <v>83</v>
      </c>
      <c r="R61" s="341" t="s">
        <v>78</v>
      </c>
      <c r="S61" s="116">
        <f>IF(SUM(C60)&lt;0,-C60,0)</f>
        <v>1298.1400000000001</v>
      </c>
      <c r="T61" s="391">
        <v>0</v>
      </c>
    </row>
    <row r="62" spans="1:20" s="356" customFormat="1" ht="15.75" hidden="1" thickTop="1">
      <c r="A62" s="53"/>
      <c r="B62" s="384"/>
      <c r="C62" s="385"/>
      <c r="D62" s="384"/>
      <c r="E62" s="384"/>
      <c r="F62" s="384"/>
      <c r="G62" s="384"/>
      <c r="H62" s="384"/>
      <c r="I62" s="384"/>
      <c r="J62" s="384"/>
      <c r="K62" s="384"/>
      <c r="L62" s="384"/>
      <c r="M62" s="384"/>
      <c r="N62" s="384"/>
      <c r="O62" s="384"/>
      <c r="P62" s="384"/>
      <c r="Q62" s="384"/>
      <c r="R62" s="384"/>
      <c r="S62" s="384"/>
      <c r="T62" s="338">
        <v>0</v>
      </c>
    </row>
    <row r="63" spans="1:20" s="356" customFormat="1" ht="15.75" hidden="1" thickBot="1">
      <c r="A63" s="53"/>
      <c r="B63" s="384"/>
      <c r="C63" s="384"/>
      <c r="D63" s="384"/>
      <c r="E63" s="384"/>
      <c r="F63" s="384"/>
      <c r="G63" s="384"/>
      <c r="H63" s="384"/>
      <c r="I63" s="384"/>
      <c r="J63" s="384"/>
      <c r="K63" s="384"/>
      <c r="L63" s="384"/>
      <c r="M63" s="384"/>
      <c r="N63" s="384"/>
      <c r="O63" s="384"/>
      <c r="P63" s="384"/>
      <c r="Q63" s="384"/>
      <c r="R63" s="384"/>
      <c r="S63" s="384"/>
      <c r="T63" s="384"/>
    </row>
    <row r="64" spans="1:20" s="356" customFormat="1" ht="15.75" hidden="1" thickBot="1">
      <c r="A64" s="53"/>
      <c r="B64" s="384"/>
      <c r="C64" s="384"/>
      <c r="D64" s="384"/>
      <c r="E64" s="384"/>
      <c r="F64" s="384"/>
      <c r="G64" s="384"/>
      <c r="H64" s="384"/>
      <c r="I64" s="384"/>
      <c r="J64" s="384"/>
      <c r="K64" s="384"/>
      <c r="L64" s="384"/>
      <c r="M64" s="384"/>
      <c r="N64" s="384"/>
      <c r="O64" s="384"/>
      <c r="P64" s="384"/>
      <c r="Q64" s="336" t="s">
        <v>107</v>
      </c>
      <c r="R64" s="332"/>
      <c r="S64" s="332"/>
      <c r="T64" s="228"/>
    </row>
    <row r="65" spans="1:20" s="356" customFormat="1" ht="15.75" hidden="1">
      <c r="A65" s="58">
        <v>41425</v>
      </c>
      <c r="B65" s="59" t="s">
        <v>84</v>
      </c>
      <c r="C65" s="11">
        <f>SUM(D65:N65)</f>
        <v>0</v>
      </c>
      <c r="D65" s="248">
        <v>0</v>
      </c>
      <c r="E65" s="248">
        <v>0</v>
      </c>
      <c r="F65" s="249">
        <v>0</v>
      </c>
      <c r="G65" s="249">
        <v>0</v>
      </c>
      <c r="H65" s="50">
        <v>0</v>
      </c>
      <c r="I65" s="50"/>
      <c r="J65" s="50"/>
      <c r="K65" s="50"/>
      <c r="L65" s="50"/>
      <c r="M65" s="50"/>
      <c r="N65" s="50">
        <v>0</v>
      </c>
      <c r="O65" s="106"/>
      <c r="P65" s="50"/>
      <c r="Q65" s="392" t="s">
        <v>209</v>
      </c>
      <c r="R65" s="393" t="s">
        <v>207</v>
      </c>
      <c r="S65" s="335">
        <f>IF(SUM(C65:C68)&gt;0,C65+C66+C68+C67,0)</f>
        <v>0</v>
      </c>
      <c r="T65" s="337">
        <f>IF(SUM(C65:C68)&lt;0,C65+C66+C68+C67,0)</f>
        <v>-1299.22</v>
      </c>
    </row>
    <row r="66" spans="1:20" s="356" customFormat="1" ht="15.75" hidden="1">
      <c r="A66" s="62"/>
      <c r="B66" s="59" t="s">
        <v>148</v>
      </c>
      <c r="C66" s="11">
        <f>SUM(D66:N66)</f>
        <v>0</v>
      </c>
      <c r="D66" s="249"/>
      <c r="E66" s="249">
        <v>0</v>
      </c>
      <c r="F66" s="249"/>
      <c r="G66" s="250"/>
      <c r="H66" s="60"/>
      <c r="I66" s="50"/>
      <c r="J66" s="87"/>
      <c r="K66" s="87"/>
      <c r="L66" s="50"/>
      <c r="M66" s="50"/>
      <c r="N66" s="50"/>
      <c r="O66" s="106"/>
      <c r="P66" s="50"/>
      <c r="Q66" s="347" t="s">
        <v>11</v>
      </c>
      <c r="R66" s="348" t="s">
        <v>62</v>
      </c>
      <c r="S66" s="335">
        <v>0</v>
      </c>
      <c r="T66" s="337">
        <v>0</v>
      </c>
    </row>
    <row r="67" spans="1:20" s="356" customFormat="1" ht="15.75" hidden="1">
      <c r="A67" s="62"/>
      <c r="B67" s="59" t="s">
        <v>144</v>
      </c>
      <c r="C67" s="11">
        <f>SUM(D67:N67)</f>
        <v>0</v>
      </c>
      <c r="D67" s="247">
        <v>0</v>
      </c>
      <c r="E67" s="247"/>
      <c r="F67" s="247"/>
      <c r="G67" s="249">
        <v>0</v>
      </c>
      <c r="H67" s="105"/>
      <c r="I67" s="50"/>
      <c r="J67" s="87"/>
      <c r="K67" s="50"/>
      <c r="L67" s="50"/>
      <c r="M67" s="50"/>
      <c r="N67" s="50"/>
      <c r="O67" s="106"/>
      <c r="P67" s="50"/>
      <c r="Q67" s="340" t="s">
        <v>80</v>
      </c>
      <c r="R67" s="339" t="s">
        <v>59</v>
      </c>
      <c r="S67" s="112">
        <f>IF(SUM(C65)&lt;0,-C65,0)</f>
        <v>0</v>
      </c>
      <c r="T67" s="337">
        <f>IF(SUM(C65)&gt;0,-C65,0)</f>
        <v>0</v>
      </c>
    </row>
    <row r="68" spans="1:20" s="356" customFormat="1" ht="15.75" hidden="1">
      <c r="A68" s="62"/>
      <c r="B68" s="59" t="s">
        <v>57</v>
      </c>
      <c r="C68" s="64">
        <f>SUM(D68:N68)</f>
        <v>-1299.22</v>
      </c>
      <c r="D68" s="64"/>
      <c r="E68" s="64"/>
      <c r="F68" s="64"/>
      <c r="G68" s="64"/>
      <c r="H68" s="64">
        <v>-1299.22</v>
      </c>
      <c r="I68" s="64"/>
      <c r="J68" s="64"/>
      <c r="K68" s="64"/>
      <c r="L68" s="64"/>
      <c r="M68" s="64"/>
      <c r="N68" s="64"/>
      <c r="O68" s="99">
        <v>0.01</v>
      </c>
      <c r="P68" s="50"/>
      <c r="Q68" s="342" t="s">
        <v>154</v>
      </c>
      <c r="R68" s="339" t="s">
        <v>77</v>
      </c>
      <c r="S68" s="344">
        <v>0</v>
      </c>
      <c r="T68" s="337">
        <f>IF(SUM(C68)&gt;0,-C68,0)</f>
        <v>0</v>
      </c>
    </row>
    <row r="69" spans="1:20" s="356" customFormat="1" ht="16.5" hidden="1" thickBot="1">
      <c r="A69" s="104">
        <f>A65</f>
        <v>41425</v>
      </c>
      <c r="B69" s="50" t="s">
        <v>56</v>
      </c>
      <c r="C69" s="158">
        <f>SUM(C61:C68)</f>
        <v>-1560363.5299999998</v>
      </c>
      <c r="D69" s="158">
        <f>SUM(D61:D68)</f>
        <v>-883736.20005990437</v>
      </c>
      <c r="E69" s="158">
        <f>SUM(E61:E68)</f>
        <v>-659271.7478600872</v>
      </c>
      <c r="F69" s="158">
        <f t="shared" ref="F69:G69" si="12">SUM(F61:F68)</f>
        <v>0</v>
      </c>
      <c r="G69" s="158">
        <f t="shared" si="12"/>
        <v>0</v>
      </c>
      <c r="H69" s="158">
        <f>SUM(H61:H68)</f>
        <v>-17355.582080008451</v>
      </c>
      <c r="I69" s="158">
        <f t="shared" ref="I69:N69" si="13">SUM(I61:I68)</f>
        <v>0</v>
      </c>
      <c r="J69" s="158">
        <f t="shared" si="13"/>
        <v>0</v>
      </c>
      <c r="K69" s="158">
        <f t="shared" si="13"/>
        <v>0</v>
      </c>
      <c r="L69" s="158">
        <f t="shared" si="13"/>
        <v>0</v>
      </c>
      <c r="M69" s="158">
        <f t="shared" si="13"/>
        <v>0</v>
      </c>
      <c r="N69" s="158">
        <f t="shared" si="13"/>
        <v>0</v>
      </c>
      <c r="O69" s="50"/>
      <c r="P69" s="50"/>
      <c r="Q69" s="343" t="s">
        <v>83</v>
      </c>
      <c r="R69" s="341" t="s">
        <v>78</v>
      </c>
      <c r="S69" s="116">
        <f>IF(SUM(C68)&lt;0,-C68,0)</f>
        <v>1299.22</v>
      </c>
      <c r="T69" s="391">
        <v>0</v>
      </c>
    </row>
    <row r="70" spans="1:20" s="356" customFormat="1" ht="15.75" hidden="1" thickTop="1">
      <c r="A70" s="53"/>
      <c r="B70" s="384"/>
      <c r="C70" s="384"/>
      <c r="D70" s="384"/>
      <c r="E70" s="384"/>
      <c r="F70" s="384"/>
      <c r="G70" s="384"/>
      <c r="H70" s="384"/>
      <c r="I70" s="384"/>
      <c r="J70" s="384"/>
      <c r="K70" s="384"/>
      <c r="L70" s="384"/>
      <c r="M70" s="384"/>
      <c r="N70" s="384"/>
      <c r="O70" s="384"/>
      <c r="P70" s="384"/>
      <c r="Q70" s="384"/>
      <c r="R70" s="384"/>
      <c r="S70" s="384"/>
      <c r="T70" s="338">
        <v>0</v>
      </c>
    </row>
    <row r="71" spans="1:20" s="356" customFormat="1" ht="15.75" hidden="1" thickBot="1">
      <c r="A71" s="53"/>
      <c r="B71" s="384"/>
      <c r="C71" s="384"/>
      <c r="D71" s="384"/>
      <c r="E71" s="384"/>
      <c r="F71" s="384"/>
      <c r="G71" s="384"/>
      <c r="H71" s="384"/>
      <c r="I71" s="384"/>
      <c r="J71" s="384"/>
      <c r="K71" s="384"/>
      <c r="L71" s="384"/>
      <c r="M71" s="384"/>
      <c r="N71" s="384"/>
      <c r="O71" s="384"/>
      <c r="P71" s="384"/>
      <c r="Q71" s="384"/>
      <c r="R71" s="384"/>
      <c r="S71" s="384"/>
      <c r="T71" s="384"/>
    </row>
    <row r="72" spans="1:20" s="356" customFormat="1" ht="15.75" hidden="1" thickBot="1">
      <c r="A72" s="53"/>
      <c r="B72" s="384"/>
      <c r="C72" s="384"/>
      <c r="D72" s="384"/>
      <c r="E72" s="384"/>
      <c r="F72" s="384"/>
      <c r="G72" s="384"/>
      <c r="H72" s="384"/>
      <c r="I72" s="384"/>
      <c r="J72" s="384"/>
      <c r="K72" s="384"/>
      <c r="L72" s="384"/>
      <c r="M72" s="384"/>
      <c r="N72" s="384"/>
      <c r="O72" s="384"/>
      <c r="P72" s="384"/>
      <c r="Q72" s="336" t="s">
        <v>107</v>
      </c>
      <c r="R72" s="332"/>
      <c r="S72" s="332"/>
      <c r="T72" s="228"/>
    </row>
    <row r="73" spans="1:20" s="356" customFormat="1" ht="15.75" hidden="1">
      <c r="A73" s="58">
        <v>41426</v>
      </c>
      <c r="B73" s="59" t="s">
        <v>84</v>
      </c>
      <c r="C73" s="11">
        <f>SUM(D73:N73)</f>
        <v>0</v>
      </c>
      <c r="D73" s="248">
        <v>0</v>
      </c>
      <c r="E73" s="248">
        <v>0</v>
      </c>
      <c r="F73" s="249">
        <v>0</v>
      </c>
      <c r="G73" s="249">
        <v>0</v>
      </c>
      <c r="H73" s="50">
        <v>0</v>
      </c>
      <c r="I73" s="50"/>
      <c r="J73" s="50"/>
      <c r="K73" s="50"/>
      <c r="L73" s="50"/>
      <c r="M73" s="50"/>
      <c r="N73" s="50">
        <v>0</v>
      </c>
      <c r="O73" s="106"/>
      <c r="P73" s="50"/>
      <c r="Q73" s="392" t="s">
        <v>209</v>
      </c>
      <c r="R73" s="393" t="s">
        <v>207</v>
      </c>
      <c r="S73" s="335">
        <f>IF(SUM(C73:C76)&gt;0,C73+C74+C76+C75,0)</f>
        <v>0</v>
      </c>
      <c r="T73" s="337">
        <f>IF(SUM(C73:C76)&lt;0,C73+C74+C76+C75,0)</f>
        <v>-1300.3</v>
      </c>
    </row>
    <row r="74" spans="1:20" s="356" customFormat="1" ht="15.75" hidden="1">
      <c r="A74" s="62"/>
      <c r="B74" s="59" t="s">
        <v>148</v>
      </c>
      <c r="C74" s="11">
        <f>SUM(D74:N74)</f>
        <v>0</v>
      </c>
      <c r="D74" s="249"/>
      <c r="E74" s="249">
        <v>0</v>
      </c>
      <c r="F74" s="249"/>
      <c r="G74" s="250"/>
      <c r="H74" s="60"/>
      <c r="I74" s="50"/>
      <c r="J74" s="87"/>
      <c r="K74" s="87"/>
      <c r="L74" s="50"/>
      <c r="M74" s="50"/>
      <c r="N74" s="50"/>
      <c r="O74" s="106"/>
      <c r="P74" s="50"/>
      <c r="Q74" s="347" t="s">
        <v>11</v>
      </c>
      <c r="R74" s="348" t="s">
        <v>62</v>
      </c>
      <c r="S74" s="335">
        <v>0</v>
      </c>
      <c r="T74" s="337">
        <v>0</v>
      </c>
    </row>
    <row r="75" spans="1:20" s="356" customFormat="1" ht="15.75" hidden="1">
      <c r="A75" s="62"/>
      <c r="B75" s="59" t="s">
        <v>144</v>
      </c>
      <c r="C75" s="11">
        <f>SUM(D75:N75)</f>
        <v>0</v>
      </c>
      <c r="D75" s="247">
        <v>0</v>
      </c>
      <c r="E75" s="247"/>
      <c r="F75" s="247"/>
      <c r="G75" s="249">
        <v>0</v>
      </c>
      <c r="H75" s="105"/>
      <c r="I75" s="50"/>
      <c r="J75" s="87"/>
      <c r="K75" s="50"/>
      <c r="L75" s="50"/>
      <c r="M75" s="50"/>
      <c r="N75" s="50"/>
      <c r="O75" s="106"/>
      <c r="P75" s="50"/>
      <c r="Q75" s="340" t="s">
        <v>80</v>
      </c>
      <c r="R75" s="339" t="s">
        <v>59</v>
      </c>
      <c r="S75" s="112">
        <f>IF(SUM(C73)&lt;0,-C73,0)</f>
        <v>0</v>
      </c>
      <c r="T75" s="337">
        <f>IF(SUM(C73)&gt;0,-C73,0)</f>
        <v>0</v>
      </c>
    </row>
    <row r="76" spans="1:20" s="356" customFormat="1" ht="15.75" hidden="1">
      <c r="A76" s="62"/>
      <c r="B76" s="59" t="s">
        <v>57</v>
      </c>
      <c r="C76" s="64">
        <f>SUM(D76:N76)</f>
        <v>-1300.3</v>
      </c>
      <c r="D76" s="64"/>
      <c r="E76" s="64"/>
      <c r="F76" s="64"/>
      <c r="G76" s="64"/>
      <c r="H76" s="64">
        <f>ROUND(((C69)+(C73)/2)*(O76/12),2)</f>
        <v>-1300.3</v>
      </c>
      <c r="I76" s="64"/>
      <c r="J76" s="64"/>
      <c r="K76" s="64"/>
      <c r="L76" s="64"/>
      <c r="M76" s="64"/>
      <c r="N76" s="64"/>
      <c r="O76" s="99">
        <v>0.01</v>
      </c>
      <c r="P76" s="50"/>
      <c r="Q76" s="342" t="s">
        <v>154</v>
      </c>
      <c r="R76" s="339" t="s">
        <v>77</v>
      </c>
      <c r="S76" s="344">
        <v>0</v>
      </c>
      <c r="T76" s="337">
        <f>IF(SUM(C76)&gt;0,-C76,0)</f>
        <v>0</v>
      </c>
    </row>
    <row r="77" spans="1:20" s="356" customFormat="1" ht="16.5" thickBot="1">
      <c r="A77" s="104">
        <f>A73</f>
        <v>41426</v>
      </c>
      <c r="B77" s="50" t="s">
        <v>56</v>
      </c>
      <c r="C77" s="158">
        <f>SUM(C69:C76)</f>
        <v>-1561663.8299999998</v>
      </c>
      <c r="D77" s="158">
        <f>SUM(D69:D76)</f>
        <v>-883736.20005990437</v>
      </c>
      <c r="E77" s="158">
        <f>SUM(E69:E76)</f>
        <v>-659271.7478600872</v>
      </c>
      <c r="F77" s="158">
        <f t="shared" ref="F77:G77" si="14">SUM(F69:F76)</f>
        <v>0</v>
      </c>
      <c r="G77" s="158">
        <f t="shared" si="14"/>
        <v>0</v>
      </c>
      <c r="H77" s="158">
        <f>SUM(H69:H76)</f>
        <v>-18655.88208000845</v>
      </c>
      <c r="I77" s="158">
        <f t="shared" ref="I77:N77" si="15">SUM(I69:I76)</f>
        <v>0</v>
      </c>
      <c r="J77" s="158">
        <f t="shared" si="15"/>
        <v>0</v>
      </c>
      <c r="K77" s="158">
        <f t="shared" si="15"/>
        <v>0</v>
      </c>
      <c r="L77" s="158">
        <f t="shared" si="15"/>
        <v>0</v>
      </c>
      <c r="M77" s="158">
        <f t="shared" si="15"/>
        <v>0</v>
      </c>
      <c r="N77" s="158">
        <f t="shared" si="15"/>
        <v>0</v>
      </c>
      <c r="O77" s="50"/>
      <c r="P77" s="50"/>
      <c r="Q77" s="343" t="s">
        <v>83</v>
      </c>
      <c r="R77" s="341" t="s">
        <v>78</v>
      </c>
      <c r="S77" s="116">
        <f>IF(SUM(C76)&lt;0,-C76,0)</f>
        <v>1300.3</v>
      </c>
      <c r="T77" s="391">
        <v>0</v>
      </c>
    </row>
    <row r="78" spans="1:20" s="356" customFormat="1" ht="15.75" thickTop="1">
      <c r="A78" s="53"/>
      <c r="B78" s="384"/>
      <c r="C78" s="384"/>
      <c r="D78" s="384"/>
      <c r="E78" s="384"/>
      <c r="F78" s="384"/>
      <c r="G78" s="384"/>
      <c r="H78" s="384"/>
      <c r="I78" s="384"/>
      <c r="J78" s="384"/>
      <c r="K78" s="384"/>
      <c r="L78" s="384"/>
      <c r="M78" s="384"/>
      <c r="N78" s="384"/>
      <c r="O78" s="384"/>
      <c r="P78" s="384"/>
      <c r="Q78" s="384"/>
      <c r="R78" s="384"/>
      <c r="S78" s="384"/>
      <c r="T78" s="338">
        <v>0</v>
      </c>
    </row>
    <row r="79" spans="1:20" s="356" customFormat="1" ht="16.5" thickBot="1">
      <c r="A79" s="364"/>
      <c r="B79" s="359"/>
      <c r="C79" s="316"/>
      <c r="D79" s="316"/>
      <c r="E79" s="316"/>
      <c r="F79" s="316"/>
      <c r="G79" s="316"/>
      <c r="H79" s="316"/>
      <c r="I79" s="316"/>
      <c r="J79" s="316"/>
      <c r="K79" s="316"/>
      <c r="L79" s="316"/>
      <c r="M79" s="316"/>
      <c r="N79" s="316"/>
      <c r="O79" s="370"/>
      <c r="P79" s="316"/>
      <c r="Q79" s="371"/>
      <c r="R79" s="362"/>
      <c r="S79" s="369"/>
      <c r="T79" s="369"/>
    </row>
    <row r="80" spans="1:20" s="356" customFormat="1" ht="15.75" thickBot="1">
      <c r="A80" s="53"/>
      <c r="B80" s="384"/>
      <c r="C80" s="384"/>
      <c r="D80" s="384"/>
      <c r="E80" s="384"/>
      <c r="F80" s="384"/>
      <c r="G80" s="384"/>
      <c r="H80" s="384"/>
      <c r="I80" s="384"/>
      <c r="J80" s="384"/>
      <c r="K80" s="384"/>
      <c r="L80" s="384"/>
      <c r="M80" s="384"/>
      <c r="N80" s="384"/>
      <c r="O80" s="384"/>
      <c r="P80" s="384"/>
      <c r="Q80" s="336" t="s">
        <v>107</v>
      </c>
      <c r="R80" s="332"/>
      <c r="S80" s="332"/>
      <c r="T80" s="228"/>
    </row>
    <row r="81" spans="1:20" s="356" customFormat="1" ht="15.75">
      <c r="A81" s="58">
        <v>41456</v>
      </c>
      <c r="B81" s="59" t="s">
        <v>84</v>
      </c>
      <c r="C81" s="11">
        <f>SUM(D81:N81)</f>
        <v>0</v>
      </c>
      <c r="D81" s="248">
        <v>0</v>
      </c>
      <c r="E81" s="248">
        <v>0</v>
      </c>
      <c r="F81" s="249">
        <v>0</v>
      </c>
      <c r="G81" s="249">
        <v>0</v>
      </c>
      <c r="H81" s="50">
        <v>0</v>
      </c>
      <c r="I81" s="50"/>
      <c r="J81" s="50"/>
      <c r="K81" s="50"/>
      <c r="L81" s="50"/>
      <c r="M81" s="50"/>
      <c r="N81" s="50">
        <v>0</v>
      </c>
      <c r="O81" s="106"/>
      <c r="P81" s="50"/>
      <c r="Q81" s="392" t="s">
        <v>209</v>
      </c>
      <c r="R81" s="393" t="s">
        <v>207</v>
      </c>
      <c r="S81" s="335">
        <f>IF(SUM(C81:C84)&gt;0,C81+C82+C84+C83,0)</f>
        <v>0</v>
      </c>
      <c r="T81" s="337">
        <f>IF(SUM(C81:C84)&lt;0,C81+C82+C84+C83,0)</f>
        <v>-1301.3900000000001</v>
      </c>
    </row>
    <row r="82" spans="1:20" s="356" customFormat="1" ht="15.75">
      <c r="A82" s="62"/>
      <c r="B82" s="59" t="s">
        <v>148</v>
      </c>
      <c r="C82" s="11">
        <f>SUM(D82:N82)</f>
        <v>0</v>
      </c>
      <c r="D82" s="249"/>
      <c r="E82" s="249">
        <v>0</v>
      </c>
      <c r="F82" s="249"/>
      <c r="G82" s="250"/>
      <c r="H82" s="60"/>
      <c r="I82" s="50"/>
      <c r="J82" s="87"/>
      <c r="K82" s="87"/>
      <c r="L82" s="50"/>
      <c r="M82" s="50"/>
      <c r="N82" s="50"/>
      <c r="O82" s="106"/>
      <c r="P82" s="50"/>
      <c r="Q82" s="347" t="s">
        <v>11</v>
      </c>
      <c r="R82" s="348" t="s">
        <v>62</v>
      </c>
      <c r="S82" s="335">
        <v>0</v>
      </c>
      <c r="T82" s="337">
        <v>0</v>
      </c>
    </row>
    <row r="83" spans="1:20" s="356" customFormat="1" ht="15.75">
      <c r="A83" s="62"/>
      <c r="B83" s="59" t="s">
        <v>144</v>
      </c>
      <c r="C83" s="11">
        <f>SUM(D83:N83)</f>
        <v>0</v>
      </c>
      <c r="D83" s="247">
        <v>0</v>
      </c>
      <c r="E83" s="247"/>
      <c r="F83" s="247"/>
      <c r="G83" s="249">
        <v>0</v>
      </c>
      <c r="H83" s="105"/>
      <c r="I83" s="50"/>
      <c r="J83" s="87"/>
      <c r="K83" s="50"/>
      <c r="L83" s="50"/>
      <c r="M83" s="50"/>
      <c r="N83" s="50"/>
      <c r="O83" s="106"/>
      <c r="P83" s="50"/>
      <c r="Q83" s="340" t="s">
        <v>80</v>
      </c>
      <c r="R83" s="339" t="s">
        <v>59</v>
      </c>
      <c r="S83" s="112">
        <f>IF(SUM(C81)&lt;0,-C81,0)</f>
        <v>0</v>
      </c>
      <c r="T83" s="337">
        <f>IF(SUM(C81)&gt;0,-C81,0)</f>
        <v>0</v>
      </c>
    </row>
    <row r="84" spans="1:20" s="356" customFormat="1" ht="15.75">
      <c r="A84" s="62"/>
      <c r="B84" s="59" t="s">
        <v>57</v>
      </c>
      <c r="C84" s="64">
        <f>SUM(D84:N84)</f>
        <v>-1301.3900000000001</v>
      </c>
      <c r="D84" s="64"/>
      <c r="E84" s="64"/>
      <c r="F84" s="64"/>
      <c r="G84" s="64"/>
      <c r="H84" s="64">
        <f>ROUND(((C77)+(C81)/2)*(O84/12),2)</f>
        <v>-1301.3900000000001</v>
      </c>
      <c r="I84" s="64"/>
      <c r="J84" s="64"/>
      <c r="K84" s="64"/>
      <c r="L84" s="64"/>
      <c r="M84" s="64"/>
      <c r="N84" s="64"/>
      <c r="O84" s="99">
        <v>0.01</v>
      </c>
      <c r="P84" s="50"/>
      <c r="Q84" s="342" t="s">
        <v>154</v>
      </c>
      <c r="R84" s="339" t="s">
        <v>77</v>
      </c>
      <c r="S84" s="344">
        <v>0</v>
      </c>
      <c r="T84" s="337">
        <f>IF(SUM(C84)&gt;0,-C84,0)</f>
        <v>0</v>
      </c>
    </row>
    <row r="85" spans="1:20" s="356" customFormat="1" ht="16.5" thickBot="1">
      <c r="A85" s="104">
        <f>A81</f>
        <v>41456</v>
      </c>
      <c r="B85" s="50" t="s">
        <v>56</v>
      </c>
      <c r="C85" s="158">
        <f>SUM(C77:C84)</f>
        <v>-1562965.2199999997</v>
      </c>
      <c r="D85" s="158">
        <f>SUM(D77:D84)</f>
        <v>-883736.20005990437</v>
      </c>
      <c r="E85" s="158">
        <f>SUM(E77:E84)</f>
        <v>-659271.7478600872</v>
      </c>
      <c r="F85" s="158">
        <f t="shared" ref="F85:G85" si="16">SUM(F77:F84)</f>
        <v>0</v>
      </c>
      <c r="G85" s="158">
        <f t="shared" si="16"/>
        <v>0</v>
      </c>
      <c r="H85" s="158">
        <f>SUM(H77:H84)</f>
        <v>-19957.27208000845</v>
      </c>
      <c r="I85" s="158">
        <f t="shared" ref="I85:N85" si="17">SUM(I77:I84)</f>
        <v>0</v>
      </c>
      <c r="J85" s="158">
        <f t="shared" si="17"/>
        <v>0</v>
      </c>
      <c r="K85" s="158">
        <f t="shared" si="17"/>
        <v>0</v>
      </c>
      <c r="L85" s="158">
        <f t="shared" si="17"/>
        <v>0</v>
      </c>
      <c r="M85" s="158">
        <f t="shared" si="17"/>
        <v>0</v>
      </c>
      <c r="N85" s="158">
        <f t="shared" si="17"/>
        <v>0</v>
      </c>
      <c r="O85" s="50"/>
      <c r="P85" s="50"/>
      <c r="Q85" s="343" t="s">
        <v>83</v>
      </c>
      <c r="R85" s="341" t="s">
        <v>78</v>
      </c>
      <c r="S85" s="116">
        <f>IF(SUM(C84)&lt;0,-C84,0)</f>
        <v>1301.3900000000001</v>
      </c>
      <c r="T85" s="391">
        <v>0</v>
      </c>
    </row>
    <row r="86" spans="1:20" s="356" customFormat="1" ht="15.75" thickTop="1">
      <c r="A86" s="53"/>
      <c r="B86" s="384"/>
      <c r="C86" s="384"/>
      <c r="D86" s="384"/>
      <c r="E86" s="384"/>
      <c r="F86" s="384"/>
      <c r="G86" s="384"/>
      <c r="H86" s="384"/>
      <c r="I86" s="384"/>
      <c r="J86" s="384"/>
      <c r="K86" s="384"/>
      <c r="L86" s="384"/>
      <c r="M86" s="384"/>
      <c r="N86" s="384"/>
      <c r="O86" s="384"/>
      <c r="P86" s="384"/>
      <c r="Q86" s="384"/>
      <c r="R86" s="384"/>
      <c r="S86" s="384"/>
      <c r="T86" s="338">
        <v>0</v>
      </c>
    </row>
    <row r="87" spans="1:20" s="356" customFormat="1" ht="16.5" thickBot="1">
      <c r="A87" s="364"/>
      <c r="B87" s="359"/>
      <c r="C87" s="316"/>
      <c r="D87" s="316"/>
      <c r="E87" s="316"/>
      <c r="F87" s="316"/>
      <c r="G87" s="316"/>
      <c r="H87" s="316"/>
      <c r="I87" s="316"/>
      <c r="J87" s="316"/>
      <c r="K87" s="316"/>
      <c r="L87" s="316"/>
      <c r="M87" s="316"/>
      <c r="N87" s="316"/>
      <c r="O87" s="370"/>
      <c r="P87" s="316"/>
      <c r="Q87" s="371"/>
      <c r="R87" s="362"/>
      <c r="S87" s="369"/>
      <c r="T87" s="369"/>
    </row>
    <row r="88" spans="1:20" s="356" customFormat="1" ht="15.75" thickBot="1">
      <c r="A88" s="53"/>
      <c r="B88" s="384"/>
      <c r="C88" s="384"/>
      <c r="D88" s="384"/>
      <c r="E88" s="384"/>
      <c r="F88" s="384"/>
      <c r="G88" s="384"/>
      <c r="H88" s="384"/>
      <c r="I88" s="384"/>
      <c r="J88" s="384"/>
      <c r="K88" s="384"/>
      <c r="L88" s="384"/>
      <c r="M88" s="384"/>
      <c r="N88" s="384"/>
      <c r="O88" s="384"/>
      <c r="P88" s="384"/>
      <c r="Q88" s="336" t="s">
        <v>107</v>
      </c>
      <c r="R88" s="332"/>
      <c r="S88" s="332"/>
      <c r="T88" s="228"/>
    </row>
    <row r="89" spans="1:20" s="356" customFormat="1" ht="15.75">
      <c r="A89" s="58">
        <v>41487</v>
      </c>
      <c r="B89" s="59" t="s">
        <v>84</v>
      </c>
      <c r="C89" s="11">
        <f>SUM(D89:N89)</f>
        <v>0</v>
      </c>
      <c r="D89" s="248">
        <v>0</v>
      </c>
      <c r="E89" s="248">
        <v>0</v>
      </c>
      <c r="F89" s="249">
        <v>0</v>
      </c>
      <c r="G89" s="249">
        <v>0</v>
      </c>
      <c r="H89" s="50">
        <v>0</v>
      </c>
      <c r="I89" s="50"/>
      <c r="J89" s="50"/>
      <c r="K89" s="50"/>
      <c r="L89" s="50"/>
      <c r="M89" s="50"/>
      <c r="N89" s="50">
        <v>0</v>
      </c>
      <c r="O89" s="106"/>
      <c r="P89" s="50"/>
      <c r="Q89" s="392" t="s">
        <v>209</v>
      </c>
      <c r="R89" s="393" t="s">
        <v>207</v>
      </c>
      <c r="S89" s="335">
        <f>IF(SUM(C89:C92)&gt;0,C89+C90+C92+C91,0)</f>
        <v>0</v>
      </c>
      <c r="T89" s="337">
        <f>IF(SUM(C89:C92)&lt;0,C89+C90+C92+C91,0)</f>
        <v>-1302.47</v>
      </c>
    </row>
    <row r="90" spans="1:20" s="356" customFormat="1" ht="15.75">
      <c r="A90" s="62"/>
      <c r="B90" s="59" t="s">
        <v>148</v>
      </c>
      <c r="C90" s="11">
        <f>SUM(D90:N90)</f>
        <v>0</v>
      </c>
      <c r="D90" s="249"/>
      <c r="E90" s="249">
        <v>0</v>
      </c>
      <c r="F90" s="249"/>
      <c r="G90" s="250"/>
      <c r="H90" s="60"/>
      <c r="I90" s="50"/>
      <c r="J90" s="87"/>
      <c r="K90" s="87"/>
      <c r="L90" s="50"/>
      <c r="M90" s="50"/>
      <c r="N90" s="50"/>
      <c r="O90" s="106"/>
      <c r="P90" s="50"/>
      <c r="Q90" s="347" t="s">
        <v>11</v>
      </c>
      <c r="R90" s="348" t="s">
        <v>62</v>
      </c>
      <c r="S90" s="335">
        <v>0</v>
      </c>
      <c r="T90" s="337">
        <v>0</v>
      </c>
    </row>
    <row r="91" spans="1:20" s="356" customFormat="1" ht="15.75">
      <c r="A91" s="62"/>
      <c r="B91" s="59" t="s">
        <v>144</v>
      </c>
      <c r="C91" s="11">
        <f>SUM(D91:N91)</f>
        <v>0</v>
      </c>
      <c r="D91" s="247">
        <v>0</v>
      </c>
      <c r="E91" s="247"/>
      <c r="F91" s="247"/>
      <c r="G91" s="249">
        <v>0</v>
      </c>
      <c r="H91" s="105"/>
      <c r="I91" s="50"/>
      <c r="J91" s="87"/>
      <c r="K91" s="50"/>
      <c r="L91" s="50"/>
      <c r="M91" s="50"/>
      <c r="N91" s="50"/>
      <c r="O91" s="106"/>
      <c r="P91" s="50"/>
      <c r="Q91" s="340" t="s">
        <v>80</v>
      </c>
      <c r="R91" s="339" t="s">
        <v>59</v>
      </c>
      <c r="S91" s="112">
        <f>IF(SUM(C89)&lt;0,-C89,0)</f>
        <v>0</v>
      </c>
      <c r="T91" s="337">
        <f>IF(SUM(C89)&gt;0,-C89,0)</f>
        <v>0</v>
      </c>
    </row>
    <row r="92" spans="1:20" s="356" customFormat="1" ht="15.75">
      <c r="A92" s="62"/>
      <c r="B92" s="59" t="s">
        <v>57</v>
      </c>
      <c r="C92" s="64">
        <f>SUM(D92:N92)</f>
        <v>-1302.47</v>
      </c>
      <c r="D92" s="64"/>
      <c r="E92" s="64"/>
      <c r="F92" s="64"/>
      <c r="G92" s="64"/>
      <c r="H92" s="64">
        <v>-1302.47</v>
      </c>
      <c r="I92" s="64"/>
      <c r="J92" s="64"/>
      <c r="K92" s="64"/>
      <c r="L92" s="64"/>
      <c r="M92" s="64"/>
      <c r="N92" s="64"/>
      <c r="O92" s="99">
        <v>0.01</v>
      </c>
      <c r="P92" s="50"/>
      <c r="Q92" s="342" t="s">
        <v>154</v>
      </c>
      <c r="R92" s="339" t="s">
        <v>77</v>
      </c>
      <c r="S92" s="344">
        <v>0</v>
      </c>
      <c r="T92" s="337">
        <f>IF(SUM(C92)&gt;0,-C92,0)</f>
        <v>0</v>
      </c>
    </row>
    <row r="93" spans="1:20" s="356" customFormat="1" ht="16.5" thickBot="1">
      <c r="A93" s="104">
        <f>A89</f>
        <v>41487</v>
      </c>
      <c r="B93" s="50" t="s">
        <v>56</v>
      </c>
      <c r="C93" s="158">
        <f>SUM(C85:C92)</f>
        <v>-1564267.6899999997</v>
      </c>
      <c r="D93" s="158">
        <f>SUM(D85:D92)</f>
        <v>-883736.20005990437</v>
      </c>
      <c r="E93" s="158">
        <f>SUM(E85:E92)</f>
        <v>-659271.7478600872</v>
      </c>
      <c r="F93" s="158">
        <f t="shared" ref="F93:G93" si="18">SUM(F85:F92)</f>
        <v>0</v>
      </c>
      <c r="G93" s="158">
        <f t="shared" si="18"/>
        <v>0</v>
      </c>
      <c r="H93" s="158">
        <f>SUM(H85:H92)</f>
        <v>-21259.742080008451</v>
      </c>
      <c r="I93" s="158">
        <f t="shared" ref="I93:N93" si="19">SUM(I85:I92)</f>
        <v>0</v>
      </c>
      <c r="J93" s="158">
        <f t="shared" si="19"/>
        <v>0</v>
      </c>
      <c r="K93" s="158">
        <f t="shared" si="19"/>
        <v>0</v>
      </c>
      <c r="L93" s="158">
        <f t="shared" si="19"/>
        <v>0</v>
      </c>
      <c r="M93" s="158">
        <f t="shared" si="19"/>
        <v>0</v>
      </c>
      <c r="N93" s="158">
        <f t="shared" si="19"/>
        <v>0</v>
      </c>
      <c r="O93" s="50"/>
      <c r="P93" s="50"/>
      <c r="Q93" s="343" t="s">
        <v>83</v>
      </c>
      <c r="R93" s="341" t="s">
        <v>78</v>
      </c>
      <c r="S93" s="116">
        <f>IF(SUM(C92)&lt;0,-C92,0)</f>
        <v>1302.47</v>
      </c>
      <c r="T93" s="391">
        <v>0</v>
      </c>
    </row>
    <row r="94" spans="1:20" s="356" customFormat="1" ht="15.75" thickTop="1">
      <c r="A94" s="53"/>
      <c r="B94" s="384"/>
      <c r="C94" s="384"/>
      <c r="D94" s="384"/>
      <c r="E94" s="384"/>
      <c r="F94" s="384"/>
      <c r="G94" s="384"/>
      <c r="H94" s="384"/>
      <c r="I94" s="384"/>
      <c r="J94" s="384"/>
      <c r="K94" s="384"/>
      <c r="L94" s="384"/>
      <c r="M94" s="384"/>
      <c r="N94" s="384"/>
      <c r="O94" s="384"/>
      <c r="P94" s="384"/>
      <c r="Q94" s="384"/>
      <c r="R94" s="384"/>
      <c r="S94" s="384"/>
      <c r="T94" s="338">
        <f>SUM(S89:T93)</f>
        <v>0</v>
      </c>
    </row>
    <row r="95" spans="1:20" s="356" customFormat="1" ht="16.5" thickBot="1">
      <c r="A95" s="372"/>
      <c r="B95" s="316"/>
      <c r="C95" s="316"/>
      <c r="D95" s="316"/>
      <c r="E95" s="316"/>
      <c r="F95" s="316"/>
      <c r="G95" s="316"/>
      <c r="H95" s="316"/>
      <c r="I95" s="316"/>
      <c r="J95" s="316"/>
      <c r="K95" s="316"/>
      <c r="L95" s="316"/>
      <c r="M95" s="316"/>
      <c r="N95" s="316"/>
      <c r="O95" s="316"/>
      <c r="P95" s="316"/>
      <c r="Q95" s="371"/>
      <c r="R95" s="373"/>
      <c r="S95" s="369"/>
      <c r="T95" s="369"/>
    </row>
    <row r="96" spans="1:20" s="356" customFormat="1" ht="15.75" thickBot="1">
      <c r="A96" s="53"/>
      <c r="B96" s="384"/>
      <c r="C96" s="384"/>
      <c r="D96" s="384"/>
      <c r="E96" s="384"/>
      <c r="F96" s="384"/>
      <c r="G96" s="384"/>
      <c r="H96" s="384"/>
      <c r="I96" s="384"/>
      <c r="J96" s="384"/>
      <c r="K96" s="384"/>
      <c r="L96" s="384"/>
      <c r="M96" s="384"/>
      <c r="N96" s="384"/>
      <c r="O96" s="384"/>
      <c r="P96" s="384"/>
      <c r="Q96" s="336" t="s">
        <v>107</v>
      </c>
      <c r="R96" s="332"/>
      <c r="S96" s="332"/>
      <c r="T96" s="228"/>
    </row>
    <row r="97" spans="1:20" s="356" customFormat="1" ht="15.75">
      <c r="A97" s="58">
        <v>41518</v>
      </c>
      <c r="B97" s="59" t="s">
        <v>84</v>
      </c>
      <c r="C97" s="11">
        <f>SUM(D97:N97)</f>
        <v>0</v>
      </c>
      <c r="D97" s="248">
        <v>0</v>
      </c>
      <c r="E97" s="248">
        <v>0</v>
      </c>
      <c r="F97" s="249">
        <v>0</v>
      </c>
      <c r="G97" s="249">
        <v>0</v>
      </c>
      <c r="H97" s="50">
        <v>0</v>
      </c>
      <c r="I97" s="50"/>
      <c r="J97" s="50"/>
      <c r="K97" s="50"/>
      <c r="L97" s="50"/>
      <c r="M97" s="50"/>
      <c r="N97" s="50">
        <v>0</v>
      </c>
      <c r="O97" s="106"/>
      <c r="P97" s="50"/>
      <c r="Q97" s="392" t="s">
        <v>209</v>
      </c>
      <c r="R97" s="393" t="s">
        <v>207</v>
      </c>
      <c r="S97" s="335">
        <f>IF(SUM(C97:C100)&gt;0,C97+C98+C100+C99,0)</f>
        <v>0</v>
      </c>
      <c r="T97" s="337">
        <f>IF(SUM(C97:C100)&lt;0,C97+C98+C100+C99,0)</f>
        <v>-1303.56</v>
      </c>
    </row>
    <row r="98" spans="1:20" s="356" customFormat="1" ht="15.75">
      <c r="A98" s="62"/>
      <c r="B98" s="59" t="s">
        <v>148</v>
      </c>
      <c r="C98" s="11">
        <f>SUM(D98:N98)</f>
        <v>0</v>
      </c>
      <c r="D98" s="249"/>
      <c r="E98" s="249">
        <v>0</v>
      </c>
      <c r="F98" s="249"/>
      <c r="G98" s="250"/>
      <c r="H98" s="60"/>
      <c r="I98" s="50"/>
      <c r="J98" s="87"/>
      <c r="K98" s="87"/>
      <c r="L98" s="50"/>
      <c r="M98" s="50"/>
      <c r="N98" s="50"/>
      <c r="O98" s="106"/>
      <c r="P98" s="50"/>
      <c r="Q98" s="347" t="s">
        <v>11</v>
      </c>
      <c r="R98" s="348" t="s">
        <v>62</v>
      </c>
      <c r="S98" s="335">
        <v>0</v>
      </c>
      <c r="T98" s="337">
        <v>0</v>
      </c>
    </row>
    <row r="99" spans="1:20" s="356" customFormat="1" ht="15.75">
      <c r="A99" s="62"/>
      <c r="B99" s="59" t="s">
        <v>144</v>
      </c>
      <c r="C99" s="11">
        <f>SUM(D99:N99)</f>
        <v>0</v>
      </c>
      <c r="D99" s="247">
        <v>0</v>
      </c>
      <c r="E99" s="247"/>
      <c r="F99" s="247"/>
      <c r="G99" s="249">
        <v>0</v>
      </c>
      <c r="H99" s="105"/>
      <c r="I99" s="50"/>
      <c r="J99" s="87"/>
      <c r="K99" s="50"/>
      <c r="L99" s="50"/>
      <c r="M99" s="50"/>
      <c r="N99" s="50"/>
      <c r="O99" s="106"/>
      <c r="P99" s="50"/>
      <c r="Q99" s="340" t="s">
        <v>80</v>
      </c>
      <c r="R99" s="339" t="s">
        <v>59</v>
      </c>
      <c r="S99" s="112">
        <f>IF(SUM(C97)&lt;0,-C97,0)</f>
        <v>0</v>
      </c>
      <c r="T99" s="337">
        <f>IF(SUM(C97)&gt;0,-C97,0)</f>
        <v>0</v>
      </c>
    </row>
    <row r="100" spans="1:20" s="356" customFormat="1" ht="15.75">
      <c r="A100" s="62"/>
      <c r="B100" s="59" t="s">
        <v>57</v>
      </c>
      <c r="C100" s="64">
        <f>SUM(D100:N100)</f>
        <v>-1303.56</v>
      </c>
      <c r="D100" s="64"/>
      <c r="E100" s="64"/>
      <c r="F100" s="64"/>
      <c r="G100" s="64"/>
      <c r="H100" s="64">
        <f>ROUND(((C93)+(C97)/2)*(O100/12),2)</f>
        <v>-1303.56</v>
      </c>
      <c r="I100" s="64"/>
      <c r="J100" s="64"/>
      <c r="K100" s="64"/>
      <c r="L100" s="64"/>
      <c r="M100" s="64"/>
      <c r="N100" s="64"/>
      <c r="O100" s="99">
        <v>0.01</v>
      </c>
      <c r="P100" s="50"/>
      <c r="Q100" s="342" t="s">
        <v>154</v>
      </c>
      <c r="R100" s="339" t="s">
        <v>77</v>
      </c>
      <c r="S100" s="344">
        <v>0</v>
      </c>
      <c r="T100" s="337">
        <f>IF(SUM(C100)&gt;0,-C100,0)</f>
        <v>0</v>
      </c>
    </row>
    <row r="101" spans="1:20" s="356" customFormat="1" ht="16.5" thickBot="1">
      <c r="A101" s="104">
        <f>A97</f>
        <v>41518</v>
      </c>
      <c r="B101" s="50" t="s">
        <v>56</v>
      </c>
      <c r="C101" s="158">
        <f>SUM(C93:C100)</f>
        <v>-1565571.2499999998</v>
      </c>
      <c r="D101" s="158">
        <f>SUM(D93:D100)</f>
        <v>-883736.20005990437</v>
      </c>
      <c r="E101" s="158">
        <f>SUM(E93:E100)</f>
        <v>-659271.7478600872</v>
      </c>
      <c r="F101" s="158">
        <f t="shared" ref="F101:G101" si="20">SUM(F93:F100)</f>
        <v>0</v>
      </c>
      <c r="G101" s="158">
        <f t="shared" si="20"/>
        <v>0</v>
      </c>
      <c r="H101" s="158">
        <f>SUM(H93:H100)</f>
        <v>-22563.302080008452</v>
      </c>
      <c r="I101" s="158">
        <f t="shared" ref="I101:N101" si="21">SUM(I93:I100)</f>
        <v>0</v>
      </c>
      <c r="J101" s="158">
        <f t="shared" si="21"/>
        <v>0</v>
      </c>
      <c r="K101" s="158">
        <f t="shared" si="21"/>
        <v>0</v>
      </c>
      <c r="L101" s="158">
        <f t="shared" si="21"/>
        <v>0</v>
      </c>
      <c r="M101" s="158">
        <f t="shared" si="21"/>
        <v>0</v>
      </c>
      <c r="N101" s="158">
        <f t="shared" si="21"/>
        <v>0</v>
      </c>
      <c r="O101" s="50"/>
      <c r="P101" s="50"/>
      <c r="Q101" s="343" t="s">
        <v>83</v>
      </c>
      <c r="R101" s="341" t="s">
        <v>78</v>
      </c>
      <c r="S101" s="116">
        <f>IF(SUM(C100)&lt;0,-C100,0)</f>
        <v>1303.56</v>
      </c>
      <c r="T101" s="391">
        <v>0</v>
      </c>
    </row>
    <row r="102" spans="1:20" s="356" customFormat="1" ht="15.75" thickTop="1">
      <c r="A102" s="53"/>
      <c r="B102" s="384"/>
      <c r="C102" s="384"/>
      <c r="D102" s="384"/>
      <c r="E102" s="384"/>
      <c r="F102" s="384"/>
      <c r="G102" s="384"/>
      <c r="H102" s="384"/>
      <c r="I102" s="384"/>
      <c r="J102" s="384"/>
      <c r="K102" s="384"/>
      <c r="L102" s="384"/>
      <c r="M102" s="384"/>
      <c r="N102" s="384"/>
      <c r="O102" s="384"/>
      <c r="P102" s="384"/>
      <c r="Q102" s="384"/>
      <c r="R102" s="384"/>
      <c r="S102" s="384"/>
      <c r="T102" s="338">
        <f>SUM(S97:T101)</f>
        <v>0</v>
      </c>
    </row>
    <row r="103" spans="1:20" s="410" customFormat="1" ht="15.75">
      <c r="A103" s="459"/>
      <c r="B103" s="388" t="s">
        <v>224</v>
      </c>
      <c r="T103" s="435"/>
    </row>
    <row r="104" spans="1:20" s="356" customFormat="1">
      <c r="A104" s="355"/>
      <c r="T104" s="369"/>
    </row>
    <row r="105" spans="1:20" s="356" customFormat="1">
      <c r="A105" s="355"/>
      <c r="Q105" s="357"/>
      <c r="T105" s="369"/>
    </row>
    <row r="106" spans="1:20" s="356" customFormat="1" ht="15.75">
      <c r="A106" s="358"/>
      <c r="B106" s="359"/>
      <c r="C106" s="316"/>
      <c r="D106" s="352"/>
      <c r="E106" s="352"/>
      <c r="F106" s="353"/>
      <c r="G106" s="353"/>
      <c r="H106" s="316"/>
      <c r="I106" s="316"/>
      <c r="J106" s="316"/>
      <c r="K106" s="316"/>
      <c r="L106" s="316"/>
      <c r="M106" s="316"/>
      <c r="N106" s="316"/>
      <c r="O106" s="360"/>
      <c r="P106" s="316"/>
      <c r="Q106" s="361"/>
      <c r="R106" s="362"/>
      <c r="S106" s="363"/>
      <c r="T106" s="369"/>
    </row>
    <row r="107" spans="1:20" s="356" customFormat="1" ht="15.75">
      <c r="A107" s="364"/>
      <c r="B107" s="359"/>
      <c r="C107" s="316"/>
      <c r="D107" s="353"/>
      <c r="E107" s="353"/>
      <c r="F107" s="353"/>
      <c r="G107" s="354"/>
      <c r="H107" s="353"/>
      <c r="I107" s="316"/>
      <c r="J107" s="354"/>
      <c r="K107" s="354"/>
      <c r="L107" s="316"/>
      <c r="M107" s="316"/>
      <c r="N107" s="316"/>
      <c r="O107" s="360"/>
      <c r="P107" s="316"/>
      <c r="Q107" s="365"/>
      <c r="R107" s="366"/>
      <c r="S107" s="363"/>
      <c r="T107" s="369"/>
    </row>
    <row r="108" spans="1:20" s="356" customFormat="1" ht="15.75">
      <c r="A108" s="364"/>
      <c r="B108" s="359"/>
      <c r="C108" s="316"/>
      <c r="D108" s="316"/>
      <c r="E108" s="316"/>
      <c r="F108" s="316"/>
      <c r="G108" s="353"/>
      <c r="H108" s="367"/>
      <c r="I108" s="316"/>
      <c r="J108" s="354"/>
      <c r="K108" s="316"/>
      <c r="L108" s="316"/>
      <c r="M108" s="316"/>
      <c r="N108" s="316"/>
      <c r="O108" s="360"/>
      <c r="P108" s="316"/>
      <c r="Q108" s="368"/>
      <c r="R108" s="362"/>
      <c r="S108" s="369"/>
      <c r="T108" s="369"/>
    </row>
    <row r="109" spans="1:20" s="356" customFormat="1" ht="15.75">
      <c r="A109" s="364"/>
      <c r="B109" s="359"/>
      <c r="C109" s="316"/>
      <c r="D109" s="316"/>
      <c r="E109" s="316"/>
      <c r="F109" s="316"/>
      <c r="G109" s="316"/>
      <c r="H109" s="316"/>
      <c r="I109" s="316"/>
      <c r="J109" s="316"/>
      <c r="K109" s="316"/>
      <c r="L109" s="316"/>
      <c r="M109" s="316"/>
      <c r="N109" s="316"/>
      <c r="O109" s="370"/>
      <c r="P109" s="316"/>
      <c r="Q109" s="371"/>
      <c r="R109" s="362"/>
      <c r="S109" s="369"/>
      <c r="T109" s="369"/>
    </row>
    <row r="110" spans="1:20" s="356" customFormat="1" ht="15.75">
      <c r="A110" s="372"/>
      <c r="B110" s="316"/>
      <c r="C110" s="316"/>
      <c r="D110" s="316"/>
      <c r="E110" s="316"/>
      <c r="F110" s="316"/>
      <c r="G110" s="316"/>
      <c r="H110" s="316"/>
      <c r="I110" s="316"/>
      <c r="J110" s="316"/>
      <c r="K110" s="316"/>
      <c r="L110" s="316"/>
      <c r="M110" s="316"/>
      <c r="N110" s="316"/>
      <c r="O110" s="316"/>
      <c r="P110" s="316"/>
      <c r="Q110" s="371"/>
      <c r="R110" s="373"/>
      <c r="S110" s="369"/>
      <c r="T110" s="369"/>
    </row>
    <row r="111" spans="1:20" s="356" customFormat="1">
      <c r="A111" s="355"/>
      <c r="T111" s="369"/>
    </row>
    <row r="112" spans="1:20" s="356" customFormat="1">
      <c r="A112" s="355"/>
      <c r="T112" s="369"/>
    </row>
    <row r="113" spans="1:20" s="356" customFormat="1">
      <c r="A113" s="355"/>
      <c r="Q113" s="357"/>
      <c r="T113" s="369"/>
    </row>
    <row r="114" spans="1:20" s="356" customFormat="1" ht="15.75">
      <c r="A114" s="358"/>
      <c r="B114" s="359"/>
      <c r="C114" s="316"/>
      <c r="D114" s="352"/>
      <c r="E114" s="352"/>
      <c r="F114" s="353"/>
      <c r="G114" s="353"/>
      <c r="H114" s="316"/>
      <c r="I114" s="316"/>
      <c r="J114" s="316"/>
      <c r="K114" s="316"/>
      <c r="L114" s="316"/>
      <c r="M114" s="316"/>
      <c r="N114" s="316"/>
      <c r="O114" s="360"/>
      <c r="P114" s="316"/>
      <c r="Q114" s="361"/>
      <c r="R114" s="362"/>
      <c r="S114" s="363"/>
      <c r="T114" s="369"/>
    </row>
    <row r="115" spans="1:20" s="356" customFormat="1" ht="15.75">
      <c r="A115" s="364"/>
      <c r="B115" s="359"/>
      <c r="C115" s="316"/>
      <c r="D115" s="353"/>
      <c r="E115" s="353"/>
      <c r="F115" s="353"/>
      <c r="G115" s="354"/>
      <c r="H115" s="353"/>
      <c r="I115" s="316"/>
      <c r="J115" s="354"/>
      <c r="K115" s="354"/>
      <c r="L115" s="316"/>
      <c r="M115" s="316"/>
      <c r="N115" s="316"/>
      <c r="O115" s="360"/>
      <c r="P115" s="316"/>
      <c r="Q115" s="365"/>
      <c r="R115" s="366"/>
      <c r="S115" s="363"/>
      <c r="T115" s="369"/>
    </row>
    <row r="116" spans="1:20" s="356" customFormat="1" ht="15.75">
      <c r="A116" s="364"/>
      <c r="B116" s="359"/>
      <c r="C116" s="316"/>
      <c r="D116" s="316"/>
      <c r="E116" s="316"/>
      <c r="F116" s="316"/>
      <c r="G116" s="353"/>
      <c r="H116" s="367"/>
      <c r="I116" s="316"/>
      <c r="J116" s="354"/>
      <c r="K116" s="316"/>
      <c r="L116" s="316"/>
      <c r="M116" s="316"/>
      <c r="N116" s="316"/>
      <c r="O116" s="360"/>
      <c r="P116" s="316"/>
      <c r="Q116" s="368"/>
      <c r="R116" s="362"/>
      <c r="S116" s="369"/>
      <c r="T116" s="369"/>
    </row>
    <row r="117" spans="1:20" s="356" customFormat="1" ht="15.75">
      <c r="A117" s="364"/>
      <c r="B117" s="359"/>
      <c r="C117" s="316"/>
      <c r="D117" s="316"/>
      <c r="E117" s="316"/>
      <c r="F117" s="316"/>
      <c r="G117" s="316"/>
      <c r="H117" s="316"/>
      <c r="I117" s="316"/>
      <c r="J117" s="316"/>
      <c r="K117" s="316"/>
      <c r="L117" s="316"/>
      <c r="M117" s="316"/>
      <c r="N117" s="316"/>
      <c r="O117" s="370"/>
      <c r="P117" s="316"/>
      <c r="Q117" s="371"/>
      <c r="R117" s="362"/>
      <c r="S117" s="369"/>
      <c r="T117" s="369"/>
    </row>
    <row r="118" spans="1:20" s="356" customFormat="1" ht="15.75">
      <c r="A118" s="372"/>
      <c r="B118" s="316"/>
      <c r="C118" s="316"/>
      <c r="D118" s="316"/>
      <c r="E118" s="316"/>
      <c r="F118" s="316"/>
      <c r="G118" s="316"/>
      <c r="H118" s="316"/>
      <c r="I118" s="316"/>
      <c r="J118" s="316"/>
      <c r="K118" s="316"/>
      <c r="L118" s="316"/>
      <c r="M118" s="316"/>
      <c r="N118" s="316"/>
      <c r="O118" s="316"/>
      <c r="P118" s="316"/>
      <c r="Q118" s="371"/>
      <c r="R118" s="373"/>
      <c r="S118" s="369"/>
      <c r="T118" s="369"/>
    </row>
    <row r="119" spans="1:20" s="356" customFormat="1" ht="15.75">
      <c r="A119" s="372"/>
      <c r="B119" s="316"/>
      <c r="C119" s="316"/>
      <c r="D119" s="316"/>
      <c r="E119" s="316"/>
      <c r="F119" s="316"/>
      <c r="G119" s="316"/>
      <c r="H119" s="316"/>
      <c r="I119" s="316"/>
      <c r="J119" s="316"/>
      <c r="K119" s="316"/>
      <c r="L119" s="316"/>
      <c r="M119" s="316"/>
      <c r="N119" s="316"/>
      <c r="O119" s="316"/>
      <c r="P119" s="316"/>
      <c r="Q119" s="371"/>
      <c r="R119" s="373"/>
      <c r="S119" s="369"/>
      <c r="T119" s="369"/>
    </row>
    <row r="120" spans="1:20" s="356" customFormat="1" ht="15.75">
      <c r="A120" s="372"/>
      <c r="B120" s="316"/>
      <c r="C120" s="316"/>
      <c r="D120" s="316"/>
      <c r="E120" s="316"/>
      <c r="F120" s="316"/>
      <c r="G120" s="316"/>
      <c r="H120" s="316"/>
      <c r="I120" s="316"/>
      <c r="J120" s="316"/>
      <c r="K120" s="316"/>
      <c r="L120" s="316"/>
      <c r="M120" s="316"/>
      <c r="N120" s="316"/>
      <c r="O120" s="316"/>
      <c r="P120" s="316"/>
      <c r="Q120" s="371"/>
      <c r="R120" s="373"/>
      <c r="S120" s="369"/>
      <c r="T120" s="369"/>
    </row>
    <row r="121" spans="1:20" s="356" customFormat="1">
      <c r="A121" s="355"/>
      <c r="Q121" s="357"/>
      <c r="T121" s="369"/>
    </row>
    <row r="122" spans="1:20" s="356" customFormat="1" ht="15.75">
      <c r="A122" s="358"/>
      <c r="B122" s="359"/>
      <c r="C122" s="316"/>
      <c r="D122" s="352"/>
      <c r="E122" s="352"/>
      <c r="F122" s="353"/>
      <c r="G122" s="353"/>
      <c r="H122" s="316"/>
      <c r="I122" s="316"/>
      <c r="J122" s="316"/>
      <c r="K122" s="316"/>
      <c r="L122" s="316"/>
      <c r="M122" s="316"/>
      <c r="N122" s="316"/>
      <c r="O122" s="360"/>
      <c r="P122" s="316"/>
      <c r="Q122" s="361"/>
      <c r="R122" s="362"/>
      <c r="S122" s="363"/>
      <c r="T122" s="369"/>
    </row>
    <row r="123" spans="1:20" s="356" customFormat="1" ht="15.75">
      <c r="A123" s="364"/>
      <c r="B123" s="359"/>
      <c r="C123" s="316"/>
      <c r="D123" s="353"/>
      <c r="E123" s="353"/>
      <c r="F123" s="353"/>
      <c r="G123" s="354"/>
      <c r="H123" s="353"/>
      <c r="I123" s="316"/>
      <c r="J123" s="354"/>
      <c r="K123" s="354"/>
      <c r="L123" s="316"/>
      <c r="M123" s="316"/>
      <c r="N123" s="316"/>
      <c r="O123" s="360"/>
      <c r="P123" s="316"/>
      <c r="Q123" s="365"/>
      <c r="R123" s="366"/>
      <c r="S123" s="363"/>
      <c r="T123" s="369"/>
    </row>
    <row r="124" spans="1:20" s="356" customFormat="1" ht="15.75">
      <c r="A124" s="364"/>
      <c r="B124" s="359"/>
      <c r="C124" s="316"/>
      <c r="D124" s="316"/>
      <c r="E124" s="316"/>
      <c r="F124" s="316"/>
      <c r="G124" s="353"/>
      <c r="H124" s="367"/>
      <c r="I124" s="316"/>
      <c r="J124" s="354"/>
      <c r="K124" s="316"/>
      <c r="L124" s="316"/>
      <c r="M124" s="316"/>
      <c r="N124" s="316"/>
      <c r="O124" s="360"/>
      <c r="P124" s="316"/>
      <c r="Q124" s="368"/>
      <c r="R124" s="362"/>
      <c r="S124" s="369"/>
      <c r="T124" s="369"/>
    </row>
    <row r="125" spans="1:20" s="356" customFormat="1" ht="15.75">
      <c r="A125" s="364"/>
      <c r="B125" s="359"/>
      <c r="C125" s="316"/>
      <c r="D125" s="316"/>
      <c r="E125" s="316"/>
      <c r="F125" s="316"/>
      <c r="G125" s="316"/>
      <c r="H125" s="316"/>
      <c r="I125" s="316"/>
      <c r="J125" s="316"/>
      <c r="K125" s="316"/>
      <c r="L125" s="316"/>
      <c r="M125" s="316"/>
      <c r="N125" s="316"/>
      <c r="O125" s="370"/>
      <c r="P125" s="316"/>
      <c r="Q125" s="371"/>
      <c r="R125" s="362"/>
      <c r="S125" s="369"/>
      <c r="T125" s="369"/>
    </row>
    <row r="126" spans="1:20" s="356" customFormat="1" ht="15.75">
      <c r="A126" s="372"/>
      <c r="B126" s="316"/>
      <c r="C126" s="316"/>
      <c r="D126" s="316"/>
      <c r="E126" s="316"/>
      <c r="F126" s="316"/>
      <c r="G126" s="316"/>
      <c r="H126" s="316"/>
      <c r="I126" s="316"/>
      <c r="J126" s="316"/>
      <c r="K126" s="316"/>
      <c r="L126" s="316"/>
      <c r="M126" s="316"/>
      <c r="N126" s="316"/>
      <c r="O126" s="316"/>
      <c r="P126" s="316"/>
      <c r="Q126" s="371"/>
      <c r="R126" s="373"/>
      <c r="S126" s="369"/>
      <c r="T126" s="369"/>
    </row>
    <row r="127" spans="1:20" s="356" customFormat="1" ht="15.75">
      <c r="A127" s="372"/>
      <c r="B127" s="316"/>
      <c r="C127" s="316"/>
      <c r="D127" s="316"/>
      <c r="E127" s="316"/>
      <c r="F127" s="316"/>
      <c r="G127" s="316"/>
      <c r="H127" s="316"/>
      <c r="I127" s="316"/>
      <c r="J127" s="316"/>
      <c r="K127" s="316"/>
      <c r="L127" s="316"/>
      <c r="M127" s="316"/>
      <c r="N127" s="316"/>
      <c r="O127" s="316"/>
      <c r="P127" s="316"/>
      <c r="Q127" s="371"/>
      <c r="R127" s="373"/>
      <c r="S127" s="369"/>
      <c r="T127" s="369"/>
    </row>
    <row r="128" spans="1:20" s="356" customFormat="1" ht="15.75">
      <c r="A128" s="372"/>
      <c r="B128" s="316"/>
      <c r="C128" s="316"/>
      <c r="D128" s="316"/>
      <c r="E128" s="316"/>
      <c r="F128" s="316"/>
      <c r="G128" s="316"/>
      <c r="H128" s="316"/>
      <c r="I128" s="316"/>
      <c r="J128" s="316"/>
      <c r="K128" s="316"/>
      <c r="L128" s="316"/>
      <c r="M128" s="375"/>
      <c r="N128" s="376"/>
      <c r="O128" s="377"/>
      <c r="P128" s="316"/>
      <c r="Q128" s="371"/>
      <c r="R128" s="373"/>
      <c r="S128" s="369"/>
      <c r="T128" s="369"/>
    </row>
    <row r="129" spans="1:20" s="356" customFormat="1" ht="15.75">
      <c r="A129" s="372"/>
      <c r="B129" s="316"/>
      <c r="C129" s="316"/>
      <c r="D129" s="316"/>
      <c r="E129" s="316"/>
      <c r="F129" s="316"/>
      <c r="G129" s="316"/>
      <c r="H129" s="316"/>
      <c r="I129" s="316"/>
      <c r="J129" s="316"/>
      <c r="K129" s="316"/>
      <c r="L129" s="316"/>
      <c r="M129" s="375"/>
      <c r="N129" s="376"/>
      <c r="P129" s="316"/>
      <c r="Q129" s="371"/>
      <c r="R129" s="373"/>
      <c r="S129" s="369"/>
      <c r="T129" s="369"/>
    </row>
    <row r="130" spans="1:20" s="356" customFormat="1" ht="15.75">
      <c r="A130" s="372"/>
      <c r="B130" s="316"/>
      <c r="C130" s="316"/>
      <c r="D130" s="316"/>
      <c r="E130" s="316"/>
      <c r="F130" s="316"/>
      <c r="G130" s="316"/>
      <c r="H130" s="316"/>
      <c r="I130" s="316"/>
      <c r="J130" s="316"/>
      <c r="K130" s="316"/>
      <c r="L130" s="316"/>
      <c r="M130" s="375"/>
      <c r="N130" s="376"/>
      <c r="P130" s="316"/>
      <c r="Q130" s="371"/>
      <c r="R130" s="373"/>
      <c r="S130" s="369"/>
      <c r="T130" s="369"/>
    </row>
    <row r="131" spans="1:20" s="356" customFormat="1" ht="15.75">
      <c r="A131" s="372"/>
      <c r="B131" s="316"/>
      <c r="C131" s="316"/>
      <c r="D131" s="316"/>
      <c r="E131" s="316"/>
      <c r="F131" s="316"/>
      <c r="G131" s="316"/>
      <c r="H131" s="316"/>
      <c r="I131" s="316"/>
      <c r="J131" s="316"/>
      <c r="K131" s="316"/>
      <c r="L131" s="316"/>
      <c r="M131" s="316"/>
      <c r="N131" s="316"/>
      <c r="O131" s="316"/>
      <c r="P131" s="316"/>
      <c r="Q131" s="371"/>
      <c r="R131" s="373"/>
      <c r="S131" s="369"/>
      <c r="T131" s="369"/>
    </row>
    <row r="132" spans="1:20" s="356" customFormat="1">
      <c r="A132" s="355"/>
      <c r="Q132" s="357"/>
      <c r="T132" s="369"/>
    </row>
    <row r="133" spans="1:20" s="356" customFormat="1" ht="15.75">
      <c r="A133" s="358"/>
      <c r="B133" s="359"/>
      <c r="C133" s="316"/>
      <c r="D133" s="352"/>
      <c r="E133" s="352"/>
      <c r="F133" s="353"/>
      <c r="G133" s="353"/>
      <c r="H133" s="316"/>
      <c r="I133" s="316"/>
      <c r="J133" s="316"/>
      <c r="K133" s="316"/>
      <c r="L133" s="316"/>
      <c r="M133" s="316"/>
      <c r="N133" s="316"/>
      <c r="O133" s="360"/>
      <c r="P133" s="316"/>
      <c r="Q133" s="361"/>
      <c r="R133" s="362"/>
      <c r="S133" s="363"/>
      <c r="T133" s="369"/>
    </row>
    <row r="134" spans="1:20" s="356" customFormat="1" ht="15.75">
      <c r="A134" s="364"/>
      <c r="B134" s="359"/>
      <c r="C134" s="316"/>
      <c r="D134" s="353"/>
      <c r="E134" s="353"/>
      <c r="F134" s="353"/>
      <c r="G134" s="354"/>
      <c r="H134" s="353"/>
      <c r="I134" s="316"/>
      <c r="J134" s="354"/>
      <c r="K134" s="354"/>
      <c r="L134" s="316"/>
      <c r="M134" s="316"/>
      <c r="N134" s="316"/>
      <c r="O134" s="360"/>
      <c r="P134" s="316"/>
      <c r="Q134" s="365"/>
      <c r="R134" s="366"/>
      <c r="S134" s="363"/>
      <c r="T134" s="369"/>
    </row>
    <row r="135" spans="1:20" s="356" customFormat="1" ht="15.75">
      <c r="A135" s="364"/>
      <c r="B135" s="359"/>
      <c r="C135" s="316"/>
      <c r="D135" s="316"/>
      <c r="E135" s="316"/>
      <c r="F135" s="316"/>
      <c r="G135" s="353"/>
      <c r="H135" s="367"/>
      <c r="I135" s="316"/>
      <c r="J135" s="354"/>
      <c r="K135" s="316"/>
      <c r="L135" s="316"/>
      <c r="M135" s="316"/>
      <c r="N135" s="316"/>
      <c r="O135" s="360"/>
      <c r="P135" s="316"/>
      <c r="Q135" s="368"/>
      <c r="R135" s="362"/>
      <c r="S135" s="369"/>
      <c r="T135" s="369"/>
    </row>
    <row r="136" spans="1:20" s="356" customFormat="1" ht="15.75">
      <c r="A136" s="364"/>
      <c r="B136" s="359"/>
      <c r="C136" s="316"/>
      <c r="D136" s="316"/>
      <c r="E136" s="316"/>
      <c r="F136" s="316"/>
      <c r="G136" s="316"/>
      <c r="H136" s="316"/>
      <c r="I136" s="316"/>
      <c r="J136" s="316"/>
      <c r="K136" s="316"/>
      <c r="L136" s="316"/>
      <c r="M136" s="316"/>
      <c r="N136" s="316"/>
      <c r="O136" s="370"/>
      <c r="P136" s="316"/>
      <c r="Q136" s="371"/>
      <c r="R136" s="362"/>
      <c r="S136" s="369"/>
      <c r="T136" s="369"/>
    </row>
    <row r="137" spans="1:20" s="356" customFormat="1" ht="15.75">
      <c r="A137" s="372"/>
      <c r="B137" s="316"/>
      <c r="C137" s="316"/>
      <c r="D137" s="316"/>
      <c r="E137" s="316"/>
      <c r="F137" s="316"/>
      <c r="G137" s="316"/>
      <c r="H137" s="316"/>
      <c r="I137" s="316"/>
      <c r="J137" s="316"/>
      <c r="K137" s="316"/>
      <c r="L137" s="316"/>
      <c r="M137" s="316"/>
      <c r="N137" s="316"/>
      <c r="O137" s="316"/>
      <c r="P137" s="316"/>
      <c r="Q137" s="371"/>
      <c r="R137" s="373"/>
      <c r="S137" s="369"/>
      <c r="T137" s="369"/>
    </row>
    <row r="138" spans="1:20" s="356" customFormat="1">
      <c r="A138" s="355"/>
      <c r="T138" s="369"/>
    </row>
    <row r="139" spans="1:20" s="356" customFormat="1">
      <c r="A139" s="355"/>
      <c r="Q139" s="357"/>
      <c r="T139" s="369"/>
    </row>
    <row r="140" spans="1:20" s="356" customFormat="1">
      <c r="A140" s="355"/>
      <c r="Q140" s="361"/>
      <c r="R140" s="362"/>
      <c r="S140" s="378"/>
      <c r="T140" s="369"/>
    </row>
    <row r="141" spans="1:20" s="356" customFormat="1">
      <c r="A141" s="355"/>
      <c r="Q141" s="365"/>
      <c r="R141" s="366"/>
      <c r="S141" s="378"/>
      <c r="T141" s="369"/>
    </row>
    <row r="142" spans="1:20" s="356" customFormat="1">
      <c r="A142" s="355"/>
      <c r="Q142" s="368"/>
      <c r="R142" s="362"/>
      <c r="S142" s="361"/>
      <c r="T142" s="369"/>
    </row>
    <row r="143" spans="1:20" s="356" customFormat="1">
      <c r="A143" s="355"/>
      <c r="Q143" s="371"/>
      <c r="R143" s="362"/>
      <c r="S143" s="361"/>
      <c r="T143" s="369"/>
    </row>
    <row r="144" spans="1:20" s="356" customFormat="1">
      <c r="A144" s="355"/>
      <c r="Q144" s="371"/>
      <c r="R144" s="373"/>
      <c r="S144" s="361"/>
      <c r="T144" s="369"/>
    </row>
    <row r="145" spans="1:20" s="356" customFormat="1">
      <c r="A145" s="355"/>
      <c r="T145" s="369"/>
    </row>
    <row r="146" spans="1:20" s="356" customFormat="1">
      <c r="A146" s="355"/>
      <c r="Q146" s="357"/>
      <c r="T146" s="369"/>
    </row>
    <row r="147" spans="1:20" s="356" customFormat="1">
      <c r="A147" s="355"/>
      <c r="Q147" s="361"/>
      <c r="R147" s="362"/>
      <c r="S147" s="363"/>
      <c r="T147" s="369"/>
    </row>
    <row r="148" spans="1:20" s="356" customFormat="1">
      <c r="A148" s="355"/>
      <c r="Q148" s="365"/>
      <c r="R148" s="366"/>
      <c r="S148" s="363"/>
      <c r="T148" s="369"/>
    </row>
    <row r="149" spans="1:20" s="356" customFormat="1">
      <c r="A149" s="355"/>
      <c r="Q149" s="368"/>
      <c r="R149" s="362"/>
      <c r="S149" s="369"/>
      <c r="T149" s="369"/>
    </row>
    <row r="150" spans="1:20" s="356" customFormat="1">
      <c r="A150" s="355"/>
      <c r="N150" s="379"/>
      <c r="Q150" s="371"/>
      <c r="R150" s="362"/>
      <c r="S150" s="369"/>
      <c r="T150" s="369"/>
    </row>
    <row r="151" spans="1:20" s="356" customFormat="1">
      <c r="A151" s="355"/>
      <c r="Q151" s="371"/>
      <c r="R151" s="373"/>
      <c r="S151" s="369"/>
      <c r="T151" s="369"/>
    </row>
    <row r="152" spans="1:20" s="356" customFormat="1">
      <c r="A152" s="355"/>
      <c r="T152" s="369"/>
    </row>
    <row r="153" spans="1:20" s="356" customFormat="1">
      <c r="A153" s="355"/>
      <c r="Q153" s="357"/>
      <c r="T153" s="369"/>
    </row>
    <row r="154" spans="1:20" s="356" customFormat="1" ht="15.75">
      <c r="A154" s="358"/>
      <c r="B154" s="359"/>
      <c r="C154" s="316"/>
      <c r="D154" s="352"/>
      <c r="E154" s="352"/>
      <c r="F154" s="353"/>
      <c r="G154" s="353"/>
      <c r="H154" s="316"/>
      <c r="I154" s="316"/>
      <c r="J154" s="316"/>
      <c r="K154" s="316"/>
      <c r="L154" s="316"/>
      <c r="M154" s="316"/>
      <c r="N154" s="316"/>
      <c r="O154" s="360"/>
      <c r="P154" s="316"/>
      <c r="Q154" s="361"/>
      <c r="R154" s="362"/>
      <c r="S154" s="363"/>
      <c r="T154" s="369"/>
    </row>
    <row r="155" spans="1:20" s="356" customFormat="1" ht="15.75">
      <c r="A155" s="364"/>
      <c r="B155" s="359"/>
      <c r="C155" s="316"/>
      <c r="D155" s="353"/>
      <c r="E155" s="353"/>
      <c r="F155" s="353"/>
      <c r="G155" s="354"/>
      <c r="H155" s="353"/>
      <c r="I155" s="316"/>
      <c r="J155" s="354"/>
      <c r="K155" s="354"/>
      <c r="L155" s="316"/>
      <c r="M155" s="316"/>
      <c r="N155" s="316"/>
      <c r="O155" s="360"/>
      <c r="P155" s="316"/>
      <c r="Q155" s="365"/>
      <c r="R155" s="366"/>
      <c r="S155" s="363"/>
      <c r="T155" s="369"/>
    </row>
    <row r="156" spans="1:20" s="356" customFormat="1" ht="15.75">
      <c r="A156" s="364"/>
      <c r="B156" s="359"/>
      <c r="C156" s="316"/>
      <c r="D156" s="316"/>
      <c r="E156" s="316"/>
      <c r="F156" s="316"/>
      <c r="G156" s="353"/>
      <c r="H156" s="367"/>
      <c r="I156" s="316"/>
      <c r="J156" s="354"/>
      <c r="K156" s="316"/>
      <c r="L156" s="316"/>
      <c r="M156" s="316"/>
      <c r="N156" s="316"/>
      <c r="O156" s="360"/>
      <c r="P156" s="316"/>
      <c r="Q156" s="368"/>
      <c r="R156" s="362"/>
      <c r="S156" s="369"/>
      <c r="T156" s="369"/>
    </row>
    <row r="157" spans="1:20" s="356" customFormat="1" ht="15.75">
      <c r="A157" s="364"/>
      <c r="B157" s="359"/>
      <c r="C157" s="316"/>
      <c r="D157" s="316"/>
      <c r="E157" s="316"/>
      <c r="F157" s="316"/>
      <c r="G157" s="316"/>
      <c r="H157" s="316"/>
      <c r="I157" s="316"/>
      <c r="J157" s="316"/>
      <c r="K157" s="316"/>
      <c r="L157" s="316"/>
      <c r="M157" s="316"/>
      <c r="N157" s="316"/>
      <c r="O157" s="370"/>
      <c r="P157" s="316"/>
      <c r="Q157" s="371"/>
      <c r="R157" s="362"/>
      <c r="S157" s="369"/>
      <c r="T157" s="369"/>
    </row>
    <row r="158" spans="1:20" s="356" customFormat="1" ht="15.75">
      <c r="A158" s="372"/>
      <c r="B158" s="316"/>
      <c r="C158" s="316"/>
      <c r="D158" s="316"/>
      <c r="E158" s="316"/>
      <c r="F158" s="316"/>
      <c r="G158" s="316"/>
      <c r="H158" s="316"/>
      <c r="I158" s="316"/>
      <c r="J158" s="316"/>
      <c r="K158" s="316"/>
      <c r="L158" s="316"/>
      <c r="M158" s="316"/>
      <c r="N158" s="316"/>
      <c r="O158" s="316"/>
      <c r="P158" s="316"/>
      <c r="Q158" s="371"/>
      <c r="R158" s="373"/>
      <c r="S158" s="369"/>
      <c r="T158" s="369"/>
    </row>
    <row r="159" spans="1:20" s="356" customFormat="1">
      <c r="A159" s="355"/>
      <c r="T159" s="369"/>
    </row>
    <row r="160" spans="1:20" s="356" customFormat="1">
      <c r="A160" s="355"/>
      <c r="Q160" s="357"/>
      <c r="T160" s="369"/>
    </row>
    <row r="161" spans="1:20" s="356" customFormat="1" ht="15.75">
      <c r="A161" s="358"/>
      <c r="B161" s="359"/>
      <c r="C161" s="316"/>
      <c r="D161" s="352"/>
      <c r="E161" s="352"/>
      <c r="F161" s="353"/>
      <c r="G161" s="353"/>
      <c r="H161" s="316"/>
      <c r="I161" s="316"/>
      <c r="J161" s="316"/>
      <c r="K161" s="316"/>
      <c r="L161" s="316"/>
      <c r="M161" s="316"/>
      <c r="N161" s="316"/>
      <c r="O161" s="360"/>
      <c r="P161" s="316"/>
      <c r="Q161" s="361"/>
      <c r="R161" s="362"/>
      <c r="S161" s="363"/>
      <c r="T161" s="369"/>
    </row>
    <row r="162" spans="1:20" s="356" customFormat="1" ht="15.75">
      <c r="A162" s="364"/>
      <c r="B162" s="359"/>
      <c r="C162" s="316"/>
      <c r="D162" s="353"/>
      <c r="E162" s="353"/>
      <c r="F162" s="353"/>
      <c r="G162" s="354"/>
      <c r="H162" s="353"/>
      <c r="I162" s="316"/>
      <c r="J162" s="354"/>
      <c r="K162" s="354"/>
      <c r="L162" s="316"/>
      <c r="M162" s="316"/>
      <c r="N162" s="316"/>
      <c r="O162" s="360"/>
      <c r="P162" s="316"/>
      <c r="Q162" s="365"/>
      <c r="R162" s="366"/>
      <c r="S162" s="363"/>
      <c r="T162" s="369"/>
    </row>
    <row r="163" spans="1:20" s="356" customFormat="1" ht="15.75">
      <c r="A163" s="364"/>
      <c r="B163" s="359"/>
      <c r="C163" s="316"/>
      <c r="D163" s="316"/>
      <c r="E163" s="316"/>
      <c r="F163" s="316"/>
      <c r="G163" s="353"/>
      <c r="H163" s="367"/>
      <c r="I163" s="316"/>
      <c r="J163" s="354"/>
      <c r="K163" s="316"/>
      <c r="L163" s="316"/>
      <c r="M163" s="316"/>
      <c r="N163" s="316"/>
      <c r="O163" s="360"/>
      <c r="P163" s="316"/>
      <c r="Q163" s="368"/>
      <c r="R163" s="362"/>
      <c r="S163" s="369"/>
      <c r="T163" s="369"/>
    </row>
    <row r="164" spans="1:20" s="356" customFormat="1" ht="15.75">
      <c r="A164" s="364"/>
      <c r="B164" s="359"/>
      <c r="C164" s="316"/>
      <c r="D164" s="316"/>
      <c r="E164" s="316"/>
      <c r="F164" s="316"/>
      <c r="G164" s="316"/>
      <c r="H164" s="316"/>
      <c r="I164" s="316"/>
      <c r="J164" s="316"/>
      <c r="K164" s="316"/>
      <c r="L164" s="316"/>
      <c r="M164" s="316"/>
      <c r="N164" s="316"/>
      <c r="O164" s="370"/>
      <c r="P164" s="316"/>
      <c r="Q164" s="371"/>
      <c r="R164" s="362"/>
      <c r="S164" s="369"/>
      <c r="T164" s="369"/>
    </row>
    <row r="165" spans="1:20" s="356" customFormat="1" ht="15.75">
      <c r="A165" s="372"/>
      <c r="B165" s="316"/>
      <c r="C165" s="316"/>
      <c r="D165" s="316"/>
      <c r="E165" s="316"/>
      <c r="F165" s="316"/>
      <c r="G165" s="316"/>
      <c r="H165" s="316"/>
      <c r="I165" s="316"/>
      <c r="J165" s="316"/>
      <c r="K165" s="316"/>
      <c r="L165" s="316"/>
      <c r="M165" s="316"/>
      <c r="N165" s="316"/>
      <c r="O165" s="316"/>
      <c r="P165" s="316"/>
      <c r="Q165" s="371"/>
      <c r="R165" s="373"/>
      <c r="S165" s="369"/>
      <c r="T165" s="369"/>
    </row>
    <row r="166" spans="1:20" s="356" customFormat="1">
      <c r="A166" s="355"/>
      <c r="T166" s="369"/>
    </row>
    <row r="167" spans="1:20" s="356" customFormat="1" ht="15.75">
      <c r="A167" s="358"/>
      <c r="Q167" s="357"/>
      <c r="T167" s="369"/>
    </row>
    <row r="168" spans="1:20" s="356" customFormat="1" ht="15.75">
      <c r="A168" s="358"/>
      <c r="B168" s="359"/>
      <c r="C168" s="316"/>
      <c r="D168" s="352"/>
      <c r="E168" s="352"/>
      <c r="F168" s="353"/>
      <c r="G168" s="353"/>
      <c r="H168" s="316"/>
      <c r="I168" s="316"/>
      <c r="J168" s="316"/>
      <c r="K168" s="316"/>
      <c r="L168" s="316"/>
      <c r="M168" s="316"/>
      <c r="N168" s="316"/>
      <c r="O168" s="360"/>
      <c r="P168" s="316"/>
      <c r="Q168" s="361"/>
      <c r="R168" s="362"/>
      <c r="S168" s="363"/>
      <c r="T168" s="369"/>
    </row>
    <row r="169" spans="1:20" s="356" customFormat="1" ht="15.75">
      <c r="A169" s="364"/>
      <c r="B169" s="359"/>
      <c r="C169" s="316"/>
      <c r="D169" s="353"/>
      <c r="E169" s="353"/>
      <c r="F169" s="353"/>
      <c r="G169" s="354"/>
      <c r="H169" s="353"/>
      <c r="I169" s="316"/>
      <c r="J169" s="354"/>
      <c r="K169" s="354"/>
      <c r="L169" s="316"/>
      <c r="M169" s="316"/>
      <c r="N169" s="316"/>
      <c r="O169" s="360"/>
      <c r="P169" s="316"/>
      <c r="Q169" s="365"/>
      <c r="R169" s="366"/>
      <c r="S169" s="363"/>
      <c r="T169" s="369"/>
    </row>
    <row r="170" spans="1:20" s="356" customFormat="1" ht="15.75">
      <c r="A170" s="364"/>
      <c r="B170" s="359"/>
      <c r="C170" s="316"/>
      <c r="D170" s="316"/>
      <c r="E170" s="316"/>
      <c r="F170" s="316"/>
      <c r="G170" s="353"/>
      <c r="H170" s="367"/>
      <c r="I170" s="316"/>
      <c r="J170" s="354"/>
      <c r="K170" s="316"/>
      <c r="L170" s="316"/>
      <c r="M170" s="316"/>
      <c r="N170" s="316"/>
      <c r="O170" s="360"/>
      <c r="P170" s="316"/>
      <c r="Q170" s="368"/>
      <c r="R170" s="362"/>
      <c r="S170" s="369"/>
      <c r="T170" s="369"/>
    </row>
    <row r="171" spans="1:20" s="356" customFormat="1" ht="15.75">
      <c r="A171" s="364"/>
      <c r="B171" s="359"/>
      <c r="C171" s="316"/>
      <c r="D171" s="316"/>
      <c r="E171" s="316"/>
      <c r="F171" s="316"/>
      <c r="G171" s="316"/>
      <c r="H171" s="316"/>
      <c r="I171" s="316"/>
      <c r="J171" s="316"/>
      <c r="K171" s="316"/>
      <c r="L171" s="316"/>
      <c r="M171" s="316"/>
      <c r="N171" s="316"/>
      <c r="O171" s="370"/>
      <c r="P171" s="316"/>
      <c r="Q171" s="371"/>
      <c r="R171" s="362"/>
      <c r="S171" s="369"/>
      <c r="T171" s="369"/>
    </row>
    <row r="172" spans="1:20" s="356" customFormat="1" ht="15.75">
      <c r="A172" s="372"/>
      <c r="B172" s="316"/>
      <c r="C172" s="316"/>
      <c r="D172" s="316"/>
      <c r="E172" s="316"/>
      <c r="F172" s="316"/>
      <c r="G172" s="316"/>
      <c r="H172" s="316"/>
      <c r="I172" s="316"/>
      <c r="J172" s="316"/>
      <c r="K172" s="316"/>
      <c r="L172" s="316"/>
      <c r="M172" s="316"/>
      <c r="N172" s="316"/>
      <c r="O172" s="316"/>
      <c r="P172" s="316"/>
      <c r="Q172" s="371"/>
      <c r="R172" s="373"/>
      <c r="S172" s="369"/>
      <c r="T172" s="369"/>
    </row>
    <row r="173" spans="1:20" s="356" customFormat="1">
      <c r="A173" s="355"/>
      <c r="T173" s="369"/>
    </row>
    <row r="174" spans="1:20" s="356" customFormat="1" ht="15.75">
      <c r="A174" s="358"/>
      <c r="Q174" s="357"/>
      <c r="T174" s="369"/>
    </row>
    <row r="175" spans="1:20" s="356" customFormat="1" ht="15.75">
      <c r="A175" s="358"/>
      <c r="B175" s="359"/>
      <c r="C175" s="316"/>
      <c r="D175" s="352"/>
      <c r="E175" s="352"/>
      <c r="F175" s="353"/>
      <c r="G175" s="353"/>
      <c r="H175" s="316"/>
      <c r="I175" s="316"/>
      <c r="J175" s="316"/>
      <c r="K175" s="316"/>
      <c r="L175" s="316"/>
      <c r="M175" s="316"/>
      <c r="N175" s="316"/>
      <c r="O175" s="360"/>
      <c r="P175" s="316"/>
      <c r="Q175" s="361"/>
      <c r="R175" s="362"/>
      <c r="S175" s="363"/>
      <c r="T175" s="369"/>
    </row>
    <row r="176" spans="1:20" s="356" customFormat="1" ht="15.75">
      <c r="A176" s="364"/>
      <c r="B176" s="359"/>
      <c r="C176" s="316"/>
      <c r="D176" s="353"/>
      <c r="E176" s="353"/>
      <c r="F176" s="353"/>
      <c r="G176" s="354"/>
      <c r="H176" s="353"/>
      <c r="I176" s="316"/>
      <c r="J176" s="354"/>
      <c r="K176" s="354"/>
      <c r="L176" s="316"/>
      <c r="M176" s="316"/>
      <c r="N176" s="316"/>
      <c r="O176" s="360"/>
      <c r="P176" s="316"/>
      <c r="Q176" s="365"/>
      <c r="R176" s="366"/>
      <c r="S176" s="363"/>
      <c r="T176" s="369"/>
    </row>
    <row r="177" spans="1:20" s="356" customFormat="1" ht="15.75">
      <c r="A177" s="364"/>
      <c r="B177" s="359"/>
      <c r="C177" s="316"/>
      <c r="D177" s="316"/>
      <c r="E177" s="316"/>
      <c r="F177" s="316"/>
      <c r="G177" s="353"/>
      <c r="H177" s="367"/>
      <c r="I177" s="316"/>
      <c r="J177" s="354"/>
      <c r="K177" s="316"/>
      <c r="L177" s="316"/>
      <c r="M177" s="316"/>
      <c r="N177" s="316"/>
      <c r="O177" s="360"/>
      <c r="P177" s="316"/>
      <c r="Q177" s="368"/>
      <c r="R177" s="362"/>
      <c r="S177" s="369"/>
      <c r="T177" s="369"/>
    </row>
    <row r="178" spans="1:20" s="356" customFormat="1" ht="15.75">
      <c r="A178" s="364"/>
      <c r="B178" s="359"/>
      <c r="C178" s="316"/>
      <c r="D178" s="316"/>
      <c r="E178" s="316"/>
      <c r="F178" s="316"/>
      <c r="G178" s="316"/>
      <c r="H178" s="316"/>
      <c r="I178" s="316"/>
      <c r="J178" s="316"/>
      <c r="K178" s="316"/>
      <c r="L178" s="316"/>
      <c r="M178" s="316"/>
      <c r="N178" s="316"/>
      <c r="O178" s="370"/>
      <c r="P178" s="316"/>
      <c r="Q178" s="371"/>
      <c r="R178" s="362"/>
      <c r="S178" s="369"/>
      <c r="T178" s="369"/>
    </row>
    <row r="179" spans="1:20" s="356" customFormat="1" ht="15.75">
      <c r="A179" s="372"/>
      <c r="B179" s="316"/>
      <c r="C179" s="316"/>
      <c r="D179" s="316"/>
      <c r="E179" s="316"/>
      <c r="F179" s="316"/>
      <c r="G179" s="316"/>
      <c r="H179" s="316"/>
      <c r="I179" s="316"/>
      <c r="J179" s="316"/>
      <c r="K179" s="316"/>
      <c r="L179" s="316"/>
      <c r="M179" s="316"/>
      <c r="N179" s="316"/>
      <c r="O179" s="316"/>
      <c r="P179" s="316"/>
      <c r="Q179" s="371"/>
      <c r="R179" s="373"/>
      <c r="S179" s="369"/>
      <c r="T179" s="369"/>
    </row>
    <row r="180" spans="1:20" s="356" customFormat="1">
      <c r="A180" s="355"/>
      <c r="T180" s="369"/>
    </row>
    <row r="181" spans="1:20" s="356" customFormat="1">
      <c r="A181" s="355"/>
      <c r="T181" s="369"/>
    </row>
    <row r="182" spans="1:20" s="356" customFormat="1">
      <c r="A182" s="355"/>
      <c r="T182" s="369"/>
    </row>
    <row r="183" spans="1:20" s="356" customFormat="1">
      <c r="A183" s="355"/>
      <c r="T183" s="369"/>
    </row>
    <row r="184" spans="1:20" s="356" customFormat="1">
      <c r="A184" s="355"/>
      <c r="T184" s="369"/>
    </row>
    <row r="185" spans="1:20" s="356" customFormat="1">
      <c r="A185" s="355"/>
      <c r="T185" s="369"/>
    </row>
    <row r="186" spans="1:20" s="356" customFormat="1">
      <c r="A186" s="355"/>
      <c r="T186" s="369"/>
    </row>
    <row r="187" spans="1:20" s="356" customFormat="1">
      <c r="A187" s="355"/>
      <c r="T187" s="369"/>
    </row>
    <row r="188" spans="1:20" s="356" customFormat="1">
      <c r="A188" s="355"/>
      <c r="T188" s="369"/>
    </row>
    <row r="189" spans="1:20" s="356" customFormat="1">
      <c r="A189" s="355"/>
      <c r="T189" s="369"/>
    </row>
    <row r="190" spans="1:20" s="356" customFormat="1">
      <c r="A190" s="355"/>
      <c r="T190" s="369"/>
    </row>
    <row r="191" spans="1:20" s="356" customFormat="1">
      <c r="A191" s="355"/>
      <c r="T191" s="369"/>
    </row>
    <row r="192" spans="1:20" s="356" customFormat="1">
      <c r="A192" s="355"/>
      <c r="T192" s="369"/>
    </row>
    <row r="193" spans="1:20" s="356" customFormat="1">
      <c r="A193" s="355"/>
      <c r="T193" s="369"/>
    </row>
    <row r="194" spans="1:20" s="356" customFormat="1">
      <c r="A194" s="355"/>
      <c r="T194" s="369"/>
    </row>
    <row r="195" spans="1:20" s="356" customFormat="1">
      <c r="A195" s="355"/>
      <c r="T195" s="369"/>
    </row>
    <row r="196" spans="1:20" s="356" customFormat="1">
      <c r="A196" s="355"/>
      <c r="T196" s="369"/>
    </row>
    <row r="197" spans="1:20" s="356" customFormat="1">
      <c r="A197" s="355"/>
      <c r="T197" s="369"/>
    </row>
    <row r="198" spans="1:20" s="356" customFormat="1">
      <c r="A198" s="355"/>
      <c r="T198" s="369"/>
    </row>
    <row r="199" spans="1:20" s="356" customFormat="1">
      <c r="A199" s="355"/>
      <c r="T199" s="369"/>
    </row>
    <row r="200" spans="1:20" s="356" customFormat="1">
      <c r="A200" s="355"/>
      <c r="T200" s="369"/>
    </row>
    <row r="201" spans="1:20" s="356" customFormat="1">
      <c r="A201" s="355"/>
      <c r="T201" s="369"/>
    </row>
    <row r="202" spans="1:20" s="356" customFormat="1">
      <c r="A202" s="355"/>
      <c r="T202" s="369"/>
    </row>
    <row r="203" spans="1:20" s="356" customFormat="1">
      <c r="A203" s="355"/>
      <c r="T203" s="369"/>
    </row>
    <row r="204" spans="1:20" s="356" customFormat="1">
      <c r="A204" s="355"/>
      <c r="T204" s="369"/>
    </row>
    <row r="205" spans="1:20" s="356" customFormat="1">
      <c r="A205" s="355"/>
      <c r="T205" s="369"/>
    </row>
    <row r="206" spans="1:20" s="356" customFormat="1">
      <c r="A206" s="355"/>
      <c r="T206" s="369"/>
    </row>
    <row r="207" spans="1:20" s="356" customFormat="1">
      <c r="A207" s="355"/>
      <c r="T207" s="369"/>
    </row>
    <row r="208" spans="1:20" s="356" customFormat="1">
      <c r="A208" s="355"/>
      <c r="T208" s="369"/>
    </row>
    <row r="209" spans="1:20" s="356" customFormat="1">
      <c r="A209" s="355"/>
      <c r="T209" s="369"/>
    </row>
    <row r="210" spans="1:20" s="356" customFormat="1">
      <c r="A210" s="355"/>
      <c r="T210" s="369"/>
    </row>
    <row r="211" spans="1:20" s="356" customFormat="1">
      <c r="A211" s="355"/>
      <c r="T211" s="369"/>
    </row>
    <row r="212" spans="1:20" s="356" customFormat="1">
      <c r="A212" s="355"/>
      <c r="T212" s="369"/>
    </row>
    <row r="213" spans="1:20" s="356" customFormat="1">
      <c r="A213" s="355"/>
      <c r="T213" s="369"/>
    </row>
    <row r="214" spans="1:20" s="356" customFormat="1">
      <c r="A214" s="355"/>
      <c r="T214" s="369"/>
    </row>
    <row r="215" spans="1:20" s="356" customFormat="1">
      <c r="A215" s="355"/>
      <c r="T215" s="369"/>
    </row>
    <row r="216" spans="1:20" s="356" customFormat="1">
      <c r="A216" s="355"/>
      <c r="T216" s="369"/>
    </row>
    <row r="217" spans="1:20" s="356" customFormat="1">
      <c r="A217" s="355"/>
      <c r="T217" s="369"/>
    </row>
    <row r="218" spans="1:20" s="356" customFormat="1">
      <c r="A218" s="355"/>
      <c r="T218" s="369"/>
    </row>
    <row r="219" spans="1:20" s="356" customFormat="1">
      <c r="A219" s="355"/>
      <c r="T219" s="369"/>
    </row>
    <row r="220" spans="1:20" s="356" customFormat="1">
      <c r="A220" s="355"/>
      <c r="T220" s="369"/>
    </row>
    <row r="221" spans="1:20" s="356" customFormat="1">
      <c r="A221" s="355"/>
      <c r="T221" s="369"/>
    </row>
    <row r="222" spans="1:20" s="356" customFormat="1">
      <c r="A222" s="355"/>
      <c r="T222" s="369"/>
    </row>
    <row r="223" spans="1:20" s="356" customFormat="1">
      <c r="A223" s="355"/>
      <c r="T223" s="369"/>
    </row>
    <row r="224" spans="1:20" s="356" customFormat="1">
      <c r="A224" s="355"/>
      <c r="T224" s="369"/>
    </row>
    <row r="225" spans="1:20" s="356" customFormat="1">
      <c r="A225" s="355"/>
      <c r="T225" s="369"/>
    </row>
    <row r="226" spans="1:20" s="356" customFormat="1">
      <c r="A226" s="355"/>
      <c r="T226" s="369"/>
    </row>
    <row r="227" spans="1:20" s="356" customFormat="1">
      <c r="A227" s="355"/>
      <c r="T227" s="369"/>
    </row>
    <row r="228" spans="1:20" s="356" customFormat="1">
      <c r="A228" s="355"/>
      <c r="T228" s="369"/>
    </row>
    <row r="229" spans="1:20" s="356" customFormat="1">
      <c r="A229" s="355"/>
      <c r="T229" s="369"/>
    </row>
    <row r="230" spans="1:20" s="356" customFormat="1">
      <c r="A230" s="355"/>
      <c r="T230" s="369"/>
    </row>
    <row r="231" spans="1:20" s="356" customFormat="1">
      <c r="A231" s="355"/>
      <c r="T231" s="369"/>
    </row>
    <row r="232" spans="1:20" s="356" customFormat="1">
      <c r="A232" s="355"/>
      <c r="T232" s="369"/>
    </row>
    <row r="233" spans="1:20" s="356" customFormat="1">
      <c r="A233" s="355"/>
      <c r="T233" s="369"/>
    </row>
    <row r="234" spans="1:20" s="356" customFormat="1">
      <c r="A234" s="355"/>
      <c r="T234" s="369"/>
    </row>
    <row r="235" spans="1:20" s="356" customFormat="1">
      <c r="A235" s="355"/>
      <c r="T235" s="369"/>
    </row>
    <row r="236" spans="1:20" s="356" customFormat="1">
      <c r="A236" s="355"/>
      <c r="T236" s="369"/>
    </row>
    <row r="237" spans="1:20" s="356" customFormat="1">
      <c r="A237" s="355"/>
      <c r="T237" s="369"/>
    </row>
    <row r="238" spans="1:20" s="356" customFormat="1">
      <c r="A238" s="355"/>
      <c r="T238" s="369"/>
    </row>
    <row r="239" spans="1:20" s="356" customFormat="1">
      <c r="A239" s="355"/>
      <c r="T239" s="369"/>
    </row>
    <row r="240" spans="1:20" s="356" customFormat="1">
      <c r="A240" s="355"/>
      <c r="T240" s="369"/>
    </row>
    <row r="241" spans="1:20" s="356" customFormat="1">
      <c r="A241" s="355"/>
      <c r="T241" s="369"/>
    </row>
    <row r="242" spans="1:20" s="356" customFormat="1">
      <c r="A242" s="355"/>
      <c r="T242" s="369"/>
    </row>
    <row r="243" spans="1:20" s="356" customFormat="1">
      <c r="A243" s="355"/>
      <c r="T243" s="369"/>
    </row>
    <row r="244" spans="1:20" s="356" customFormat="1">
      <c r="A244" s="355"/>
      <c r="T244" s="369"/>
    </row>
    <row r="245" spans="1:20" s="356" customFormat="1">
      <c r="A245" s="355"/>
      <c r="T245" s="369"/>
    </row>
    <row r="246" spans="1:20" s="356" customFormat="1">
      <c r="A246" s="355"/>
      <c r="T246" s="369"/>
    </row>
    <row r="247" spans="1:20" s="356" customFormat="1">
      <c r="A247" s="355"/>
      <c r="T247" s="369"/>
    </row>
    <row r="248" spans="1:20" s="356" customFormat="1">
      <c r="A248" s="355"/>
      <c r="T248" s="369"/>
    </row>
    <row r="249" spans="1:20" s="356" customFormat="1">
      <c r="A249" s="355"/>
      <c r="T249" s="369"/>
    </row>
    <row r="250" spans="1:20" s="356" customFormat="1">
      <c r="A250" s="355"/>
      <c r="T250" s="369"/>
    </row>
    <row r="251" spans="1:20" s="356" customFormat="1">
      <c r="A251" s="355"/>
      <c r="T251" s="369"/>
    </row>
    <row r="252" spans="1:20" s="356" customFormat="1">
      <c r="A252" s="355"/>
      <c r="T252" s="369"/>
    </row>
    <row r="253" spans="1:20" s="356" customFormat="1">
      <c r="A253" s="355"/>
      <c r="T253" s="369"/>
    </row>
    <row r="254" spans="1:20" s="356" customFormat="1">
      <c r="A254" s="355"/>
      <c r="T254" s="369"/>
    </row>
    <row r="255" spans="1:20" s="356" customFormat="1">
      <c r="A255" s="355"/>
      <c r="T255" s="369"/>
    </row>
    <row r="256" spans="1:20" s="356" customFormat="1">
      <c r="A256" s="355"/>
      <c r="T256" s="369"/>
    </row>
    <row r="257" spans="1:20" s="356" customFormat="1">
      <c r="A257" s="355"/>
      <c r="T257" s="369"/>
    </row>
    <row r="258" spans="1:20" s="356" customFormat="1">
      <c r="A258" s="355"/>
      <c r="T258" s="369"/>
    </row>
    <row r="259" spans="1:20" s="356" customFormat="1">
      <c r="A259" s="355"/>
      <c r="T259" s="369"/>
    </row>
    <row r="260" spans="1:20" s="356" customFormat="1">
      <c r="A260" s="355"/>
      <c r="T260" s="369"/>
    </row>
    <row r="261" spans="1:20" s="356" customFormat="1">
      <c r="A261" s="355"/>
      <c r="T261" s="369"/>
    </row>
    <row r="262" spans="1:20" s="356" customFormat="1">
      <c r="A262" s="355"/>
      <c r="T262" s="369"/>
    </row>
    <row r="263" spans="1:20" s="356" customFormat="1">
      <c r="A263" s="355"/>
      <c r="T263" s="369"/>
    </row>
    <row r="264" spans="1:20" s="356" customFormat="1">
      <c r="A264" s="355"/>
      <c r="T264" s="369"/>
    </row>
    <row r="265" spans="1:20" s="356" customFormat="1">
      <c r="A265" s="355"/>
      <c r="T265" s="369"/>
    </row>
    <row r="266" spans="1:20" s="356" customFormat="1">
      <c r="A266" s="355"/>
      <c r="T266" s="369"/>
    </row>
    <row r="267" spans="1:20" s="356" customFormat="1">
      <c r="A267" s="355"/>
      <c r="T267" s="369"/>
    </row>
    <row r="268" spans="1:20" s="356" customFormat="1">
      <c r="A268" s="355"/>
      <c r="T268" s="369"/>
    </row>
    <row r="269" spans="1:20" s="356" customFormat="1">
      <c r="A269" s="355"/>
      <c r="T269" s="369"/>
    </row>
    <row r="270" spans="1:20" s="356" customFormat="1">
      <c r="A270" s="355"/>
      <c r="T270" s="369"/>
    </row>
    <row r="271" spans="1:20" s="356" customFormat="1">
      <c r="A271" s="355"/>
      <c r="T271" s="369"/>
    </row>
    <row r="272" spans="1:20" s="356" customFormat="1">
      <c r="A272" s="355"/>
      <c r="T272" s="369"/>
    </row>
    <row r="273" spans="1:20" s="356" customFormat="1">
      <c r="A273" s="355"/>
      <c r="T273" s="369"/>
    </row>
    <row r="274" spans="1:20" s="356" customFormat="1">
      <c r="A274" s="355"/>
      <c r="T274" s="369"/>
    </row>
    <row r="275" spans="1:20" s="356" customFormat="1">
      <c r="A275" s="355"/>
      <c r="T275" s="369"/>
    </row>
    <row r="276" spans="1:20" s="356" customFormat="1">
      <c r="A276" s="355"/>
      <c r="T276" s="369"/>
    </row>
    <row r="277" spans="1:20" s="356" customFormat="1">
      <c r="A277" s="355"/>
      <c r="T277" s="369"/>
    </row>
    <row r="278" spans="1:20" s="356" customFormat="1">
      <c r="A278" s="355"/>
      <c r="T278" s="369"/>
    </row>
    <row r="279" spans="1:20" s="356" customFormat="1">
      <c r="A279" s="355"/>
      <c r="T279" s="369"/>
    </row>
    <row r="280" spans="1:20" s="356" customFormat="1">
      <c r="A280" s="355"/>
      <c r="T280" s="369"/>
    </row>
    <row r="281" spans="1:20" s="356" customFormat="1">
      <c r="A281" s="355"/>
      <c r="T281" s="369"/>
    </row>
    <row r="282" spans="1:20" s="356" customFormat="1">
      <c r="A282" s="355"/>
      <c r="T282" s="369"/>
    </row>
    <row r="283" spans="1:20" s="356" customFormat="1">
      <c r="A283" s="355"/>
      <c r="T283" s="369"/>
    </row>
    <row r="284" spans="1:20" s="356" customFormat="1">
      <c r="A284" s="355"/>
      <c r="T284" s="369"/>
    </row>
    <row r="285" spans="1:20" s="356" customFormat="1">
      <c r="A285" s="355"/>
      <c r="T285" s="369"/>
    </row>
    <row r="286" spans="1:20" s="356" customFormat="1">
      <c r="A286" s="355"/>
      <c r="T286" s="369"/>
    </row>
    <row r="287" spans="1:20" s="356" customFormat="1">
      <c r="A287" s="355"/>
      <c r="T287" s="369"/>
    </row>
    <row r="288" spans="1:20" s="356" customFormat="1">
      <c r="A288" s="355"/>
      <c r="T288" s="369"/>
    </row>
    <row r="289" spans="1:20" s="356" customFormat="1">
      <c r="A289" s="355"/>
      <c r="T289" s="369"/>
    </row>
    <row r="290" spans="1:20" s="356" customFormat="1">
      <c r="A290" s="355"/>
      <c r="T290" s="369"/>
    </row>
    <row r="291" spans="1:20" s="356" customFormat="1">
      <c r="A291" s="355"/>
      <c r="T291" s="369"/>
    </row>
    <row r="292" spans="1:20" s="356" customFormat="1">
      <c r="A292" s="355"/>
      <c r="T292" s="369"/>
    </row>
    <row r="293" spans="1:20" s="356" customFormat="1">
      <c r="A293" s="355"/>
      <c r="T293" s="369"/>
    </row>
    <row r="294" spans="1:20" s="356" customFormat="1">
      <c r="A294" s="355"/>
      <c r="T294" s="369"/>
    </row>
    <row r="295" spans="1:20" s="356" customFormat="1">
      <c r="A295" s="355"/>
      <c r="T295" s="369"/>
    </row>
    <row r="296" spans="1:20" s="356" customFormat="1">
      <c r="A296" s="355"/>
      <c r="T296" s="369"/>
    </row>
    <row r="297" spans="1:20" s="356" customFormat="1">
      <c r="A297" s="355"/>
      <c r="T297" s="369"/>
    </row>
    <row r="298" spans="1:20" s="356" customFormat="1">
      <c r="A298" s="355"/>
      <c r="T298" s="369"/>
    </row>
    <row r="299" spans="1:20" s="356" customFormat="1">
      <c r="A299" s="355"/>
      <c r="T299" s="369"/>
    </row>
    <row r="300" spans="1:20">
      <c r="T300" s="369"/>
    </row>
    <row r="301" spans="1:20">
      <c r="T301" s="369"/>
    </row>
    <row r="302" spans="1:20">
      <c r="T302" s="369"/>
    </row>
    <row r="303" spans="1:20">
      <c r="T303" s="369"/>
    </row>
    <row r="304" spans="1:20">
      <c r="T304" s="369"/>
    </row>
    <row r="305" spans="20:20">
      <c r="T305" s="369"/>
    </row>
    <row r="306" spans="20:20">
      <c r="T306" s="369"/>
    </row>
    <row r="307" spans="20:20">
      <c r="T307" s="369"/>
    </row>
    <row r="308" spans="20:20">
      <c r="T308" s="369"/>
    </row>
    <row r="309" spans="20:20">
      <c r="T309" s="369"/>
    </row>
    <row r="310" spans="20:20">
      <c r="T310" s="369"/>
    </row>
    <row r="311" spans="20:20">
      <c r="T311" s="369"/>
    </row>
    <row r="312" spans="20:20">
      <c r="T312" s="369"/>
    </row>
    <row r="313" spans="20:20">
      <c r="T313" s="369"/>
    </row>
    <row r="314" spans="20:20">
      <c r="T314" s="369"/>
    </row>
    <row r="315" spans="20:20">
      <c r="T315" s="369"/>
    </row>
    <row r="316" spans="20:20">
      <c r="T316" s="369"/>
    </row>
    <row r="317" spans="20:20">
      <c r="T317" s="369"/>
    </row>
    <row r="318" spans="20:20">
      <c r="T318" s="369"/>
    </row>
    <row r="319" spans="20:20">
      <c r="T319" s="369"/>
    </row>
    <row r="320" spans="20:20">
      <c r="T320" s="369"/>
    </row>
    <row r="321" spans="20:20">
      <c r="T321" s="369"/>
    </row>
    <row r="322" spans="20:20">
      <c r="T322" s="369"/>
    </row>
    <row r="323" spans="20:20">
      <c r="T323" s="369"/>
    </row>
    <row r="324" spans="20:20">
      <c r="T324" s="369"/>
    </row>
    <row r="325" spans="20:20">
      <c r="T325" s="369"/>
    </row>
    <row r="326" spans="20:20">
      <c r="T326" s="369"/>
    </row>
    <row r="327" spans="20:20">
      <c r="T327" s="369"/>
    </row>
    <row r="328" spans="20:20">
      <c r="T328" s="369"/>
    </row>
    <row r="329" spans="20:20">
      <c r="T329" s="369"/>
    </row>
    <row r="330" spans="20:20">
      <c r="T330" s="369"/>
    </row>
    <row r="331" spans="20:20">
      <c r="T331" s="369"/>
    </row>
    <row r="332" spans="20:20">
      <c r="T332" s="369"/>
    </row>
    <row r="333" spans="20:20">
      <c r="T333" s="369"/>
    </row>
    <row r="334" spans="20:20">
      <c r="T334" s="369"/>
    </row>
    <row r="335" spans="20:20">
      <c r="T335" s="369"/>
    </row>
    <row r="336" spans="20:20">
      <c r="T336" s="369"/>
    </row>
    <row r="337" spans="20:20">
      <c r="T337" s="369"/>
    </row>
    <row r="338" spans="20:20">
      <c r="T338" s="369"/>
    </row>
    <row r="339" spans="20:20">
      <c r="T339" s="369"/>
    </row>
    <row r="340" spans="20:20">
      <c r="T340" s="369"/>
    </row>
    <row r="341" spans="20:20">
      <c r="T341" s="369"/>
    </row>
    <row r="342" spans="20:20">
      <c r="T342" s="369"/>
    </row>
    <row r="343" spans="20:20">
      <c r="T343" s="369"/>
    </row>
    <row r="344" spans="20:20">
      <c r="T344" s="369"/>
    </row>
    <row r="345" spans="20:20">
      <c r="T345" s="369"/>
    </row>
    <row r="346" spans="20:20">
      <c r="T346" s="369"/>
    </row>
    <row r="347" spans="20:20">
      <c r="T347" s="369"/>
    </row>
    <row r="348" spans="20:20">
      <c r="T348" s="369"/>
    </row>
    <row r="349" spans="20:20">
      <c r="T349" s="369"/>
    </row>
    <row r="350" spans="20:20">
      <c r="T350" s="369"/>
    </row>
    <row r="351" spans="20:20">
      <c r="T351" s="369"/>
    </row>
    <row r="352" spans="20:20">
      <c r="T352" s="369"/>
    </row>
    <row r="353" spans="20:20">
      <c r="T353" s="369"/>
    </row>
    <row r="354" spans="20:20">
      <c r="T354" s="369"/>
    </row>
    <row r="355" spans="20:20">
      <c r="T355" s="369"/>
    </row>
    <row r="356" spans="20:20">
      <c r="T356" s="369"/>
    </row>
    <row r="357" spans="20:20">
      <c r="T357" s="369"/>
    </row>
    <row r="358" spans="20:20">
      <c r="T358" s="369"/>
    </row>
    <row r="359" spans="20:20">
      <c r="T359" s="369"/>
    </row>
    <row r="360" spans="20:20">
      <c r="T360" s="369"/>
    </row>
    <row r="361" spans="20:20">
      <c r="T361" s="369"/>
    </row>
    <row r="362" spans="20:20">
      <c r="T362" s="369"/>
    </row>
    <row r="363" spans="20:20">
      <c r="T363" s="369"/>
    </row>
    <row r="364" spans="20:20">
      <c r="T364" s="369"/>
    </row>
    <row r="365" spans="20:20">
      <c r="T365" s="369"/>
    </row>
    <row r="366" spans="20:20">
      <c r="T366" s="369"/>
    </row>
    <row r="367" spans="20:20">
      <c r="T367" s="369"/>
    </row>
    <row r="368" spans="20:20">
      <c r="T368" s="369"/>
    </row>
    <row r="369" spans="20:20">
      <c r="T369" s="369"/>
    </row>
    <row r="370" spans="20:20">
      <c r="T370" s="369"/>
    </row>
    <row r="371" spans="20:20">
      <c r="T371" s="369"/>
    </row>
    <row r="372" spans="20:20">
      <c r="T372" s="369"/>
    </row>
    <row r="373" spans="20:20">
      <c r="T373" s="369"/>
    </row>
    <row r="374" spans="20:20">
      <c r="T374" s="369"/>
    </row>
    <row r="375" spans="20:20">
      <c r="T375" s="369"/>
    </row>
    <row r="376" spans="20:20">
      <c r="T376" s="369"/>
    </row>
    <row r="377" spans="20:20">
      <c r="T377" s="369"/>
    </row>
    <row r="378" spans="20:20">
      <c r="T378" s="369"/>
    </row>
    <row r="379" spans="20:20">
      <c r="T379" s="369"/>
    </row>
    <row r="380" spans="20:20">
      <c r="T380" s="369"/>
    </row>
    <row r="381" spans="20:20">
      <c r="T381" s="369"/>
    </row>
    <row r="382" spans="20:20">
      <c r="T382" s="369"/>
    </row>
    <row r="383" spans="20:20">
      <c r="T383" s="369"/>
    </row>
    <row r="384" spans="20:20">
      <c r="T384" s="369"/>
    </row>
    <row r="385" spans="20:20">
      <c r="T385" s="369"/>
    </row>
    <row r="386" spans="20:20">
      <c r="T386" s="369"/>
    </row>
    <row r="387" spans="20:20">
      <c r="T387" s="369"/>
    </row>
    <row r="388" spans="20:20">
      <c r="T388" s="369"/>
    </row>
    <row r="389" spans="20:20">
      <c r="T389" s="369"/>
    </row>
    <row r="390" spans="20:20">
      <c r="T390" s="369"/>
    </row>
    <row r="391" spans="20:20">
      <c r="T391" s="369"/>
    </row>
    <row r="392" spans="20:20">
      <c r="T392" s="369"/>
    </row>
    <row r="393" spans="20:20">
      <c r="T393" s="369"/>
    </row>
    <row r="394" spans="20:20">
      <c r="T394" s="369"/>
    </row>
    <row r="395" spans="20:20">
      <c r="T395" s="369"/>
    </row>
    <row r="396" spans="20:20">
      <c r="T396" s="369"/>
    </row>
    <row r="397" spans="20:20">
      <c r="T397" s="369"/>
    </row>
    <row r="398" spans="20:20">
      <c r="T398" s="369"/>
    </row>
    <row r="399" spans="20:20">
      <c r="T399" s="369"/>
    </row>
    <row r="400" spans="20:20">
      <c r="T400" s="369"/>
    </row>
    <row r="401" spans="20:20">
      <c r="T401" s="369"/>
    </row>
    <row r="402" spans="20:20">
      <c r="T402" s="369"/>
    </row>
    <row r="403" spans="20:20">
      <c r="T403" s="369"/>
    </row>
    <row r="404" spans="20:20">
      <c r="T404" s="369"/>
    </row>
    <row r="405" spans="20:20">
      <c r="T405" s="369"/>
    </row>
    <row r="406" spans="20:20">
      <c r="T406" s="369"/>
    </row>
    <row r="407" spans="20:20">
      <c r="T407" s="369"/>
    </row>
    <row r="408" spans="20:20">
      <c r="T408" s="369"/>
    </row>
    <row r="409" spans="20:20">
      <c r="T409" s="369"/>
    </row>
    <row r="410" spans="20:20">
      <c r="T410" s="369"/>
    </row>
    <row r="411" spans="20:20">
      <c r="T411" s="369"/>
    </row>
    <row r="412" spans="20:20">
      <c r="T412" s="369"/>
    </row>
    <row r="413" spans="20:20">
      <c r="T413" s="369"/>
    </row>
    <row r="414" spans="20:20">
      <c r="T414" s="369"/>
    </row>
    <row r="415" spans="20:20">
      <c r="T415" s="369"/>
    </row>
    <row r="416" spans="20:20">
      <c r="T416" s="369"/>
    </row>
    <row r="417" spans="20:20">
      <c r="T417" s="369"/>
    </row>
    <row r="418" spans="20:20">
      <c r="T418" s="369"/>
    </row>
    <row r="419" spans="20:20">
      <c r="T419" s="369"/>
    </row>
    <row r="420" spans="20:20">
      <c r="T420" s="369"/>
    </row>
    <row r="421" spans="20:20">
      <c r="T421" s="369"/>
    </row>
    <row r="422" spans="20:20">
      <c r="T422" s="369"/>
    </row>
    <row r="423" spans="20:20">
      <c r="T423" s="369"/>
    </row>
    <row r="424" spans="20:20">
      <c r="T424" s="369"/>
    </row>
    <row r="425" spans="20:20">
      <c r="T425" s="369"/>
    </row>
    <row r="426" spans="20:20">
      <c r="T426" s="369"/>
    </row>
    <row r="427" spans="20:20">
      <c r="T427" s="369"/>
    </row>
    <row r="428" spans="20:20">
      <c r="T428" s="369"/>
    </row>
    <row r="429" spans="20:20">
      <c r="T429" s="369"/>
    </row>
    <row r="430" spans="20:20">
      <c r="T430" s="369"/>
    </row>
    <row r="431" spans="20:20">
      <c r="T431" s="369"/>
    </row>
    <row r="432" spans="20:20">
      <c r="T432" s="369"/>
    </row>
    <row r="433" spans="20:20">
      <c r="T433" s="369"/>
    </row>
    <row r="434" spans="20:20">
      <c r="T434" s="369"/>
    </row>
    <row r="435" spans="20:20">
      <c r="T435" s="369"/>
    </row>
    <row r="436" spans="20:20">
      <c r="T436" s="369"/>
    </row>
    <row r="437" spans="20:20">
      <c r="T437" s="369"/>
    </row>
    <row r="438" spans="20:20">
      <c r="T438" s="369"/>
    </row>
    <row r="439" spans="20:20">
      <c r="T439" s="369"/>
    </row>
    <row r="440" spans="20:20">
      <c r="T440" s="369"/>
    </row>
    <row r="441" spans="20:20">
      <c r="T441" s="369"/>
    </row>
    <row r="442" spans="20:20">
      <c r="T442" s="369"/>
    </row>
    <row r="443" spans="20:20">
      <c r="T443" s="369"/>
    </row>
    <row r="444" spans="20:20">
      <c r="T444" s="369"/>
    </row>
    <row r="445" spans="20:20">
      <c r="T445" s="369"/>
    </row>
    <row r="446" spans="20:20">
      <c r="T446" s="369"/>
    </row>
    <row r="447" spans="20:20">
      <c r="T447" s="369"/>
    </row>
    <row r="448" spans="20:20">
      <c r="T448" s="369"/>
    </row>
    <row r="449" spans="20:20">
      <c r="T449" s="369"/>
    </row>
    <row r="1145" spans="3:3">
      <c r="C1145" s="331">
        <v>-2130</v>
      </c>
    </row>
    <row r="1153" spans="3:3">
      <c r="C1153" s="331">
        <f>7004298-2130</f>
        <v>7002168</v>
      </c>
    </row>
  </sheetData>
  <conditionalFormatting sqref="T17 T24 T31 T38 T46 T54 T62 T70 T78 T86 T102 T94">
    <cfRule type="cellIs" dxfId="106" priority="107" stopIfTrue="1" operator="equal">
      <formula>0</formula>
    </cfRule>
    <cfRule type="cellIs" dxfId="105" priority="108" stopIfTrue="1" operator="notEqual">
      <formula>0</formula>
    </cfRule>
  </conditionalFormatting>
  <conditionalFormatting sqref="T17 T24 T31 T38 T46 T54 T62 T70 T78 T86 T102 T94">
    <cfRule type="cellIs" dxfId="104" priority="106" stopIfTrue="1" operator="equal">
      <formula>0</formula>
    </cfRule>
  </conditionalFormatting>
  <printOptions gridLinesSet="0"/>
  <pageMargins left="0.18" right="0" top="0.5" bottom="0.5" header="0.5" footer="0.25"/>
  <pageSetup scale="53" orientation="landscape" horizontalDpi="300" verticalDpi="300" r:id="rId1"/>
  <headerFooter alignWithMargins="0">
    <oddFooter>&amp;L&amp;F&amp;C&amp;A&amp;R&amp;D  &amp;T</oddFooter>
  </headerFooter>
  <customProperties>
    <customPr name="xxe4aPID" r:id="rId2"/>
  </customPropertie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tabColor rgb="FF92D050"/>
    <pageSetUpPr fitToPage="1"/>
  </sheetPr>
  <dimension ref="A1:J196"/>
  <sheetViews>
    <sheetView view="pageBreakPreview" topLeftCell="A159" zoomScale="85" zoomScaleNormal="100" zoomScaleSheetLayoutView="85" workbookViewId="0">
      <selection activeCell="G51" sqref="G51:J55"/>
    </sheetView>
  </sheetViews>
  <sheetFormatPr defaultColWidth="9.140625" defaultRowHeight="15"/>
  <cols>
    <col min="1" max="1" width="29.85546875" style="275" customWidth="1"/>
    <col min="2" max="2" width="6.85546875" style="275" bestFit="1" customWidth="1"/>
    <col min="3" max="3" width="15.85546875" style="275" bestFit="1" customWidth="1"/>
    <col min="4" max="4" width="14.85546875" style="275" bestFit="1" customWidth="1"/>
    <col min="5" max="5" width="16.140625" style="275" bestFit="1" customWidth="1"/>
    <col min="6" max="6" width="9.140625" style="275"/>
    <col min="7" max="7" width="36.28515625" style="275" bestFit="1" customWidth="1"/>
    <col min="8" max="8" width="17.5703125" style="275" bestFit="1" customWidth="1"/>
    <col min="9" max="10" width="15.140625" style="275" bestFit="1" customWidth="1"/>
    <col min="11" max="16384" width="9.140625" style="275"/>
  </cols>
  <sheetData>
    <row r="1" spans="1:10" ht="15.75">
      <c r="A1" s="274" t="s">
        <v>200</v>
      </c>
    </row>
    <row r="2" spans="1:10" ht="15.75">
      <c r="A2" s="447"/>
    </row>
    <row r="3" spans="1:10" ht="15.75">
      <c r="A3" s="274"/>
    </row>
    <row r="4" spans="1:10" ht="15.75" hidden="1">
      <c r="A4" s="290"/>
      <c r="B4" s="290"/>
      <c r="C4" s="284" t="s">
        <v>1</v>
      </c>
      <c r="D4" s="308">
        <v>41274</v>
      </c>
      <c r="E4" s="309">
        <v>280640.39010999998</v>
      </c>
    </row>
    <row r="5" spans="1:10" ht="15.75" hidden="1" thickBot="1"/>
    <row r="6" spans="1:10" ht="15.75" hidden="1">
      <c r="A6" s="650" t="s">
        <v>195</v>
      </c>
      <c r="B6" s="651"/>
      <c r="C6" s="651"/>
      <c r="D6" s="651"/>
      <c r="E6" s="652"/>
      <c r="G6" s="290"/>
      <c r="H6" s="290"/>
      <c r="I6" s="290"/>
    </row>
    <row r="7" spans="1:10" ht="15.75" hidden="1">
      <c r="A7" s="219">
        <v>41305</v>
      </c>
      <c r="B7" s="276"/>
      <c r="C7" s="277" t="s">
        <v>101</v>
      </c>
      <c r="D7" s="278"/>
      <c r="E7" s="279"/>
    </row>
    <row r="8" spans="1:10" ht="16.5" hidden="1" thickBot="1">
      <c r="A8" s="280"/>
      <c r="B8" s="281"/>
      <c r="C8" s="282" t="s">
        <v>21</v>
      </c>
      <c r="D8" s="282" t="s">
        <v>22</v>
      </c>
      <c r="E8" s="283" t="s">
        <v>23</v>
      </c>
    </row>
    <row r="9" spans="1:10" ht="15.75" hidden="1">
      <c r="A9" s="284" t="s">
        <v>24</v>
      </c>
      <c r="B9" s="285">
        <v>101</v>
      </c>
      <c r="C9" s="286">
        <v>22136409</v>
      </c>
      <c r="D9" s="287">
        <v>-2.1900000000000001E-3</v>
      </c>
      <c r="E9" s="288">
        <f>C9*D9</f>
        <v>-48478.735710000001</v>
      </c>
    </row>
    <row r="10" spans="1:10" ht="16.5" hidden="1" thickBot="1">
      <c r="A10" s="284" t="s">
        <v>24</v>
      </c>
      <c r="B10" s="285">
        <v>111</v>
      </c>
      <c r="C10" s="286">
        <v>7525225</v>
      </c>
      <c r="D10" s="287">
        <v>-2.1900000000000001E-3</v>
      </c>
      <c r="E10" s="288">
        <f t="shared" ref="E10:E16" si="0">C10*D10</f>
        <v>-16480.242750000001</v>
      </c>
      <c r="G10" s="289">
        <f>A7</f>
        <v>41305</v>
      </c>
      <c r="H10" s="290"/>
      <c r="I10" s="290"/>
      <c r="J10" s="290"/>
    </row>
    <row r="11" spans="1:10" ht="16.5" hidden="1" thickBot="1">
      <c r="A11" s="284" t="s">
        <v>24</v>
      </c>
      <c r="B11" s="285">
        <v>112</v>
      </c>
      <c r="C11" s="286">
        <v>0</v>
      </c>
      <c r="D11" s="287">
        <v>-2.1900000000000001E-3</v>
      </c>
      <c r="E11" s="288">
        <f t="shared" si="0"/>
        <v>0</v>
      </c>
      <c r="G11" s="291" t="s">
        <v>25</v>
      </c>
      <c r="H11" s="292"/>
      <c r="I11" s="293" t="s">
        <v>18</v>
      </c>
      <c r="J11" s="293" t="s">
        <v>19</v>
      </c>
    </row>
    <row r="12" spans="1:10" ht="15.75" hidden="1">
      <c r="A12" s="284" t="s">
        <v>24</v>
      </c>
      <c r="B12" s="285">
        <v>121</v>
      </c>
      <c r="C12" s="286">
        <v>606431</v>
      </c>
      <c r="D12" s="287">
        <v>-2.1900000000000001E-3</v>
      </c>
      <c r="E12" s="288">
        <f t="shared" si="0"/>
        <v>-1328.0838900000001</v>
      </c>
      <c r="G12" s="294" t="s">
        <v>97</v>
      </c>
      <c r="H12" s="295" t="s">
        <v>26</v>
      </c>
      <c r="I12" s="296">
        <f>-E17</f>
        <v>67542.528509999989</v>
      </c>
      <c r="J12" s="297">
        <v>0</v>
      </c>
    </row>
    <row r="13" spans="1:10" ht="16.5" hidden="1" thickBot="1">
      <c r="A13" s="284" t="s">
        <v>24</v>
      </c>
      <c r="B13" s="285">
        <v>122</v>
      </c>
      <c r="C13" s="286">
        <v>85748</v>
      </c>
      <c r="D13" s="287">
        <v>-2.1900000000000001E-3</v>
      </c>
      <c r="E13" s="288">
        <f t="shared" si="0"/>
        <v>-187.78812000000002</v>
      </c>
      <c r="G13" s="298" t="s">
        <v>196</v>
      </c>
      <c r="H13" s="299" t="s">
        <v>197</v>
      </c>
      <c r="I13" s="300">
        <v>0</v>
      </c>
      <c r="J13" s="301">
        <f>-I12</f>
        <v>-67542.528509999989</v>
      </c>
    </row>
    <row r="14" spans="1:10" ht="15.75" hidden="1">
      <c r="A14" s="284" t="s">
        <v>24</v>
      </c>
      <c r="B14" s="285">
        <v>131</v>
      </c>
      <c r="C14" s="286">
        <v>0</v>
      </c>
      <c r="D14" s="287">
        <v>-2.1900000000000001E-3</v>
      </c>
      <c r="E14" s="288">
        <f t="shared" si="0"/>
        <v>0</v>
      </c>
      <c r="G14" s="290"/>
      <c r="H14" s="290"/>
      <c r="I14" s="290"/>
      <c r="J14" s="302">
        <f>SUM(I12:J13)</f>
        <v>0</v>
      </c>
    </row>
    <row r="15" spans="1:10" ht="15.75" hidden="1">
      <c r="A15" s="284" t="s">
        <v>24</v>
      </c>
      <c r="B15" s="285">
        <v>132</v>
      </c>
      <c r="C15" s="286">
        <v>151236</v>
      </c>
      <c r="D15" s="287">
        <v>-2.1900000000000001E-3</v>
      </c>
      <c r="E15" s="288">
        <f t="shared" si="0"/>
        <v>-331.20684</v>
      </c>
    </row>
    <row r="16" spans="1:10" ht="15.75" hidden="1">
      <c r="A16" s="284" t="s">
        <v>24</v>
      </c>
      <c r="B16" s="285">
        <v>146</v>
      </c>
      <c r="C16" s="286">
        <v>3682356</v>
      </c>
      <c r="D16" s="287">
        <v>-2.0000000000000001E-4</v>
      </c>
      <c r="E16" s="303">
        <f t="shared" si="0"/>
        <v>-736.47120000000007</v>
      </c>
    </row>
    <row r="17" spans="1:10" ht="16.5" hidden="1" thickBot="1">
      <c r="A17" s="284" t="s">
        <v>198</v>
      </c>
      <c r="B17" s="285"/>
      <c r="C17" s="304">
        <f>SUM(C9:C16)</f>
        <v>34187405</v>
      </c>
      <c r="D17" s="305"/>
      <c r="E17" s="306">
        <f>SUM(E9:E16)</f>
        <v>-67542.528509999989</v>
      </c>
    </row>
    <row r="18" spans="1:10" ht="16.5" hidden="1" thickTop="1">
      <c r="A18" s="284"/>
      <c r="B18" s="285"/>
      <c r="C18" s="310">
        <v>34187405</v>
      </c>
      <c r="D18" s="305"/>
      <c r="E18" s="306"/>
    </row>
    <row r="19" spans="1:10" ht="15.75" hidden="1">
      <c r="A19" s="284"/>
      <c r="B19" s="285"/>
      <c r="C19" s="307">
        <f>C18-C17</f>
        <v>0</v>
      </c>
      <c r="D19" s="305"/>
      <c r="E19" s="306"/>
    </row>
    <row r="20" spans="1:10" ht="15.75" hidden="1">
      <c r="A20" s="290"/>
      <c r="B20" s="290"/>
      <c r="C20" s="284" t="s">
        <v>1</v>
      </c>
      <c r="D20" s="308">
        <f>A7</f>
        <v>41305</v>
      </c>
      <c r="E20" s="309">
        <f>E4+E17</f>
        <v>213097.8616</v>
      </c>
    </row>
    <row r="21" spans="1:10" ht="15.75" hidden="1" thickBot="1"/>
    <row r="22" spans="1:10" ht="15.75" hidden="1">
      <c r="A22" s="650" t="s">
        <v>195</v>
      </c>
      <c r="B22" s="651"/>
      <c r="C22" s="651"/>
      <c r="D22" s="651"/>
      <c r="E22" s="652"/>
      <c r="G22" s="290"/>
      <c r="H22" s="290"/>
      <c r="I22" s="290"/>
    </row>
    <row r="23" spans="1:10" ht="15.75" hidden="1">
      <c r="A23" s="219">
        <v>41333</v>
      </c>
      <c r="B23" s="276"/>
      <c r="C23" s="277" t="s">
        <v>101</v>
      </c>
      <c r="D23" s="278"/>
      <c r="E23" s="279"/>
    </row>
    <row r="24" spans="1:10" ht="16.5" hidden="1" thickBot="1">
      <c r="A24" s="280"/>
      <c r="B24" s="281"/>
      <c r="C24" s="282" t="s">
        <v>21</v>
      </c>
      <c r="D24" s="282" t="s">
        <v>22</v>
      </c>
      <c r="E24" s="283" t="s">
        <v>23</v>
      </c>
    </row>
    <row r="25" spans="1:10" ht="15.75" hidden="1">
      <c r="A25" s="284" t="s">
        <v>24</v>
      </c>
      <c r="B25" s="285">
        <v>101</v>
      </c>
      <c r="C25" s="286">
        <v>16585315</v>
      </c>
      <c r="D25" s="287">
        <v>-2.1900000000000001E-3</v>
      </c>
      <c r="E25" s="288">
        <v>-36321.839850000004</v>
      </c>
    </row>
    <row r="26" spans="1:10" ht="16.5" hidden="1" thickBot="1">
      <c r="A26" s="284" t="s">
        <v>24</v>
      </c>
      <c r="B26" s="285">
        <v>111</v>
      </c>
      <c r="C26" s="286">
        <v>5716465</v>
      </c>
      <c r="D26" s="287">
        <v>-2.1900000000000001E-3</v>
      </c>
      <c r="E26" s="288">
        <v>-12519.058350000001</v>
      </c>
      <c r="G26" s="289">
        <f>A23</f>
        <v>41333</v>
      </c>
      <c r="H26" s="290"/>
      <c r="I26" s="290"/>
      <c r="J26" s="290"/>
    </row>
    <row r="27" spans="1:10" ht="16.5" hidden="1" thickBot="1">
      <c r="A27" s="284" t="s">
        <v>24</v>
      </c>
      <c r="B27" s="285">
        <v>112</v>
      </c>
      <c r="C27" s="286">
        <v>0</v>
      </c>
      <c r="D27" s="287">
        <v>-2.1900000000000001E-3</v>
      </c>
      <c r="E27" s="288">
        <v>0</v>
      </c>
      <c r="G27" s="291" t="s">
        <v>25</v>
      </c>
      <c r="H27" s="292"/>
      <c r="I27" s="293" t="s">
        <v>18</v>
      </c>
      <c r="J27" s="293" t="s">
        <v>19</v>
      </c>
    </row>
    <row r="28" spans="1:10" ht="15.75" hidden="1">
      <c r="A28" s="284" t="s">
        <v>24</v>
      </c>
      <c r="B28" s="285">
        <v>121</v>
      </c>
      <c r="C28" s="286">
        <v>416479</v>
      </c>
      <c r="D28" s="287">
        <v>-2.1900000000000001E-3</v>
      </c>
      <c r="E28" s="288">
        <v>-912.08901000000003</v>
      </c>
      <c r="G28" s="294" t="s">
        <v>97</v>
      </c>
      <c r="H28" s="295" t="s">
        <v>26</v>
      </c>
      <c r="I28" s="296">
        <f>-E33</f>
        <v>50910.051820000008</v>
      </c>
      <c r="J28" s="297">
        <v>0</v>
      </c>
    </row>
    <row r="29" spans="1:10" ht="16.5" hidden="1" thickBot="1">
      <c r="A29" s="284" t="s">
        <v>24</v>
      </c>
      <c r="B29" s="285">
        <v>122</v>
      </c>
      <c r="C29" s="286">
        <v>94568</v>
      </c>
      <c r="D29" s="287">
        <v>-2.1900000000000001E-3</v>
      </c>
      <c r="E29" s="288">
        <v>-207.10392000000002</v>
      </c>
      <c r="G29" s="298" t="s">
        <v>196</v>
      </c>
      <c r="H29" s="299" t="s">
        <v>197</v>
      </c>
      <c r="I29" s="300">
        <v>0</v>
      </c>
      <c r="J29" s="301">
        <f>-I28</f>
        <v>-50910.051820000008</v>
      </c>
    </row>
    <row r="30" spans="1:10" ht="15.75" hidden="1">
      <c r="A30" s="284" t="s">
        <v>24</v>
      </c>
      <c r="B30" s="285">
        <v>131</v>
      </c>
      <c r="C30" s="286">
        <v>0</v>
      </c>
      <c r="D30" s="287">
        <v>-2.1900000000000001E-3</v>
      </c>
      <c r="E30" s="288">
        <v>0</v>
      </c>
      <c r="G30" s="290"/>
      <c r="H30" s="290"/>
      <c r="I30" s="290"/>
      <c r="J30" s="302">
        <f>SUM(I28:J29)</f>
        <v>0</v>
      </c>
    </row>
    <row r="31" spans="1:10" ht="15.75" hidden="1">
      <c r="A31" s="284" t="s">
        <v>24</v>
      </c>
      <c r="B31" s="285">
        <v>132</v>
      </c>
      <c r="C31" s="286">
        <v>172051</v>
      </c>
      <c r="D31" s="287">
        <v>-2.1900000000000001E-3</v>
      </c>
      <c r="E31" s="288">
        <v>-376.79169000000002</v>
      </c>
    </row>
    <row r="32" spans="1:10" ht="15.75" hidden="1">
      <c r="A32" s="284" t="s">
        <v>24</v>
      </c>
      <c r="B32" s="285">
        <v>146</v>
      </c>
      <c r="C32" s="286">
        <v>2865845</v>
      </c>
      <c r="D32" s="287">
        <v>-2.0000000000000001E-4</v>
      </c>
      <c r="E32" s="303">
        <v>-573.16899999999998</v>
      </c>
    </row>
    <row r="33" spans="1:10" ht="16.5" hidden="1" thickBot="1">
      <c r="A33" s="284" t="s">
        <v>198</v>
      </c>
      <c r="B33" s="285"/>
      <c r="C33" s="304">
        <f>SUM(C25:C32)</f>
        <v>25850723</v>
      </c>
      <c r="D33" s="305"/>
      <c r="E33" s="306">
        <f>SUM(E25:E32)</f>
        <v>-50910.051820000008</v>
      </c>
    </row>
    <row r="34" spans="1:10" ht="16.5" hidden="1" thickTop="1">
      <c r="A34" s="284"/>
      <c r="B34" s="285"/>
      <c r="C34" s="310">
        <v>25850723</v>
      </c>
      <c r="D34" s="305"/>
      <c r="E34" s="306"/>
    </row>
    <row r="35" spans="1:10" ht="15.75" hidden="1">
      <c r="A35" s="284"/>
      <c r="B35" s="285"/>
      <c r="C35" s="307">
        <f>C34-C33</f>
        <v>0</v>
      </c>
      <c r="D35" s="305"/>
      <c r="E35" s="306"/>
    </row>
    <row r="36" spans="1:10" ht="15.75" hidden="1">
      <c r="A36" s="290"/>
      <c r="B36" s="290"/>
      <c r="C36" s="284" t="s">
        <v>1</v>
      </c>
      <c r="D36" s="308">
        <f>A23</f>
        <v>41333</v>
      </c>
      <c r="E36" s="309">
        <f>E20+E33</f>
        <v>162187.80978000001</v>
      </c>
    </row>
    <row r="37" spans="1:10" ht="15.75" hidden="1" thickBot="1"/>
    <row r="38" spans="1:10" ht="15.75" hidden="1">
      <c r="A38" s="650" t="s">
        <v>195</v>
      </c>
      <c r="B38" s="651"/>
      <c r="C38" s="651"/>
      <c r="D38" s="651"/>
      <c r="E38" s="652"/>
      <c r="G38" s="290"/>
      <c r="H38" s="290"/>
      <c r="I38" s="290"/>
    </row>
    <row r="39" spans="1:10" ht="15.75" hidden="1">
      <c r="A39" s="219">
        <v>41364</v>
      </c>
      <c r="B39" s="276"/>
      <c r="C39" s="277" t="s">
        <v>101</v>
      </c>
      <c r="D39" s="278"/>
      <c r="E39" s="279"/>
    </row>
    <row r="40" spans="1:10" ht="16.5" hidden="1" thickBot="1">
      <c r="A40" s="280"/>
      <c r="B40" s="281"/>
      <c r="C40" s="282" t="s">
        <v>21</v>
      </c>
      <c r="D40" s="282" t="s">
        <v>22</v>
      </c>
      <c r="E40" s="283" t="s">
        <v>23</v>
      </c>
    </row>
    <row r="41" spans="1:10" ht="15.75" hidden="1">
      <c r="A41" s="284" t="s">
        <v>24</v>
      </c>
      <c r="B41" s="285">
        <v>101</v>
      </c>
      <c r="C41" s="286">
        <v>12776328</v>
      </c>
      <c r="D41" s="287">
        <v>-2.1900000000000001E-3</v>
      </c>
      <c r="E41" s="288">
        <v>-27980.158320000002</v>
      </c>
    </row>
    <row r="42" spans="1:10" ht="16.5" hidden="1" thickBot="1">
      <c r="A42" s="284" t="s">
        <v>24</v>
      </c>
      <c r="B42" s="285">
        <v>111</v>
      </c>
      <c r="C42" s="286">
        <v>4890087</v>
      </c>
      <c r="D42" s="287">
        <v>-2.1900000000000001E-3</v>
      </c>
      <c r="E42" s="288">
        <v>-10709.29053</v>
      </c>
      <c r="G42" s="289">
        <f>A39</f>
        <v>41364</v>
      </c>
      <c r="H42" s="290"/>
      <c r="I42" s="290"/>
      <c r="J42" s="290"/>
    </row>
    <row r="43" spans="1:10" ht="16.5" hidden="1" thickBot="1">
      <c r="A43" s="284" t="s">
        <v>24</v>
      </c>
      <c r="B43" s="285">
        <v>112</v>
      </c>
      <c r="C43" s="286">
        <v>0</v>
      </c>
      <c r="D43" s="287">
        <v>-2.1900000000000001E-3</v>
      </c>
      <c r="E43" s="288">
        <v>0</v>
      </c>
      <c r="G43" s="291" t="s">
        <v>25</v>
      </c>
      <c r="H43" s="292"/>
      <c r="I43" s="293" t="s">
        <v>18</v>
      </c>
      <c r="J43" s="293" t="s">
        <v>19</v>
      </c>
    </row>
    <row r="44" spans="1:10" ht="15.75" hidden="1">
      <c r="A44" s="284" t="s">
        <v>24</v>
      </c>
      <c r="B44" s="285">
        <v>121</v>
      </c>
      <c r="C44" s="286">
        <v>526218</v>
      </c>
      <c r="D44" s="287">
        <v>-2.1900000000000001E-3</v>
      </c>
      <c r="E44" s="288">
        <v>-1152.41742</v>
      </c>
      <c r="G44" s="294" t="s">
        <v>97</v>
      </c>
      <c r="H44" s="295" t="s">
        <v>26</v>
      </c>
      <c r="I44" s="296">
        <f>-E49</f>
        <v>40849.65926</v>
      </c>
      <c r="J44" s="297">
        <v>0</v>
      </c>
    </row>
    <row r="45" spans="1:10" ht="16.5" hidden="1" thickBot="1">
      <c r="A45" s="284" t="s">
        <v>24</v>
      </c>
      <c r="B45" s="285">
        <v>122</v>
      </c>
      <c r="C45" s="286">
        <v>71767</v>
      </c>
      <c r="D45" s="287">
        <v>-2.1900000000000001E-3</v>
      </c>
      <c r="E45" s="288">
        <v>-157.16973000000002</v>
      </c>
      <c r="G45" s="298" t="s">
        <v>196</v>
      </c>
      <c r="H45" s="299" t="s">
        <v>197</v>
      </c>
      <c r="I45" s="300">
        <v>0</v>
      </c>
      <c r="J45" s="301">
        <f>-I44</f>
        <v>-40849.65926</v>
      </c>
    </row>
    <row r="46" spans="1:10" ht="15.75" hidden="1">
      <c r="A46" s="284" t="s">
        <v>24</v>
      </c>
      <c r="B46" s="285">
        <v>131</v>
      </c>
      <c r="C46" s="286">
        <v>0</v>
      </c>
      <c r="D46" s="287">
        <v>-2.1900000000000001E-3</v>
      </c>
      <c r="E46" s="288">
        <v>0</v>
      </c>
      <c r="G46" s="290"/>
      <c r="H46" s="290"/>
      <c r="I46" s="290"/>
      <c r="J46" s="302">
        <f>SUM(I44:J45)</f>
        <v>0</v>
      </c>
    </row>
    <row r="47" spans="1:10" ht="15.75" hidden="1">
      <c r="A47" s="284" t="s">
        <v>24</v>
      </c>
      <c r="B47" s="285">
        <v>132</v>
      </c>
      <c r="C47" s="286">
        <v>135254</v>
      </c>
      <c r="D47" s="287">
        <v>-2.1900000000000001E-3</v>
      </c>
      <c r="E47" s="288">
        <v>-296.20625999999999</v>
      </c>
    </row>
    <row r="48" spans="1:10" ht="15.75" hidden="1">
      <c r="A48" s="284" t="s">
        <v>24</v>
      </c>
      <c r="B48" s="285">
        <v>146</v>
      </c>
      <c r="C48" s="286">
        <v>2772085</v>
      </c>
      <c r="D48" s="287">
        <v>-2.0000000000000001E-4</v>
      </c>
      <c r="E48" s="303">
        <v>-554.41700000000003</v>
      </c>
    </row>
    <row r="49" spans="1:10" ht="16.5" hidden="1" thickBot="1">
      <c r="A49" s="284" t="s">
        <v>198</v>
      </c>
      <c r="B49" s="285"/>
      <c r="C49" s="304">
        <f>SUM(C41:C48)</f>
        <v>21171739</v>
      </c>
      <c r="D49" s="305"/>
      <c r="E49" s="306">
        <f>SUM(E41:E48)</f>
        <v>-40849.65926</v>
      </c>
    </row>
    <row r="50" spans="1:10" ht="16.5" hidden="1" thickTop="1">
      <c r="A50" s="284"/>
      <c r="B50" s="285"/>
      <c r="C50" s="310">
        <v>21171739</v>
      </c>
      <c r="D50" s="305"/>
      <c r="E50" s="306"/>
    </row>
    <row r="51" spans="1:10" ht="15.75" hidden="1">
      <c r="A51" s="284"/>
      <c r="B51" s="285"/>
      <c r="C51" s="307">
        <f>C50-C49</f>
        <v>0</v>
      </c>
      <c r="D51" s="305"/>
      <c r="E51" s="306"/>
    </row>
    <row r="52" spans="1:10" ht="15.75" hidden="1">
      <c r="A52" s="290"/>
      <c r="B52" s="290"/>
      <c r="C52" s="284" t="s">
        <v>1</v>
      </c>
      <c r="D52" s="308">
        <f>A39</f>
        <v>41364</v>
      </c>
      <c r="E52" s="309">
        <f>E36+E49</f>
        <v>121338.15052000001</v>
      </c>
    </row>
    <row r="53" spans="1:10" ht="15.75" hidden="1" thickBot="1"/>
    <row r="54" spans="1:10" ht="15.75" hidden="1">
      <c r="A54" s="650" t="s">
        <v>195</v>
      </c>
      <c r="B54" s="651"/>
      <c r="C54" s="651"/>
      <c r="D54" s="651"/>
      <c r="E54" s="652"/>
      <c r="G54" s="290"/>
      <c r="H54" s="290"/>
      <c r="I54" s="290"/>
    </row>
    <row r="55" spans="1:10" ht="15.75" hidden="1">
      <c r="A55" s="219">
        <v>41394</v>
      </c>
      <c r="B55" s="276"/>
      <c r="C55" s="277" t="s">
        <v>101</v>
      </c>
      <c r="D55" s="278"/>
      <c r="E55" s="279"/>
    </row>
    <row r="56" spans="1:10" ht="16.5" hidden="1" thickBot="1">
      <c r="A56" s="280"/>
      <c r="B56" s="281"/>
      <c r="C56" s="282" t="s">
        <v>21</v>
      </c>
      <c r="D56" s="282" t="s">
        <v>22</v>
      </c>
      <c r="E56" s="283" t="s">
        <v>23</v>
      </c>
    </row>
    <row r="57" spans="1:10" ht="15.75" hidden="1">
      <c r="A57" s="284" t="s">
        <v>24</v>
      </c>
      <c r="B57" s="285">
        <v>101</v>
      </c>
      <c r="C57" s="286">
        <v>8689955</v>
      </c>
      <c r="D57" s="287">
        <v>-2.1900000000000001E-3</v>
      </c>
      <c r="E57" s="288">
        <v>-19031.00145</v>
      </c>
    </row>
    <row r="58" spans="1:10" ht="16.5" hidden="1" thickBot="1">
      <c r="A58" s="284" t="s">
        <v>24</v>
      </c>
      <c r="B58" s="285">
        <v>111</v>
      </c>
      <c r="C58" s="286">
        <v>3665435</v>
      </c>
      <c r="D58" s="287">
        <v>-2.1900000000000001E-3</v>
      </c>
      <c r="E58" s="288">
        <v>-8027.3026500000005</v>
      </c>
      <c r="G58" s="289">
        <f>A55</f>
        <v>41394</v>
      </c>
      <c r="H58" s="290"/>
      <c r="I58" s="290"/>
      <c r="J58" s="290"/>
    </row>
    <row r="59" spans="1:10" ht="16.5" hidden="1" thickBot="1">
      <c r="A59" s="284" t="s">
        <v>24</v>
      </c>
      <c r="B59" s="285">
        <v>112</v>
      </c>
      <c r="C59" s="286">
        <v>0</v>
      </c>
      <c r="D59" s="287">
        <v>-2.1900000000000001E-3</v>
      </c>
      <c r="E59" s="288">
        <v>0</v>
      </c>
      <c r="G59" s="291" t="s">
        <v>25</v>
      </c>
      <c r="H59" s="292"/>
      <c r="I59" s="293" t="s">
        <v>18</v>
      </c>
      <c r="J59" s="293" t="s">
        <v>19</v>
      </c>
    </row>
    <row r="60" spans="1:10" ht="15.75" hidden="1">
      <c r="A60" s="284" t="s">
        <v>24</v>
      </c>
      <c r="B60" s="285">
        <v>121</v>
      </c>
      <c r="C60" s="286">
        <v>375679</v>
      </c>
      <c r="D60" s="287">
        <v>-2.1900000000000001E-3</v>
      </c>
      <c r="E60" s="288">
        <v>-822.73701000000005</v>
      </c>
      <c r="G60" s="294" t="s">
        <v>97</v>
      </c>
      <c r="H60" s="295" t="s">
        <v>26</v>
      </c>
      <c r="I60" s="296">
        <f>-E65</f>
        <v>28792.572810000001</v>
      </c>
      <c r="J60" s="297">
        <v>0</v>
      </c>
    </row>
    <row r="61" spans="1:10" ht="16.5" hidden="1" thickBot="1">
      <c r="A61" s="284" t="s">
        <v>24</v>
      </c>
      <c r="B61" s="285">
        <v>122</v>
      </c>
      <c r="C61" s="286">
        <v>67054</v>
      </c>
      <c r="D61" s="287">
        <v>-2.1900000000000001E-3</v>
      </c>
      <c r="E61" s="288">
        <v>-146.84826000000001</v>
      </c>
      <c r="G61" s="298" t="s">
        <v>196</v>
      </c>
      <c r="H61" s="299" t="s">
        <v>197</v>
      </c>
      <c r="I61" s="300">
        <v>0</v>
      </c>
      <c r="J61" s="301">
        <f>-I60</f>
        <v>-28792.572810000001</v>
      </c>
    </row>
    <row r="62" spans="1:10" ht="15.75" hidden="1">
      <c r="A62" s="284" t="s">
        <v>24</v>
      </c>
      <c r="B62" s="285">
        <v>131</v>
      </c>
      <c r="C62" s="286">
        <v>0</v>
      </c>
      <c r="D62" s="287">
        <v>-2.1900000000000001E-3</v>
      </c>
      <c r="E62" s="288">
        <v>0</v>
      </c>
      <c r="G62" s="290"/>
      <c r="H62" s="290"/>
      <c r="I62" s="290"/>
      <c r="J62" s="302">
        <f>SUM(I60:J61)</f>
        <v>0</v>
      </c>
    </row>
    <row r="63" spans="1:10" ht="15.75" hidden="1">
      <c r="A63" s="284" t="s">
        <v>24</v>
      </c>
      <c r="B63" s="285">
        <v>132</v>
      </c>
      <c r="C63" s="286">
        <v>126416</v>
      </c>
      <c r="D63" s="287">
        <v>-2.1900000000000001E-3</v>
      </c>
      <c r="E63" s="288">
        <v>-276.85104000000001</v>
      </c>
    </row>
    <row r="64" spans="1:10" ht="15.75" hidden="1">
      <c r="A64" s="284" t="s">
        <v>24</v>
      </c>
      <c r="B64" s="285">
        <v>146</v>
      </c>
      <c r="C64" s="286">
        <v>2439162</v>
      </c>
      <c r="D64" s="287">
        <v>-2.0000000000000001E-4</v>
      </c>
      <c r="E64" s="303">
        <v>-487.83240000000001</v>
      </c>
    </row>
    <row r="65" spans="1:10" ht="16.5" hidden="1" thickBot="1">
      <c r="A65" s="284" t="s">
        <v>198</v>
      </c>
      <c r="B65" s="285"/>
      <c r="C65" s="304">
        <f>SUM(C57:C64)</f>
        <v>15363701</v>
      </c>
      <c r="D65" s="305"/>
      <c r="E65" s="306">
        <f>SUM(E57:E64)</f>
        <v>-28792.572810000001</v>
      </c>
    </row>
    <row r="66" spans="1:10" ht="16.5" hidden="1" thickTop="1">
      <c r="A66" s="284"/>
      <c r="B66" s="285"/>
      <c r="C66" s="310">
        <v>15363701</v>
      </c>
      <c r="D66" s="305"/>
      <c r="E66" s="306"/>
    </row>
    <row r="67" spans="1:10" ht="15.75" hidden="1">
      <c r="A67" s="284"/>
      <c r="B67" s="285"/>
      <c r="C67" s="307">
        <f>C66-C65</f>
        <v>0</v>
      </c>
      <c r="D67" s="305"/>
      <c r="E67" s="306"/>
    </row>
    <row r="68" spans="1:10" ht="15.75" hidden="1">
      <c r="A68" s="290"/>
      <c r="B68" s="290"/>
      <c r="C68" s="284" t="s">
        <v>1</v>
      </c>
      <c r="D68" s="308">
        <f>A55</f>
        <v>41394</v>
      </c>
      <c r="E68" s="309">
        <f>E52+E65</f>
        <v>92545.577710000012</v>
      </c>
      <c r="G68" s="385"/>
    </row>
    <row r="69" spans="1:10" ht="15.75" hidden="1" thickBot="1"/>
    <row r="70" spans="1:10" ht="15.75" hidden="1">
      <c r="A70" s="650" t="s">
        <v>195</v>
      </c>
      <c r="B70" s="651"/>
      <c r="C70" s="651"/>
      <c r="D70" s="651"/>
      <c r="E70" s="652"/>
      <c r="G70" s="290"/>
      <c r="H70" s="290"/>
      <c r="I70" s="290"/>
    </row>
    <row r="71" spans="1:10" ht="15.75" hidden="1">
      <c r="A71" s="219">
        <v>41425</v>
      </c>
      <c r="B71" s="276"/>
      <c r="C71" s="277" t="s">
        <v>101</v>
      </c>
      <c r="D71" s="278"/>
      <c r="E71" s="279"/>
    </row>
    <row r="72" spans="1:10" ht="16.5" hidden="1" thickBot="1">
      <c r="A72" s="280"/>
      <c r="B72" s="281"/>
      <c r="C72" s="282" t="s">
        <v>21</v>
      </c>
      <c r="D72" s="282" t="s">
        <v>22</v>
      </c>
      <c r="E72" s="283" t="s">
        <v>23</v>
      </c>
    </row>
    <row r="73" spans="1:10" ht="15.75" hidden="1">
      <c r="A73" s="284" t="s">
        <v>24</v>
      </c>
      <c r="B73" s="285">
        <v>101</v>
      </c>
      <c r="C73" s="286">
        <v>4182901</v>
      </c>
      <c r="D73" s="287">
        <v>-2.1900000000000001E-3</v>
      </c>
      <c r="E73" s="288">
        <v>-9160.5531900000005</v>
      </c>
    </row>
    <row r="74" spans="1:10" ht="16.5" hidden="1" thickBot="1">
      <c r="A74" s="284" t="s">
        <v>24</v>
      </c>
      <c r="B74" s="285">
        <v>111</v>
      </c>
      <c r="C74" s="286">
        <v>1970725</v>
      </c>
      <c r="D74" s="287">
        <v>-2.1900000000000001E-3</v>
      </c>
      <c r="E74" s="288">
        <v>-4315.8877499999999</v>
      </c>
      <c r="G74" s="289">
        <f>A71</f>
        <v>41425</v>
      </c>
      <c r="H74" s="290"/>
      <c r="I74" s="290"/>
      <c r="J74" s="290"/>
    </row>
    <row r="75" spans="1:10" ht="16.5" hidden="1" thickBot="1">
      <c r="A75" s="284" t="s">
        <v>24</v>
      </c>
      <c r="B75" s="285">
        <v>112</v>
      </c>
      <c r="C75" s="286">
        <v>0</v>
      </c>
      <c r="D75" s="287">
        <v>-2.1900000000000001E-3</v>
      </c>
      <c r="E75" s="288">
        <v>0</v>
      </c>
      <c r="G75" s="291" t="s">
        <v>25</v>
      </c>
      <c r="H75" s="292"/>
      <c r="I75" s="293" t="s">
        <v>18</v>
      </c>
      <c r="J75" s="293" t="s">
        <v>19</v>
      </c>
    </row>
    <row r="76" spans="1:10" ht="15.75" hidden="1">
      <c r="A76" s="284" t="s">
        <v>24</v>
      </c>
      <c r="B76" s="285">
        <v>121</v>
      </c>
      <c r="C76" s="286">
        <v>339319</v>
      </c>
      <c r="D76" s="287">
        <v>-2.1900000000000001E-3</v>
      </c>
      <c r="E76" s="288">
        <v>-743.10861</v>
      </c>
      <c r="G76" s="294" t="s">
        <v>97</v>
      </c>
      <c r="H76" s="295" t="s">
        <v>26</v>
      </c>
      <c r="I76" s="296">
        <f>-E81</f>
        <v>14976.37256</v>
      </c>
      <c r="J76" s="297">
        <v>0</v>
      </c>
    </row>
    <row r="77" spans="1:10" ht="16.5" hidden="1" thickBot="1">
      <c r="A77" s="284" t="s">
        <v>24</v>
      </c>
      <c r="B77" s="285">
        <v>122</v>
      </c>
      <c r="C77" s="286">
        <v>57247</v>
      </c>
      <c r="D77" s="287">
        <v>-2.1900000000000001E-3</v>
      </c>
      <c r="E77" s="288">
        <v>-125.37093</v>
      </c>
      <c r="G77" s="298" t="s">
        <v>196</v>
      </c>
      <c r="H77" s="299" t="s">
        <v>197</v>
      </c>
      <c r="I77" s="300">
        <v>0</v>
      </c>
      <c r="J77" s="301">
        <f>-I76</f>
        <v>-14976.37256</v>
      </c>
    </row>
    <row r="78" spans="1:10" ht="15.75" hidden="1">
      <c r="A78" s="284" t="s">
        <v>24</v>
      </c>
      <c r="B78" s="285">
        <v>131</v>
      </c>
      <c r="C78" s="286">
        <v>0</v>
      </c>
      <c r="D78" s="287">
        <v>-2.1900000000000001E-3</v>
      </c>
      <c r="E78" s="288">
        <v>0</v>
      </c>
      <c r="G78" s="290"/>
      <c r="H78" s="290"/>
      <c r="I78" s="290"/>
      <c r="J78" s="302">
        <f>SUM(I76:J77)</f>
        <v>0</v>
      </c>
    </row>
    <row r="79" spans="1:10" ht="15.75" hidden="1">
      <c r="A79" s="284" t="s">
        <v>24</v>
      </c>
      <c r="B79" s="285">
        <v>132</v>
      </c>
      <c r="C79" s="286">
        <v>107592</v>
      </c>
      <c r="D79" s="287">
        <v>-2.1900000000000001E-3</v>
      </c>
      <c r="E79" s="288">
        <v>-235.62648000000002</v>
      </c>
    </row>
    <row r="80" spans="1:10" ht="15.75" hidden="1">
      <c r="A80" s="284" t="s">
        <v>24</v>
      </c>
      <c r="B80" s="285">
        <v>146</v>
      </c>
      <c r="C80" s="286">
        <v>1979128</v>
      </c>
      <c r="D80" s="287">
        <v>-2.0000000000000001E-4</v>
      </c>
      <c r="E80" s="303">
        <v>-395.82560000000001</v>
      </c>
    </row>
    <row r="81" spans="1:10" ht="16.5" hidden="1" thickBot="1">
      <c r="A81" s="284" t="s">
        <v>198</v>
      </c>
      <c r="B81" s="285"/>
      <c r="C81" s="304">
        <f>SUM(C73:C80)</f>
        <v>8636912</v>
      </c>
      <c r="D81" s="305"/>
      <c r="E81" s="306">
        <f>SUM(E73:E80)</f>
        <v>-14976.37256</v>
      </c>
    </row>
    <row r="82" spans="1:10" ht="16.5" hidden="1" thickTop="1">
      <c r="A82" s="284"/>
      <c r="B82" s="285"/>
      <c r="C82" s="310">
        <v>8636912</v>
      </c>
      <c r="D82" s="305"/>
      <c r="E82" s="306"/>
    </row>
    <row r="83" spans="1:10" ht="15.75" hidden="1">
      <c r="A83" s="284"/>
      <c r="B83" s="285"/>
      <c r="C83" s="307">
        <f>C82-C81</f>
        <v>0</v>
      </c>
      <c r="D83" s="305"/>
      <c r="E83" s="306"/>
    </row>
    <row r="84" spans="1:10" ht="15.75">
      <c r="A84" s="290"/>
      <c r="B84" s="290"/>
      <c r="C84" s="284" t="s">
        <v>1</v>
      </c>
      <c r="D84" s="308">
        <f>EOMONTH(D68,1)</f>
        <v>41425</v>
      </c>
      <c r="E84" s="309">
        <f>E68+E81</f>
        <v>77569.205150000009</v>
      </c>
    </row>
    <row r="85" spans="1:10" ht="15.75" thickBot="1"/>
    <row r="86" spans="1:10" ht="15.75">
      <c r="A86" s="650" t="s">
        <v>195</v>
      </c>
      <c r="B86" s="651"/>
      <c r="C86" s="651"/>
      <c r="D86" s="651"/>
      <c r="E86" s="652"/>
      <c r="G86" s="290"/>
      <c r="H86" s="290"/>
      <c r="I86" s="290"/>
    </row>
    <row r="87" spans="1:10" ht="15.75">
      <c r="A87" s="219">
        <v>41426</v>
      </c>
      <c r="B87" s="276"/>
      <c r="C87" s="277" t="s">
        <v>101</v>
      </c>
      <c r="D87" s="278"/>
      <c r="E87" s="279"/>
    </row>
    <row r="88" spans="1:10" ht="16.5" thickBot="1">
      <c r="A88" s="280"/>
      <c r="B88" s="281"/>
      <c r="C88" s="282" t="s">
        <v>21</v>
      </c>
      <c r="D88" s="282" t="s">
        <v>22</v>
      </c>
      <c r="E88" s="283" t="s">
        <v>23</v>
      </c>
    </row>
    <row r="89" spans="1:10" ht="15.75">
      <c r="A89" s="284" t="s">
        <v>24</v>
      </c>
      <c r="B89" s="285">
        <v>101</v>
      </c>
      <c r="C89" s="286">
        <v>2800295</v>
      </c>
      <c r="D89" s="287">
        <v>-2.1900000000000001E-3</v>
      </c>
      <c r="E89" s="288">
        <v>-6132.6460500000003</v>
      </c>
    </row>
    <row r="90" spans="1:10" ht="16.5" thickBot="1">
      <c r="A90" s="284" t="s">
        <v>24</v>
      </c>
      <c r="B90" s="285">
        <v>111</v>
      </c>
      <c r="C90" s="286">
        <v>1678252</v>
      </c>
      <c r="D90" s="287">
        <v>-2.1900000000000001E-3</v>
      </c>
      <c r="E90" s="288">
        <v>-3675.3718800000001</v>
      </c>
      <c r="G90" s="289">
        <f>A87</f>
        <v>41426</v>
      </c>
      <c r="H90" s="290"/>
      <c r="I90" s="290"/>
      <c r="J90" s="290"/>
    </row>
    <row r="91" spans="1:10" ht="16.5" thickBot="1">
      <c r="A91" s="284" t="s">
        <v>24</v>
      </c>
      <c r="B91" s="285">
        <v>112</v>
      </c>
      <c r="C91" s="286">
        <v>0</v>
      </c>
      <c r="D91" s="287">
        <v>-2.1900000000000001E-3</v>
      </c>
      <c r="E91" s="288">
        <v>0</v>
      </c>
      <c r="G91" s="291" t="s">
        <v>25</v>
      </c>
      <c r="H91" s="292"/>
      <c r="I91" s="293" t="s">
        <v>18</v>
      </c>
      <c r="J91" s="293" t="s">
        <v>19</v>
      </c>
    </row>
    <row r="92" spans="1:10" ht="15.75">
      <c r="A92" s="284" t="s">
        <v>24</v>
      </c>
      <c r="B92" s="285">
        <v>121</v>
      </c>
      <c r="C92" s="286">
        <v>339158</v>
      </c>
      <c r="D92" s="287">
        <v>-2.1900000000000001E-3</v>
      </c>
      <c r="E92" s="288">
        <v>-742.75602000000003</v>
      </c>
      <c r="G92" s="294" t="s">
        <v>97</v>
      </c>
      <c r="H92" s="295" t="s">
        <v>26</v>
      </c>
      <c r="I92" s="296">
        <f>-E97</f>
        <v>11131.53289</v>
      </c>
      <c r="J92" s="297">
        <v>0</v>
      </c>
    </row>
    <row r="93" spans="1:10" ht="16.5" thickBot="1">
      <c r="A93" s="284" t="s">
        <v>24</v>
      </c>
      <c r="B93" s="285">
        <v>122</v>
      </c>
      <c r="C93" s="286">
        <v>42891</v>
      </c>
      <c r="D93" s="287">
        <v>-2.1900000000000001E-3</v>
      </c>
      <c r="E93" s="288">
        <v>-93.931290000000004</v>
      </c>
      <c r="G93" s="298" t="s">
        <v>196</v>
      </c>
      <c r="H93" s="299" t="s">
        <v>197</v>
      </c>
      <c r="I93" s="300">
        <v>0</v>
      </c>
      <c r="J93" s="301">
        <f>-I92</f>
        <v>-11131.53289</v>
      </c>
    </row>
    <row r="94" spans="1:10" ht="15.75">
      <c r="A94" s="284" t="s">
        <v>24</v>
      </c>
      <c r="B94" s="285">
        <v>131</v>
      </c>
      <c r="C94" s="286">
        <v>0</v>
      </c>
      <c r="D94" s="287">
        <v>-2.1900000000000001E-3</v>
      </c>
      <c r="E94" s="288">
        <v>0</v>
      </c>
      <c r="G94" s="290"/>
      <c r="H94" s="290"/>
      <c r="I94" s="290"/>
      <c r="J94" s="302">
        <f>SUM(I92:J93)</f>
        <v>0</v>
      </c>
    </row>
    <row r="95" spans="1:10" ht="15.75">
      <c r="A95" s="284" t="s">
        <v>24</v>
      </c>
      <c r="B95" s="285">
        <v>132</v>
      </c>
      <c r="C95" s="286">
        <v>77535</v>
      </c>
      <c r="D95" s="287">
        <v>-2.1900000000000001E-3</v>
      </c>
      <c r="E95" s="288">
        <v>-169.80165</v>
      </c>
    </row>
    <row r="96" spans="1:10" ht="15.75">
      <c r="A96" s="284" t="s">
        <v>24</v>
      </c>
      <c r="B96" s="285">
        <v>146</v>
      </c>
      <c r="C96" s="286">
        <v>1585130</v>
      </c>
      <c r="D96" s="287">
        <v>-2.0000000000000001E-4</v>
      </c>
      <c r="E96" s="303">
        <v>-317.02600000000001</v>
      </c>
    </row>
    <row r="97" spans="1:10" ht="16.5" thickBot="1">
      <c r="A97" s="284" t="s">
        <v>198</v>
      </c>
      <c r="B97" s="285"/>
      <c r="C97" s="304">
        <f>SUM(C89:C96)</f>
        <v>6523261</v>
      </c>
      <c r="D97" s="305"/>
      <c r="E97" s="306">
        <f>SUM(E89:E96)</f>
        <v>-11131.53289</v>
      </c>
    </row>
    <row r="98" spans="1:10" ht="16.5" thickTop="1">
      <c r="A98" s="284"/>
      <c r="B98" s="285"/>
      <c r="C98" s="310">
        <v>6523261</v>
      </c>
      <c r="D98" s="305"/>
      <c r="E98" s="306"/>
    </row>
    <row r="99" spans="1:10" ht="15.75">
      <c r="A99" s="284"/>
      <c r="B99" s="285"/>
      <c r="C99" s="307">
        <f>C98-C97</f>
        <v>0</v>
      </c>
      <c r="D99" s="305"/>
      <c r="E99" s="306"/>
    </row>
    <row r="100" spans="1:10" ht="15.75">
      <c r="A100" s="290"/>
      <c r="B100" s="290"/>
      <c r="C100" s="284" t="s">
        <v>1</v>
      </c>
      <c r="D100" s="308">
        <f>EOMONTH(D84,1)</f>
        <v>41455</v>
      </c>
      <c r="E100" s="309">
        <f>E84+E97</f>
        <v>66437.672260000007</v>
      </c>
    </row>
    <row r="101" spans="1:10" ht="15.75" thickBot="1"/>
    <row r="102" spans="1:10" ht="15.75">
      <c r="A102" s="650" t="s">
        <v>195</v>
      </c>
      <c r="B102" s="651"/>
      <c r="C102" s="651"/>
      <c r="D102" s="651"/>
      <c r="E102" s="652"/>
      <c r="G102" s="290"/>
      <c r="H102" s="290"/>
      <c r="I102" s="290"/>
    </row>
    <row r="103" spans="1:10" ht="15.75">
      <c r="A103" s="219">
        <v>41456</v>
      </c>
      <c r="B103" s="276"/>
      <c r="C103" s="277" t="s">
        <v>101</v>
      </c>
      <c r="D103" s="278"/>
      <c r="E103" s="279"/>
    </row>
    <row r="104" spans="1:10" ht="16.5" thickBot="1">
      <c r="A104" s="280"/>
      <c r="B104" s="281"/>
      <c r="C104" s="282" t="s">
        <v>21</v>
      </c>
      <c r="D104" s="282" t="s">
        <v>22</v>
      </c>
      <c r="E104" s="283" t="s">
        <v>23</v>
      </c>
    </row>
    <row r="105" spans="1:10" ht="15.75">
      <c r="A105" s="284" t="s">
        <v>24</v>
      </c>
      <c r="B105" s="285">
        <v>101</v>
      </c>
      <c r="C105" s="286">
        <v>2082299</v>
      </c>
      <c r="D105" s="287">
        <v>-2.1900000000000001E-3</v>
      </c>
      <c r="E105" s="288">
        <v>-4560.2348099999999</v>
      </c>
    </row>
    <row r="106" spans="1:10" ht="16.5" thickBot="1">
      <c r="A106" s="284" t="s">
        <v>24</v>
      </c>
      <c r="B106" s="285">
        <v>111</v>
      </c>
      <c r="C106" s="286">
        <v>1140112</v>
      </c>
      <c r="D106" s="287">
        <v>-2.1900000000000001E-3</v>
      </c>
      <c r="E106" s="288">
        <v>-2496.84528</v>
      </c>
      <c r="G106" s="289">
        <f>A103</f>
        <v>41456</v>
      </c>
      <c r="H106" s="290"/>
      <c r="I106" s="290"/>
      <c r="J106" s="290"/>
    </row>
    <row r="107" spans="1:10" ht="16.5" thickBot="1">
      <c r="A107" s="284" t="s">
        <v>24</v>
      </c>
      <c r="B107" s="285">
        <v>112</v>
      </c>
      <c r="C107" s="286">
        <v>0</v>
      </c>
      <c r="D107" s="287">
        <v>-2.1900000000000001E-3</v>
      </c>
      <c r="E107" s="288">
        <v>0</v>
      </c>
      <c r="G107" s="291" t="s">
        <v>25</v>
      </c>
      <c r="H107" s="292"/>
      <c r="I107" s="293" t="s">
        <v>18</v>
      </c>
      <c r="J107" s="293" t="s">
        <v>19</v>
      </c>
    </row>
    <row r="108" spans="1:10" ht="15.75">
      <c r="A108" s="284" t="s">
        <v>24</v>
      </c>
      <c r="B108" s="285">
        <v>121</v>
      </c>
      <c r="C108" s="286">
        <v>304732</v>
      </c>
      <c r="D108" s="287">
        <v>-2.1900000000000001E-3</v>
      </c>
      <c r="E108" s="288">
        <v>-667.36308000000008</v>
      </c>
      <c r="G108" s="294" t="s">
        <v>97</v>
      </c>
      <c r="H108" s="295" t="s">
        <v>26</v>
      </c>
      <c r="I108" s="296">
        <f>-E113</f>
        <v>8287.0303600000007</v>
      </c>
      <c r="J108" s="297">
        <v>0</v>
      </c>
    </row>
    <row r="109" spans="1:10" ht="16.5" thickBot="1">
      <c r="A109" s="284" t="s">
        <v>24</v>
      </c>
      <c r="B109" s="285">
        <v>122</v>
      </c>
      <c r="C109" s="286">
        <v>30928</v>
      </c>
      <c r="D109" s="287">
        <v>-2.1900000000000001E-3</v>
      </c>
      <c r="E109" s="288">
        <v>-67.732320000000001</v>
      </c>
      <c r="G109" s="298" t="s">
        <v>196</v>
      </c>
      <c r="H109" s="299" t="s">
        <v>197</v>
      </c>
      <c r="I109" s="300">
        <v>0</v>
      </c>
      <c r="J109" s="301">
        <f>-I108</f>
        <v>-8287.0303600000007</v>
      </c>
    </row>
    <row r="110" spans="1:10" ht="15.75">
      <c r="A110" s="284" t="s">
        <v>24</v>
      </c>
      <c r="B110" s="285">
        <v>131</v>
      </c>
      <c r="C110" s="286">
        <v>0</v>
      </c>
      <c r="D110" s="287">
        <v>-2.1900000000000001E-3</v>
      </c>
      <c r="E110" s="288">
        <v>0</v>
      </c>
      <c r="G110" s="290"/>
      <c r="H110" s="290"/>
      <c r="I110" s="290"/>
      <c r="J110" s="302">
        <f>SUM(I108:J109)</f>
        <v>0</v>
      </c>
    </row>
    <row r="111" spans="1:10" ht="15.75">
      <c r="A111" s="284" t="s">
        <v>24</v>
      </c>
      <c r="B111" s="285">
        <v>132</v>
      </c>
      <c r="C111" s="286">
        <v>74633</v>
      </c>
      <c r="D111" s="287">
        <v>-2.1900000000000001E-3</v>
      </c>
      <c r="E111" s="288">
        <v>-163.44627</v>
      </c>
    </row>
    <row r="112" spans="1:10" ht="15.75">
      <c r="A112" s="284" t="s">
        <v>24</v>
      </c>
      <c r="B112" s="285">
        <v>146</v>
      </c>
      <c r="C112" s="286">
        <v>1657043</v>
      </c>
      <c r="D112" s="287">
        <v>-2.0000000000000001E-4</v>
      </c>
      <c r="E112" s="303">
        <v>-331.40860000000004</v>
      </c>
    </row>
    <row r="113" spans="1:10" ht="16.5" thickBot="1">
      <c r="A113" s="284" t="s">
        <v>198</v>
      </c>
      <c r="B113" s="285"/>
      <c r="C113" s="304">
        <f>SUM(C105:C112)</f>
        <v>5289747</v>
      </c>
      <c r="D113" s="305"/>
      <c r="E113" s="306">
        <f>SUM(E105:E112)</f>
        <v>-8287.0303600000007</v>
      </c>
    </row>
    <row r="114" spans="1:10" ht="16.5" thickTop="1">
      <c r="A114" s="284"/>
      <c r="B114" s="285"/>
      <c r="C114" s="310">
        <v>5289747</v>
      </c>
      <c r="D114" s="305"/>
      <c r="E114" s="306"/>
    </row>
    <row r="115" spans="1:10" ht="15.75">
      <c r="A115" s="284"/>
      <c r="B115" s="285"/>
      <c r="C115" s="307">
        <f>C114-C113</f>
        <v>0</v>
      </c>
      <c r="D115" s="305"/>
      <c r="E115" s="306"/>
    </row>
    <row r="116" spans="1:10" ht="15.75">
      <c r="A116" s="290"/>
      <c r="B116" s="290"/>
      <c r="C116" s="284" t="s">
        <v>1</v>
      </c>
      <c r="D116" s="308">
        <f>EOMONTH(D100,1)</f>
        <v>41486</v>
      </c>
      <c r="E116" s="309">
        <f>E100+E113</f>
        <v>58150.641900000002</v>
      </c>
    </row>
    <row r="117" spans="1:10" ht="15.75" thickBot="1"/>
    <row r="118" spans="1:10" ht="15.75">
      <c r="A118" s="650" t="s">
        <v>195</v>
      </c>
      <c r="B118" s="651"/>
      <c r="C118" s="651"/>
      <c r="D118" s="651"/>
      <c r="E118" s="652"/>
      <c r="G118" s="290"/>
      <c r="H118" s="290"/>
      <c r="I118" s="290"/>
    </row>
    <row r="119" spans="1:10" ht="15.75">
      <c r="A119" s="219">
        <v>41487</v>
      </c>
      <c r="B119" s="276"/>
      <c r="C119" s="277" t="s">
        <v>101</v>
      </c>
      <c r="D119" s="278"/>
      <c r="E119" s="279"/>
    </row>
    <row r="120" spans="1:10" ht="16.5" thickBot="1">
      <c r="A120" s="280"/>
      <c r="B120" s="281"/>
      <c r="C120" s="282" t="s">
        <v>21</v>
      </c>
      <c r="D120" s="282" t="s">
        <v>22</v>
      </c>
      <c r="E120" s="283" t="s">
        <v>23</v>
      </c>
    </row>
    <row r="121" spans="1:10" ht="15.75">
      <c r="A121" s="284" t="s">
        <v>24</v>
      </c>
      <c r="B121" s="285">
        <v>101</v>
      </c>
      <c r="C121" s="286">
        <v>2046635</v>
      </c>
      <c r="D121" s="287">
        <v>-2.1900000000000001E-3</v>
      </c>
      <c r="E121" s="288">
        <v>-4482.1306500000001</v>
      </c>
    </row>
    <row r="122" spans="1:10" ht="16.5" thickBot="1">
      <c r="A122" s="284" t="s">
        <v>24</v>
      </c>
      <c r="B122" s="285">
        <v>111</v>
      </c>
      <c r="C122" s="286">
        <v>1287109</v>
      </c>
      <c r="D122" s="287">
        <v>-2.1900000000000001E-3</v>
      </c>
      <c r="E122" s="288">
        <v>-2818.7687100000003</v>
      </c>
      <c r="G122" s="289">
        <f>A119</f>
        <v>41487</v>
      </c>
      <c r="H122" s="290"/>
      <c r="I122" s="290"/>
      <c r="J122" s="290"/>
    </row>
    <row r="123" spans="1:10" ht="16.5" thickBot="1">
      <c r="A123" s="284" t="s">
        <v>24</v>
      </c>
      <c r="B123" s="285">
        <v>112</v>
      </c>
      <c r="C123" s="286">
        <v>0</v>
      </c>
      <c r="D123" s="287">
        <v>-2.1900000000000001E-3</v>
      </c>
      <c r="E123" s="288">
        <v>0</v>
      </c>
      <c r="G123" s="291" t="s">
        <v>25</v>
      </c>
      <c r="H123" s="292"/>
      <c r="I123" s="293" t="s">
        <v>18</v>
      </c>
      <c r="J123" s="293" t="s">
        <v>19</v>
      </c>
    </row>
    <row r="124" spans="1:10" ht="15.75">
      <c r="A124" s="284" t="s">
        <v>24</v>
      </c>
      <c r="B124" s="285">
        <v>121</v>
      </c>
      <c r="C124" s="286">
        <v>364418</v>
      </c>
      <c r="D124" s="287">
        <v>-2.1900000000000001E-3</v>
      </c>
      <c r="E124" s="288">
        <v>-798.07542000000001</v>
      </c>
      <c r="G124" s="294" t="s">
        <v>97</v>
      </c>
      <c r="H124" s="295" t="s">
        <v>26</v>
      </c>
      <c r="I124" s="296">
        <f>-E129</f>
        <v>8611.5948700000008</v>
      </c>
      <c r="J124" s="297">
        <v>0</v>
      </c>
    </row>
    <row r="125" spans="1:10" ht="16.5" thickBot="1">
      <c r="A125" s="284" t="s">
        <v>24</v>
      </c>
      <c r="B125" s="285">
        <v>122</v>
      </c>
      <c r="C125" s="286">
        <v>28500</v>
      </c>
      <c r="D125" s="287">
        <v>-2.1900000000000001E-3</v>
      </c>
      <c r="E125" s="288">
        <v>-62.415000000000006</v>
      </c>
      <c r="G125" s="298" t="s">
        <v>196</v>
      </c>
      <c r="H125" s="299" t="s">
        <v>197</v>
      </c>
      <c r="I125" s="300">
        <v>0</v>
      </c>
      <c r="J125" s="301">
        <f>-I124</f>
        <v>-8611.5948700000008</v>
      </c>
    </row>
    <row r="126" spans="1:10" ht="15.75">
      <c r="A126" s="284" t="s">
        <v>24</v>
      </c>
      <c r="B126" s="285">
        <v>131</v>
      </c>
      <c r="C126" s="286">
        <v>0</v>
      </c>
      <c r="D126" s="287">
        <v>-2.1900000000000001E-3</v>
      </c>
      <c r="E126" s="288">
        <v>0</v>
      </c>
      <c r="G126" s="290"/>
      <c r="H126" s="290"/>
      <c r="I126" s="290"/>
      <c r="J126" s="302">
        <f>SUM(I124:J125)</f>
        <v>0</v>
      </c>
    </row>
    <row r="127" spans="1:10" ht="15.75">
      <c r="A127" s="284" t="s">
        <v>24</v>
      </c>
      <c r="B127" s="285">
        <v>132</v>
      </c>
      <c r="C127" s="286">
        <v>49431</v>
      </c>
      <c r="D127" s="287">
        <v>-2.1900000000000001E-3</v>
      </c>
      <c r="E127" s="288">
        <v>-108.25389</v>
      </c>
    </row>
    <row r="128" spans="1:10" ht="15.75">
      <c r="A128" s="284" t="s">
        <v>24</v>
      </c>
      <c r="B128" s="285">
        <v>146</v>
      </c>
      <c r="C128" s="286">
        <v>1709756</v>
      </c>
      <c r="D128" s="287">
        <v>-2.0000000000000001E-4</v>
      </c>
      <c r="E128" s="303">
        <v>-341.95120000000003</v>
      </c>
    </row>
    <row r="129" spans="1:10" ht="16.5" thickBot="1">
      <c r="A129" s="284" t="s">
        <v>198</v>
      </c>
      <c r="B129" s="285"/>
      <c r="C129" s="304">
        <f>SUM(C121:C128)</f>
        <v>5485849</v>
      </c>
      <c r="D129" s="305"/>
      <c r="E129" s="306">
        <f>SUM(E121:E128)</f>
        <v>-8611.5948700000008</v>
      </c>
    </row>
    <row r="130" spans="1:10" ht="16.5" thickTop="1">
      <c r="A130" s="284"/>
      <c r="B130" s="285"/>
      <c r="C130" s="310">
        <v>5485849</v>
      </c>
      <c r="D130" s="305"/>
      <c r="E130" s="306"/>
    </row>
    <row r="131" spans="1:10" ht="15.75">
      <c r="A131" s="284"/>
      <c r="B131" s="285"/>
      <c r="C131" s="307">
        <f>C130-C129</f>
        <v>0</v>
      </c>
      <c r="D131" s="305"/>
      <c r="E131" s="306"/>
    </row>
    <row r="132" spans="1:10" ht="15.75">
      <c r="A132" s="290"/>
      <c r="B132" s="290"/>
      <c r="C132" s="284" t="s">
        <v>1</v>
      </c>
      <c r="D132" s="308">
        <f>EOMONTH(D116,1)</f>
        <v>41517</v>
      </c>
      <c r="E132" s="309">
        <f>E116+E129</f>
        <v>49539.047030000002</v>
      </c>
    </row>
    <row r="133" spans="1:10" ht="15.75" thickBot="1"/>
    <row r="134" spans="1:10" ht="15.75">
      <c r="A134" s="650" t="s">
        <v>195</v>
      </c>
      <c r="B134" s="651"/>
      <c r="C134" s="651"/>
      <c r="D134" s="651"/>
      <c r="E134" s="652"/>
      <c r="G134" s="290"/>
      <c r="H134" s="290"/>
      <c r="I134" s="290"/>
    </row>
    <row r="135" spans="1:10" ht="15.75">
      <c r="A135" s="219">
        <v>41518</v>
      </c>
      <c r="B135" s="276"/>
      <c r="C135" s="277" t="s">
        <v>101</v>
      </c>
      <c r="D135" s="278"/>
      <c r="E135" s="279"/>
    </row>
    <row r="136" spans="1:10" ht="16.5" thickBot="1">
      <c r="A136" s="280"/>
      <c r="B136" s="281"/>
      <c r="C136" s="282" t="s">
        <v>21</v>
      </c>
      <c r="D136" s="282" t="s">
        <v>22</v>
      </c>
      <c r="E136" s="283" t="s">
        <v>23</v>
      </c>
    </row>
    <row r="137" spans="1:10" ht="15.75">
      <c r="A137" s="284" t="s">
        <v>24</v>
      </c>
      <c r="B137" s="285">
        <v>101</v>
      </c>
      <c r="C137" s="286">
        <v>2647538</v>
      </c>
      <c r="D137" s="287">
        <v>-2.1900000000000001E-3</v>
      </c>
      <c r="E137" s="288">
        <v>-5798.1082200000001</v>
      </c>
    </row>
    <row r="138" spans="1:10" ht="16.5" thickBot="1">
      <c r="A138" s="284" t="s">
        <v>24</v>
      </c>
      <c r="B138" s="285">
        <v>111</v>
      </c>
      <c r="C138" s="286">
        <v>1599551</v>
      </c>
      <c r="D138" s="287">
        <v>-2.1900000000000001E-3</v>
      </c>
      <c r="E138" s="288">
        <v>-3503.0166900000004</v>
      </c>
      <c r="G138" s="289">
        <f>A135</f>
        <v>41518</v>
      </c>
      <c r="H138" s="290"/>
      <c r="I138" s="290"/>
      <c r="J138" s="290"/>
    </row>
    <row r="139" spans="1:10" ht="16.5" thickBot="1">
      <c r="A139" s="284" t="s">
        <v>24</v>
      </c>
      <c r="B139" s="285">
        <v>112</v>
      </c>
      <c r="C139" s="286">
        <v>0</v>
      </c>
      <c r="D139" s="287">
        <v>-2.1900000000000001E-3</v>
      </c>
      <c r="E139" s="288">
        <v>0</v>
      </c>
      <c r="G139" s="291" t="s">
        <v>25</v>
      </c>
      <c r="H139" s="292"/>
      <c r="I139" s="293" t="s">
        <v>18</v>
      </c>
      <c r="J139" s="293" t="s">
        <v>19</v>
      </c>
    </row>
    <row r="140" spans="1:10" ht="15.75">
      <c r="A140" s="284" t="s">
        <v>24</v>
      </c>
      <c r="B140" s="285">
        <v>121</v>
      </c>
      <c r="C140" s="286">
        <v>344046</v>
      </c>
      <c r="D140" s="287">
        <v>-2.1900000000000001E-3</v>
      </c>
      <c r="E140" s="288">
        <v>-753.46073999999999</v>
      </c>
      <c r="G140" s="294" t="s">
        <v>97</v>
      </c>
      <c r="H140" s="295" t="s">
        <v>26</v>
      </c>
      <c r="I140" s="296">
        <f>-E145</f>
        <v>10606.31724</v>
      </c>
      <c r="J140" s="297">
        <v>0</v>
      </c>
    </row>
    <row r="141" spans="1:10" ht="16.5" thickBot="1">
      <c r="A141" s="284" t="s">
        <v>24</v>
      </c>
      <c r="B141" s="285">
        <v>122</v>
      </c>
      <c r="C141" s="286">
        <v>31388</v>
      </c>
      <c r="D141" s="287">
        <v>-2.1900000000000001E-3</v>
      </c>
      <c r="E141" s="288">
        <v>-68.739720000000005</v>
      </c>
      <c r="G141" s="298" t="s">
        <v>196</v>
      </c>
      <c r="H141" s="299" t="s">
        <v>197</v>
      </c>
      <c r="I141" s="300">
        <v>0</v>
      </c>
      <c r="J141" s="301">
        <f>-I140</f>
        <v>-10606.31724</v>
      </c>
    </row>
    <row r="142" spans="1:10" ht="15.75">
      <c r="A142" s="284" t="s">
        <v>24</v>
      </c>
      <c r="B142" s="285">
        <v>131</v>
      </c>
      <c r="C142" s="286">
        <v>0</v>
      </c>
      <c r="D142" s="287">
        <v>-2.1900000000000001E-3</v>
      </c>
      <c r="E142" s="288">
        <v>0</v>
      </c>
      <c r="G142" s="290"/>
      <c r="H142" s="290"/>
      <c r="I142" s="290"/>
      <c r="J142" s="302">
        <f>SUM(I140:J141)</f>
        <v>0</v>
      </c>
    </row>
    <row r="143" spans="1:10" ht="15.75">
      <c r="A143" s="284" t="s">
        <v>24</v>
      </c>
      <c r="B143" s="285">
        <v>132</v>
      </c>
      <c r="C143" s="286">
        <v>54453</v>
      </c>
      <c r="D143" s="287">
        <v>-2.1900000000000001E-3</v>
      </c>
      <c r="E143" s="288">
        <v>-119.25207</v>
      </c>
    </row>
    <row r="144" spans="1:10" ht="15.75">
      <c r="A144" s="284" t="s">
        <v>24</v>
      </c>
      <c r="B144" s="285">
        <v>146</v>
      </c>
      <c r="C144" s="286">
        <v>1818699</v>
      </c>
      <c r="D144" s="287">
        <v>-2.0000000000000001E-4</v>
      </c>
      <c r="E144" s="303">
        <v>-363.7398</v>
      </c>
    </row>
    <row r="145" spans="1:10" ht="16.5" thickBot="1">
      <c r="A145" s="284" t="s">
        <v>198</v>
      </c>
      <c r="B145" s="285"/>
      <c r="C145" s="304">
        <f>SUM(C137:C144)</f>
        <v>6495675</v>
      </c>
      <c r="D145" s="305"/>
      <c r="E145" s="306">
        <f>SUM(E137:E144)</f>
        <v>-10606.31724</v>
      </c>
    </row>
    <row r="146" spans="1:10" ht="16.5" thickTop="1">
      <c r="A146" s="284"/>
      <c r="B146" s="285"/>
      <c r="C146" s="310">
        <v>6495675</v>
      </c>
      <c r="D146" s="305"/>
      <c r="E146" s="306"/>
    </row>
    <row r="147" spans="1:10" ht="15.75">
      <c r="A147" s="284"/>
      <c r="B147" s="285"/>
      <c r="C147" s="307">
        <f>C146-C145</f>
        <v>0</v>
      </c>
      <c r="D147" s="305"/>
      <c r="E147" s="306"/>
    </row>
    <row r="148" spans="1:10" ht="15.75">
      <c r="A148" s="290"/>
      <c r="B148" s="290"/>
      <c r="C148" s="284" t="s">
        <v>1</v>
      </c>
      <c r="D148" s="308">
        <f>EOMONTH(D132,1)</f>
        <v>41547</v>
      </c>
      <c r="E148" s="309">
        <f>E132+E145</f>
        <v>38932.729789999998</v>
      </c>
    </row>
    <row r="149" spans="1:10" ht="15.75" thickBot="1"/>
    <row r="150" spans="1:10" ht="15.75">
      <c r="A150" s="650" t="s">
        <v>195</v>
      </c>
      <c r="B150" s="651"/>
      <c r="C150" s="651"/>
      <c r="D150" s="651"/>
      <c r="E150" s="652"/>
      <c r="G150" s="290"/>
      <c r="H150" s="290"/>
      <c r="I150" s="290"/>
    </row>
    <row r="151" spans="1:10" ht="15.75">
      <c r="A151" s="219">
        <v>41578</v>
      </c>
      <c r="B151" s="276"/>
      <c r="C151" s="277" t="s">
        <v>101</v>
      </c>
      <c r="D151" s="278"/>
      <c r="E151" s="279"/>
    </row>
    <row r="152" spans="1:10" ht="16.5" thickBot="1">
      <c r="A152" s="280"/>
      <c r="B152" s="281"/>
      <c r="C152" s="282" t="s">
        <v>21</v>
      </c>
      <c r="D152" s="282" t="s">
        <v>22</v>
      </c>
      <c r="E152" s="283" t="s">
        <v>23</v>
      </c>
    </row>
    <row r="153" spans="1:10" ht="15.75">
      <c r="A153" s="284" t="s">
        <v>24</v>
      </c>
      <c r="B153" s="285">
        <v>101</v>
      </c>
      <c r="C153" s="286">
        <v>9244353</v>
      </c>
      <c r="D153" s="287">
        <v>-2.1900000000000001E-3</v>
      </c>
      <c r="E153" s="288">
        <v>-20245.13307</v>
      </c>
    </row>
    <row r="154" spans="1:10" ht="16.5" thickBot="1">
      <c r="A154" s="284" t="s">
        <v>24</v>
      </c>
      <c r="B154" s="285">
        <v>111</v>
      </c>
      <c r="C154" s="286">
        <v>3880001</v>
      </c>
      <c r="D154" s="287">
        <v>-2.1900000000000001E-3</v>
      </c>
      <c r="E154" s="288">
        <v>-8497.20219</v>
      </c>
      <c r="G154" s="289">
        <f>A151</f>
        <v>41578</v>
      </c>
      <c r="H154" s="290"/>
      <c r="I154" s="290"/>
      <c r="J154" s="290"/>
    </row>
    <row r="155" spans="1:10" ht="16.5" thickBot="1">
      <c r="A155" s="284" t="s">
        <v>24</v>
      </c>
      <c r="B155" s="285">
        <v>112</v>
      </c>
      <c r="C155" s="286">
        <v>0</v>
      </c>
      <c r="D155" s="287">
        <v>-2.1900000000000001E-3</v>
      </c>
      <c r="E155" s="288">
        <v>0</v>
      </c>
      <c r="G155" s="291" t="s">
        <v>25</v>
      </c>
      <c r="H155" s="292"/>
      <c r="I155" s="293" t="s">
        <v>18</v>
      </c>
      <c r="J155" s="293" t="s">
        <v>19</v>
      </c>
    </row>
    <row r="156" spans="1:10" ht="15.75">
      <c r="A156" s="284" t="s">
        <v>24</v>
      </c>
      <c r="B156" s="285">
        <v>121</v>
      </c>
      <c r="C156" s="286">
        <v>595792</v>
      </c>
      <c r="D156" s="287">
        <v>-2.1900000000000001E-3</v>
      </c>
      <c r="E156" s="288">
        <v>-1304.78448</v>
      </c>
      <c r="G156" s="294" t="s">
        <v>97</v>
      </c>
      <c r="H156" s="295" t="s">
        <v>26</v>
      </c>
      <c r="I156" s="296">
        <f>-E161</f>
        <v>30792.491249999999</v>
      </c>
      <c r="J156" s="297">
        <v>0</v>
      </c>
    </row>
    <row r="157" spans="1:10" ht="16.5" thickBot="1">
      <c r="A157" s="284" t="s">
        <v>24</v>
      </c>
      <c r="B157" s="285">
        <v>122</v>
      </c>
      <c r="C157" s="286">
        <v>40500</v>
      </c>
      <c r="D157" s="287">
        <v>-2.1900000000000001E-3</v>
      </c>
      <c r="E157" s="288">
        <v>-88.695000000000007</v>
      </c>
      <c r="G157" s="298" t="s">
        <v>196</v>
      </c>
      <c r="H157" s="299" t="s">
        <v>197</v>
      </c>
      <c r="I157" s="300">
        <v>0</v>
      </c>
      <c r="J157" s="301">
        <f>-I156</f>
        <v>-30792.491249999999</v>
      </c>
    </row>
    <row r="158" spans="1:10" ht="15.75">
      <c r="A158" s="284" t="s">
        <v>24</v>
      </c>
      <c r="B158" s="285">
        <v>131</v>
      </c>
      <c r="C158" s="286">
        <v>0</v>
      </c>
      <c r="D158" s="287">
        <v>-2.1900000000000001E-3</v>
      </c>
      <c r="E158" s="288">
        <v>0</v>
      </c>
      <c r="G158" s="290"/>
      <c r="H158" s="290"/>
      <c r="I158" s="290"/>
      <c r="J158" s="302">
        <f>SUM(I156:J157)</f>
        <v>0</v>
      </c>
    </row>
    <row r="159" spans="1:10" ht="15.75">
      <c r="A159" s="284" t="s">
        <v>24</v>
      </c>
      <c r="B159" s="285">
        <v>132</v>
      </c>
      <c r="C159" s="286">
        <v>68629</v>
      </c>
      <c r="D159" s="287">
        <v>-2.1900000000000001E-3</v>
      </c>
      <c r="E159" s="288">
        <v>-150.29751000000002</v>
      </c>
    </row>
    <row r="160" spans="1:10" ht="15.75">
      <c r="A160" s="284" t="s">
        <v>24</v>
      </c>
      <c r="B160" s="285">
        <v>146</v>
      </c>
      <c r="C160" s="286">
        <v>2531895</v>
      </c>
      <c r="D160" s="287">
        <v>-2.0000000000000001E-4</v>
      </c>
      <c r="E160" s="303">
        <v>-506.37900000000002</v>
      </c>
    </row>
    <row r="161" spans="1:10" ht="16.5" thickBot="1">
      <c r="A161" s="284" t="s">
        <v>198</v>
      </c>
      <c r="B161" s="285"/>
      <c r="C161" s="304">
        <f>SUM(C153:C160)</f>
        <v>16361170</v>
      </c>
      <c r="D161" s="305"/>
      <c r="E161" s="306">
        <f>SUM(E153:E160)</f>
        <v>-30792.491249999999</v>
      </c>
    </row>
    <row r="162" spans="1:10" ht="16.5" thickTop="1">
      <c r="A162" s="284"/>
      <c r="B162" s="285"/>
      <c r="C162" s="310">
        <v>16361170</v>
      </c>
      <c r="D162" s="305"/>
      <c r="E162" s="306"/>
    </row>
    <row r="163" spans="1:10" ht="15.75">
      <c r="A163" s="284"/>
      <c r="B163" s="285"/>
      <c r="C163" s="307">
        <f>C162-C161</f>
        <v>0</v>
      </c>
      <c r="D163" s="305"/>
      <c r="E163" s="306"/>
    </row>
    <row r="164" spans="1:10" ht="15.75">
      <c r="A164" s="290"/>
      <c r="B164" s="290"/>
      <c r="C164" s="284" t="s">
        <v>1</v>
      </c>
      <c r="D164" s="308">
        <f>EOMONTH(D148,1)</f>
        <v>41578</v>
      </c>
      <c r="E164" s="309">
        <f>E148+E161</f>
        <v>8140.2385399999985</v>
      </c>
    </row>
    <row r="165" spans="1:10" ht="15.75" thickBot="1"/>
    <row r="166" spans="1:10" ht="15.75">
      <c r="A166" s="650" t="s">
        <v>195</v>
      </c>
      <c r="B166" s="651"/>
      <c r="C166" s="651"/>
      <c r="D166" s="651"/>
      <c r="E166" s="652"/>
      <c r="G166" s="290"/>
      <c r="H166" s="290"/>
      <c r="I166" s="290"/>
    </row>
    <row r="167" spans="1:10" ht="15.75">
      <c r="A167" s="219">
        <f>EOMONTH(A151,1)</f>
        <v>41608</v>
      </c>
      <c r="B167" s="276"/>
      <c r="C167" s="277" t="s">
        <v>101</v>
      </c>
      <c r="D167" s="278"/>
      <c r="E167" s="279"/>
    </row>
    <row r="168" spans="1:10" ht="16.5" thickBot="1">
      <c r="A168" s="280"/>
      <c r="B168" s="281"/>
      <c r="C168" s="282" t="s">
        <v>21</v>
      </c>
      <c r="D168" s="282" t="s">
        <v>22</v>
      </c>
      <c r="E168" s="283" t="s">
        <v>23</v>
      </c>
    </row>
    <row r="169" spans="1:10" ht="15.75">
      <c r="A169" s="284" t="s">
        <v>24</v>
      </c>
      <c r="B169" s="285">
        <v>101</v>
      </c>
      <c r="C169" s="286">
        <v>15070678</v>
      </c>
      <c r="D169" s="287" t="s">
        <v>187</v>
      </c>
      <c r="E169" s="288">
        <v>0</v>
      </c>
    </row>
    <row r="170" spans="1:10" ht="16.5" thickBot="1">
      <c r="A170" s="284" t="s">
        <v>24</v>
      </c>
      <c r="B170" s="285">
        <v>111</v>
      </c>
      <c r="C170" s="286">
        <v>5651303</v>
      </c>
      <c r="D170" s="287" t="s">
        <v>187</v>
      </c>
      <c r="E170" s="288">
        <v>0</v>
      </c>
      <c r="G170" s="289">
        <f>A167</f>
        <v>41608</v>
      </c>
      <c r="H170" s="290"/>
      <c r="I170" s="290"/>
      <c r="J170" s="290"/>
    </row>
    <row r="171" spans="1:10" ht="16.5" thickBot="1">
      <c r="A171" s="284" t="s">
        <v>24</v>
      </c>
      <c r="B171" s="285">
        <v>112</v>
      </c>
      <c r="C171" s="286">
        <v>0</v>
      </c>
      <c r="D171" s="287" t="s">
        <v>187</v>
      </c>
      <c r="E171" s="288">
        <v>0</v>
      </c>
      <c r="G171" s="291" t="s">
        <v>25</v>
      </c>
      <c r="H171" s="292"/>
      <c r="I171" s="293" t="s">
        <v>18</v>
      </c>
      <c r="J171" s="293" t="s">
        <v>19</v>
      </c>
    </row>
    <row r="172" spans="1:10" ht="15.75">
      <c r="A172" s="284" t="s">
        <v>24</v>
      </c>
      <c r="B172" s="285">
        <v>121</v>
      </c>
      <c r="C172" s="286">
        <v>396185</v>
      </c>
      <c r="D172" s="287" t="s">
        <v>187</v>
      </c>
      <c r="E172" s="288">
        <v>0</v>
      </c>
      <c r="G172" s="294" t="s">
        <v>97</v>
      </c>
      <c r="H172" s="295" t="s">
        <v>26</v>
      </c>
      <c r="I172" s="296">
        <f>-E177</f>
        <v>8833.92</v>
      </c>
      <c r="J172" s="297">
        <v>0</v>
      </c>
    </row>
    <row r="173" spans="1:10" ht="16.5" thickBot="1">
      <c r="A173" s="284" t="s">
        <v>24</v>
      </c>
      <c r="B173" s="285">
        <v>122</v>
      </c>
      <c r="C173" s="286">
        <v>51667</v>
      </c>
      <c r="D173" s="287" t="s">
        <v>187</v>
      </c>
      <c r="E173" s="288">
        <v>0</v>
      </c>
      <c r="G173" s="298" t="s">
        <v>196</v>
      </c>
      <c r="H173" s="299" t="s">
        <v>197</v>
      </c>
      <c r="I173" s="300">
        <v>0</v>
      </c>
      <c r="J173" s="301">
        <f>-I172</f>
        <v>-8833.92</v>
      </c>
    </row>
    <row r="174" spans="1:10" ht="15.75">
      <c r="A174" s="284" t="s">
        <v>24</v>
      </c>
      <c r="B174" s="285">
        <v>131</v>
      </c>
      <c r="C174" s="286">
        <v>0</v>
      </c>
      <c r="D174" s="287" t="s">
        <v>187</v>
      </c>
      <c r="E174" s="288">
        <v>0</v>
      </c>
      <c r="G174" s="290"/>
      <c r="H174" s="290"/>
      <c r="I174" s="290"/>
      <c r="J174" s="302">
        <f>SUM(I172:J173)</f>
        <v>0</v>
      </c>
    </row>
    <row r="175" spans="1:10" ht="15.75">
      <c r="A175" s="284" t="s">
        <v>24</v>
      </c>
      <c r="B175" s="285">
        <v>132</v>
      </c>
      <c r="C175" s="286">
        <v>142001</v>
      </c>
      <c r="D175" s="287" t="s">
        <v>187</v>
      </c>
      <c r="E175" s="288">
        <v>0</v>
      </c>
    </row>
    <row r="176" spans="1:10" ht="15.75">
      <c r="A176" s="284" t="s">
        <v>24</v>
      </c>
      <c r="B176" s="285">
        <v>146</v>
      </c>
      <c r="C176" s="286">
        <v>2936207</v>
      </c>
      <c r="D176" s="287" t="s">
        <v>187</v>
      </c>
      <c r="E176" s="303">
        <v>0</v>
      </c>
    </row>
    <row r="177" spans="1:10" ht="16.5" thickBot="1">
      <c r="A177" s="284" t="s">
        <v>198</v>
      </c>
      <c r="B177" s="285"/>
      <c r="C177" s="304">
        <f>SUM(C169:C176)</f>
        <v>24248041</v>
      </c>
      <c r="D177" s="305"/>
      <c r="E177" s="306">
        <v>-8833.92</v>
      </c>
    </row>
    <row r="178" spans="1:10" ht="16.5" thickTop="1">
      <c r="A178" s="284"/>
      <c r="B178" s="285"/>
      <c r="C178" s="310">
        <v>24248041</v>
      </c>
      <c r="D178" s="305"/>
      <c r="E178" s="306"/>
    </row>
    <row r="179" spans="1:10" ht="15.75">
      <c r="A179" s="284"/>
      <c r="B179" s="285"/>
      <c r="C179" s="307">
        <f>C178-C177</f>
        <v>0</v>
      </c>
      <c r="D179" s="305"/>
      <c r="E179" s="306"/>
    </row>
    <row r="180" spans="1:10" ht="15.75">
      <c r="A180" s="290"/>
      <c r="B180" s="290"/>
      <c r="C180" s="284" t="s">
        <v>1</v>
      </c>
      <c r="D180" s="308">
        <f>EOMONTH(D164,1)</f>
        <v>41608</v>
      </c>
      <c r="E180" s="309">
        <f>E164+E177</f>
        <v>-693.68146000000161</v>
      </c>
    </row>
    <row r="181" spans="1:10" ht="15.75" thickBot="1"/>
    <row r="182" spans="1:10" ht="15.75">
      <c r="A182" s="650" t="s">
        <v>195</v>
      </c>
      <c r="B182" s="651"/>
      <c r="C182" s="651"/>
      <c r="D182" s="651"/>
      <c r="E182" s="652"/>
      <c r="G182" s="290"/>
      <c r="H182" s="290"/>
      <c r="I182" s="290"/>
    </row>
    <row r="183" spans="1:10" ht="15.75">
      <c r="A183" s="219">
        <f>EOMONTH(A167,1)</f>
        <v>41639</v>
      </c>
      <c r="B183" s="276"/>
      <c r="C183" s="277" t="s">
        <v>101</v>
      </c>
      <c r="D183" s="278"/>
      <c r="E183" s="279"/>
    </row>
    <row r="184" spans="1:10" ht="16.5" thickBot="1">
      <c r="A184" s="280"/>
      <c r="B184" s="281"/>
      <c r="C184" s="282" t="s">
        <v>21</v>
      </c>
      <c r="D184" s="282" t="s">
        <v>22</v>
      </c>
      <c r="E184" s="283" t="s">
        <v>23</v>
      </c>
    </row>
    <row r="185" spans="1:10" ht="15.75">
      <c r="A185" s="284" t="s">
        <v>24</v>
      </c>
      <c r="B185" s="285">
        <v>101</v>
      </c>
      <c r="C185" s="286">
        <f>Jan!$G$23</f>
        <v>20257484</v>
      </c>
      <c r="D185" s="287" t="s">
        <v>187</v>
      </c>
      <c r="E185" s="288">
        <v>0</v>
      </c>
    </row>
    <row r="186" spans="1:10" ht="16.5" thickBot="1">
      <c r="A186" s="284" t="s">
        <v>24</v>
      </c>
      <c r="B186" s="285">
        <v>111</v>
      </c>
      <c r="C186" s="286">
        <f>Jan!$G$25</f>
        <v>6608892</v>
      </c>
      <c r="D186" s="287" t="s">
        <v>187</v>
      </c>
      <c r="E186" s="288">
        <v>0</v>
      </c>
      <c r="G186" s="289">
        <f>A183</f>
        <v>41639</v>
      </c>
      <c r="H186" s="290"/>
      <c r="I186" s="290"/>
      <c r="J186" s="290"/>
    </row>
    <row r="187" spans="1:10" ht="16.5" thickBot="1">
      <c r="A187" s="284" t="s">
        <v>24</v>
      </c>
      <c r="B187" s="285">
        <v>112</v>
      </c>
      <c r="C187" s="286">
        <f>Jan!$G$26</f>
        <v>10558</v>
      </c>
      <c r="D187" s="287" t="s">
        <v>187</v>
      </c>
      <c r="E187" s="288">
        <v>0</v>
      </c>
      <c r="G187" s="291" t="s">
        <v>25</v>
      </c>
      <c r="H187" s="292"/>
      <c r="I187" s="293" t="s">
        <v>18</v>
      </c>
      <c r="J187" s="293" t="s">
        <v>19</v>
      </c>
    </row>
    <row r="188" spans="1:10" ht="15.75">
      <c r="A188" s="284" t="s">
        <v>24</v>
      </c>
      <c r="B188" s="285">
        <v>121</v>
      </c>
      <c r="C188" s="286">
        <f>Jan!$G$27</f>
        <v>362835</v>
      </c>
      <c r="D188" s="287" t="s">
        <v>187</v>
      </c>
      <c r="E188" s="288">
        <v>0</v>
      </c>
      <c r="G188" s="294" t="s">
        <v>97</v>
      </c>
      <c r="H188" s="295" t="s">
        <v>26</v>
      </c>
      <c r="I188" s="296">
        <f>-E193</f>
        <v>13002.04</v>
      </c>
      <c r="J188" s="297">
        <v>0</v>
      </c>
    </row>
    <row r="189" spans="1:10" ht="16.5" thickBot="1">
      <c r="A189" s="284" t="s">
        <v>24</v>
      </c>
      <c r="B189" s="285">
        <v>122</v>
      </c>
      <c r="C189" s="286">
        <f>Jan!$G$28</f>
        <v>65295</v>
      </c>
      <c r="D189" s="287" t="s">
        <v>187</v>
      </c>
      <c r="E189" s="288">
        <v>0</v>
      </c>
      <c r="G189" s="298" t="s">
        <v>196</v>
      </c>
      <c r="H189" s="299" t="s">
        <v>197</v>
      </c>
      <c r="I189" s="300">
        <v>0</v>
      </c>
      <c r="J189" s="301">
        <f>-I188</f>
        <v>-13002.04</v>
      </c>
    </row>
    <row r="190" spans="1:10" ht="15.75">
      <c r="A190" s="284" t="s">
        <v>24</v>
      </c>
      <c r="B190" s="285">
        <v>131</v>
      </c>
      <c r="C190" s="286">
        <f>Jan!$G$29</f>
        <v>0</v>
      </c>
      <c r="D190" s="287" t="s">
        <v>187</v>
      </c>
      <c r="E190" s="288">
        <v>0</v>
      </c>
      <c r="G190" s="290"/>
      <c r="H190" s="290"/>
      <c r="I190" s="290"/>
      <c r="J190" s="302">
        <f>SUM(I188:J189)</f>
        <v>0</v>
      </c>
    </row>
    <row r="191" spans="1:10" ht="15.75">
      <c r="A191" s="284" t="s">
        <v>24</v>
      </c>
      <c r="B191" s="285">
        <v>132</v>
      </c>
      <c r="C191" s="286">
        <f>Jan!$G$30</f>
        <v>139102</v>
      </c>
      <c r="D191" s="287" t="s">
        <v>187</v>
      </c>
      <c r="E191" s="288">
        <v>0</v>
      </c>
    </row>
    <row r="192" spans="1:10" ht="15.75">
      <c r="A192" s="284" t="s">
        <v>24</v>
      </c>
      <c r="B192" s="285">
        <v>146</v>
      </c>
      <c r="C192" s="286">
        <f>Jan!$G$31</f>
        <v>3629622</v>
      </c>
      <c r="D192" s="287" t="s">
        <v>187</v>
      </c>
      <c r="E192" s="303">
        <v>0</v>
      </c>
    </row>
    <row r="193" spans="1:9" ht="16.5" thickBot="1">
      <c r="A193" s="284" t="s">
        <v>198</v>
      </c>
      <c r="B193" s="285"/>
      <c r="C193" s="304">
        <f>SUM(C185:C192)</f>
        <v>31073788</v>
      </c>
      <c r="D193" s="305"/>
      <c r="E193" s="306">
        <v>-13002.04</v>
      </c>
    </row>
    <row r="194" spans="1:9" ht="16.5" thickTop="1">
      <c r="A194" s="284"/>
      <c r="B194" s="285"/>
      <c r="C194" s="310">
        <v>34635509</v>
      </c>
      <c r="D194" s="305"/>
      <c r="E194" s="306"/>
    </row>
    <row r="195" spans="1:9" ht="15.75">
      <c r="A195" s="284"/>
      <c r="B195" s="285"/>
      <c r="C195" s="307">
        <f>C194-C193</f>
        <v>3561721</v>
      </c>
      <c r="D195" s="305"/>
      <c r="E195" s="306"/>
    </row>
    <row r="196" spans="1:9" ht="15.75">
      <c r="C196" s="284" t="s">
        <v>1</v>
      </c>
      <c r="D196" s="308">
        <f>EOMONTH(D180,1)</f>
        <v>41639</v>
      </c>
      <c r="E196" s="309">
        <f>E180+E193</f>
        <v>-13695.721460000002</v>
      </c>
      <c r="G196" s="475" t="s">
        <v>244</v>
      </c>
      <c r="H196" s="476">
        <f>_xll.Get_Balance(I196,"YTD","USD","Total","A","","001","191025","GD","WA","DL")-E196</f>
        <v>1.4600000031350646E-3</v>
      </c>
      <c r="I196" s="477">
        <v>201312</v>
      </c>
    </row>
  </sheetData>
  <mergeCells count="12">
    <mergeCell ref="A182:E182"/>
    <mergeCell ref="A166:E166"/>
    <mergeCell ref="A6:E6"/>
    <mergeCell ref="A22:E22"/>
    <mergeCell ref="A38:E38"/>
    <mergeCell ref="A54:E54"/>
    <mergeCell ref="A70:E70"/>
    <mergeCell ref="A150:E150"/>
    <mergeCell ref="A134:E134"/>
    <mergeCell ref="A118:E118"/>
    <mergeCell ref="A102:E102"/>
    <mergeCell ref="A86:E86"/>
  </mergeCells>
  <conditionalFormatting sqref="J14">
    <cfRule type="cellIs" dxfId="103" priority="35" stopIfTrue="1" operator="equal">
      <formula>0</formula>
    </cfRule>
    <cfRule type="cellIs" dxfId="102" priority="36" stopIfTrue="1" operator="notEqual">
      <formula>0</formula>
    </cfRule>
  </conditionalFormatting>
  <conditionalFormatting sqref="C19">
    <cfRule type="cellIs" dxfId="101" priority="34" operator="notEqual">
      <formula>0</formula>
    </cfRule>
  </conditionalFormatting>
  <conditionalFormatting sqref="J30">
    <cfRule type="cellIs" dxfId="100" priority="32" stopIfTrue="1" operator="equal">
      <formula>0</formula>
    </cfRule>
    <cfRule type="cellIs" dxfId="99" priority="33" stopIfTrue="1" operator="notEqual">
      <formula>0</formula>
    </cfRule>
  </conditionalFormatting>
  <conditionalFormatting sqref="C35">
    <cfRule type="cellIs" dxfId="98" priority="31" operator="notEqual">
      <formula>0</formula>
    </cfRule>
  </conditionalFormatting>
  <conditionalFormatting sqref="J46">
    <cfRule type="cellIs" dxfId="97" priority="29" stopIfTrue="1" operator="equal">
      <formula>0</formula>
    </cfRule>
    <cfRule type="cellIs" dxfId="96" priority="30" stopIfTrue="1" operator="notEqual">
      <formula>0</formula>
    </cfRule>
  </conditionalFormatting>
  <conditionalFormatting sqref="C51">
    <cfRule type="cellIs" dxfId="95" priority="28" operator="notEqual">
      <formula>0</formula>
    </cfRule>
  </conditionalFormatting>
  <conditionalFormatting sqref="J62">
    <cfRule type="cellIs" dxfId="94" priority="26" stopIfTrue="1" operator="equal">
      <formula>0</formula>
    </cfRule>
    <cfRule type="cellIs" dxfId="93" priority="27" stopIfTrue="1" operator="notEqual">
      <formula>0</formula>
    </cfRule>
  </conditionalFormatting>
  <conditionalFormatting sqref="C67">
    <cfRule type="cellIs" dxfId="92" priority="25" operator="notEqual">
      <formula>0</formula>
    </cfRule>
  </conditionalFormatting>
  <conditionalFormatting sqref="J78">
    <cfRule type="cellIs" dxfId="91" priority="23" stopIfTrue="1" operator="equal">
      <formula>0</formula>
    </cfRule>
    <cfRule type="cellIs" dxfId="90" priority="24" stopIfTrue="1" operator="notEqual">
      <formula>0</formula>
    </cfRule>
  </conditionalFormatting>
  <conditionalFormatting sqref="C83">
    <cfRule type="cellIs" dxfId="89" priority="22" operator="notEqual">
      <formula>0</formula>
    </cfRule>
  </conditionalFormatting>
  <conditionalFormatting sqref="J94">
    <cfRule type="cellIs" dxfId="88" priority="20" stopIfTrue="1" operator="equal">
      <formula>0</formula>
    </cfRule>
    <cfRule type="cellIs" dxfId="87" priority="21" stopIfTrue="1" operator="notEqual">
      <formula>0</formula>
    </cfRule>
  </conditionalFormatting>
  <conditionalFormatting sqref="C99">
    <cfRule type="cellIs" dxfId="86" priority="19" operator="notEqual">
      <formula>0</formula>
    </cfRule>
  </conditionalFormatting>
  <conditionalFormatting sqref="J110">
    <cfRule type="cellIs" dxfId="85" priority="17" stopIfTrue="1" operator="equal">
      <formula>0</formula>
    </cfRule>
    <cfRule type="cellIs" dxfId="84" priority="18" stopIfTrue="1" operator="notEqual">
      <formula>0</formula>
    </cfRule>
  </conditionalFormatting>
  <conditionalFormatting sqref="C115">
    <cfRule type="cellIs" dxfId="83" priority="16" operator="notEqual">
      <formula>0</formula>
    </cfRule>
  </conditionalFormatting>
  <conditionalFormatting sqref="J126">
    <cfRule type="cellIs" dxfId="82" priority="14" stopIfTrue="1" operator="equal">
      <formula>0</formula>
    </cfRule>
    <cfRule type="cellIs" dxfId="81" priority="15" stopIfTrue="1" operator="notEqual">
      <formula>0</formula>
    </cfRule>
  </conditionalFormatting>
  <conditionalFormatting sqref="C131">
    <cfRule type="cellIs" dxfId="80" priority="13" operator="notEqual">
      <formula>0</formula>
    </cfRule>
  </conditionalFormatting>
  <conditionalFormatting sqref="J142">
    <cfRule type="cellIs" dxfId="79" priority="11" stopIfTrue="1" operator="equal">
      <formula>0</formula>
    </cfRule>
    <cfRule type="cellIs" dxfId="78" priority="12" stopIfTrue="1" operator="notEqual">
      <formula>0</formula>
    </cfRule>
  </conditionalFormatting>
  <conditionalFormatting sqref="C147">
    <cfRule type="cellIs" dxfId="77" priority="10" operator="notEqual">
      <formula>0</formula>
    </cfRule>
  </conditionalFormatting>
  <conditionalFormatting sqref="J158">
    <cfRule type="cellIs" dxfId="76" priority="8" stopIfTrue="1" operator="equal">
      <formula>0</formula>
    </cfRule>
    <cfRule type="cellIs" dxfId="75" priority="9" stopIfTrue="1" operator="notEqual">
      <formula>0</formula>
    </cfRule>
  </conditionalFormatting>
  <conditionalFormatting sqref="C163">
    <cfRule type="cellIs" dxfId="74" priority="7" operator="notEqual">
      <formula>0</formula>
    </cfRule>
  </conditionalFormatting>
  <conditionalFormatting sqref="J174">
    <cfRule type="cellIs" dxfId="73" priority="5" stopIfTrue="1" operator="equal">
      <formula>0</formula>
    </cfRule>
    <cfRule type="cellIs" dxfId="72" priority="6" stopIfTrue="1" operator="notEqual">
      <formula>0</formula>
    </cfRule>
  </conditionalFormatting>
  <conditionalFormatting sqref="C179">
    <cfRule type="cellIs" dxfId="71" priority="4" operator="notEqual">
      <formula>0</formula>
    </cfRule>
  </conditionalFormatting>
  <conditionalFormatting sqref="J190">
    <cfRule type="cellIs" dxfId="70" priority="2" stopIfTrue="1" operator="equal">
      <formula>0</formula>
    </cfRule>
    <cfRule type="cellIs" dxfId="69" priority="3" stopIfTrue="1" operator="notEqual">
      <formula>0</formula>
    </cfRule>
  </conditionalFormatting>
  <conditionalFormatting sqref="C195">
    <cfRule type="cellIs" dxfId="68" priority="1" operator="notEqual">
      <formula>0</formula>
    </cfRule>
  </conditionalFormatting>
  <pageMargins left="0.7" right="0.7" top="0.75" bottom="0.75" header="0.3" footer="0.3"/>
  <pageSetup scale="37" orientation="portrait" r:id="rId1"/>
  <customProperties>
    <customPr name="xxe4aPID" r:id="rId2"/>
  </customProperties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43">
    <tabColor rgb="FF92D050"/>
  </sheetPr>
  <dimension ref="A1:J309"/>
  <sheetViews>
    <sheetView showGridLines="0" view="pageBreakPreview" topLeftCell="A261" zoomScale="85" zoomScaleNormal="80" zoomScaleSheetLayoutView="85" workbookViewId="0">
      <selection activeCell="E297" sqref="E297"/>
    </sheetView>
  </sheetViews>
  <sheetFormatPr defaultColWidth="9.140625" defaultRowHeight="15"/>
  <cols>
    <col min="1" max="1" width="12.42578125" style="1" customWidth="1"/>
    <col min="2" max="2" width="9.42578125" style="1" bestFit="1" customWidth="1"/>
    <col min="3" max="3" width="17" style="1" customWidth="1"/>
    <col min="4" max="4" width="25.7109375" style="1" customWidth="1"/>
    <col min="5" max="5" width="21.85546875" style="1" bestFit="1" customWidth="1"/>
    <col min="6" max="6" width="16.28515625" style="1" bestFit="1" customWidth="1"/>
    <col min="7" max="7" width="32.42578125" style="1" customWidth="1"/>
    <col min="8" max="8" width="19.28515625" style="1" customWidth="1"/>
    <col min="9" max="9" width="20.42578125" style="1" customWidth="1"/>
    <col min="10" max="10" width="19.5703125" style="1" customWidth="1"/>
    <col min="11" max="11" width="3.42578125" style="1" customWidth="1"/>
    <col min="12" max="16384" width="9.140625" style="1"/>
  </cols>
  <sheetData>
    <row r="1" spans="1:10" ht="15.75">
      <c r="A1" s="51" t="s">
        <v>13</v>
      </c>
    </row>
    <row r="2" spans="1:10" ht="15.75">
      <c r="A2" s="51" t="s">
        <v>0</v>
      </c>
    </row>
    <row r="3" spans="1:10" ht="15.75">
      <c r="A3" s="51" t="s">
        <v>172</v>
      </c>
    </row>
    <row r="4" spans="1:10" ht="15.75">
      <c r="A4" s="51" t="s">
        <v>171</v>
      </c>
    </row>
    <row r="6" spans="1:10" ht="15.75">
      <c r="B6" s="17"/>
      <c r="C6" s="2"/>
      <c r="D6" s="3"/>
      <c r="E6" s="4"/>
    </row>
    <row r="7" spans="1:10" s="331" customFormat="1" ht="15.75" hidden="1">
      <c r="A7" s="333"/>
      <c r="B7" s="333"/>
      <c r="C7" s="50" t="s">
        <v>1</v>
      </c>
      <c r="D7" s="90">
        <v>41213</v>
      </c>
      <c r="E7" s="50">
        <v>2351759.8593735616</v>
      </c>
      <c r="F7" s="333"/>
      <c r="G7" s="246"/>
    </row>
    <row r="8" spans="1:10" s="384" customFormat="1" ht="15.75" hidden="1">
      <c r="A8" s="385"/>
      <c r="B8" s="385"/>
      <c r="C8" s="50"/>
      <c r="D8" s="90"/>
      <c r="E8" s="50"/>
      <c r="F8" s="385"/>
      <c r="G8" s="246"/>
    </row>
    <row r="9" spans="1:10" s="202" customFormat="1" ht="15.75" hidden="1">
      <c r="D9" s="259" t="s">
        <v>212</v>
      </c>
      <c r="E9" s="161">
        <f>'WA Def 191010'!R14</f>
        <v>-7340824.0093394704</v>
      </c>
    </row>
    <row r="10" spans="1:10" s="202" customFormat="1" ht="16.5" hidden="1" thickBot="1">
      <c r="D10" s="259" t="s">
        <v>210</v>
      </c>
      <c r="E10" s="390">
        <f>E9+E7</f>
        <v>-4989064.1499659084</v>
      </c>
    </row>
    <row r="11" spans="1:10" s="384" customFormat="1" ht="16.5" hidden="1" thickTop="1" thickBot="1"/>
    <row r="12" spans="1:10" s="384" customFormat="1" ht="15.75" hidden="1">
      <c r="A12" s="73" t="s">
        <v>141</v>
      </c>
      <c r="B12" s="78"/>
      <c r="C12" s="79"/>
      <c r="D12" s="80"/>
      <c r="E12" s="81"/>
      <c r="G12" s="5"/>
      <c r="H12" s="5"/>
      <c r="I12" s="48"/>
      <c r="J12" s="48"/>
    </row>
    <row r="13" spans="1:10" s="384" customFormat="1" ht="15.75" hidden="1">
      <c r="A13" s="219">
        <v>41243</v>
      </c>
      <c r="B13" s="137"/>
      <c r="C13" s="11"/>
      <c r="D13" s="138"/>
      <c r="E13" s="77"/>
      <c r="G13" s="5"/>
      <c r="H13" s="5"/>
      <c r="I13" s="48"/>
      <c r="J13" s="48"/>
    </row>
    <row r="14" spans="1:10" s="384" customFormat="1" ht="16.5" hidden="1" thickBot="1">
      <c r="A14" s="139"/>
      <c r="B14" s="140"/>
      <c r="C14" s="131" t="s">
        <v>21</v>
      </c>
      <c r="D14" s="131" t="s">
        <v>22</v>
      </c>
      <c r="E14" s="128" t="s">
        <v>23</v>
      </c>
      <c r="F14" s="385"/>
      <c r="G14" s="385"/>
      <c r="H14" s="385"/>
      <c r="I14" s="385"/>
      <c r="J14" s="385"/>
    </row>
    <row r="15" spans="1:10" s="384" customFormat="1" ht="15.75" hidden="1">
      <c r="A15" s="50" t="s">
        <v>24</v>
      </c>
      <c r="B15" s="95">
        <v>101</v>
      </c>
      <c r="C15" s="206">
        <v>12694976</v>
      </c>
      <c r="D15" s="389">
        <v>3.3950000000000001E-2</v>
      </c>
      <c r="E15" s="168">
        <v>427531.76</v>
      </c>
      <c r="F15" s="385" t="s">
        <v>187</v>
      </c>
      <c r="G15" s="385"/>
      <c r="H15" s="385"/>
      <c r="I15" s="385"/>
      <c r="J15" s="385"/>
    </row>
    <row r="16" spans="1:10" s="384" customFormat="1" ht="16.5" hidden="1" thickBot="1">
      <c r="A16" s="50" t="s">
        <v>24</v>
      </c>
      <c r="B16" s="95">
        <v>111</v>
      </c>
      <c r="C16" s="206">
        <v>4637935</v>
      </c>
      <c r="D16" s="389">
        <v>3.0599999999999999E-2</v>
      </c>
      <c r="E16" s="168">
        <v>143027.17000000001</v>
      </c>
      <c r="F16" s="385" t="s">
        <v>187</v>
      </c>
      <c r="G16" s="123">
        <f>A13</f>
        <v>41243</v>
      </c>
      <c r="H16" s="385"/>
      <c r="I16" s="385"/>
      <c r="J16" s="385"/>
    </row>
    <row r="17" spans="1:10" s="384" customFormat="1" ht="16.5" hidden="1" thickBot="1">
      <c r="A17" s="50" t="s">
        <v>24</v>
      </c>
      <c r="B17" s="95">
        <v>112</v>
      </c>
      <c r="C17" s="206">
        <v>0</v>
      </c>
      <c r="D17" s="389"/>
      <c r="E17" s="168">
        <v>0</v>
      </c>
      <c r="F17" s="385" t="s">
        <v>187</v>
      </c>
      <c r="G17" s="113" t="s">
        <v>25</v>
      </c>
      <c r="H17" s="205"/>
      <c r="I17" s="126" t="s">
        <v>18</v>
      </c>
      <c r="J17" s="126" t="s">
        <v>19</v>
      </c>
    </row>
    <row r="18" spans="1:10" s="384" customFormat="1" ht="15.75" hidden="1">
      <c r="A18" s="50" t="s">
        <v>24</v>
      </c>
      <c r="B18" s="95">
        <v>121</v>
      </c>
      <c r="C18" s="206">
        <v>347215</v>
      </c>
      <c r="D18" s="389">
        <v>2.998E-2</v>
      </c>
      <c r="E18" s="168">
        <v>11613.6</v>
      </c>
      <c r="F18" s="385" t="s">
        <v>187</v>
      </c>
      <c r="G18" s="151" t="s">
        <v>28</v>
      </c>
      <c r="H18" s="152" t="s">
        <v>75</v>
      </c>
      <c r="I18" s="152"/>
      <c r="J18" s="97">
        <v>0</v>
      </c>
    </row>
    <row r="19" spans="1:10" s="384" customFormat="1" ht="15.75" hidden="1">
      <c r="A19" s="50" t="s">
        <v>24</v>
      </c>
      <c r="B19" s="95">
        <v>122</v>
      </c>
      <c r="C19" s="206">
        <v>0</v>
      </c>
      <c r="D19" s="389"/>
      <c r="E19" s="168">
        <v>0</v>
      </c>
      <c r="F19" s="385" t="s">
        <v>187</v>
      </c>
      <c r="G19" s="153" t="s">
        <v>29</v>
      </c>
      <c r="H19" s="7" t="s">
        <v>76</v>
      </c>
      <c r="I19" s="7">
        <v>12723.82</v>
      </c>
      <c r="J19" s="223"/>
    </row>
    <row r="20" spans="1:10" s="384" customFormat="1" ht="15.75" hidden="1">
      <c r="A20" s="50" t="s">
        <v>24</v>
      </c>
      <c r="B20" s="95">
        <v>131</v>
      </c>
      <c r="C20" s="206">
        <v>0</v>
      </c>
      <c r="D20" s="389">
        <v>5.7389999999999997E-2</v>
      </c>
      <c r="E20" s="168">
        <v>0</v>
      </c>
      <c r="F20" s="385" t="s">
        <v>187</v>
      </c>
      <c r="G20" s="153" t="s">
        <v>97</v>
      </c>
      <c r="H20" s="7" t="s">
        <v>26</v>
      </c>
      <c r="I20" s="8"/>
      <c r="J20" s="98">
        <v>-582079.61</v>
      </c>
    </row>
    <row r="21" spans="1:10" s="384" customFormat="1" ht="15.75" hidden="1">
      <c r="A21" s="50" t="s">
        <v>24</v>
      </c>
      <c r="B21" s="95">
        <v>132</v>
      </c>
      <c r="C21" s="206">
        <v>0</v>
      </c>
      <c r="D21" s="389"/>
      <c r="E21" s="168">
        <v>0</v>
      </c>
      <c r="F21" s="385" t="s">
        <v>187</v>
      </c>
      <c r="G21" s="153" t="s">
        <v>10</v>
      </c>
      <c r="H21" s="7" t="s">
        <v>17</v>
      </c>
      <c r="I21" s="7">
        <v>0</v>
      </c>
      <c r="J21" s="98"/>
    </row>
    <row r="22" spans="1:10" s="384" customFormat="1" ht="16.5" hidden="1" thickBot="1">
      <c r="A22" s="50" t="s">
        <v>24</v>
      </c>
      <c r="B22" s="95">
        <v>146</v>
      </c>
      <c r="C22" s="206">
        <v>2701032</v>
      </c>
      <c r="D22" s="238"/>
      <c r="E22" s="168">
        <v>0</v>
      </c>
      <c r="F22" s="385" t="s">
        <v>187</v>
      </c>
      <c r="G22" s="154" t="s">
        <v>98</v>
      </c>
      <c r="H22" s="147" t="s">
        <v>27</v>
      </c>
      <c r="I22" s="110">
        <v>569355.79</v>
      </c>
      <c r="J22" s="107"/>
    </row>
    <row r="23" spans="1:10" s="384" customFormat="1" ht="15.75" hidden="1">
      <c r="A23" s="50" t="s">
        <v>151</v>
      </c>
      <c r="B23" s="95"/>
      <c r="C23" s="206"/>
      <c r="D23" s="121"/>
      <c r="E23" s="168">
        <v>0</v>
      </c>
      <c r="F23" s="385" t="s">
        <v>187</v>
      </c>
      <c r="G23" s="385"/>
      <c r="H23" s="385"/>
      <c r="I23" s="385"/>
      <c r="J23" s="338">
        <f>SUM(I18:J22)</f>
        <v>0</v>
      </c>
    </row>
    <row r="24" spans="1:10" s="384" customFormat="1" ht="15.75" hidden="1">
      <c r="A24" s="141" t="s">
        <v>143</v>
      </c>
      <c r="B24" s="95">
        <v>146</v>
      </c>
      <c r="C24" s="206"/>
      <c r="D24" s="121"/>
      <c r="E24" s="168">
        <v>0</v>
      </c>
      <c r="F24" s="385" t="s">
        <v>187</v>
      </c>
      <c r="G24" s="123"/>
      <c r="H24" s="7"/>
      <c r="I24" s="7"/>
      <c r="J24" s="7"/>
    </row>
    <row r="25" spans="1:10" s="384" customFormat="1" ht="15.75" hidden="1">
      <c r="A25" s="141" t="s">
        <v>105</v>
      </c>
      <c r="B25" s="95"/>
      <c r="C25" s="206"/>
      <c r="D25" s="121"/>
      <c r="E25" s="226">
        <v>0</v>
      </c>
      <c r="F25" s="385"/>
      <c r="G25" s="123"/>
      <c r="H25" s="7"/>
      <c r="I25" s="12"/>
      <c r="J25" s="12"/>
    </row>
    <row r="26" spans="1:10" s="384" customFormat="1" ht="16.5" hidden="1" thickBot="1">
      <c r="A26" s="50"/>
      <c r="B26" s="95"/>
      <c r="C26" s="159">
        <f>SUM(C15:C25)</f>
        <v>20381158</v>
      </c>
      <c r="D26" s="142"/>
      <c r="E26" s="207">
        <f>SUM(E15:E25)</f>
        <v>582172.53</v>
      </c>
      <c r="F26" s="385"/>
      <c r="G26" s="123"/>
      <c r="H26" s="7"/>
      <c r="I26" s="7"/>
      <c r="J26" s="8"/>
    </row>
    <row r="27" spans="1:10" s="384" customFormat="1" ht="16.5" hidden="1" thickTop="1">
      <c r="A27" s="50"/>
      <c r="B27" s="95"/>
      <c r="C27" s="224">
        <v>20381158</v>
      </c>
      <c r="D27" s="142" t="s">
        <v>161</v>
      </c>
      <c r="E27" s="156">
        <v>0</v>
      </c>
      <c r="F27" s="385"/>
      <c r="G27" s="11"/>
      <c r="H27" s="7"/>
      <c r="I27" s="8"/>
      <c r="J27" s="7"/>
    </row>
    <row r="28" spans="1:10" s="384" customFormat="1" ht="16.5" hidden="1" thickBot="1">
      <c r="A28" s="50"/>
      <c r="B28" s="95"/>
      <c r="C28" s="230">
        <f>C27-C26</f>
        <v>0</v>
      </c>
      <c r="D28" s="142"/>
      <c r="E28" s="160">
        <f>SUM(E26:E27)</f>
        <v>582172.53</v>
      </c>
      <c r="F28" s="385"/>
      <c r="G28" s="65" t="s">
        <v>158</v>
      </c>
      <c r="H28" s="7"/>
      <c r="I28" s="7"/>
      <c r="J28" s="7"/>
    </row>
    <row r="29" spans="1:10" s="384" customFormat="1" ht="16.5" hidden="1" thickTop="1">
      <c r="A29" s="385"/>
      <c r="B29" s="385"/>
      <c r="C29" s="385"/>
      <c r="D29" s="142" t="s">
        <v>87</v>
      </c>
      <c r="E29" s="50">
        <f>E28+E10</f>
        <v>-4406891.6199659081</v>
      </c>
      <c r="F29" s="385"/>
      <c r="G29" s="8">
        <f>(E10*(D30/12))+(E28*(D30/24))</f>
        <v>-12723.690105116002</v>
      </c>
      <c r="H29" s="396"/>
      <c r="I29" s="396"/>
      <c r="J29" s="7"/>
    </row>
    <row r="30" spans="1:10" s="384" customFormat="1" ht="15.75" hidden="1">
      <c r="A30" s="385"/>
      <c r="B30" s="385"/>
      <c r="C30" s="50" t="s">
        <v>57</v>
      </c>
      <c r="D30" s="225">
        <v>3.2500000000000001E-2</v>
      </c>
      <c r="E30" s="119">
        <f>ROUND(((E10)+(SUM(E28))/2)*(D30/12),2)</f>
        <v>-12723.69</v>
      </c>
      <c r="F30" s="385"/>
      <c r="G30" s="8"/>
      <c r="H30" s="7"/>
      <c r="I30" s="12"/>
      <c r="J30" s="12"/>
    </row>
    <row r="31" spans="1:10" s="384" customFormat="1" ht="15.75" hidden="1">
      <c r="A31" s="385"/>
      <c r="B31" s="385"/>
      <c r="C31" s="50" t="s">
        <v>1</v>
      </c>
      <c r="D31" s="90">
        <f>A13</f>
        <v>41243</v>
      </c>
      <c r="E31" s="50">
        <f>SUM(E29:E30)</f>
        <v>-4419615.3099659085</v>
      </c>
      <c r="F31" s="385"/>
      <c r="G31" s="246"/>
    </row>
    <row r="32" spans="1:10" s="384" customFormat="1" ht="15.75" hidden="1">
      <c r="A32" s="385"/>
      <c r="B32" s="385"/>
      <c r="C32" s="50"/>
      <c r="D32" s="443" t="s">
        <v>199</v>
      </c>
      <c r="E32" s="64">
        <v>-4419708.3600000003</v>
      </c>
      <c r="F32" s="385"/>
      <c r="G32" s="246"/>
    </row>
    <row r="33" spans="1:10" s="384" customFormat="1" ht="15.75" hidden="1">
      <c r="A33" s="385"/>
      <c r="B33" s="385"/>
      <c r="C33" s="50"/>
      <c r="D33" s="443" t="s">
        <v>218</v>
      </c>
      <c r="E33" s="444">
        <f>E31-E32</f>
        <v>93.050034091807902</v>
      </c>
      <c r="F33" s="385"/>
      <c r="G33" s="246"/>
    </row>
    <row r="34" spans="1:10" s="384" customFormat="1" ht="15.75" hidden="1" thickBot="1"/>
    <row r="35" spans="1:10" s="384" customFormat="1" ht="15.75" hidden="1">
      <c r="A35" s="73" t="s">
        <v>141</v>
      </c>
      <c r="B35" s="78"/>
      <c r="C35" s="79"/>
      <c r="D35" s="80"/>
      <c r="E35" s="81"/>
      <c r="G35" s="5"/>
      <c r="H35" s="5"/>
      <c r="I35" s="48"/>
      <c r="J35" s="48"/>
    </row>
    <row r="36" spans="1:10" s="384" customFormat="1" ht="15.75" hidden="1">
      <c r="A36" s="219">
        <v>41274</v>
      </c>
      <c r="B36" s="137"/>
      <c r="C36" s="11"/>
      <c r="D36" s="138"/>
      <c r="E36" s="77"/>
      <c r="G36" s="5"/>
      <c r="H36" s="5"/>
      <c r="I36" s="48"/>
      <c r="J36" s="48"/>
    </row>
    <row r="37" spans="1:10" s="384" customFormat="1" ht="16.5" hidden="1" thickBot="1">
      <c r="A37" s="139"/>
      <c r="B37" s="140"/>
      <c r="C37" s="131" t="s">
        <v>21</v>
      </c>
      <c r="D37" s="131" t="s">
        <v>22</v>
      </c>
      <c r="E37" s="128" t="s">
        <v>23</v>
      </c>
      <c r="F37" s="385"/>
      <c r="G37" s="385"/>
      <c r="H37" s="385"/>
      <c r="I37" s="385"/>
      <c r="J37" s="385"/>
    </row>
    <row r="38" spans="1:10" s="384" customFormat="1" ht="15.75" hidden="1">
      <c r="A38" s="50" t="s">
        <v>24</v>
      </c>
      <c r="B38" s="95">
        <v>101</v>
      </c>
      <c r="C38" s="206">
        <v>18054358</v>
      </c>
      <c r="D38" s="389">
        <v>3.3950000000000001E-2</v>
      </c>
      <c r="E38" s="168">
        <v>610563.22</v>
      </c>
      <c r="F38" s="385" t="s">
        <v>187</v>
      </c>
      <c r="G38" s="385"/>
      <c r="H38" s="385"/>
      <c r="I38" s="385"/>
      <c r="J38" s="385"/>
    </row>
    <row r="39" spans="1:10" s="384" customFormat="1" ht="16.5" hidden="1" thickBot="1">
      <c r="A39" s="50" t="s">
        <v>24</v>
      </c>
      <c r="B39" s="95">
        <v>111</v>
      </c>
      <c r="C39" s="206">
        <v>6151406</v>
      </c>
      <c r="D39" s="389">
        <v>3.0599999999999999E-2</v>
      </c>
      <c r="E39" s="168">
        <v>187548.98</v>
      </c>
      <c r="F39" s="385" t="s">
        <v>187</v>
      </c>
      <c r="G39" s="123">
        <f>A36</f>
        <v>41274</v>
      </c>
      <c r="H39" s="385"/>
      <c r="I39" s="385"/>
      <c r="J39" s="385"/>
    </row>
    <row r="40" spans="1:10" s="384" customFormat="1" ht="16.5" hidden="1" thickBot="1">
      <c r="A40" s="50" t="s">
        <v>24</v>
      </c>
      <c r="B40" s="95">
        <v>112</v>
      </c>
      <c r="C40" s="206">
        <v>0</v>
      </c>
      <c r="D40" s="389"/>
      <c r="E40" s="168">
        <f t="shared" ref="E40" si="0">C40*D40</f>
        <v>0</v>
      </c>
      <c r="F40" s="385" t="s">
        <v>187</v>
      </c>
      <c r="G40" s="113" t="s">
        <v>25</v>
      </c>
      <c r="H40" s="205"/>
      <c r="I40" s="126" t="s">
        <v>18</v>
      </c>
      <c r="J40" s="126" t="s">
        <v>19</v>
      </c>
    </row>
    <row r="41" spans="1:10" s="384" customFormat="1" ht="15.75" hidden="1">
      <c r="A41" s="50" t="s">
        <v>24</v>
      </c>
      <c r="B41" s="95">
        <v>121</v>
      </c>
      <c r="C41" s="206">
        <v>385155</v>
      </c>
      <c r="D41" s="389">
        <v>2.998E-2</v>
      </c>
      <c r="E41" s="168">
        <v>11473.63</v>
      </c>
      <c r="F41" s="385" t="s">
        <v>187</v>
      </c>
      <c r="G41" s="151" t="s">
        <v>28</v>
      </c>
      <c r="H41" s="152" t="s">
        <v>75</v>
      </c>
      <c r="I41" s="152"/>
      <c r="J41" s="97">
        <f>IF(-E53&lt;0,-E53,0)</f>
        <v>0</v>
      </c>
    </row>
    <row r="42" spans="1:10" s="384" customFormat="1" ht="15.75" hidden="1">
      <c r="A42" s="50" t="s">
        <v>24</v>
      </c>
      <c r="B42" s="95">
        <v>122</v>
      </c>
      <c r="C42" s="206">
        <v>0</v>
      </c>
      <c r="D42" s="389"/>
      <c r="E42" s="168">
        <f t="shared" ref="E42:E47" si="1">C42*D42</f>
        <v>0</v>
      </c>
      <c r="F42" s="385" t="s">
        <v>187</v>
      </c>
      <c r="G42" s="153" t="s">
        <v>29</v>
      </c>
      <c r="H42" s="7" t="s">
        <v>76</v>
      </c>
      <c r="I42" s="7">
        <f>IF(-E53&gt;0,-E53,0)</f>
        <v>10764.89</v>
      </c>
      <c r="J42" s="223"/>
    </row>
    <row r="43" spans="1:10" s="384" customFormat="1" ht="15.75" hidden="1">
      <c r="A43" s="50" t="s">
        <v>24</v>
      </c>
      <c r="B43" s="95">
        <v>131</v>
      </c>
      <c r="C43" s="206">
        <v>0</v>
      </c>
      <c r="D43" s="389">
        <v>5.7389999999999997E-2</v>
      </c>
      <c r="E43" s="168">
        <f t="shared" si="1"/>
        <v>0</v>
      </c>
      <c r="F43" s="385" t="s">
        <v>187</v>
      </c>
      <c r="G43" s="153" t="s">
        <v>97</v>
      </c>
      <c r="H43" s="7" t="s">
        <v>26</v>
      </c>
      <c r="I43" s="8"/>
      <c r="J43" s="98">
        <f>-E51</f>
        <v>-889770.75003409176</v>
      </c>
    </row>
    <row r="44" spans="1:10" s="384" customFormat="1" ht="15.75" hidden="1">
      <c r="A44" s="50" t="s">
        <v>24</v>
      </c>
      <c r="B44" s="95">
        <v>132</v>
      </c>
      <c r="C44" s="206">
        <v>0</v>
      </c>
      <c r="D44" s="389"/>
      <c r="E44" s="168">
        <f t="shared" si="1"/>
        <v>0</v>
      </c>
      <c r="F44" s="385" t="s">
        <v>187</v>
      </c>
      <c r="G44" s="153" t="s">
        <v>10</v>
      </c>
      <c r="H44" s="7" t="s">
        <v>17</v>
      </c>
      <c r="I44" s="7">
        <v>0</v>
      </c>
      <c r="J44" s="98"/>
    </row>
    <row r="45" spans="1:10" s="384" customFormat="1" ht="16.5" hidden="1" thickBot="1">
      <c r="A45" s="50" t="s">
        <v>24</v>
      </c>
      <c r="B45" s="95">
        <v>146</v>
      </c>
      <c r="C45" s="206">
        <v>3066817</v>
      </c>
      <c r="D45" s="238"/>
      <c r="E45" s="168">
        <f t="shared" si="1"/>
        <v>0</v>
      </c>
      <c r="F45" s="385" t="s">
        <v>187</v>
      </c>
      <c r="G45" s="154" t="s">
        <v>98</v>
      </c>
      <c r="H45" s="147" t="s">
        <v>27</v>
      </c>
      <c r="I45" s="110">
        <f>-E32+E54</f>
        <v>879005.86003409186</v>
      </c>
      <c r="J45" s="107"/>
    </row>
    <row r="46" spans="1:10" s="384" customFormat="1" ht="15.75" hidden="1">
      <c r="A46" s="50" t="s">
        <v>151</v>
      </c>
      <c r="B46" s="95"/>
      <c r="C46" s="206"/>
      <c r="D46" s="121"/>
      <c r="E46" s="168">
        <f t="shared" si="1"/>
        <v>0</v>
      </c>
      <c r="F46" s="385" t="s">
        <v>187</v>
      </c>
      <c r="G46" s="385"/>
      <c r="H46" s="385"/>
      <c r="I46" s="385"/>
      <c r="J46" s="338">
        <f>SUM(I41:J45)</f>
        <v>0</v>
      </c>
    </row>
    <row r="47" spans="1:10" s="384" customFormat="1" ht="15.75" hidden="1">
      <c r="A47" s="141" t="s">
        <v>143</v>
      </c>
      <c r="B47" s="95">
        <v>146</v>
      </c>
      <c r="C47" s="206"/>
      <c r="D47" s="121"/>
      <c r="E47" s="168">
        <f t="shared" si="1"/>
        <v>0</v>
      </c>
      <c r="F47" s="385" t="s">
        <v>187</v>
      </c>
      <c r="G47" s="123"/>
      <c r="H47" s="7"/>
      <c r="I47" s="7"/>
      <c r="J47" s="7"/>
    </row>
    <row r="48" spans="1:10" s="384" customFormat="1" ht="15.75" hidden="1">
      <c r="A48" s="141" t="s">
        <v>105</v>
      </c>
      <c r="B48" s="95"/>
      <c r="C48" s="206"/>
      <c r="D48" s="121"/>
      <c r="E48" s="226">
        <v>80091.87</v>
      </c>
      <c r="F48" s="385"/>
      <c r="G48" s="123"/>
      <c r="H48" s="7"/>
      <c r="I48" s="12"/>
      <c r="J48" s="12"/>
    </row>
    <row r="49" spans="1:10" s="384" customFormat="1" ht="16.5" hidden="1" thickBot="1">
      <c r="A49" s="50"/>
      <c r="B49" s="95"/>
      <c r="C49" s="159">
        <f>SUM(C38:C48)</f>
        <v>27657736</v>
      </c>
      <c r="D49" s="142"/>
      <c r="E49" s="207">
        <f>SUM(E38:E48)</f>
        <v>889677.7</v>
      </c>
      <c r="F49" s="385"/>
      <c r="G49" s="123"/>
      <c r="H49" s="7"/>
      <c r="I49" s="7"/>
      <c r="J49" s="8"/>
    </row>
    <row r="50" spans="1:10" s="384" customFormat="1" ht="16.5" hidden="1" thickTop="1">
      <c r="A50" s="50"/>
      <c r="B50" s="95"/>
      <c r="C50" s="224">
        <v>27657736</v>
      </c>
      <c r="D50" s="142" t="s">
        <v>161</v>
      </c>
      <c r="E50" s="156">
        <f>E33</f>
        <v>93.050034091807902</v>
      </c>
      <c r="F50" s="385"/>
      <c r="G50" s="11"/>
      <c r="H50" s="7"/>
      <c r="I50" s="8"/>
      <c r="J50" s="7"/>
    </row>
    <row r="51" spans="1:10" s="384" customFormat="1" ht="16.5" hidden="1" thickBot="1">
      <c r="A51" s="50"/>
      <c r="B51" s="95"/>
      <c r="C51" s="230">
        <f>C50-C49</f>
        <v>0</v>
      </c>
      <c r="D51" s="142"/>
      <c r="E51" s="160">
        <f>SUM(E49:E50)</f>
        <v>889770.75003409176</v>
      </c>
      <c r="F51" s="385"/>
      <c r="G51" s="65" t="s">
        <v>158</v>
      </c>
      <c r="H51" s="7"/>
      <c r="I51" s="7"/>
      <c r="J51" s="7"/>
    </row>
    <row r="52" spans="1:10" s="384" customFormat="1" ht="16.5" hidden="1" thickTop="1">
      <c r="A52" s="385"/>
      <c r="B52" s="385"/>
      <c r="C52" s="385"/>
      <c r="D52" s="142" t="s">
        <v>87</v>
      </c>
      <c r="E52" s="50">
        <f>E51+E32</f>
        <v>-3529937.6099659083</v>
      </c>
      <c r="F52" s="385"/>
      <c r="G52" s="8">
        <f>(E31*(D53/12))+(E51*(D53/24))</f>
        <v>-10764.893573819838</v>
      </c>
      <c r="H52" s="398"/>
      <c r="I52" s="398"/>
      <c r="J52" s="7"/>
    </row>
    <row r="53" spans="1:10" s="384" customFormat="1" ht="15.75" hidden="1">
      <c r="A53" s="385"/>
      <c r="B53" s="385"/>
      <c r="C53" s="50" t="s">
        <v>57</v>
      </c>
      <c r="D53" s="225">
        <v>3.2500000000000001E-2</v>
      </c>
      <c r="E53" s="119">
        <f>ROUND(((E31)+(SUM(E51))/2)*(D53/12),2)</f>
        <v>-10764.89</v>
      </c>
      <c r="F53" s="385"/>
      <c r="G53" s="8"/>
      <c r="H53" s="7"/>
      <c r="I53" s="12"/>
      <c r="J53" s="12"/>
    </row>
    <row r="54" spans="1:10" s="384" customFormat="1" ht="15.75" hidden="1">
      <c r="A54" s="385"/>
      <c r="B54" s="385"/>
      <c r="C54" s="50" t="s">
        <v>1</v>
      </c>
      <c r="D54" s="90">
        <f>A36</f>
        <v>41274</v>
      </c>
      <c r="E54" s="50">
        <f>SUM(E52:E53)</f>
        <v>-3540702.4999659085</v>
      </c>
      <c r="F54" s="385"/>
      <c r="G54" s="246"/>
    </row>
    <row r="55" spans="1:10" s="331" customFormat="1" ht="15.75" hidden="1" thickBot="1"/>
    <row r="56" spans="1:10" ht="15.75" hidden="1">
      <c r="A56" s="73" t="s">
        <v>141</v>
      </c>
      <c r="B56" s="78"/>
      <c r="C56" s="79"/>
      <c r="D56" s="80"/>
      <c r="E56" s="81"/>
      <c r="F56" s="384"/>
      <c r="G56" s="5"/>
      <c r="H56" s="5"/>
      <c r="I56" s="48"/>
      <c r="J56" s="48"/>
    </row>
    <row r="57" spans="1:10" ht="15.75" hidden="1">
      <c r="A57" s="219">
        <v>41305</v>
      </c>
      <c r="B57" s="137"/>
      <c r="C57" s="11"/>
      <c r="D57" s="138"/>
      <c r="E57" s="77"/>
      <c r="F57" s="384"/>
      <c r="G57" s="5"/>
      <c r="H57" s="5"/>
      <c r="I57" s="48"/>
      <c r="J57" s="48"/>
    </row>
    <row r="58" spans="1:10" ht="16.5" hidden="1" thickBot="1">
      <c r="A58" s="139"/>
      <c r="B58" s="140"/>
      <c r="C58" s="131" t="s">
        <v>21</v>
      </c>
      <c r="D58" s="131" t="s">
        <v>22</v>
      </c>
      <c r="E58" s="128" t="s">
        <v>23</v>
      </c>
      <c r="F58" s="385"/>
      <c r="G58" s="385"/>
      <c r="H58" s="385"/>
      <c r="I58" s="385"/>
      <c r="J58" s="385"/>
    </row>
    <row r="59" spans="1:10" ht="15.75" hidden="1">
      <c r="A59" s="50" t="s">
        <v>24</v>
      </c>
      <c r="B59" s="95">
        <v>101</v>
      </c>
      <c r="C59" s="206">
        <v>22136409</v>
      </c>
      <c r="D59" s="389">
        <v>3.3950000000000001E-2</v>
      </c>
      <c r="E59" s="168">
        <f>C59*D59</f>
        <v>751531.08555000008</v>
      </c>
      <c r="F59" s="385"/>
      <c r="G59" s="385"/>
      <c r="H59" s="385"/>
      <c r="I59" s="385"/>
      <c r="J59" s="385"/>
    </row>
    <row r="60" spans="1:10" ht="16.5" hidden="1" thickBot="1">
      <c r="A60" s="50" t="s">
        <v>24</v>
      </c>
      <c r="B60" s="95">
        <v>111</v>
      </c>
      <c r="C60" s="206">
        <v>7525225</v>
      </c>
      <c r="D60" s="389">
        <v>3.0599999999999999E-2</v>
      </c>
      <c r="E60" s="168">
        <f>C60*D60</f>
        <v>230271.88499999998</v>
      </c>
      <c r="F60" s="385"/>
      <c r="G60" s="123">
        <f>A57</f>
        <v>41305</v>
      </c>
      <c r="H60" s="385"/>
      <c r="I60" s="385"/>
      <c r="J60" s="385"/>
    </row>
    <row r="61" spans="1:10" ht="16.5" hidden="1" thickBot="1">
      <c r="A61" s="50" t="s">
        <v>24</v>
      </c>
      <c r="B61" s="95">
        <v>112</v>
      </c>
      <c r="C61" s="206">
        <v>0</v>
      </c>
      <c r="D61" s="389"/>
      <c r="E61" s="168">
        <f t="shared" ref="E61:E68" si="2">C61*D61</f>
        <v>0</v>
      </c>
      <c r="F61" s="385"/>
      <c r="G61" s="113" t="s">
        <v>25</v>
      </c>
      <c r="H61" s="205"/>
      <c r="I61" s="126" t="s">
        <v>18</v>
      </c>
      <c r="J61" s="126" t="s">
        <v>19</v>
      </c>
    </row>
    <row r="62" spans="1:10" ht="15.75" hidden="1">
      <c r="A62" s="50" t="s">
        <v>24</v>
      </c>
      <c r="B62" s="95">
        <v>121</v>
      </c>
      <c r="C62" s="206">
        <v>606431</v>
      </c>
      <c r="D62" s="389">
        <v>2.998E-2</v>
      </c>
      <c r="E62" s="168">
        <f>C62*D62</f>
        <v>18180.801380000001</v>
      </c>
      <c r="F62" s="385"/>
      <c r="G62" s="151" t="s">
        <v>28</v>
      </c>
      <c r="H62" s="152" t="s">
        <v>75</v>
      </c>
      <c r="I62" s="152"/>
      <c r="J62" s="97">
        <f>IF(-E74&lt;0,-E74,0)</f>
        <v>0</v>
      </c>
    </row>
    <row r="63" spans="1:10" ht="15.75" hidden="1">
      <c r="A63" s="50" t="s">
        <v>24</v>
      </c>
      <c r="B63" s="95">
        <v>122</v>
      </c>
      <c r="C63" s="206">
        <v>0</v>
      </c>
      <c r="D63" s="389"/>
      <c r="E63" s="168">
        <f t="shared" si="2"/>
        <v>0</v>
      </c>
      <c r="F63" s="385"/>
      <c r="G63" s="153" t="s">
        <v>29</v>
      </c>
      <c r="H63" s="7" t="s">
        <v>76</v>
      </c>
      <c r="I63" s="7">
        <f>IF(-E74&gt;0,-E74,0)</f>
        <v>8235.26</v>
      </c>
      <c r="J63" s="223"/>
    </row>
    <row r="64" spans="1:10" ht="15.75" hidden="1">
      <c r="A64" s="50" t="s">
        <v>24</v>
      </c>
      <c r="B64" s="95">
        <v>131</v>
      </c>
      <c r="C64" s="206">
        <v>0</v>
      </c>
      <c r="D64" s="389">
        <v>5.7389999999999997E-2</v>
      </c>
      <c r="E64" s="168">
        <f t="shared" si="2"/>
        <v>0</v>
      </c>
      <c r="F64" s="385"/>
      <c r="G64" s="153" t="s">
        <v>97</v>
      </c>
      <c r="H64" s="7" t="s">
        <v>26</v>
      </c>
      <c r="I64" s="8"/>
      <c r="J64" s="98">
        <f>-E72</f>
        <v>-999983.77193000005</v>
      </c>
    </row>
    <row r="65" spans="1:10" ht="15.75" hidden="1">
      <c r="A65" s="50" t="s">
        <v>24</v>
      </c>
      <c r="B65" s="95">
        <v>132</v>
      </c>
      <c r="C65" s="206">
        <v>0</v>
      </c>
      <c r="D65" s="389"/>
      <c r="E65" s="168">
        <f t="shared" si="2"/>
        <v>0</v>
      </c>
      <c r="F65" s="385"/>
      <c r="G65" s="153" t="s">
        <v>10</v>
      </c>
      <c r="H65" s="7" t="s">
        <v>17</v>
      </c>
      <c r="I65" s="7">
        <v>0</v>
      </c>
      <c r="J65" s="98"/>
    </row>
    <row r="66" spans="1:10" ht="16.5" hidden="1" thickBot="1">
      <c r="A66" s="50" t="s">
        <v>24</v>
      </c>
      <c r="B66" s="95">
        <v>146</v>
      </c>
      <c r="C66" s="206">
        <v>3682356</v>
      </c>
      <c r="D66" s="238"/>
      <c r="E66" s="168">
        <f t="shared" si="2"/>
        <v>0</v>
      </c>
      <c r="F66" s="385"/>
      <c r="G66" s="154" t="s">
        <v>98</v>
      </c>
      <c r="H66" s="147" t="s">
        <v>27</v>
      </c>
      <c r="I66" s="110">
        <f>-E54+E75</f>
        <v>991748.5119300005</v>
      </c>
      <c r="J66" s="107"/>
    </row>
    <row r="67" spans="1:10" ht="15.75" hidden="1">
      <c r="A67" s="50" t="s">
        <v>151</v>
      </c>
      <c r="B67" s="95"/>
      <c r="C67" s="206"/>
      <c r="D67" s="121"/>
      <c r="E67" s="168">
        <f t="shared" si="2"/>
        <v>0</v>
      </c>
      <c r="F67" s="385"/>
      <c r="G67" s="653"/>
      <c r="H67" s="653"/>
      <c r="I67" s="653"/>
      <c r="J67" s="338">
        <f>SUM(I62:J66)</f>
        <v>0</v>
      </c>
    </row>
    <row r="68" spans="1:10" ht="15.75" hidden="1">
      <c r="A68" s="141" t="s">
        <v>143</v>
      </c>
      <c r="B68" s="95">
        <v>146</v>
      </c>
      <c r="C68" s="206"/>
      <c r="D68" s="121"/>
      <c r="E68" s="168">
        <f t="shared" si="2"/>
        <v>0</v>
      </c>
      <c r="F68" s="385"/>
      <c r="G68" s="654"/>
      <c r="H68" s="654"/>
      <c r="I68" s="654"/>
      <c r="J68" s="7"/>
    </row>
    <row r="69" spans="1:10" ht="15.75" hidden="1">
      <c r="A69" s="141" t="s">
        <v>105</v>
      </c>
      <c r="B69" s="95"/>
      <c r="C69" s="206"/>
      <c r="D69" s="121"/>
      <c r="E69" s="226">
        <v>0</v>
      </c>
      <c r="F69" s="385"/>
      <c r="G69" s="654"/>
      <c r="H69" s="654"/>
      <c r="I69" s="654"/>
      <c r="J69" s="12"/>
    </row>
    <row r="70" spans="1:10" ht="16.5" hidden="1" thickBot="1">
      <c r="A70" s="50"/>
      <c r="B70" s="95"/>
      <c r="C70" s="159">
        <f>SUM(C59:C69)</f>
        <v>33950421</v>
      </c>
      <c r="D70" s="142"/>
      <c r="E70" s="207">
        <f>SUM(E59:E69)</f>
        <v>999983.77193000005</v>
      </c>
      <c r="F70" s="385"/>
      <c r="G70" s="654"/>
      <c r="H70" s="654"/>
      <c r="I70" s="654"/>
      <c r="J70" s="8"/>
    </row>
    <row r="71" spans="1:10" ht="16.5" hidden="1" thickTop="1">
      <c r="A71" s="50"/>
      <c r="B71" s="95"/>
      <c r="C71" s="224">
        <v>33950421</v>
      </c>
      <c r="D71" s="142" t="s">
        <v>161</v>
      </c>
      <c r="E71" s="156">
        <v>0</v>
      </c>
      <c r="F71" s="385"/>
      <c r="G71" s="11"/>
      <c r="H71" s="7"/>
      <c r="I71" s="8"/>
      <c r="J71" s="7"/>
    </row>
    <row r="72" spans="1:10" ht="16.5" hidden="1" thickBot="1">
      <c r="A72" s="50"/>
      <c r="B72" s="95"/>
      <c r="C72" s="230">
        <f>C71-C70</f>
        <v>0</v>
      </c>
      <c r="D72" s="142"/>
      <c r="E72" s="160">
        <f>SUM(E70:E71)</f>
        <v>999983.77193000005</v>
      </c>
      <c r="F72" s="385"/>
      <c r="G72" s="65" t="s">
        <v>158</v>
      </c>
      <c r="H72" s="7"/>
      <c r="I72" s="7"/>
      <c r="J72" s="7"/>
    </row>
    <row r="73" spans="1:10" ht="16.5" hidden="1" thickTop="1">
      <c r="A73" s="385"/>
      <c r="B73" s="385"/>
      <c r="C73" s="385"/>
      <c r="D73" s="142" t="s">
        <v>87</v>
      </c>
      <c r="E73" s="50">
        <f>E72+E54</f>
        <v>-2540718.7280359082</v>
      </c>
      <c r="F73" s="385"/>
      <c r="G73" s="8">
        <f>(E54*(D74/12))+(E72*(D74/24))</f>
        <v>-8235.2579129191272</v>
      </c>
      <c r="H73" s="446"/>
      <c r="I73" s="446"/>
      <c r="J73" s="7"/>
    </row>
    <row r="74" spans="1:10" ht="15.75" hidden="1">
      <c r="A74" s="385"/>
      <c r="B74" s="385"/>
      <c r="C74" s="50" t="s">
        <v>57</v>
      </c>
      <c r="D74" s="225">
        <v>3.2500000000000001E-2</v>
      </c>
      <c r="E74" s="119">
        <f>ROUND(((E54)+(SUM(E72))/2)*(D74/12),2)</f>
        <v>-8235.26</v>
      </c>
      <c r="F74" s="385"/>
      <c r="G74" s="8"/>
      <c r="H74" s="7"/>
      <c r="I74" s="12"/>
      <c r="J74" s="12"/>
    </row>
    <row r="75" spans="1:10" ht="15.75" hidden="1">
      <c r="A75" s="385"/>
      <c r="B75" s="385"/>
      <c r="C75" s="50" t="s">
        <v>1</v>
      </c>
      <c r="D75" s="90">
        <f>A57</f>
        <v>41305</v>
      </c>
      <c r="E75" s="50">
        <f>SUM(E73:E74)</f>
        <v>-2548953.988035908</v>
      </c>
      <c r="F75" s="385"/>
      <c r="G75" s="246"/>
      <c r="H75" s="384"/>
      <c r="I75" s="384"/>
      <c r="J75" s="384"/>
    </row>
    <row r="76" spans="1:10" s="384" customFormat="1" ht="15.75" hidden="1" thickBot="1"/>
    <row r="77" spans="1:10" s="384" customFormat="1" ht="15.75" hidden="1">
      <c r="A77" s="73" t="s">
        <v>141</v>
      </c>
      <c r="B77" s="78"/>
      <c r="C77" s="79"/>
      <c r="D77" s="80"/>
      <c r="E77" s="81"/>
      <c r="G77" s="5"/>
      <c r="H77" s="5"/>
      <c r="I77" s="48"/>
      <c r="J77" s="48"/>
    </row>
    <row r="78" spans="1:10" s="384" customFormat="1" ht="15.75" hidden="1">
      <c r="A78" s="219">
        <v>41333</v>
      </c>
      <c r="B78" s="137"/>
      <c r="C78" s="11"/>
      <c r="D78" s="138"/>
      <c r="E78" s="77"/>
      <c r="G78" s="5"/>
      <c r="H78" s="5"/>
      <c r="I78" s="48"/>
      <c r="J78" s="48"/>
    </row>
    <row r="79" spans="1:10" s="384" customFormat="1" ht="16.5" hidden="1" thickBot="1">
      <c r="A79" s="139"/>
      <c r="B79" s="140"/>
      <c r="C79" s="131" t="s">
        <v>21</v>
      </c>
      <c r="D79" s="131" t="s">
        <v>22</v>
      </c>
      <c r="E79" s="128" t="s">
        <v>23</v>
      </c>
      <c r="F79" s="385"/>
      <c r="G79" s="385"/>
      <c r="H79" s="385"/>
      <c r="I79" s="385"/>
      <c r="J79" s="385"/>
    </row>
    <row r="80" spans="1:10" s="384" customFormat="1" ht="15.75" hidden="1">
      <c r="A80" s="50" t="s">
        <v>24</v>
      </c>
      <c r="B80" s="95">
        <v>101</v>
      </c>
      <c r="C80" s="206">
        <v>16585315</v>
      </c>
      <c r="D80" s="389">
        <v>3.3950000000000001E-2</v>
      </c>
      <c r="E80" s="168">
        <v>563071.44425000006</v>
      </c>
      <c r="F80" s="385"/>
      <c r="G80" s="385"/>
      <c r="H80" s="385"/>
      <c r="I80" s="385"/>
      <c r="J80" s="385"/>
    </row>
    <row r="81" spans="1:10" s="384" customFormat="1" ht="16.5" hidden="1" thickBot="1">
      <c r="A81" s="50" t="s">
        <v>24</v>
      </c>
      <c r="B81" s="95">
        <v>111</v>
      </c>
      <c r="C81" s="206">
        <v>5716465</v>
      </c>
      <c r="D81" s="389">
        <v>3.0599999999999999E-2</v>
      </c>
      <c r="E81" s="168">
        <v>174923.829</v>
      </c>
      <c r="F81" s="385"/>
      <c r="G81" s="123">
        <f>A78</f>
        <v>41333</v>
      </c>
      <c r="H81" s="385"/>
      <c r="I81" s="385"/>
      <c r="J81" s="385"/>
    </row>
    <row r="82" spans="1:10" s="384" customFormat="1" ht="16.5" hidden="1" thickBot="1">
      <c r="A82" s="50" t="s">
        <v>24</v>
      </c>
      <c r="B82" s="95">
        <v>112</v>
      </c>
      <c r="C82" s="206">
        <v>0</v>
      </c>
      <c r="D82" s="389"/>
      <c r="E82" s="168">
        <v>0</v>
      </c>
      <c r="F82" s="385"/>
      <c r="G82" s="113" t="s">
        <v>25</v>
      </c>
      <c r="H82" s="205"/>
      <c r="I82" s="126" t="s">
        <v>18</v>
      </c>
      <c r="J82" s="126" t="s">
        <v>19</v>
      </c>
    </row>
    <row r="83" spans="1:10" s="384" customFormat="1" ht="15.75" hidden="1">
      <c r="A83" s="50" t="s">
        <v>24</v>
      </c>
      <c r="B83" s="95">
        <v>121</v>
      </c>
      <c r="C83" s="206">
        <v>416479</v>
      </c>
      <c r="D83" s="389">
        <v>2.998E-2</v>
      </c>
      <c r="E83" s="168">
        <v>12486.040419999999</v>
      </c>
      <c r="F83" s="385"/>
      <c r="G83" s="151" t="s">
        <v>28</v>
      </c>
      <c r="H83" s="152" t="s">
        <v>75</v>
      </c>
      <c r="I83" s="152"/>
      <c r="J83" s="97">
        <f>IF(-E95&lt;0,-E95,0)</f>
        <v>0</v>
      </c>
    </row>
    <row r="84" spans="1:10" s="384" customFormat="1" ht="15.75" hidden="1">
      <c r="A84" s="50" t="s">
        <v>24</v>
      </c>
      <c r="B84" s="95">
        <v>122</v>
      </c>
      <c r="C84" s="206">
        <v>0</v>
      </c>
      <c r="D84" s="389"/>
      <c r="E84" s="168">
        <v>0</v>
      </c>
      <c r="F84" s="385"/>
      <c r="G84" s="153" t="s">
        <v>29</v>
      </c>
      <c r="H84" s="7" t="s">
        <v>76</v>
      </c>
      <c r="I84" s="7">
        <f>IF(-E95&gt;0,-E95,0)</f>
        <v>5887.14</v>
      </c>
      <c r="J84" s="223"/>
    </row>
    <row r="85" spans="1:10" s="384" customFormat="1" ht="15.75" hidden="1">
      <c r="A85" s="50" t="s">
        <v>24</v>
      </c>
      <c r="B85" s="95">
        <v>131</v>
      </c>
      <c r="C85" s="206">
        <v>0</v>
      </c>
      <c r="D85" s="389">
        <v>5.7389999999999997E-2</v>
      </c>
      <c r="E85" s="168">
        <v>0</v>
      </c>
      <c r="F85" s="385"/>
      <c r="G85" s="153" t="s">
        <v>97</v>
      </c>
      <c r="H85" s="7" t="s">
        <v>26</v>
      </c>
      <c r="I85" s="8"/>
      <c r="J85" s="98">
        <f>-E93</f>
        <v>-750481.31367000006</v>
      </c>
    </row>
    <row r="86" spans="1:10" s="384" customFormat="1" ht="15.75" hidden="1">
      <c r="A86" s="50" t="s">
        <v>24</v>
      </c>
      <c r="B86" s="95">
        <v>132</v>
      </c>
      <c r="C86" s="206">
        <v>0</v>
      </c>
      <c r="D86" s="389"/>
      <c r="E86" s="168">
        <v>0</v>
      </c>
      <c r="F86" s="385"/>
      <c r="G86" s="153" t="s">
        <v>10</v>
      </c>
      <c r="H86" s="7" t="s">
        <v>17</v>
      </c>
      <c r="I86" s="7">
        <v>0</v>
      </c>
      <c r="J86" s="98"/>
    </row>
    <row r="87" spans="1:10" s="384" customFormat="1" ht="16.5" hidden="1" thickBot="1">
      <c r="A87" s="50" t="s">
        <v>24</v>
      </c>
      <c r="B87" s="95">
        <v>146</v>
      </c>
      <c r="C87" s="206">
        <v>2865845</v>
      </c>
      <c r="D87" s="238"/>
      <c r="E87" s="168">
        <v>0</v>
      </c>
      <c r="F87" s="385"/>
      <c r="G87" s="154" t="s">
        <v>98</v>
      </c>
      <c r="H87" s="147" t="s">
        <v>27</v>
      </c>
      <c r="I87" s="110">
        <f>-E75+E96</f>
        <v>744594.17367000016</v>
      </c>
      <c r="J87" s="107"/>
    </row>
    <row r="88" spans="1:10" s="384" customFormat="1" ht="15.75" hidden="1">
      <c r="A88" s="50" t="s">
        <v>151</v>
      </c>
      <c r="B88" s="95"/>
      <c r="C88" s="206"/>
      <c r="D88" s="121"/>
      <c r="E88" s="168">
        <v>0</v>
      </c>
      <c r="F88" s="385"/>
      <c r="G88" s="385"/>
      <c r="H88" s="385"/>
      <c r="I88" s="385"/>
      <c r="J88" s="338">
        <f>SUM(I83:J87)</f>
        <v>0</v>
      </c>
    </row>
    <row r="89" spans="1:10" s="384" customFormat="1" ht="15.75" hidden="1">
      <c r="A89" s="141" t="s">
        <v>143</v>
      </c>
      <c r="B89" s="95">
        <v>146</v>
      </c>
      <c r="C89" s="206"/>
      <c r="D89" s="121"/>
      <c r="E89" s="168">
        <v>0</v>
      </c>
      <c r="F89" s="385"/>
      <c r="G89" s="123"/>
      <c r="H89" s="7"/>
      <c r="I89" s="7"/>
      <c r="J89" s="7"/>
    </row>
    <row r="90" spans="1:10" s="384" customFormat="1" ht="15.75" hidden="1">
      <c r="A90" s="141" t="s">
        <v>105</v>
      </c>
      <c r="B90" s="95"/>
      <c r="C90" s="206"/>
      <c r="D90" s="121"/>
      <c r="E90" s="226">
        <v>0</v>
      </c>
      <c r="F90" s="385"/>
      <c r="G90" s="123"/>
      <c r="H90" s="7"/>
      <c r="I90" s="12"/>
      <c r="J90" s="12"/>
    </row>
    <row r="91" spans="1:10" s="384" customFormat="1" ht="16.5" hidden="1" thickBot="1">
      <c r="A91" s="50"/>
      <c r="B91" s="95"/>
      <c r="C91" s="159">
        <f>SUM(C80:C90)</f>
        <v>25584104</v>
      </c>
      <c r="D91" s="142"/>
      <c r="E91" s="207">
        <f>SUM(E80:E90)</f>
        <v>750481.31367000006</v>
      </c>
      <c r="F91" s="385"/>
      <c r="G91" s="123"/>
      <c r="H91" s="7"/>
      <c r="I91" s="7"/>
      <c r="J91" s="8"/>
    </row>
    <row r="92" spans="1:10" s="384" customFormat="1" ht="16.5" hidden="1" thickTop="1">
      <c r="A92" s="50"/>
      <c r="B92" s="95"/>
      <c r="C92" s="224">
        <v>25584104</v>
      </c>
      <c r="D92" s="142" t="s">
        <v>161</v>
      </c>
      <c r="E92" s="156">
        <v>0</v>
      </c>
      <c r="F92" s="385"/>
      <c r="G92" s="11"/>
      <c r="H92" s="7"/>
      <c r="I92" s="8"/>
      <c r="J92" s="7"/>
    </row>
    <row r="93" spans="1:10" s="384" customFormat="1" ht="16.5" hidden="1" thickBot="1">
      <c r="A93" s="50"/>
      <c r="B93" s="95"/>
      <c r="C93" s="230">
        <f>C92-C91</f>
        <v>0</v>
      </c>
      <c r="D93" s="142"/>
      <c r="E93" s="160">
        <f>SUM(E91:E92)</f>
        <v>750481.31367000006</v>
      </c>
      <c r="F93" s="385"/>
      <c r="G93" s="65" t="s">
        <v>158</v>
      </c>
      <c r="H93" s="7"/>
      <c r="I93" s="7"/>
      <c r="J93" s="7"/>
    </row>
    <row r="94" spans="1:10" s="384" customFormat="1" ht="16.5" hidden="1" thickTop="1">
      <c r="A94" s="385"/>
      <c r="B94" s="385"/>
      <c r="C94" s="385"/>
      <c r="D94" s="142" t="s">
        <v>87</v>
      </c>
      <c r="E94" s="50">
        <f>E93+E75</f>
        <v>-1798472.6743659079</v>
      </c>
      <c r="F94" s="385"/>
      <c r="G94" s="8">
        <f>(E75*(D95/12))+(E93*(D95/24))</f>
        <v>-5887.1402720024589</v>
      </c>
      <c r="H94" s="448"/>
      <c r="I94" s="448"/>
      <c r="J94" s="7"/>
    </row>
    <row r="95" spans="1:10" s="384" customFormat="1" ht="15.75" hidden="1">
      <c r="A95" s="385"/>
      <c r="B95" s="385"/>
      <c r="C95" s="50" t="s">
        <v>57</v>
      </c>
      <c r="D95" s="225">
        <v>3.2500000000000001E-2</v>
      </c>
      <c r="E95" s="119">
        <f>ROUND(((E75)+(SUM(E93))/2)*(D95/12),2)</f>
        <v>-5887.14</v>
      </c>
      <c r="F95" s="385"/>
      <c r="G95" s="8"/>
      <c r="H95" s="7"/>
      <c r="I95" s="12"/>
      <c r="J95" s="12"/>
    </row>
    <row r="96" spans="1:10" s="384" customFormat="1" ht="15.75" hidden="1">
      <c r="A96" s="385"/>
      <c r="B96" s="385"/>
      <c r="C96" s="50" t="s">
        <v>1</v>
      </c>
      <c r="D96" s="90">
        <f>A78</f>
        <v>41333</v>
      </c>
      <c r="E96" s="50">
        <f>SUM(E94:E95)</f>
        <v>-1804359.8143659078</v>
      </c>
      <c r="F96" s="385"/>
      <c r="G96" s="246"/>
    </row>
    <row r="97" spans="1:10" s="384" customFormat="1" ht="15.75" hidden="1" thickBot="1"/>
    <row r="98" spans="1:10" s="384" customFormat="1" ht="15.75" hidden="1">
      <c r="A98" s="73" t="s">
        <v>141</v>
      </c>
      <c r="B98" s="78"/>
      <c r="C98" s="79"/>
      <c r="D98" s="80"/>
      <c r="E98" s="81"/>
      <c r="G98" s="5"/>
      <c r="H98" s="5"/>
      <c r="I98" s="48"/>
      <c r="J98" s="48"/>
    </row>
    <row r="99" spans="1:10" s="384" customFormat="1" ht="15.75" hidden="1">
      <c r="A99" s="219">
        <v>41364</v>
      </c>
      <c r="B99" s="137"/>
      <c r="C99" s="11"/>
      <c r="D99" s="138"/>
      <c r="E99" s="77"/>
      <c r="G99" s="5"/>
      <c r="H99" s="5"/>
      <c r="I99" s="48"/>
      <c r="J99" s="48"/>
    </row>
    <row r="100" spans="1:10" s="384" customFormat="1" ht="16.5" hidden="1" thickBot="1">
      <c r="A100" s="139"/>
      <c r="B100" s="140"/>
      <c r="C100" s="131" t="s">
        <v>21</v>
      </c>
      <c r="D100" s="131" t="s">
        <v>22</v>
      </c>
      <c r="E100" s="128" t="s">
        <v>23</v>
      </c>
      <c r="F100" s="385"/>
      <c r="G100" s="385"/>
      <c r="H100" s="385"/>
      <c r="I100" s="385"/>
      <c r="J100" s="385"/>
    </row>
    <row r="101" spans="1:10" s="384" customFormat="1" ht="15.75" hidden="1">
      <c r="A101" s="50" t="s">
        <v>24</v>
      </c>
      <c r="B101" s="95">
        <v>101</v>
      </c>
      <c r="C101" s="206">
        <v>12776328</v>
      </c>
      <c r="D101" s="389">
        <v>3.3950000000000001E-2</v>
      </c>
      <c r="E101" s="168">
        <v>433756.33559999999</v>
      </c>
      <c r="F101" s="385"/>
      <c r="G101" s="385"/>
      <c r="H101" s="385"/>
      <c r="I101" s="385"/>
      <c r="J101" s="385"/>
    </row>
    <row r="102" spans="1:10" s="384" customFormat="1" ht="16.5" hidden="1" thickBot="1">
      <c r="A102" s="50" t="s">
        <v>24</v>
      </c>
      <c r="B102" s="95">
        <v>111</v>
      </c>
      <c r="C102" s="206">
        <v>4890087</v>
      </c>
      <c r="D102" s="389">
        <v>3.0599999999999999E-2</v>
      </c>
      <c r="E102" s="168">
        <v>149636.66219999999</v>
      </c>
      <c r="F102" s="385"/>
      <c r="G102" s="123">
        <f>A99</f>
        <v>41364</v>
      </c>
      <c r="H102" s="385"/>
      <c r="I102" s="385"/>
      <c r="J102" s="385"/>
    </row>
    <row r="103" spans="1:10" s="384" customFormat="1" ht="16.5" hidden="1" thickBot="1">
      <c r="A103" s="50" t="s">
        <v>24</v>
      </c>
      <c r="B103" s="95">
        <v>112</v>
      </c>
      <c r="C103" s="206">
        <v>0</v>
      </c>
      <c r="D103" s="389"/>
      <c r="E103" s="168">
        <v>0</v>
      </c>
      <c r="F103" s="385"/>
      <c r="G103" s="113" t="s">
        <v>25</v>
      </c>
      <c r="H103" s="205"/>
      <c r="I103" s="126" t="s">
        <v>18</v>
      </c>
      <c r="J103" s="126" t="s">
        <v>19</v>
      </c>
    </row>
    <row r="104" spans="1:10" s="384" customFormat="1" ht="15.75" hidden="1">
      <c r="A104" s="50" t="s">
        <v>24</v>
      </c>
      <c r="B104" s="95">
        <v>121</v>
      </c>
      <c r="C104" s="206">
        <v>526218</v>
      </c>
      <c r="D104" s="389">
        <v>2.998E-2</v>
      </c>
      <c r="E104" s="168">
        <v>15776.01564</v>
      </c>
      <c r="F104" s="385"/>
      <c r="G104" s="151" t="s">
        <v>28</v>
      </c>
      <c r="H104" s="152" t="s">
        <v>75</v>
      </c>
      <c r="I104" s="152"/>
      <c r="J104" s="97">
        <f>IF(-E116&lt;0,-E116,0)</f>
        <v>0</v>
      </c>
    </row>
    <row r="105" spans="1:10" s="384" customFormat="1" ht="15.75" hidden="1">
      <c r="A105" s="50" t="s">
        <v>24</v>
      </c>
      <c r="B105" s="95">
        <v>122</v>
      </c>
      <c r="C105" s="206">
        <v>0</v>
      </c>
      <c r="D105" s="389"/>
      <c r="E105" s="168">
        <v>0</v>
      </c>
      <c r="F105" s="385"/>
      <c r="G105" s="153" t="s">
        <v>29</v>
      </c>
      <c r="H105" s="7" t="s">
        <v>76</v>
      </c>
      <c r="I105" s="7">
        <f>IF(-E116&gt;0,-E116,0)</f>
        <v>4075.43</v>
      </c>
      <c r="J105" s="223"/>
    </row>
    <row r="106" spans="1:10" s="384" customFormat="1" ht="15.75" hidden="1">
      <c r="A106" s="50" t="s">
        <v>24</v>
      </c>
      <c r="B106" s="95">
        <v>131</v>
      </c>
      <c r="C106" s="206">
        <v>0</v>
      </c>
      <c r="D106" s="389">
        <v>5.7389999999999997E-2</v>
      </c>
      <c r="E106" s="168">
        <v>0</v>
      </c>
      <c r="F106" s="385"/>
      <c r="G106" s="153" t="s">
        <v>97</v>
      </c>
      <c r="H106" s="7" t="s">
        <v>26</v>
      </c>
      <c r="I106" s="8"/>
      <c r="J106" s="98">
        <f>-E114</f>
        <v>-599169.01344000001</v>
      </c>
    </row>
    <row r="107" spans="1:10" s="384" customFormat="1" ht="15.75" hidden="1">
      <c r="A107" s="50" t="s">
        <v>24</v>
      </c>
      <c r="B107" s="95">
        <v>132</v>
      </c>
      <c r="C107" s="206">
        <v>0</v>
      </c>
      <c r="D107" s="389"/>
      <c r="E107" s="168">
        <v>0</v>
      </c>
      <c r="F107" s="385"/>
      <c r="G107" s="153" t="s">
        <v>10</v>
      </c>
      <c r="H107" s="7" t="s">
        <v>17</v>
      </c>
      <c r="I107" s="7">
        <v>0</v>
      </c>
      <c r="J107" s="98"/>
    </row>
    <row r="108" spans="1:10" s="384" customFormat="1" ht="16.5" hidden="1" thickBot="1">
      <c r="A108" s="50" t="s">
        <v>24</v>
      </c>
      <c r="B108" s="95">
        <v>146</v>
      </c>
      <c r="C108" s="206">
        <v>2772085</v>
      </c>
      <c r="D108" s="238"/>
      <c r="E108" s="168">
        <v>0</v>
      </c>
      <c r="F108" s="385"/>
      <c r="G108" s="154" t="s">
        <v>98</v>
      </c>
      <c r="H108" s="147" t="s">
        <v>27</v>
      </c>
      <c r="I108" s="110">
        <f>-E96+E117</f>
        <v>595093.58344000019</v>
      </c>
      <c r="J108" s="107"/>
    </row>
    <row r="109" spans="1:10" s="384" customFormat="1" ht="15.75" hidden="1">
      <c r="A109" s="50" t="s">
        <v>151</v>
      </c>
      <c r="B109" s="95"/>
      <c r="C109" s="206"/>
      <c r="D109" s="121"/>
      <c r="E109" s="168">
        <v>0</v>
      </c>
      <c r="F109" s="385"/>
      <c r="G109" s="385"/>
      <c r="H109" s="385"/>
      <c r="I109" s="385"/>
      <c r="J109" s="338">
        <f>SUM(I104:J108)</f>
        <v>0</v>
      </c>
    </row>
    <row r="110" spans="1:10" s="384" customFormat="1" ht="15.75" hidden="1">
      <c r="A110" s="141" t="s">
        <v>143</v>
      </c>
      <c r="B110" s="95">
        <v>146</v>
      </c>
      <c r="C110" s="206"/>
      <c r="D110" s="121"/>
      <c r="E110" s="168">
        <v>0</v>
      </c>
      <c r="F110" s="385"/>
      <c r="G110" s="123"/>
      <c r="H110" s="7"/>
      <c r="I110" s="7"/>
      <c r="J110" s="7"/>
    </row>
    <row r="111" spans="1:10" s="384" customFormat="1" ht="15.75" hidden="1">
      <c r="A111" s="141" t="s">
        <v>105</v>
      </c>
      <c r="B111" s="95"/>
      <c r="C111" s="206"/>
      <c r="D111" s="121"/>
      <c r="E111" s="226">
        <v>0</v>
      </c>
      <c r="F111" s="385"/>
      <c r="G111" s="123"/>
      <c r="H111" s="7"/>
      <c r="I111" s="12"/>
      <c r="J111" s="12"/>
    </row>
    <row r="112" spans="1:10" s="384" customFormat="1" ht="16.5" hidden="1" thickBot="1">
      <c r="A112" s="50"/>
      <c r="B112" s="95"/>
      <c r="C112" s="159">
        <f>SUM(C101:C111)</f>
        <v>20964718</v>
      </c>
      <c r="D112" s="142"/>
      <c r="E112" s="207">
        <f>SUM(E101:E111)</f>
        <v>599169.01344000001</v>
      </c>
      <c r="F112" s="385"/>
      <c r="G112" s="123"/>
      <c r="H112" s="7"/>
      <c r="I112" s="7"/>
      <c r="J112" s="8"/>
    </row>
    <row r="113" spans="1:10" s="384" customFormat="1" ht="16.5" hidden="1" thickTop="1">
      <c r="A113" s="50"/>
      <c r="B113" s="95"/>
      <c r="C113" s="224">
        <v>20964718</v>
      </c>
      <c r="D113" s="142" t="s">
        <v>161</v>
      </c>
      <c r="E113" s="156">
        <v>0</v>
      </c>
      <c r="F113" s="385"/>
      <c r="G113" s="11"/>
      <c r="H113" s="7"/>
      <c r="I113" s="8"/>
      <c r="J113" s="7"/>
    </row>
    <row r="114" spans="1:10" s="384" customFormat="1" ht="16.5" hidden="1" thickBot="1">
      <c r="A114" s="50"/>
      <c r="B114" s="95"/>
      <c r="C114" s="230">
        <f>C113-C112</f>
        <v>0</v>
      </c>
      <c r="D114" s="142"/>
      <c r="E114" s="160">
        <f>SUM(E112:E113)</f>
        <v>599169.01344000001</v>
      </c>
      <c r="F114" s="385"/>
      <c r="G114" s="65" t="s">
        <v>158</v>
      </c>
      <c r="H114" s="7"/>
      <c r="I114" s="7"/>
      <c r="J114" s="7"/>
    </row>
    <row r="115" spans="1:10" s="384" customFormat="1" ht="16.5" hidden="1" thickTop="1">
      <c r="A115" s="385"/>
      <c r="B115" s="385"/>
      <c r="C115" s="385"/>
      <c r="D115" s="142" t="s">
        <v>87</v>
      </c>
      <c r="E115" s="50">
        <f>E114+E96</f>
        <v>-1205190.8009259077</v>
      </c>
      <c r="F115" s="385"/>
      <c r="G115" s="8">
        <f>(E96*(D116/12))+(E114*(D116/24))</f>
        <v>-4075.4331248743338</v>
      </c>
      <c r="H115" s="450"/>
      <c r="I115" s="450"/>
      <c r="J115" s="7"/>
    </row>
    <row r="116" spans="1:10" s="384" customFormat="1" ht="15.75" hidden="1">
      <c r="A116" s="385"/>
      <c r="B116" s="385"/>
      <c r="C116" s="50" t="s">
        <v>57</v>
      </c>
      <c r="D116" s="225">
        <v>3.2500000000000001E-2</v>
      </c>
      <c r="E116" s="119">
        <f>ROUND(((E96)+(SUM(E114))/2)*(D116/12),2)</f>
        <v>-4075.43</v>
      </c>
      <c r="F116" s="385"/>
      <c r="G116" s="8"/>
      <c r="H116" s="7"/>
      <c r="I116" s="12"/>
      <c r="J116" s="12"/>
    </row>
    <row r="117" spans="1:10" s="384" customFormat="1" ht="15.75" hidden="1">
      <c r="A117" s="385"/>
      <c r="B117" s="385"/>
      <c r="C117" s="50" t="s">
        <v>1</v>
      </c>
      <c r="D117" s="90">
        <f>A99</f>
        <v>41364</v>
      </c>
      <c r="E117" s="50">
        <f>SUM(E115:E116)</f>
        <v>-1209266.2309259076</v>
      </c>
      <c r="F117" s="385"/>
      <c r="G117" s="246"/>
    </row>
    <row r="118" spans="1:10" s="384" customFormat="1" ht="15.75" hidden="1" thickBot="1"/>
    <row r="119" spans="1:10" s="384" customFormat="1" ht="15.75" hidden="1">
      <c r="A119" s="73" t="s">
        <v>141</v>
      </c>
      <c r="B119" s="78"/>
      <c r="C119" s="79"/>
      <c r="D119" s="80"/>
      <c r="E119" s="81"/>
      <c r="G119" s="5"/>
      <c r="H119" s="5"/>
      <c r="I119" s="48"/>
      <c r="J119" s="48"/>
    </row>
    <row r="120" spans="1:10" s="384" customFormat="1" ht="15.75" hidden="1">
      <c r="A120" s="219">
        <v>41394</v>
      </c>
      <c r="B120" s="137"/>
      <c r="C120" s="11"/>
      <c r="D120" s="138"/>
      <c r="E120" s="77"/>
      <c r="G120" s="5"/>
      <c r="H120" s="5"/>
      <c r="I120" s="48"/>
      <c r="J120" s="48"/>
    </row>
    <row r="121" spans="1:10" s="384" customFormat="1" ht="16.5" hidden="1" thickBot="1">
      <c r="A121" s="139"/>
      <c r="B121" s="140"/>
      <c r="C121" s="131" t="s">
        <v>21</v>
      </c>
      <c r="D121" s="131" t="s">
        <v>22</v>
      </c>
      <c r="E121" s="128" t="s">
        <v>23</v>
      </c>
      <c r="F121" s="385"/>
      <c r="G121" s="385"/>
      <c r="H121" s="385"/>
      <c r="I121" s="385"/>
      <c r="J121" s="385"/>
    </row>
    <row r="122" spans="1:10" s="384" customFormat="1" ht="15.75" hidden="1">
      <c r="A122" s="50" t="s">
        <v>24</v>
      </c>
      <c r="B122" s="95">
        <v>101</v>
      </c>
      <c r="C122" s="206">
        <v>8689955</v>
      </c>
      <c r="D122" s="389">
        <v>3.3950000000000001E-2</v>
      </c>
      <c r="E122" s="168">
        <v>295023.97224999999</v>
      </c>
      <c r="F122" s="385"/>
      <c r="G122" s="385"/>
      <c r="H122" s="385"/>
      <c r="I122" s="385"/>
      <c r="J122" s="385"/>
    </row>
    <row r="123" spans="1:10" s="384" customFormat="1" ht="16.5" hidden="1" thickBot="1">
      <c r="A123" s="50" t="s">
        <v>24</v>
      </c>
      <c r="B123" s="95">
        <v>111</v>
      </c>
      <c r="C123" s="206">
        <v>3665435</v>
      </c>
      <c r="D123" s="389">
        <v>3.0599999999999999E-2</v>
      </c>
      <c r="E123" s="168">
        <v>112162.311</v>
      </c>
      <c r="F123" s="385"/>
      <c r="G123" s="123">
        <f>A120</f>
        <v>41394</v>
      </c>
      <c r="H123" s="385"/>
      <c r="I123" s="385"/>
      <c r="J123" s="385"/>
    </row>
    <row r="124" spans="1:10" s="384" customFormat="1" ht="16.5" hidden="1" thickBot="1">
      <c r="A124" s="50" t="s">
        <v>24</v>
      </c>
      <c r="B124" s="95">
        <v>112</v>
      </c>
      <c r="C124" s="206">
        <v>0</v>
      </c>
      <c r="D124" s="389"/>
      <c r="E124" s="168">
        <v>0</v>
      </c>
      <c r="F124" s="385"/>
      <c r="G124" s="113" t="s">
        <v>25</v>
      </c>
      <c r="H124" s="205"/>
      <c r="I124" s="126" t="s">
        <v>18</v>
      </c>
      <c r="J124" s="126" t="s">
        <v>19</v>
      </c>
    </row>
    <row r="125" spans="1:10" s="384" customFormat="1" ht="15.75" hidden="1">
      <c r="A125" s="50" t="s">
        <v>24</v>
      </c>
      <c r="B125" s="95">
        <v>121</v>
      </c>
      <c r="C125" s="206">
        <v>375679</v>
      </c>
      <c r="D125" s="389">
        <v>2.998E-2</v>
      </c>
      <c r="E125" s="168">
        <v>11262.85642</v>
      </c>
      <c r="F125" s="385"/>
      <c r="G125" s="151" t="s">
        <v>28</v>
      </c>
      <c r="H125" s="152" t="s">
        <v>75</v>
      </c>
      <c r="I125" s="152"/>
      <c r="J125" s="97">
        <f>IF(-E137&lt;0,-E137,0)</f>
        <v>0</v>
      </c>
    </row>
    <row r="126" spans="1:10" s="384" customFormat="1" ht="15.75" hidden="1">
      <c r="A126" s="50" t="s">
        <v>24</v>
      </c>
      <c r="B126" s="95">
        <v>122</v>
      </c>
      <c r="C126" s="206">
        <v>0</v>
      </c>
      <c r="D126" s="389"/>
      <c r="E126" s="168">
        <v>0</v>
      </c>
      <c r="F126" s="385"/>
      <c r="G126" s="153" t="s">
        <v>29</v>
      </c>
      <c r="H126" s="7" t="s">
        <v>76</v>
      </c>
      <c r="I126" s="7">
        <f>IF(-E137&gt;0,-E137,0)</f>
        <v>2708.45</v>
      </c>
      <c r="J126" s="223"/>
    </row>
    <row r="127" spans="1:10" s="384" customFormat="1" ht="15.75" hidden="1">
      <c r="A127" s="50" t="s">
        <v>24</v>
      </c>
      <c r="B127" s="95">
        <v>131</v>
      </c>
      <c r="C127" s="206">
        <v>0</v>
      </c>
      <c r="D127" s="389">
        <v>5.7389999999999997E-2</v>
      </c>
      <c r="E127" s="168">
        <v>0</v>
      </c>
      <c r="F127" s="385"/>
      <c r="G127" s="153" t="s">
        <v>97</v>
      </c>
      <c r="H127" s="7" t="s">
        <v>26</v>
      </c>
      <c r="I127" s="8"/>
      <c r="J127" s="98">
        <f>-E135</f>
        <v>-418449.13967</v>
      </c>
    </row>
    <row r="128" spans="1:10" s="384" customFormat="1" ht="15.75" hidden="1">
      <c r="A128" s="50" t="s">
        <v>24</v>
      </c>
      <c r="B128" s="95">
        <v>132</v>
      </c>
      <c r="C128" s="206">
        <v>0</v>
      </c>
      <c r="D128" s="389"/>
      <c r="E128" s="168">
        <v>0</v>
      </c>
      <c r="F128" s="385"/>
      <c r="G128" s="153" t="s">
        <v>10</v>
      </c>
      <c r="H128" s="7" t="s">
        <v>17</v>
      </c>
      <c r="I128" s="7">
        <v>0</v>
      </c>
      <c r="J128" s="98"/>
    </row>
    <row r="129" spans="1:10" s="384" customFormat="1" ht="16.5" hidden="1" thickBot="1">
      <c r="A129" s="50" t="s">
        <v>24</v>
      </c>
      <c r="B129" s="95">
        <v>146</v>
      </c>
      <c r="C129" s="206">
        <v>2439162</v>
      </c>
      <c r="D129" s="238"/>
      <c r="E129" s="168">
        <v>0</v>
      </c>
      <c r="F129" s="385"/>
      <c r="G129" s="154" t="s">
        <v>98</v>
      </c>
      <c r="H129" s="147" t="s">
        <v>27</v>
      </c>
      <c r="I129" s="110">
        <f>-E117+E138</f>
        <v>415740.68966999999</v>
      </c>
      <c r="J129" s="107"/>
    </row>
    <row r="130" spans="1:10" s="384" customFormat="1" ht="15.75" hidden="1">
      <c r="A130" s="50" t="s">
        <v>151</v>
      </c>
      <c r="B130" s="95"/>
      <c r="C130" s="206"/>
      <c r="D130" s="121"/>
      <c r="E130" s="168">
        <v>0</v>
      </c>
      <c r="F130" s="385"/>
      <c r="G130" s="385"/>
      <c r="H130" s="385"/>
      <c r="I130" s="385"/>
      <c r="J130" s="338">
        <f>SUM(I125:J129)</f>
        <v>0</v>
      </c>
    </row>
    <row r="131" spans="1:10" s="384" customFormat="1" ht="15.75" hidden="1">
      <c r="A131" s="141" t="s">
        <v>143</v>
      </c>
      <c r="B131" s="95">
        <v>146</v>
      </c>
      <c r="C131" s="206"/>
      <c r="D131" s="121"/>
      <c r="E131" s="168">
        <v>0</v>
      </c>
      <c r="F131" s="385"/>
      <c r="G131" s="123"/>
      <c r="H131" s="7"/>
      <c r="I131" s="7"/>
      <c r="J131" s="7"/>
    </row>
    <row r="132" spans="1:10" s="384" customFormat="1" ht="15.75" hidden="1">
      <c r="A132" s="141" t="s">
        <v>105</v>
      </c>
      <c r="B132" s="95"/>
      <c r="C132" s="206"/>
      <c r="D132" s="121"/>
      <c r="E132" s="226">
        <v>0</v>
      </c>
      <c r="F132" s="385"/>
      <c r="G132" s="123"/>
      <c r="H132" s="7"/>
      <c r="I132" s="12"/>
      <c r="J132" s="12"/>
    </row>
    <row r="133" spans="1:10" s="384" customFormat="1" ht="16.5" hidden="1" thickBot="1">
      <c r="A133" s="50"/>
      <c r="B133" s="95"/>
      <c r="C133" s="159">
        <f>SUM(C122:C132)</f>
        <v>15170231</v>
      </c>
      <c r="D133" s="142"/>
      <c r="E133" s="207">
        <f>SUM(E122:E132)</f>
        <v>418449.13967</v>
      </c>
      <c r="F133" s="385"/>
      <c r="G133" s="123"/>
      <c r="H133" s="7"/>
      <c r="I133" s="7"/>
      <c r="J133" s="8"/>
    </row>
    <row r="134" spans="1:10" s="384" customFormat="1" ht="16.5" hidden="1" thickTop="1">
      <c r="A134" s="50"/>
      <c r="B134" s="95"/>
      <c r="C134" s="224">
        <v>15170231</v>
      </c>
      <c r="D134" s="142" t="s">
        <v>161</v>
      </c>
      <c r="E134" s="156">
        <v>0</v>
      </c>
      <c r="F134" s="385"/>
      <c r="G134" s="11"/>
      <c r="H134" s="7"/>
      <c r="I134" s="8"/>
      <c r="J134" s="7"/>
    </row>
    <row r="135" spans="1:10" s="384" customFormat="1" ht="16.5" hidden="1" thickBot="1">
      <c r="A135" s="50"/>
      <c r="B135" s="95"/>
      <c r="C135" s="230">
        <f>C134-C133</f>
        <v>0</v>
      </c>
      <c r="D135" s="142"/>
      <c r="E135" s="160">
        <f>SUM(E133:E134)</f>
        <v>418449.13967</v>
      </c>
      <c r="F135" s="385"/>
      <c r="G135" s="65" t="s">
        <v>158</v>
      </c>
      <c r="H135" s="7"/>
      <c r="I135" s="7"/>
      <c r="J135" s="7"/>
    </row>
    <row r="136" spans="1:10" s="384" customFormat="1" ht="16.5" hidden="1" thickTop="1">
      <c r="A136" s="385"/>
      <c r="B136" s="385"/>
      <c r="C136" s="385"/>
      <c r="D136" s="142" t="s">
        <v>87</v>
      </c>
      <c r="E136" s="50">
        <f>E135+E117</f>
        <v>-790817.09125590767</v>
      </c>
      <c r="F136" s="385"/>
      <c r="G136" s="8">
        <f>(E117*(D137/12))+(E135*(D137/24))</f>
        <v>-2708.4461654545416</v>
      </c>
      <c r="H136" s="451"/>
      <c r="I136" s="451"/>
      <c r="J136" s="7"/>
    </row>
    <row r="137" spans="1:10" s="384" customFormat="1" ht="15.75" hidden="1">
      <c r="A137" s="385"/>
      <c r="B137" s="385"/>
      <c r="C137" s="50" t="s">
        <v>57</v>
      </c>
      <c r="D137" s="225">
        <v>3.2500000000000001E-2</v>
      </c>
      <c r="E137" s="119">
        <f>ROUND(((E117)+(SUM(E135))/2)*(D137/12),2)</f>
        <v>-2708.45</v>
      </c>
      <c r="F137" s="385"/>
      <c r="G137" s="8"/>
      <c r="H137" s="7"/>
      <c r="I137" s="12"/>
      <c r="J137" s="12"/>
    </row>
    <row r="138" spans="1:10" s="384" customFormat="1" ht="15.75" hidden="1">
      <c r="A138" s="385"/>
      <c r="B138" s="385"/>
      <c r="C138" s="50" t="s">
        <v>1</v>
      </c>
      <c r="D138" s="90">
        <f>A120</f>
        <v>41394</v>
      </c>
      <c r="E138" s="50">
        <f>SUM(E136:E137)</f>
        <v>-793525.54125590762</v>
      </c>
      <c r="F138" s="385"/>
      <c r="G138" s="385"/>
    </row>
    <row r="139" spans="1:10" s="384" customFormat="1" ht="15.75" hidden="1" thickBot="1"/>
    <row r="140" spans="1:10" s="384" customFormat="1" ht="15.75" hidden="1">
      <c r="A140" s="73" t="s">
        <v>141</v>
      </c>
      <c r="B140" s="78"/>
      <c r="C140" s="79"/>
      <c r="D140" s="80"/>
      <c r="E140" s="81"/>
      <c r="G140" s="5"/>
      <c r="H140" s="5"/>
      <c r="I140" s="48"/>
      <c r="J140" s="48"/>
    </row>
    <row r="141" spans="1:10" s="384" customFormat="1" ht="15.75" hidden="1">
      <c r="A141" s="219">
        <v>41425</v>
      </c>
      <c r="B141" s="137"/>
      <c r="C141" s="11"/>
      <c r="D141" s="138"/>
      <c r="E141" s="77"/>
      <c r="G141" s="5"/>
      <c r="H141" s="5"/>
      <c r="I141" s="48"/>
      <c r="J141" s="48"/>
    </row>
    <row r="142" spans="1:10" s="384" customFormat="1" ht="16.5" hidden="1" thickBot="1">
      <c r="A142" s="139"/>
      <c r="B142" s="140"/>
      <c r="C142" s="131" t="s">
        <v>21</v>
      </c>
      <c r="D142" s="131" t="s">
        <v>22</v>
      </c>
      <c r="E142" s="128" t="s">
        <v>23</v>
      </c>
      <c r="F142" s="385"/>
      <c r="G142" s="385"/>
      <c r="H142" s="385"/>
      <c r="I142" s="385"/>
      <c r="J142" s="385"/>
    </row>
    <row r="143" spans="1:10" s="384" customFormat="1" ht="15.75" hidden="1">
      <c r="A143" s="50" t="s">
        <v>24</v>
      </c>
      <c r="B143" s="95">
        <v>101</v>
      </c>
      <c r="C143" s="206">
        <v>4182901</v>
      </c>
      <c r="D143" s="389">
        <v>3.3950000000000001E-2</v>
      </c>
      <c r="E143" s="168">
        <v>142009.48895</v>
      </c>
      <c r="F143" s="385"/>
      <c r="G143" s="385"/>
      <c r="H143" s="385"/>
      <c r="I143" s="385"/>
      <c r="J143" s="385"/>
    </row>
    <row r="144" spans="1:10" s="384" customFormat="1" ht="16.5" hidden="1" thickBot="1">
      <c r="A144" s="50" t="s">
        <v>24</v>
      </c>
      <c r="B144" s="95">
        <v>111</v>
      </c>
      <c r="C144" s="206">
        <v>1970725</v>
      </c>
      <c r="D144" s="389">
        <v>3.0599999999999999E-2</v>
      </c>
      <c r="E144" s="168">
        <v>60304.184999999998</v>
      </c>
      <c r="F144" s="385"/>
      <c r="G144" s="123">
        <f>A141</f>
        <v>41425</v>
      </c>
      <c r="H144" s="385"/>
      <c r="I144" s="385"/>
      <c r="J144" s="385"/>
    </row>
    <row r="145" spans="1:10" s="384" customFormat="1" ht="16.5" hidden="1" thickBot="1">
      <c r="A145" s="50" t="s">
        <v>24</v>
      </c>
      <c r="B145" s="95">
        <v>112</v>
      </c>
      <c r="C145" s="206">
        <v>0</v>
      </c>
      <c r="D145" s="389"/>
      <c r="E145" s="168">
        <v>0</v>
      </c>
      <c r="F145" s="385"/>
      <c r="G145" s="113" t="s">
        <v>25</v>
      </c>
      <c r="H145" s="205"/>
      <c r="I145" s="126" t="s">
        <v>18</v>
      </c>
      <c r="J145" s="126" t="s">
        <v>19</v>
      </c>
    </row>
    <row r="146" spans="1:10" s="384" customFormat="1" ht="15.75" hidden="1">
      <c r="A146" s="50" t="s">
        <v>24</v>
      </c>
      <c r="B146" s="95">
        <v>121</v>
      </c>
      <c r="C146" s="206">
        <v>339319</v>
      </c>
      <c r="D146" s="389">
        <v>2.998E-2</v>
      </c>
      <c r="E146" s="168">
        <v>10172.78362</v>
      </c>
      <c r="F146" s="385"/>
      <c r="G146" s="151" t="s">
        <v>28</v>
      </c>
      <c r="H146" s="152" t="s">
        <v>75</v>
      </c>
      <c r="I146" s="152"/>
      <c r="J146" s="97">
        <f>IF(-E158&lt;0,-E158,0)</f>
        <v>0</v>
      </c>
    </row>
    <row r="147" spans="1:10" s="384" customFormat="1" ht="15.75" hidden="1">
      <c r="A147" s="50" t="s">
        <v>24</v>
      </c>
      <c r="B147" s="95">
        <v>122</v>
      </c>
      <c r="C147" s="206">
        <v>0</v>
      </c>
      <c r="D147" s="389"/>
      <c r="E147" s="168">
        <v>0</v>
      </c>
      <c r="F147" s="385"/>
      <c r="G147" s="153" t="s">
        <v>29</v>
      </c>
      <c r="H147" s="7" t="s">
        <v>76</v>
      </c>
      <c r="I147" s="7">
        <f>IF(-E158&gt;0,-E158,0)</f>
        <v>1861.39</v>
      </c>
      <c r="J147" s="223"/>
    </row>
    <row r="148" spans="1:10" s="384" customFormat="1" ht="15.75" hidden="1">
      <c r="A148" s="50" t="s">
        <v>24</v>
      </c>
      <c r="B148" s="95">
        <v>131</v>
      </c>
      <c r="C148" s="206">
        <v>0</v>
      </c>
      <c r="D148" s="389">
        <v>5.7389999999999997E-2</v>
      </c>
      <c r="E148" s="168">
        <v>0</v>
      </c>
      <c r="F148" s="385"/>
      <c r="G148" s="153" t="s">
        <v>97</v>
      </c>
      <c r="H148" s="7" t="s">
        <v>26</v>
      </c>
      <c r="I148" s="8"/>
      <c r="J148" s="98">
        <f>-E156</f>
        <v>-212486.45757</v>
      </c>
    </row>
    <row r="149" spans="1:10" s="384" customFormat="1" ht="15.75" hidden="1">
      <c r="A149" s="50" t="s">
        <v>24</v>
      </c>
      <c r="B149" s="95">
        <v>132</v>
      </c>
      <c r="C149" s="206">
        <v>0</v>
      </c>
      <c r="D149" s="389"/>
      <c r="E149" s="168">
        <v>0</v>
      </c>
      <c r="F149" s="385"/>
      <c r="G149" s="153" t="s">
        <v>10</v>
      </c>
      <c r="H149" s="7" t="s">
        <v>17</v>
      </c>
      <c r="I149" s="7">
        <v>0</v>
      </c>
      <c r="J149" s="98"/>
    </row>
    <row r="150" spans="1:10" s="384" customFormat="1" ht="16.5" hidden="1" thickBot="1">
      <c r="A150" s="50" t="s">
        <v>24</v>
      </c>
      <c r="B150" s="95">
        <v>146</v>
      </c>
      <c r="C150" s="206">
        <v>1979128</v>
      </c>
      <c r="D150" s="238"/>
      <c r="E150" s="168">
        <v>0</v>
      </c>
      <c r="F150" s="385"/>
      <c r="G150" s="154" t="s">
        <v>98</v>
      </c>
      <c r="H150" s="147" t="s">
        <v>27</v>
      </c>
      <c r="I150" s="110">
        <f>-E138+E159</f>
        <v>210625.06756999996</v>
      </c>
      <c r="J150" s="107"/>
    </row>
    <row r="151" spans="1:10" s="384" customFormat="1" ht="15.75" hidden="1">
      <c r="A151" s="50" t="s">
        <v>151</v>
      </c>
      <c r="B151" s="95"/>
      <c r="C151" s="206"/>
      <c r="D151" s="121"/>
      <c r="E151" s="168">
        <v>0</v>
      </c>
      <c r="F151" s="385"/>
      <c r="G151" s="385"/>
      <c r="H151" s="385"/>
      <c r="I151" s="385"/>
      <c r="J151" s="338">
        <f>SUM(I146:J150)</f>
        <v>0</v>
      </c>
    </row>
    <row r="152" spans="1:10" s="384" customFormat="1" ht="15.75" hidden="1">
      <c r="A152" s="141" t="s">
        <v>143</v>
      </c>
      <c r="B152" s="95">
        <v>146</v>
      </c>
      <c r="C152" s="206"/>
      <c r="D152" s="121"/>
      <c r="E152" s="168">
        <v>0</v>
      </c>
      <c r="F152" s="385"/>
      <c r="G152" s="123"/>
      <c r="H152" s="7"/>
      <c r="I152" s="7"/>
      <c r="J152" s="7"/>
    </row>
    <row r="153" spans="1:10" s="384" customFormat="1" ht="15.75" hidden="1">
      <c r="A153" s="141" t="s">
        <v>105</v>
      </c>
      <c r="B153" s="95"/>
      <c r="C153" s="206"/>
      <c r="D153" s="121"/>
      <c r="E153" s="226">
        <v>0</v>
      </c>
      <c r="F153" s="385"/>
      <c r="G153" s="123"/>
      <c r="H153" s="7"/>
      <c r="I153" s="12"/>
      <c r="J153" s="12"/>
    </row>
    <row r="154" spans="1:10" s="384" customFormat="1" ht="16.5" hidden="1" thickBot="1">
      <c r="A154" s="50"/>
      <c r="B154" s="95"/>
      <c r="C154" s="159">
        <f>SUM(C143:C153)</f>
        <v>8472073</v>
      </c>
      <c r="D154" s="142"/>
      <c r="E154" s="207">
        <f>SUM(E143:E153)</f>
        <v>212486.45757</v>
      </c>
      <c r="F154" s="385"/>
      <c r="G154" s="123"/>
      <c r="H154" s="7"/>
      <c r="I154" s="7"/>
      <c r="J154" s="8"/>
    </row>
    <row r="155" spans="1:10" s="384" customFormat="1" ht="16.5" hidden="1" thickTop="1">
      <c r="A155" s="50"/>
      <c r="B155" s="95"/>
      <c r="C155" s="224">
        <v>8472073</v>
      </c>
      <c r="D155" s="142" t="s">
        <v>161</v>
      </c>
      <c r="E155" s="156">
        <v>0</v>
      </c>
      <c r="F155" s="385"/>
      <c r="G155" s="11"/>
      <c r="H155" s="7"/>
      <c r="I155" s="8"/>
      <c r="J155" s="7"/>
    </row>
    <row r="156" spans="1:10" s="384" customFormat="1" ht="16.5" hidden="1" thickBot="1">
      <c r="A156" s="50"/>
      <c r="B156" s="95"/>
      <c r="C156" s="230">
        <f>C155-C154</f>
        <v>0</v>
      </c>
      <c r="D156" s="142"/>
      <c r="E156" s="160">
        <f>SUM(E154:E155)</f>
        <v>212486.45757</v>
      </c>
      <c r="F156" s="385"/>
      <c r="G156" s="65" t="s">
        <v>158</v>
      </c>
      <c r="H156" s="7"/>
      <c r="I156" s="7"/>
      <c r="J156" s="7"/>
    </row>
    <row r="157" spans="1:10" s="384" customFormat="1" ht="16.5" hidden="1" thickTop="1">
      <c r="A157" s="385"/>
      <c r="B157" s="385"/>
      <c r="C157" s="385"/>
      <c r="D157" s="142" t="s">
        <v>87</v>
      </c>
      <c r="E157" s="50">
        <f>E156+E138</f>
        <v>-581039.08368590765</v>
      </c>
      <c r="F157" s="385"/>
      <c r="G157" s="8">
        <f>(E138*(D158/12))+(E156*(D158/24))</f>
        <v>-1861.389596275375</v>
      </c>
      <c r="H157" s="453"/>
      <c r="I157" s="453"/>
      <c r="J157" s="7"/>
    </row>
    <row r="158" spans="1:10" s="384" customFormat="1" ht="15.75" hidden="1">
      <c r="A158" s="385"/>
      <c r="B158" s="385"/>
      <c r="C158" s="50" t="s">
        <v>57</v>
      </c>
      <c r="D158" s="225">
        <v>3.2500000000000001E-2</v>
      </c>
      <c r="E158" s="119">
        <f>ROUND(((E138)+(SUM(E156))/2)*(D158/12),2)</f>
        <v>-1861.39</v>
      </c>
      <c r="F158" s="385"/>
      <c r="G158" s="8"/>
      <c r="H158" s="7"/>
      <c r="I158" s="12"/>
      <c r="J158" s="12"/>
    </row>
    <row r="159" spans="1:10" s="384" customFormat="1" ht="15.75" hidden="1">
      <c r="A159" s="385"/>
      <c r="B159" s="385"/>
      <c r="C159" s="50" t="s">
        <v>1</v>
      </c>
      <c r="D159" s="90">
        <f>A141</f>
        <v>41425</v>
      </c>
      <c r="E159" s="50">
        <f>SUM(E157:E158)</f>
        <v>-582900.47368590767</v>
      </c>
      <c r="F159" s="385"/>
      <c r="G159" s="246"/>
    </row>
    <row r="160" spans="1:10" s="384" customFormat="1" ht="15.75" hidden="1" thickBot="1"/>
    <row r="161" spans="1:10" s="384" customFormat="1" ht="15.75" hidden="1">
      <c r="A161" s="73" t="s">
        <v>141</v>
      </c>
      <c r="B161" s="78"/>
      <c r="C161" s="79"/>
      <c r="D161" s="80"/>
      <c r="E161" s="81"/>
      <c r="G161" s="5"/>
      <c r="H161" s="5"/>
      <c r="I161" s="48"/>
      <c r="J161" s="48"/>
    </row>
    <row r="162" spans="1:10" s="384" customFormat="1" ht="15.75" hidden="1">
      <c r="A162" s="219">
        <v>41426</v>
      </c>
      <c r="B162" s="137"/>
      <c r="C162" s="11"/>
      <c r="D162" s="138"/>
      <c r="E162" s="77"/>
      <c r="G162" s="5"/>
      <c r="H162" s="5"/>
      <c r="I162" s="48"/>
      <c r="J162" s="48"/>
    </row>
    <row r="163" spans="1:10" s="384" customFormat="1" ht="16.5" hidden="1" thickBot="1">
      <c r="A163" s="139"/>
      <c r="B163" s="140"/>
      <c r="C163" s="131" t="s">
        <v>21</v>
      </c>
      <c r="D163" s="131" t="s">
        <v>22</v>
      </c>
      <c r="E163" s="128" t="s">
        <v>23</v>
      </c>
      <c r="F163" s="385"/>
      <c r="G163" s="385"/>
      <c r="H163" s="385"/>
      <c r="I163" s="385"/>
      <c r="J163" s="385"/>
    </row>
    <row r="164" spans="1:10" s="384" customFormat="1" ht="15.75" hidden="1">
      <c r="A164" s="50" t="s">
        <v>24</v>
      </c>
      <c r="B164" s="95">
        <v>101</v>
      </c>
      <c r="C164" s="206">
        <v>2800295</v>
      </c>
      <c r="D164" s="389">
        <v>3.3950000000000001E-2</v>
      </c>
      <c r="E164" s="168">
        <v>95070.015249999997</v>
      </c>
      <c r="F164" s="385"/>
      <c r="G164" s="385"/>
      <c r="H164" s="385"/>
      <c r="I164" s="385"/>
      <c r="J164" s="385"/>
    </row>
    <row r="165" spans="1:10" s="384" customFormat="1" ht="16.5" hidden="1" thickBot="1">
      <c r="A165" s="50" t="s">
        <v>24</v>
      </c>
      <c r="B165" s="95">
        <v>111</v>
      </c>
      <c r="C165" s="206">
        <v>1678252</v>
      </c>
      <c r="D165" s="389">
        <v>3.0599999999999999E-2</v>
      </c>
      <c r="E165" s="168">
        <v>51354.511200000001</v>
      </c>
      <c r="F165" s="385"/>
      <c r="G165" s="123">
        <f>A162</f>
        <v>41426</v>
      </c>
      <c r="H165" s="385"/>
      <c r="I165" s="385"/>
      <c r="J165" s="385"/>
    </row>
    <row r="166" spans="1:10" s="384" customFormat="1" ht="16.5" hidden="1" thickBot="1">
      <c r="A166" s="50" t="s">
        <v>24</v>
      </c>
      <c r="B166" s="95">
        <v>112</v>
      </c>
      <c r="C166" s="206">
        <v>0</v>
      </c>
      <c r="D166" s="389"/>
      <c r="E166" s="168">
        <v>0</v>
      </c>
      <c r="F166" s="385"/>
      <c r="G166" s="113" t="s">
        <v>25</v>
      </c>
      <c r="H166" s="205"/>
      <c r="I166" s="126" t="s">
        <v>18</v>
      </c>
      <c r="J166" s="126" t="s">
        <v>19</v>
      </c>
    </row>
    <row r="167" spans="1:10" s="384" customFormat="1" ht="15.75" hidden="1">
      <c r="A167" s="50" t="s">
        <v>24</v>
      </c>
      <c r="B167" s="95">
        <v>121</v>
      </c>
      <c r="C167" s="206">
        <v>339158</v>
      </c>
      <c r="D167" s="389">
        <v>2.998E-2</v>
      </c>
      <c r="E167" s="168">
        <v>10167.956840000001</v>
      </c>
      <c r="F167" s="385"/>
      <c r="G167" s="151" t="s">
        <v>28</v>
      </c>
      <c r="H167" s="152" t="s">
        <v>75</v>
      </c>
      <c r="I167" s="152"/>
      <c r="J167" s="97">
        <f>IF(-E179&lt;0,-E179,0)</f>
        <v>0</v>
      </c>
    </row>
    <row r="168" spans="1:10" s="384" customFormat="1" ht="15.75" hidden="1">
      <c r="A168" s="50" t="s">
        <v>24</v>
      </c>
      <c r="B168" s="95">
        <v>122</v>
      </c>
      <c r="C168" s="206">
        <v>0</v>
      </c>
      <c r="D168" s="389"/>
      <c r="E168" s="168">
        <v>0</v>
      </c>
      <c r="F168" s="385"/>
      <c r="G168" s="153" t="s">
        <v>29</v>
      </c>
      <c r="H168" s="7" t="s">
        <v>76</v>
      </c>
      <c r="I168" s="7">
        <f>IF(-E179&gt;0,-E179,0)</f>
        <v>1366.64</v>
      </c>
      <c r="J168" s="223"/>
    </row>
    <row r="169" spans="1:10" s="384" customFormat="1" ht="15.75" hidden="1">
      <c r="A169" s="50" t="s">
        <v>24</v>
      </c>
      <c r="B169" s="95">
        <v>131</v>
      </c>
      <c r="C169" s="206">
        <v>0</v>
      </c>
      <c r="D169" s="389">
        <v>5.7389999999999997E-2</v>
      </c>
      <c r="E169" s="168">
        <v>0</v>
      </c>
      <c r="F169" s="385"/>
      <c r="G169" s="153" t="s">
        <v>97</v>
      </c>
      <c r="H169" s="7" t="s">
        <v>26</v>
      </c>
      <c r="I169" s="8"/>
      <c r="J169" s="98">
        <f>-E177</f>
        <v>-156592.48329</v>
      </c>
    </row>
    <row r="170" spans="1:10" s="384" customFormat="1" ht="15.75" hidden="1">
      <c r="A170" s="50" t="s">
        <v>24</v>
      </c>
      <c r="B170" s="95">
        <v>132</v>
      </c>
      <c r="C170" s="206">
        <v>0</v>
      </c>
      <c r="D170" s="389"/>
      <c r="E170" s="168">
        <v>0</v>
      </c>
      <c r="F170" s="385"/>
      <c r="G170" s="153" t="s">
        <v>10</v>
      </c>
      <c r="H170" s="7" t="s">
        <v>17</v>
      </c>
      <c r="I170" s="7">
        <v>0</v>
      </c>
      <c r="J170" s="98"/>
    </row>
    <row r="171" spans="1:10" s="384" customFormat="1" ht="16.5" hidden="1" thickBot="1">
      <c r="A171" s="50" t="s">
        <v>24</v>
      </c>
      <c r="B171" s="95">
        <v>146</v>
      </c>
      <c r="C171" s="206">
        <v>1585130</v>
      </c>
      <c r="D171" s="238"/>
      <c r="E171" s="168">
        <v>0</v>
      </c>
      <c r="F171" s="385"/>
      <c r="G171" s="154" t="s">
        <v>98</v>
      </c>
      <c r="H171" s="147" t="s">
        <v>27</v>
      </c>
      <c r="I171" s="110">
        <f>-E159+E180</f>
        <v>155225.84328999999</v>
      </c>
      <c r="J171" s="107"/>
    </row>
    <row r="172" spans="1:10" s="384" customFormat="1" ht="15.75" hidden="1">
      <c r="A172" s="50" t="s">
        <v>151</v>
      </c>
      <c r="B172" s="95"/>
      <c r="C172" s="206"/>
      <c r="D172" s="121"/>
      <c r="E172" s="168">
        <v>0</v>
      </c>
      <c r="F172" s="385"/>
      <c r="G172" s="385"/>
      <c r="H172" s="385"/>
      <c r="I172" s="385"/>
      <c r="J172" s="338">
        <f>SUM(I167:J171)</f>
        <v>0</v>
      </c>
    </row>
    <row r="173" spans="1:10" s="384" customFormat="1" ht="15.75" hidden="1">
      <c r="A173" s="141" t="s">
        <v>143</v>
      </c>
      <c r="B173" s="95">
        <v>146</v>
      </c>
      <c r="C173" s="206"/>
      <c r="D173" s="121"/>
      <c r="E173" s="168">
        <v>0</v>
      </c>
      <c r="F173" s="385"/>
      <c r="G173" s="123"/>
      <c r="H173" s="7"/>
      <c r="I173" s="7"/>
      <c r="J173" s="7"/>
    </row>
    <row r="174" spans="1:10" s="384" customFormat="1" ht="15.75" hidden="1">
      <c r="A174" s="141" t="s">
        <v>105</v>
      </c>
      <c r="B174" s="95"/>
      <c r="C174" s="206"/>
      <c r="D174" s="121"/>
      <c r="E174" s="226">
        <v>0</v>
      </c>
      <c r="F174" s="385"/>
      <c r="G174" s="123"/>
      <c r="H174" s="7"/>
      <c r="I174" s="12"/>
      <c r="J174" s="12"/>
    </row>
    <row r="175" spans="1:10" s="384" customFormat="1" ht="16.5" hidden="1" thickBot="1">
      <c r="A175" s="50"/>
      <c r="B175" s="95"/>
      <c r="C175" s="159">
        <f>SUM(C164:C174)</f>
        <v>6402835</v>
      </c>
      <c r="D175" s="142"/>
      <c r="E175" s="207">
        <f>SUM(E164:E174)</f>
        <v>156592.48329</v>
      </c>
      <c r="F175" s="385"/>
      <c r="G175" s="123"/>
      <c r="H175" s="7"/>
      <c r="I175" s="7"/>
      <c r="J175" s="8"/>
    </row>
    <row r="176" spans="1:10" s="384" customFormat="1" ht="16.5" hidden="1" thickTop="1">
      <c r="A176" s="50"/>
      <c r="B176" s="95"/>
      <c r="C176" s="224">
        <v>6402835</v>
      </c>
      <c r="D176" s="142" t="s">
        <v>161</v>
      </c>
      <c r="E176" s="156">
        <v>0</v>
      </c>
      <c r="F176" s="385"/>
      <c r="G176" s="11"/>
      <c r="H176" s="7"/>
      <c r="I176" s="8"/>
      <c r="J176" s="7"/>
    </row>
    <row r="177" spans="1:10" s="384" customFormat="1" ht="16.5" hidden="1" thickBot="1">
      <c r="A177" s="50"/>
      <c r="B177" s="95"/>
      <c r="C177" s="230">
        <f>C176-C175</f>
        <v>0</v>
      </c>
      <c r="D177" s="142"/>
      <c r="E177" s="160">
        <f>SUM(E175:E176)</f>
        <v>156592.48329</v>
      </c>
      <c r="F177" s="385"/>
      <c r="G177" s="65" t="s">
        <v>158</v>
      </c>
      <c r="H177" s="7"/>
      <c r="I177" s="7"/>
      <c r="J177" s="7"/>
    </row>
    <row r="178" spans="1:10" s="384" customFormat="1" ht="16.5" hidden="1" thickTop="1">
      <c r="A178" s="385"/>
      <c r="B178" s="385"/>
      <c r="C178" s="385"/>
      <c r="D178" s="142" t="s">
        <v>87</v>
      </c>
      <c r="E178" s="50">
        <f>E177+E159</f>
        <v>-426307.99039590766</v>
      </c>
      <c r="F178" s="385"/>
      <c r="G178" s="8">
        <f>(E159*(D179/12))+(E177*(D179/24))</f>
        <v>-1366.6364617774584</v>
      </c>
      <c r="H178" s="454"/>
      <c r="I178" s="454"/>
      <c r="J178" s="7"/>
    </row>
    <row r="179" spans="1:10" s="384" customFormat="1" ht="15.75" hidden="1">
      <c r="A179" s="385"/>
      <c r="B179" s="385"/>
      <c r="C179" s="50" t="s">
        <v>57</v>
      </c>
      <c r="D179" s="225">
        <v>3.2500000000000001E-2</v>
      </c>
      <c r="E179" s="119">
        <f>ROUND(((E159)+(SUM(E177))/2)*(D179/12),2)</f>
        <v>-1366.64</v>
      </c>
      <c r="F179" s="385"/>
      <c r="G179" s="8"/>
      <c r="H179" s="7"/>
      <c r="I179" s="12"/>
      <c r="J179" s="12"/>
    </row>
    <row r="180" spans="1:10" s="384" customFormat="1" ht="15.75" hidden="1">
      <c r="A180" s="385"/>
      <c r="B180" s="385"/>
      <c r="C180" s="50" t="s">
        <v>1</v>
      </c>
      <c r="D180" s="90">
        <v>41455</v>
      </c>
      <c r="E180" s="50">
        <f>SUM(E178:E179)</f>
        <v>-427674.63039590768</v>
      </c>
      <c r="F180" s="385"/>
      <c r="G180" s="246"/>
    </row>
    <row r="181" spans="1:10" s="384" customFormat="1" ht="15.75" hidden="1" thickBot="1"/>
    <row r="182" spans="1:10" s="384" customFormat="1" ht="15.75" hidden="1">
      <c r="A182" s="73" t="s">
        <v>141</v>
      </c>
      <c r="B182" s="78"/>
      <c r="C182" s="79"/>
      <c r="D182" s="80"/>
      <c r="E182" s="81"/>
      <c r="G182" s="5"/>
      <c r="H182" s="5"/>
      <c r="I182" s="48"/>
      <c r="J182" s="48"/>
    </row>
    <row r="183" spans="1:10" s="384" customFormat="1" ht="15.75" hidden="1">
      <c r="A183" s="219">
        <v>41456</v>
      </c>
      <c r="B183" s="137"/>
      <c r="C183" s="11"/>
      <c r="D183" s="138"/>
      <c r="E183" s="77"/>
      <c r="G183" s="5"/>
      <c r="H183" s="5"/>
      <c r="I183" s="48"/>
      <c r="J183" s="48"/>
    </row>
    <row r="184" spans="1:10" s="384" customFormat="1" ht="16.5" hidden="1" thickBot="1">
      <c r="A184" s="139"/>
      <c r="B184" s="140"/>
      <c r="C184" s="131" t="s">
        <v>21</v>
      </c>
      <c r="D184" s="131" t="s">
        <v>22</v>
      </c>
      <c r="E184" s="128" t="s">
        <v>23</v>
      </c>
      <c r="F184" s="385"/>
      <c r="G184" s="385"/>
      <c r="H184" s="385"/>
      <c r="I184" s="385"/>
      <c r="J184" s="385"/>
    </row>
    <row r="185" spans="1:10" s="384" customFormat="1" ht="15.75" hidden="1">
      <c r="A185" s="50" t="s">
        <v>24</v>
      </c>
      <c r="B185" s="95">
        <v>101</v>
      </c>
      <c r="C185" s="206">
        <v>2082299</v>
      </c>
      <c r="D185" s="389">
        <v>3.3950000000000001E-2</v>
      </c>
      <c r="E185" s="168">
        <v>70694.051050000009</v>
      </c>
      <c r="F185" s="385"/>
      <c r="G185" s="385"/>
      <c r="H185" s="385"/>
      <c r="I185" s="385"/>
      <c r="J185" s="385"/>
    </row>
    <row r="186" spans="1:10" s="384" customFormat="1" ht="16.5" hidden="1" thickBot="1">
      <c r="A186" s="50" t="s">
        <v>24</v>
      </c>
      <c r="B186" s="95">
        <v>111</v>
      </c>
      <c r="C186" s="206">
        <v>1140112</v>
      </c>
      <c r="D186" s="389">
        <v>3.0599999999999999E-2</v>
      </c>
      <c r="E186" s="168">
        <v>34887.427199999998</v>
      </c>
      <c r="F186" s="385"/>
      <c r="G186" s="123">
        <f>A183</f>
        <v>41456</v>
      </c>
      <c r="H186" s="385"/>
      <c r="I186" s="385"/>
      <c r="J186" s="385"/>
    </row>
    <row r="187" spans="1:10" s="384" customFormat="1" ht="16.5" hidden="1" thickBot="1">
      <c r="A187" s="50" t="s">
        <v>24</v>
      </c>
      <c r="B187" s="95">
        <v>112</v>
      </c>
      <c r="C187" s="206">
        <v>0</v>
      </c>
      <c r="D187" s="389"/>
      <c r="E187" s="168">
        <v>0</v>
      </c>
      <c r="F187" s="385"/>
      <c r="G187" s="113" t="s">
        <v>25</v>
      </c>
      <c r="H187" s="205"/>
      <c r="I187" s="126" t="s">
        <v>18</v>
      </c>
      <c r="J187" s="126" t="s">
        <v>19</v>
      </c>
    </row>
    <row r="188" spans="1:10" s="384" customFormat="1" ht="15.75" hidden="1">
      <c r="A188" s="50" t="s">
        <v>24</v>
      </c>
      <c r="B188" s="95">
        <v>121</v>
      </c>
      <c r="C188" s="206">
        <v>304732</v>
      </c>
      <c r="D188" s="389">
        <v>2.998E-2</v>
      </c>
      <c r="E188" s="168">
        <v>9135.8653599999998</v>
      </c>
      <c r="F188" s="385"/>
      <c r="G188" s="151" t="s">
        <v>28</v>
      </c>
      <c r="H188" s="152" t="s">
        <v>75</v>
      </c>
      <c r="I188" s="152"/>
      <c r="J188" s="97">
        <f>IF(-E200&lt;0,-E200,0)</f>
        <v>0</v>
      </c>
    </row>
    <row r="189" spans="1:10" s="384" customFormat="1" ht="15.75" hidden="1">
      <c r="A189" s="50" t="s">
        <v>24</v>
      </c>
      <c r="B189" s="95">
        <v>122</v>
      </c>
      <c r="C189" s="206">
        <v>0</v>
      </c>
      <c r="D189" s="389"/>
      <c r="E189" s="168">
        <v>0</v>
      </c>
      <c r="F189" s="385"/>
      <c r="G189" s="153" t="s">
        <v>29</v>
      </c>
      <c r="H189" s="7" t="s">
        <v>76</v>
      </c>
      <c r="I189" s="7">
        <f>IF(-E200&gt;0,-E200,0)</f>
        <v>1002.94</v>
      </c>
      <c r="J189" s="223"/>
    </row>
    <row r="190" spans="1:10" s="384" customFormat="1" ht="15.75" hidden="1">
      <c r="A190" s="50" t="s">
        <v>24</v>
      </c>
      <c r="B190" s="95">
        <v>131</v>
      </c>
      <c r="C190" s="206">
        <v>0</v>
      </c>
      <c r="D190" s="389">
        <v>5.7389999999999997E-2</v>
      </c>
      <c r="E190" s="168">
        <v>0</v>
      </c>
      <c r="F190" s="385"/>
      <c r="G190" s="153" t="s">
        <v>97</v>
      </c>
      <c r="H190" s="7" t="s">
        <v>26</v>
      </c>
      <c r="I190" s="8"/>
      <c r="J190" s="98">
        <f>-E198</f>
        <v>-114717.34361000001</v>
      </c>
    </row>
    <row r="191" spans="1:10" s="384" customFormat="1" ht="15.75" hidden="1">
      <c r="A191" s="50" t="s">
        <v>24</v>
      </c>
      <c r="B191" s="95">
        <v>132</v>
      </c>
      <c r="C191" s="206">
        <v>0</v>
      </c>
      <c r="D191" s="389"/>
      <c r="E191" s="168">
        <v>0</v>
      </c>
      <c r="F191" s="385"/>
      <c r="G191" s="153" t="s">
        <v>10</v>
      </c>
      <c r="H191" s="7" t="s">
        <v>17</v>
      </c>
      <c r="I191" s="7">
        <v>0</v>
      </c>
      <c r="J191" s="98"/>
    </row>
    <row r="192" spans="1:10" s="384" customFormat="1" ht="16.5" hidden="1" thickBot="1">
      <c r="A192" s="50" t="s">
        <v>24</v>
      </c>
      <c r="B192" s="95">
        <v>146</v>
      </c>
      <c r="C192" s="206">
        <v>1657043</v>
      </c>
      <c r="D192" s="238"/>
      <c r="E192" s="168">
        <v>0</v>
      </c>
      <c r="F192" s="385"/>
      <c r="G192" s="154" t="s">
        <v>98</v>
      </c>
      <c r="H192" s="147" t="s">
        <v>27</v>
      </c>
      <c r="I192" s="110">
        <f>-E180+E201</f>
        <v>113714.40360999998</v>
      </c>
      <c r="J192" s="107"/>
    </row>
    <row r="193" spans="1:10" s="384" customFormat="1" ht="15.75" hidden="1">
      <c r="A193" s="50" t="s">
        <v>151</v>
      </c>
      <c r="B193" s="95"/>
      <c r="C193" s="206"/>
      <c r="D193" s="121"/>
      <c r="E193" s="168">
        <v>0</v>
      </c>
      <c r="F193" s="385"/>
      <c r="G193" s="385"/>
      <c r="H193" s="385"/>
      <c r="I193" s="385"/>
      <c r="J193" s="338">
        <f>SUM(I188:J192)</f>
        <v>0</v>
      </c>
    </row>
    <row r="194" spans="1:10" s="384" customFormat="1" ht="15.75" hidden="1">
      <c r="A194" s="141" t="s">
        <v>143</v>
      </c>
      <c r="B194" s="95">
        <v>146</v>
      </c>
      <c r="C194" s="206"/>
      <c r="D194" s="121"/>
      <c r="E194" s="168">
        <v>0</v>
      </c>
      <c r="F194" s="385"/>
      <c r="G194" s="123"/>
      <c r="H194" s="7"/>
      <c r="I194" s="7"/>
      <c r="J194" s="7"/>
    </row>
    <row r="195" spans="1:10" s="384" customFormat="1" ht="15.75" hidden="1">
      <c r="A195" s="141" t="s">
        <v>105</v>
      </c>
      <c r="B195" s="95"/>
      <c r="C195" s="206"/>
      <c r="D195" s="121"/>
      <c r="E195" s="226">
        <v>0</v>
      </c>
      <c r="F195" s="385"/>
      <c r="G195" s="123"/>
      <c r="H195" s="7"/>
      <c r="I195" s="12"/>
      <c r="J195" s="12"/>
    </row>
    <row r="196" spans="1:10" s="384" customFormat="1" ht="16.5" hidden="1" thickBot="1">
      <c r="A196" s="50"/>
      <c r="B196" s="95"/>
      <c r="C196" s="159">
        <f>SUM(C185:C195)</f>
        <v>5184186</v>
      </c>
      <c r="D196" s="142"/>
      <c r="E196" s="207">
        <f>SUM(E185:E195)</f>
        <v>114717.34361000001</v>
      </c>
      <c r="F196" s="385"/>
      <c r="G196" s="123"/>
      <c r="H196" s="7"/>
      <c r="I196" s="7"/>
      <c r="J196" s="8"/>
    </row>
    <row r="197" spans="1:10" s="384" customFormat="1" ht="16.5" hidden="1" thickTop="1">
      <c r="A197" s="50"/>
      <c r="B197" s="95"/>
      <c r="C197" s="224">
        <v>5184186</v>
      </c>
      <c r="D197" s="142" t="s">
        <v>161</v>
      </c>
      <c r="E197" s="156">
        <v>0</v>
      </c>
      <c r="F197" s="385"/>
      <c r="G197" s="11"/>
      <c r="H197" s="7"/>
      <c r="I197" s="8"/>
      <c r="J197" s="7"/>
    </row>
    <row r="198" spans="1:10" s="384" customFormat="1" ht="16.5" hidden="1" thickBot="1">
      <c r="A198" s="50"/>
      <c r="B198" s="95"/>
      <c r="C198" s="230">
        <f>C197-C196</f>
        <v>0</v>
      </c>
      <c r="D198" s="142"/>
      <c r="E198" s="160">
        <f>SUM(E196:E197)</f>
        <v>114717.34361000001</v>
      </c>
      <c r="F198" s="385"/>
      <c r="G198" s="65" t="s">
        <v>158</v>
      </c>
      <c r="H198" s="7"/>
      <c r="I198" s="7"/>
      <c r="J198" s="7"/>
    </row>
    <row r="199" spans="1:10" s="384" customFormat="1" ht="16.5" hidden="1" thickTop="1">
      <c r="A199" s="385"/>
      <c r="B199" s="385"/>
      <c r="C199" s="385"/>
      <c r="D199" s="142" t="s">
        <v>87</v>
      </c>
      <c r="E199" s="50">
        <f>E198+E180</f>
        <v>-312957.28678590769</v>
      </c>
      <c r="F199" s="385"/>
      <c r="G199" s="8">
        <f>(E180*(D200/12))+(E198*(D200/24))</f>
        <v>-1002.9390545170418</v>
      </c>
      <c r="H199" s="455"/>
      <c r="I199" s="455"/>
      <c r="J199" s="7"/>
    </row>
    <row r="200" spans="1:10" s="384" customFormat="1" ht="15.75" hidden="1">
      <c r="A200" s="385"/>
      <c r="B200" s="385"/>
      <c r="C200" s="50" t="s">
        <v>57</v>
      </c>
      <c r="D200" s="225">
        <v>3.2500000000000001E-2</v>
      </c>
      <c r="E200" s="119">
        <f>ROUND(((E180)+(SUM(E198))/2)*(D200/12),2)</f>
        <v>-1002.94</v>
      </c>
      <c r="F200" s="385"/>
      <c r="G200" s="8"/>
      <c r="H200" s="7"/>
      <c r="I200" s="12"/>
      <c r="J200" s="12"/>
    </row>
    <row r="201" spans="1:10" s="384" customFormat="1" ht="15.75" hidden="1">
      <c r="A201" s="385"/>
      <c r="B201" s="385"/>
      <c r="C201" s="50" t="s">
        <v>1</v>
      </c>
      <c r="D201" s="90">
        <f>A183</f>
        <v>41456</v>
      </c>
      <c r="E201" s="50">
        <f>SUM(E199:E200)</f>
        <v>-313960.2267859077</v>
      </c>
      <c r="F201" s="385"/>
      <c r="G201" s="246"/>
    </row>
    <row r="202" spans="1:10" ht="15.75" hidden="1" thickBot="1"/>
    <row r="203" spans="1:10" s="384" customFormat="1" ht="15.75" hidden="1">
      <c r="A203" s="73" t="s">
        <v>141</v>
      </c>
      <c r="B203" s="78"/>
      <c r="C203" s="79"/>
      <c r="D203" s="80"/>
      <c r="E203" s="81"/>
      <c r="G203" s="5"/>
      <c r="H203" s="5"/>
      <c r="I203" s="48"/>
      <c r="J203" s="48"/>
    </row>
    <row r="204" spans="1:10" s="384" customFormat="1" ht="15.75" hidden="1">
      <c r="A204" s="219">
        <v>41487</v>
      </c>
      <c r="B204" s="137"/>
      <c r="C204" s="11"/>
      <c r="D204" s="138"/>
      <c r="E204" s="77"/>
      <c r="G204" s="5"/>
      <c r="H204" s="5"/>
      <c r="I204" s="48"/>
      <c r="J204" s="48"/>
    </row>
    <row r="205" spans="1:10" s="384" customFormat="1" ht="16.5" hidden="1" thickBot="1">
      <c r="A205" s="139"/>
      <c r="B205" s="140"/>
      <c r="C205" s="131" t="s">
        <v>21</v>
      </c>
      <c r="D205" s="131" t="s">
        <v>22</v>
      </c>
      <c r="E205" s="128" t="s">
        <v>23</v>
      </c>
      <c r="F205" s="385"/>
      <c r="G205" s="385"/>
      <c r="H205" s="385"/>
      <c r="I205" s="385"/>
      <c r="J205" s="385"/>
    </row>
    <row r="206" spans="1:10" s="384" customFormat="1" ht="15.75" hidden="1">
      <c r="A206" s="50" t="s">
        <v>24</v>
      </c>
      <c r="B206" s="95">
        <v>101</v>
      </c>
      <c r="C206" s="206">
        <v>2046635</v>
      </c>
      <c r="D206" s="389">
        <v>3.3950000000000001E-2</v>
      </c>
      <c r="E206" s="168">
        <v>69483.258249999999</v>
      </c>
      <c r="F206" s="385"/>
      <c r="G206" s="385"/>
      <c r="H206" s="385"/>
      <c r="I206" s="385"/>
      <c r="J206" s="385"/>
    </row>
    <row r="207" spans="1:10" s="384" customFormat="1" ht="16.5" hidden="1" thickBot="1">
      <c r="A207" s="50" t="s">
        <v>24</v>
      </c>
      <c r="B207" s="95">
        <v>111</v>
      </c>
      <c r="C207" s="206">
        <v>1287109</v>
      </c>
      <c r="D207" s="389">
        <v>3.0599999999999999E-2</v>
      </c>
      <c r="E207" s="168">
        <v>39385.535400000001</v>
      </c>
      <c r="F207" s="385"/>
      <c r="G207" s="123">
        <f>A204</f>
        <v>41487</v>
      </c>
      <c r="H207" s="385"/>
      <c r="I207" s="385"/>
      <c r="J207" s="385"/>
    </row>
    <row r="208" spans="1:10" s="384" customFormat="1" ht="16.5" hidden="1" thickBot="1">
      <c r="A208" s="50" t="s">
        <v>24</v>
      </c>
      <c r="B208" s="95">
        <v>112</v>
      </c>
      <c r="C208" s="206">
        <v>0</v>
      </c>
      <c r="D208" s="389"/>
      <c r="E208" s="168">
        <v>0</v>
      </c>
      <c r="F208" s="385"/>
      <c r="G208" s="113" t="s">
        <v>25</v>
      </c>
      <c r="H208" s="205"/>
      <c r="I208" s="126" t="s">
        <v>18</v>
      </c>
      <c r="J208" s="126" t="s">
        <v>19</v>
      </c>
    </row>
    <row r="209" spans="1:10" s="384" customFormat="1" ht="15.75" hidden="1">
      <c r="A209" s="50" t="s">
        <v>24</v>
      </c>
      <c r="B209" s="95">
        <v>121</v>
      </c>
      <c r="C209" s="206">
        <v>364418</v>
      </c>
      <c r="D209" s="389">
        <v>2.998E-2</v>
      </c>
      <c r="E209" s="168">
        <v>10925.25164</v>
      </c>
      <c r="F209" s="385"/>
      <c r="G209" s="151" t="s">
        <v>28</v>
      </c>
      <c r="H209" s="152" t="s">
        <v>75</v>
      </c>
      <c r="I209" s="152"/>
      <c r="J209" s="97">
        <f>IF(-E221&lt;0,-E221,0)</f>
        <v>0</v>
      </c>
    </row>
    <row r="210" spans="1:10" s="384" customFormat="1" ht="15.75" hidden="1">
      <c r="A210" s="50" t="s">
        <v>24</v>
      </c>
      <c r="B210" s="95">
        <v>122</v>
      </c>
      <c r="C210" s="206">
        <v>0</v>
      </c>
      <c r="D210" s="389"/>
      <c r="E210" s="168">
        <v>0</v>
      </c>
      <c r="F210" s="385"/>
      <c r="G210" s="153" t="s">
        <v>29</v>
      </c>
      <c r="H210" s="7" t="s">
        <v>76</v>
      </c>
      <c r="I210" s="7">
        <f>IF(-E221&gt;0,-E221,0)</f>
        <v>688.09</v>
      </c>
      <c r="J210" s="223"/>
    </row>
    <row r="211" spans="1:10" s="384" customFormat="1" ht="15.75" hidden="1">
      <c r="A211" s="50" t="s">
        <v>24</v>
      </c>
      <c r="B211" s="95">
        <v>131</v>
      </c>
      <c r="C211" s="206">
        <v>0</v>
      </c>
      <c r="D211" s="389">
        <v>5.7389999999999997E-2</v>
      </c>
      <c r="E211" s="168">
        <v>0</v>
      </c>
      <c r="F211" s="385"/>
      <c r="G211" s="153" t="s">
        <v>97</v>
      </c>
      <c r="H211" s="7" t="s">
        <v>26</v>
      </c>
      <c r="I211" s="8"/>
      <c r="J211" s="98">
        <f>-E219</f>
        <v>-119794.04529000001</v>
      </c>
    </row>
    <row r="212" spans="1:10" s="384" customFormat="1" ht="15.75" hidden="1">
      <c r="A212" s="50" t="s">
        <v>24</v>
      </c>
      <c r="B212" s="95">
        <v>132</v>
      </c>
      <c r="C212" s="206">
        <v>0</v>
      </c>
      <c r="D212" s="389"/>
      <c r="E212" s="168">
        <v>0</v>
      </c>
      <c r="F212" s="385"/>
      <c r="G212" s="153" t="s">
        <v>10</v>
      </c>
      <c r="H212" s="7" t="s">
        <v>17</v>
      </c>
      <c r="I212" s="7">
        <v>0</v>
      </c>
      <c r="J212" s="98"/>
    </row>
    <row r="213" spans="1:10" s="384" customFormat="1" ht="16.5" hidden="1" thickBot="1">
      <c r="A213" s="50" t="s">
        <v>24</v>
      </c>
      <c r="B213" s="95">
        <v>146</v>
      </c>
      <c r="C213" s="206">
        <v>1709756</v>
      </c>
      <c r="D213" s="238"/>
      <c r="E213" s="168">
        <v>0</v>
      </c>
      <c r="F213" s="385"/>
      <c r="G213" s="154" t="s">
        <v>98</v>
      </c>
      <c r="H213" s="147" t="s">
        <v>27</v>
      </c>
      <c r="I213" s="110">
        <f>-E201+E222</f>
        <v>119105.95529000001</v>
      </c>
      <c r="J213" s="107"/>
    </row>
    <row r="214" spans="1:10" s="384" customFormat="1" ht="15.75" hidden="1">
      <c r="A214" s="50" t="s">
        <v>151</v>
      </c>
      <c r="B214" s="95"/>
      <c r="C214" s="206"/>
      <c r="D214" s="121"/>
      <c r="E214" s="168">
        <v>0</v>
      </c>
      <c r="F214" s="385"/>
      <c r="G214" s="385"/>
      <c r="H214" s="385"/>
      <c r="I214" s="385"/>
      <c r="J214" s="338">
        <f>SUM(I209:J213)</f>
        <v>0</v>
      </c>
    </row>
    <row r="215" spans="1:10" s="384" customFormat="1" ht="15.75" hidden="1">
      <c r="A215" s="141" t="s">
        <v>143</v>
      </c>
      <c r="B215" s="95">
        <v>146</v>
      </c>
      <c r="C215" s="206"/>
      <c r="D215" s="121"/>
      <c r="E215" s="168">
        <v>0</v>
      </c>
      <c r="F215" s="385"/>
      <c r="G215" s="123"/>
      <c r="H215" s="7"/>
      <c r="I215" s="7"/>
      <c r="J215" s="7"/>
    </row>
    <row r="216" spans="1:10" s="384" customFormat="1" ht="15.75" hidden="1">
      <c r="A216" s="141" t="s">
        <v>105</v>
      </c>
      <c r="B216" s="95"/>
      <c r="C216" s="206"/>
      <c r="D216" s="121"/>
      <c r="E216" s="226">
        <v>0</v>
      </c>
      <c r="F216" s="385"/>
      <c r="G216" s="123"/>
      <c r="H216" s="7"/>
      <c r="I216" s="12"/>
      <c r="J216" s="12"/>
    </row>
    <row r="217" spans="1:10" s="384" customFormat="1" ht="16.5" hidden="1" thickBot="1">
      <c r="A217" s="50"/>
      <c r="B217" s="95"/>
      <c r="C217" s="159">
        <f>SUM(C206:C216)</f>
        <v>5407918</v>
      </c>
      <c r="D217" s="142"/>
      <c r="E217" s="207">
        <f>SUM(E206:E216)</f>
        <v>119794.04529000001</v>
      </c>
      <c r="F217" s="385"/>
      <c r="G217" s="123"/>
      <c r="H217" s="7"/>
      <c r="I217" s="7"/>
      <c r="J217" s="8"/>
    </row>
    <row r="218" spans="1:10" s="384" customFormat="1" ht="16.5" hidden="1" thickTop="1">
      <c r="A218" s="50"/>
      <c r="B218" s="95"/>
      <c r="C218" s="224">
        <v>5407918</v>
      </c>
      <c r="D218" s="142" t="s">
        <v>161</v>
      </c>
      <c r="E218" s="156">
        <v>0</v>
      </c>
      <c r="F218" s="385"/>
      <c r="G218" s="11"/>
      <c r="H218" s="7"/>
      <c r="I218" s="8"/>
      <c r="J218" s="7"/>
    </row>
    <row r="219" spans="1:10" s="384" customFormat="1" ht="16.5" hidden="1" thickBot="1">
      <c r="A219" s="50"/>
      <c r="B219" s="95"/>
      <c r="C219" s="230">
        <f>C218-C217</f>
        <v>0</v>
      </c>
      <c r="D219" s="142"/>
      <c r="E219" s="160">
        <f>SUM(E217:E218)</f>
        <v>119794.04529000001</v>
      </c>
      <c r="F219" s="385"/>
      <c r="G219" s="65" t="s">
        <v>158</v>
      </c>
      <c r="H219" s="7"/>
      <c r="I219" s="7"/>
      <c r="J219" s="7"/>
    </row>
    <row r="220" spans="1:10" s="384" customFormat="1" ht="16.5" hidden="1" thickTop="1">
      <c r="A220" s="385"/>
      <c r="B220" s="385"/>
      <c r="C220" s="385"/>
      <c r="D220" s="142" t="s">
        <v>87</v>
      </c>
      <c r="E220" s="50">
        <f>E219+E201</f>
        <v>-194166.18149590769</v>
      </c>
      <c r="F220" s="385"/>
      <c r="G220" s="8">
        <f>(E201*(D221/12))+(E219*(D221/24))</f>
        <v>-688.08784454829174</v>
      </c>
      <c r="H220" s="456"/>
      <c r="I220" s="456"/>
      <c r="J220" s="7"/>
    </row>
    <row r="221" spans="1:10" s="384" customFormat="1" ht="15.75" hidden="1">
      <c r="A221" s="385"/>
      <c r="B221" s="385"/>
      <c r="C221" s="50" t="s">
        <v>57</v>
      </c>
      <c r="D221" s="225">
        <v>3.2500000000000001E-2</v>
      </c>
      <c r="E221" s="119">
        <f>ROUND(((E201)+(SUM(E219))/2)*(D221/12),2)</f>
        <v>-688.09</v>
      </c>
      <c r="F221" s="385"/>
      <c r="G221" s="8"/>
      <c r="H221" s="7"/>
      <c r="I221" s="12"/>
      <c r="J221" s="12"/>
    </row>
    <row r="222" spans="1:10" s="384" customFormat="1" ht="15.75">
      <c r="A222" s="385"/>
      <c r="B222" s="385"/>
      <c r="C222" s="50" t="s">
        <v>1</v>
      </c>
      <c r="D222" s="90">
        <f>A204</f>
        <v>41487</v>
      </c>
      <c r="E222" s="50">
        <f>SUM(E220:E221)</f>
        <v>-194854.27149590768</v>
      </c>
      <c r="F222" s="385"/>
      <c r="G222" s="246"/>
    </row>
    <row r="223" spans="1:10" ht="15.75" thickBot="1"/>
    <row r="224" spans="1:10" s="384" customFormat="1" ht="15.75">
      <c r="A224" s="73" t="s">
        <v>141</v>
      </c>
      <c r="B224" s="78"/>
      <c r="C224" s="79"/>
      <c r="D224" s="80"/>
      <c r="E224" s="81"/>
      <c r="G224" s="5"/>
      <c r="H224" s="5"/>
      <c r="I224" s="48"/>
      <c r="J224" s="48"/>
    </row>
    <row r="225" spans="1:10" s="384" customFormat="1" ht="15.75">
      <c r="A225" s="219">
        <v>41518</v>
      </c>
      <c r="B225" s="137"/>
      <c r="C225" s="11"/>
      <c r="D225" s="138"/>
      <c r="E225" s="77"/>
      <c r="G225" s="5"/>
      <c r="H225" s="5"/>
      <c r="I225" s="48"/>
      <c r="J225" s="48"/>
    </row>
    <row r="226" spans="1:10" s="384" customFormat="1" ht="16.5" thickBot="1">
      <c r="A226" s="139"/>
      <c r="B226" s="140"/>
      <c r="C226" s="131" t="s">
        <v>21</v>
      </c>
      <c r="D226" s="131" t="s">
        <v>22</v>
      </c>
      <c r="E226" s="128" t="s">
        <v>23</v>
      </c>
      <c r="F226" s="385"/>
      <c r="G226" s="385"/>
      <c r="H226" s="385"/>
      <c r="I226" s="385"/>
      <c r="J226" s="385"/>
    </row>
    <row r="227" spans="1:10" s="384" customFormat="1" ht="15.75">
      <c r="A227" s="50" t="s">
        <v>24</v>
      </c>
      <c r="B227" s="95">
        <v>101</v>
      </c>
      <c r="C227" s="206">
        <v>2647538</v>
      </c>
      <c r="D227" s="389">
        <v>3.3950000000000001E-2</v>
      </c>
      <c r="E227" s="168">
        <v>89883.915099999998</v>
      </c>
      <c r="F227" s="385"/>
      <c r="G227" s="385"/>
      <c r="H227" s="385"/>
      <c r="I227" s="385"/>
      <c r="J227" s="385"/>
    </row>
    <row r="228" spans="1:10" s="384" customFormat="1" ht="16.5" thickBot="1">
      <c r="A228" s="50" t="s">
        <v>24</v>
      </c>
      <c r="B228" s="95">
        <v>111</v>
      </c>
      <c r="C228" s="206">
        <v>1599551</v>
      </c>
      <c r="D228" s="389">
        <v>3.0599999999999999E-2</v>
      </c>
      <c r="E228" s="168">
        <v>48946.260600000001</v>
      </c>
      <c r="F228" s="385"/>
      <c r="G228" s="123">
        <f>A225</f>
        <v>41518</v>
      </c>
      <c r="H228" s="385"/>
      <c r="I228" s="385"/>
      <c r="J228" s="385"/>
    </row>
    <row r="229" spans="1:10" s="384" customFormat="1" ht="16.5" thickBot="1">
      <c r="A229" s="50" t="s">
        <v>24</v>
      </c>
      <c r="B229" s="95">
        <v>112</v>
      </c>
      <c r="C229" s="206">
        <v>0</v>
      </c>
      <c r="D229" s="389"/>
      <c r="E229" s="168">
        <v>0</v>
      </c>
      <c r="F229" s="385"/>
      <c r="G229" s="113" t="s">
        <v>25</v>
      </c>
      <c r="H229" s="205"/>
      <c r="I229" s="126" t="s">
        <v>18</v>
      </c>
      <c r="J229" s="126" t="s">
        <v>19</v>
      </c>
    </row>
    <row r="230" spans="1:10" s="384" customFormat="1" ht="15.75">
      <c r="A230" s="50" t="s">
        <v>24</v>
      </c>
      <c r="B230" s="95">
        <v>121</v>
      </c>
      <c r="C230" s="206">
        <v>344046</v>
      </c>
      <c r="D230" s="389">
        <v>2.998E-2</v>
      </c>
      <c r="E230" s="168">
        <v>10314.49908</v>
      </c>
      <c r="F230" s="385"/>
      <c r="G230" s="151" t="s">
        <v>28</v>
      </c>
      <c r="H230" s="152" t="s">
        <v>75</v>
      </c>
      <c r="I230" s="152"/>
      <c r="J230" s="97">
        <f>IF(-E242&lt;0,-E242,0)</f>
        <v>0</v>
      </c>
    </row>
    <row r="231" spans="1:10" s="384" customFormat="1" ht="15.75">
      <c r="A231" s="50" t="s">
        <v>24</v>
      </c>
      <c r="B231" s="95">
        <v>122</v>
      </c>
      <c r="C231" s="206">
        <v>0</v>
      </c>
      <c r="D231" s="389"/>
      <c r="E231" s="168">
        <v>0</v>
      </c>
      <c r="F231" s="385"/>
      <c r="G231" s="153" t="s">
        <v>29</v>
      </c>
      <c r="H231" s="7" t="s">
        <v>76</v>
      </c>
      <c r="I231" s="7">
        <f>IF(-E242&gt;0,-E242,0)</f>
        <v>325.76</v>
      </c>
      <c r="J231" s="223"/>
    </row>
    <row r="232" spans="1:10" s="384" customFormat="1" ht="15.75">
      <c r="A232" s="50" t="s">
        <v>24</v>
      </c>
      <c r="B232" s="95">
        <v>131</v>
      </c>
      <c r="C232" s="206">
        <v>0</v>
      </c>
      <c r="D232" s="389">
        <v>5.7389999999999997E-2</v>
      </c>
      <c r="E232" s="168">
        <v>0</v>
      </c>
      <c r="F232" s="385"/>
      <c r="G232" s="153" t="s">
        <v>97</v>
      </c>
      <c r="H232" s="7" t="s">
        <v>26</v>
      </c>
      <c r="I232" s="8"/>
      <c r="J232" s="98">
        <f>-E240</f>
        <v>-149144.67478</v>
      </c>
    </row>
    <row r="233" spans="1:10" s="384" customFormat="1" ht="15.75">
      <c r="A233" s="50" t="s">
        <v>24</v>
      </c>
      <c r="B233" s="95">
        <v>132</v>
      </c>
      <c r="C233" s="206">
        <v>0</v>
      </c>
      <c r="D233" s="389"/>
      <c r="E233" s="168">
        <v>0</v>
      </c>
      <c r="F233" s="385"/>
      <c r="G233" s="153" t="s">
        <v>10</v>
      </c>
      <c r="H233" s="7" t="s">
        <v>17</v>
      </c>
      <c r="I233" s="7">
        <v>0</v>
      </c>
      <c r="J233" s="98"/>
    </row>
    <row r="234" spans="1:10" s="384" customFormat="1" ht="16.5" thickBot="1">
      <c r="A234" s="50" t="s">
        <v>24</v>
      </c>
      <c r="B234" s="95">
        <v>146</v>
      </c>
      <c r="C234" s="206">
        <v>1818699</v>
      </c>
      <c r="D234" s="238"/>
      <c r="E234" s="168">
        <v>0</v>
      </c>
      <c r="F234" s="385"/>
      <c r="G234" s="154" t="s">
        <v>98</v>
      </c>
      <c r="H234" s="147" t="s">
        <v>27</v>
      </c>
      <c r="I234" s="110">
        <f>-E222+E243</f>
        <v>148818.91477999999</v>
      </c>
      <c r="J234" s="107"/>
    </row>
    <row r="235" spans="1:10" s="384" customFormat="1" ht="15.75">
      <c r="A235" s="50" t="s">
        <v>151</v>
      </c>
      <c r="B235" s="95"/>
      <c r="C235" s="206"/>
      <c r="D235" s="121"/>
      <c r="E235" s="168">
        <v>0</v>
      </c>
      <c r="F235" s="385"/>
      <c r="G235" s="385"/>
      <c r="H235" s="385"/>
      <c r="I235" s="385"/>
      <c r="J235" s="338">
        <f>SUM(I230:J234)</f>
        <v>0</v>
      </c>
    </row>
    <row r="236" spans="1:10" s="384" customFormat="1" ht="15.75">
      <c r="A236" s="141" t="s">
        <v>143</v>
      </c>
      <c r="B236" s="95">
        <v>146</v>
      </c>
      <c r="C236" s="206"/>
      <c r="D236" s="121"/>
      <c r="E236" s="168">
        <v>0</v>
      </c>
      <c r="F236" s="385"/>
      <c r="G236" s="123"/>
      <c r="H236" s="7"/>
      <c r="I236" s="7"/>
      <c r="J236" s="7"/>
    </row>
    <row r="237" spans="1:10" s="384" customFormat="1" ht="15.75">
      <c r="A237" s="141" t="s">
        <v>105</v>
      </c>
      <c r="B237" s="95"/>
      <c r="C237" s="206"/>
      <c r="D237" s="121"/>
      <c r="E237" s="226">
        <v>0</v>
      </c>
      <c r="F237" s="385"/>
      <c r="G237" s="123"/>
      <c r="H237" s="7"/>
      <c r="I237" s="12"/>
      <c r="J237" s="12"/>
    </row>
    <row r="238" spans="1:10" s="384" customFormat="1" ht="16.5" thickBot="1">
      <c r="A238" s="50"/>
      <c r="B238" s="95"/>
      <c r="C238" s="159">
        <f>SUM(C227:C237)</f>
        <v>6409834</v>
      </c>
      <c r="D238" s="142"/>
      <c r="E238" s="207">
        <f>SUM(E227:E237)</f>
        <v>149144.67478</v>
      </c>
      <c r="F238" s="385"/>
      <c r="G238" s="123"/>
      <c r="H238" s="7"/>
      <c r="I238" s="7"/>
      <c r="J238" s="8"/>
    </row>
    <row r="239" spans="1:10" s="384" customFormat="1" ht="16.5" thickTop="1">
      <c r="A239" s="50"/>
      <c r="B239" s="95"/>
      <c r="C239" s="224">
        <v>6409834</v>
      </c>
      <c r="D239" s="142" t="s">
        <v>161</v>
      </c>
      <c r="E239" s="156">
        <v>0</v>
      </c>
      <c r="F239" s="385"/>
      <c r="G239" s="11"/>
      <c r="H239" s="7"/>
      <c r="I239" s="8"/>
      <c r="J239" s="7"/>
    </row>
    <row r="240" spans="1:10" s="384" customFormat="1" ht="16.5" thickBot="1">
      <c r="A240" s="50"/>
      <c r="B240" s="95"/>
      <c r="C240" s="230">
        <f>C239-C238</f>
        <v>0</v>
      </c>
      <c r="D240" s="142"/>
      <c r="E240" s="160">
        <f>SUM(E238:E239)</f>
        <v>149144.67478</v>
      </c>
      <c r="F240" s="385"/>
      <c r="G240" s="65" t="s">
        <v>158</v>
      </c>
      <c r="H240" s="7"/>
      <c r="I240" s="7"/>
      <c r="J240" s="7"/>
    </row>
    <row r="241" spans="1:10" s="384" customFormat="1" ht="16.5" thickTop="1">
      <c r="A241" s="385"/>
      <c r="B241" s="385"/>
      <c r="C241" s="385"/>
      <c r="D241" s="142" t="s">
        <v>87</v>
      </c>
      <c r="E241" s="50">
        <f>E240+E222</f>
        <v>-45709.596715907683</v>
      </c>
      <c r="F241" s="385"/>
      <c r="G241" s="8">
        <f>(E222*(D242/12))+(E240*(D242/24))</f>
        <v>-325.7635715368333</v>
      </c>
      <c r="H241" s="457"/>
      <c r="I241" s="457"/>
      <c r="J241" s="7"/>
    </row>
    <row r="242" spans="1:10" s="384" customFormat="1" ht="15.75">
      <c r="A242" s="385"/>
      <c r="B242" s="385"/>
      <c r="C242" s="50" t="s">
        <v>57</v>
      </c>
      <c r="D242" s="225">
        <v>3.2500000000000001E-2</v>
      </c>
      <c r="E242" s="119">
        <f>ROUND(((E222)+(SUM(E240))/2)*(D242/12),2)</f>
        <v>-325.76</v>
      </c>
      <c r="F242" s="385"/>
      <c r="G242" s="8"/>
      <c r="H242" s="7"/>
      <c r="I242" s="12"/>
      <c r="J242" s="12"/>
    </row>
    <row r="243" spans="1:10" s="384" customFormat="1" ht="15.75">
      <c r="A243" s="385"/>
      <c r="B243" s="385"/>
      <c r="C243" s="50" t="s">
        <v>1</v>
      </c>
      <c r="D243" s="90">
        <f>A225</f>
        <v>41518</v>
      </c>
      <c r="E243" s="50">
        <f>SUM(E241:E242)</f>
        <v>-46035.356715907685</v>
      </c>
      <c r="F243" s="385"/>
      <c r="G243" s="246"/>
    </row>
    <row r="244" spans="1:10" ht="15.75" thickBot="1"/>
    <row r="245" spans="1:10" s="384" customFormat="1" ht="15.75">
      <c r="A245" s="73" t="s">
        <v>141</v>
      </c>
      <c r="B245" s="78"/>
      <c r="C245" s="79"/>
      <c r="D245" s="80"/>
      <c r="E245" s="81"/>
      <c r="G245" s="5"/>
      <c r="H245" s="5"/>
      <c r="I245" s="48"/>
      <c r="J245" s="48"/>
    </row>
    <row r="246" spans="1:10" s="384" customFormat="1" ht="15.75">
      <c r="A246" s="219">
        <v>41578</v>
      </c>
      <c r="B246" s="137"/>
      <c r="C246" s="11"/>
      <c r="D246" s="138"/>
      <c r="E246" s="77"/>
      <c r="G246" s="5"/>
      <c r="H246" s="5"/>
      <c r="I246" s="48"/>
      <c r="J246" s="48"/>
    </row>
    <row r="247" spans="1:10" s="384" customFormat="1" ht="16.5" thickBot="1">
      <c r="A247" s="139"/>
      <c r="B247" s="140"/>
      <c r="C247" s="131" t="s">
        <v>21</v>
      </c>
      <c r="D247" s="131" t="s">
        <v>22</v>
      </c>
      <c r="E247" s="128" t="s">
        <v>23</v>
      </c>
      <c r="F247" s="385"/>
      <c r="G247" s="385"/>
      <c r="H247" s="385"/>
      <c r="I247" s="385"/>
      <c r="J247" s="385"/>
    </row>
    <row r="248" spans="1:10" s="384" customFormat="1" ht="15.75">
      <c r="A248" s="50" t="s">
        <v>24</v>
      </c>
      <c r="B248" s="95">
        <v>101</v>
      </c>
      <c r="C248" s="206">
        <v>9244353</v>
      </c>
      <c r="D248" s="389">
        <v>3.3950000000000001E-2</v>
      </c>
      <c r="E248" s="168">
        <v>313845.78435000003</v>
      </c>
      <c r="F248" s="385"/>
      <c r="G248" s="385"/>
      <c r="H248" s="385"/>
      <c r="I248" s="385"/>
      <c r="J248" s="385"/>
    </row>
    <row r="249" spans="1:10" s="384" customFormat="1" ht="16.5" thickBot="1">
      <c r="A249" s="50" t="s">
        <v>24</v>
      </c>
      <c r="B249" s="95">
        <v>111</v>
      </c>
      <c r="C249" s="206">
        <v>3880001</v>
      </c>
      <c r="D249" s="389">
        <v>3.0599999999999999E-2</v>
      </c>
      <c r="E249" s="168">
        <v>118728.0306</v>
      </c>
      <c r="F249" s="385"/>
      <c r="G249" s="123">
        <f>A246</f>
        <v>41578</v>
      </c>
      <c r="H249" s="385"/>
      <c r="I249" s="385"/>
      <c r="J249" s="385"/>
    </row>
    <row r="250" spans="1:10" s="384" customFormat="1" ht="16.5" thickBot="1">
      <c r="A250" s="50" t="s">
        <v>24</v>
      </c>
      <c r="B250" s="95">
        <v>112</v>
      </c>
      <c r="C250" s="206">
        <v>0</v>
      </c>
      <c r="D250" s="389"/>
      <c r="E250" s="168">
        <v>0</v>
      </c>
      <c r="F250" s="385"/>
      <c r="G250" s="113" t="s">
        <v>25</v>
      </c>
      <c r="H250" s="205"/>
      <c r="I250" s="126" t="s">
        <v>18</v>
      </c>
      <c r="J250" s="126" t="s">
        <v>19</v>
      </c>
    </row>
    <row r="251" spans="1:10" s="384" customFormat="1" ht="15.75">
      <c r="A251" s="50" t="s">
        <v>24</v>
      </c>
      <c r="B251" s="95">
        <v>121</v>
      </c>
      <c r="C251" s="206">
        <v>595792</v>
      </c>
      <c r="D251" s="389">
        <v>2.998E-2</v>
      </c>
      <c r="E251" s="168">
        <v>17861.844160000001</v>
      </c>
      <c r="F251" s="385"/>
      <c r="G251" s="151" t="s">
        <v>28</v>
      </c>
      <c r="H251" s="152" t="s">
        <v>75</v>
      </c>
      <c r="I251" s="152"/>
      <c r="J251" s="97">
        <f>IF(-E263&lt;0,-E263,0)</f>
        <v>-485.29</v>
      </c>
    </row>
    <row r="252" spans="1:10" s="384" customFormat="1" ht="15.75">
      <c r="A252" s="50" t="s">
        <v>24</v>
      </c>
      <c r="B252" s="95">
        <v>122</v>
      </c>
      <c r="C252" s="206">
        <v>0</v>
      </c>
      <c r="D252" s="389"/>
      <c r="E252" s="168">
        <v>0</v>
      </c>
      <c r="F252" s="385"/>
      <c r="G252" s="153" t="s">
        <v>29</v>
      </c>
      <c r="H252" s="7" t="s">
        <v>76</v>
      </c>
      <c r="I252" s="7">
        <f>IF(-E263&gt;0,-E263,0)</f>
        <v>0</v>
      </c>
      <c r="J252" s="223"/>
    </row>
    <row r="253" spans="1:10" s="384" customFormat="1" ht="15.75">
      <c r="A253" s="50" t="s">
        <v>24</v>
      </c>
      <c r="B253" s="95">
        <v>131</v>
      </c>
      <c r="C253" s="206">
        <v>0</v>
      </c>
      <c r="D253" s="389">
        <v>5.7389999999999997E-2</v>
      </c>
      <c r="E253" s="168">
        <v>0</v>
      </c>
      <c r="F253" s="385"/>
      <c r="G253" s="153" t="s">
        <v>97</v>
      </c>
      <c r="H253" s="7" t="s">
        <v>26</v>
      </c>
      <c r="I253" s="8"/>
      <c r="J253" s="98">
        <f>-E261</f>
        <v>-450435.65911000001</v>
      </c>
    </row>
    <row r="254" spans="1:10" s="384" customFormat="1" ht="15.75">
      <c r="A254" s="50" t="s">
        <v>24</v>
      </c>
      <c r="B254" s="95">
        <v>132</v>
      </c>
      <c r="C254" s="206">
        <v>0</v>
      </c>
      <c r="D254" s="389"/>
      <c r="E254" s="168">
        <v>0</v>
      </c>
      <c r="F254" s="385"/>
      <c r="G254" s="153" t="s">
        <v>10</v>
      </c>
      <c r="H254" s="7" t="s">
        <v>17</v>
      </c>
      <c r="I254" s="7">
        <v>0</v>
      </c>
      <c r="J254" s="98"/>
    </row>
    <row r="255" spans="1:10" s="384" customFormat="1" ht="16.5" thickBot="1">
      <c r="A255" s="50" t="s">
        <v>24</v>
      </c>
      <c r="B255" s="95">
        <v>146</v>
      </c>
      <c r="C255" s="206">
        <v>2531895</v>
      </c>
      <c r="D255" s="238"/>
      <c r="E255" s="168">
        <v>0</v>
      </c>
      <c r="F255" s="385"/>
      <c r="G255" s="154" t="s">
        <v>98</v>
      </c>
      <c r="H255" s="147" t="s">
        <v>27</v>
      </c>
      <c r="I255" s="110">
        <f>-E243+E264</f>
        <v>450920.94910999999</v>
      </c>
      <c r="J255" s="107"/>
    </row>
    <row r="256" spans="1:10" s="384" customFormat="1" ht="15.75">
      <c r="A256" s="50" t="s">
        <v>151</v>
      </c>
      <c r="B256" s="95"/>
      <c r="C256" s="206"/>
      <c r="D256" s="121"/>
      <c r="E256" s="168">
        <v>0</v>
      </c>
      <c r="F256" s="385"/>
      <c r="G256" s="385"/>
      <c r="H256" s="385"/>
      <c r="I256" s="385"/>
      <c r="J256" s="338">
        <f>SUM(I251:J255)</f>
        <v>0</v>
      </c>
    </row>
    <row r="257" spans="1:10" s="384" customFormat="1" ht="15.75">
      <c r="A257" s="141" t="s">
        <v>143</v>
      </c>
      <c r="B257" s="95">
        <v>146</v>
      </c>
      <c r="C257" s="206"/>
      <c r="D257" s="121"/>
      <c r="E257" s="168">
        <v>0</v>
      </c>
      <c r="F257" s="385"/>
      <c r="G257" s="123"/>
      <c r="H257" s="7"/>
      <c r="I257" s="7"/>
      <c r="J257" s="7"/>
    </row>
    <row r="258" spans="1:10" s="384" customFormat="1" ht="15.75">
      <c r="A258" s="141" t="s">
        <v>105</v>
      </c>
      <c r="B258" s="95"/>
      <c r="C258" s="206"/>
      <c r="D258" s="121"/>
      <c r="E258" s="226">
        <v>0</v>
      </c>
      <c r="F258" s="385"/>
      <c r="G258" s="123"/>
      <c r="H258" s="7"/>
      <c r="I258" s="12"/>
      <c r="J258" s="12"/>
    </row>
    <row r="259" spans="1:10" s="384" customFormat="1" ht="16.5" thickBot="1">
      <c r="A259" s="50"/>
      <c r="B259" s="95"/>
      <c r="C259" s="159">
        <f>SUM(C248:C258)</f>
        <v>16252041</v>
      </c>
      <c r="D259" s="142"/>
      <c r="E259" s="207">
        <f>SUM(E248:E258)</f>
        <v>450435.65911000001</v>
      </c>
      <c r="F259" s="385"/>
      <c r="G259" s="123"/>
      <c r="H259" s="7"/>
      <c r="I259" s="7"/>
      <c r="J259" s="8"/>
    </row>
    <row r="260" spans="1:10" s="384" customFormat="1" ht="16.5" thickTop="1">
      <c r="A260" s="50"/>
      <c r="B260" s="95"/>
      <c r="C260" s="224">
        <v>16252041</v>
      </c>
      <c r="D260" s="142" t="s">
        <v>161</v>
      </c>
      <c r="E260" s="156">
        <v>0</v>
      </c>
      <c r="F260" s="385"/>
      <c r="G260" s="11"/>
      <c r="H260" s="7"/>
      <c r="I260" s="8"/>
      <c r="J260" s="7"/>
    </row>
    <row r="261" spans="1:10" s="384" customFormat="1" ht="16.5" thickBot="1">
      <c r="A261" s="50"/>
      <c r="B261" s="95"/>
      <c r="C261" s="230">
        <f>C260-C259</f>
        <v>0</v>
      </c>
      <c r="D261" s="142"/>
      <c r="E261" s="160">
        <f>SUM(E259:E260)</f>
        <v>450435.65911000001</v>
      </c>
      <c r="F261" s="385"/>
      <c r="G261" s="65" t="s">
        <v>158</v>
      </c>
      <c r="H261" s="7"/>
      <c r="I261" s="7"/>
      <c r="J261" s="7"/>
    </row>
    <row r="262" spans="1:10" s="384" customFormat="1" ht="16.5" thickTop="1">
      <c r="A262" s="385"/>
      <c r="B262" s="385"/>
      <c r="C262" s="385"/>
      <c r="D262" s="142" t="s">
        <v>87</v>
      </c>
      <c r="E262" s="50">
        <f>E261+E243</f>
        <v>404400.30239409232</v>
      </c>
      <c r="F262" s="385"/>
      <c r="G262" s="8">
        <f>(E243*(D263/12))+(E261*(D263/24))</f>
        <v>485.28586393920841</v>
      </c>
      <c r="H262" s="458"/>
      <c r="I262" s="458"/>
      <c r="J262" s="7"/>
    </row>
    <row r="263" spans="1:10" s="384" customFormat="1" ht="15.75">
      <c r="A263" s="385"/>
      <c r="B263" s="385"/>
      <c r="C263" s="50" t="s">
        <v>57</v>
      </c>
      <c r="D263" s="225">
        <v>3.2500000000000001E-2</v>
      </c>
      <c r="E263" s="119">
        <f>ROUND(((E243)+(SUM(E261))/2)*(D263/12),2)</f>
        <v>485.29</v>
      </c>
      <c r="F263" s="385"/>
      <c r="G263" s="8"/>
      <c r="H263" s="7"/>
      <c r="I263" s="12"/>
      <c r="J263" s="12"/>
    </row>
    <row r="264" spans="1:10" s="384" customFormat="1" ht="15.75">
      <c r="A264" s="385"/>
      <c r="B264" s="385"/>
      <c r="C264" s="50" t="s">
        <v>1</v>
      </c>
      <c r="D264" s="90">
        <f>A246</f>
        <v>41578</v>
      </c>
      <c r="E264" s="50">
        <f>SUM(E262:E263)</f>
        <v>404885.59239409229</v>
      </c>
      <c r="F264" s="385"/>
      <c r="G264" s="246"/>
    </row>
    <row r="265" spans="1:10" s="384" customFormat="1" ht="15.75">
      <c r="A265" s="385"/>
      <c r="B265" s="385"/>
      <c r="C265" s="50"/>
      <c r="D265" s="443" t="s">
        <v>230</v>
      </c>
      <c r="E265" s="64">
        <f>-'WA Def 191010'!C109</f>
        <v>1145801.7486667871</v>
      </c>
      <c r="F265" s="385"/>
      <c r="G265" s="246"/>
    </row>
    <row r="266" spans="1:10" s="384" customFormat="1" ht="16.5" thickBot="1">
      <c r="A266" s="385"/>
      <c r="B266" s="385"/>
      <c r="C266" s="50"/>
      <c r="D266" s="443" t="s">
        <v>231</v>
      </c>
      <c r="E266" s="160">
        <f>E265+E264</f>
        <v>1550687.3410608794</v>
      </c>
      <c r="F266" s="385"/>
      <c r="G266" s="246"/>
    </row>
    <row r="267" spans="1:10" s="384" customFormat="1" ht="16.5" thickTop="1" thickBot="1"/>
    <row r="268" spans="1:10" s="384" customFormat="1" ht="15.75">
      <c r="A268" s="73" t="s">
        <v>141</v>
      </c>
      <c r="B268" s="78"/>
      <c r="C268" s="79"/>
      <c r="D268" s="80"/>
      <c r="E268" s="81"/>
      <c r="G268" s="5"/>
      <c r="H268" s="5"/>
      <c r="I268" s="48"/>
      <c r="J268" s="48"/>
    </row>
    <row r="269" spans="1:10" s="384" customFormat="1" ht="15.75">
      <c r="A269" s="219">
        <v>41608</v>
      </c>
      <c r="B269" s="137"/>
      <c r="C269" s="11"/>
      <c r="D269" s="138"/>
      <c r="E269" s="77"/>
      <c r="G269" s="5"/>
      <c r="H269" s="5"/>
      <c r="I269" s="48"/>
      <c r="J269" s="48"/>
    </row>
    <row r="270" spans="1:10" s="384" customFormat="1" ht="16.5" thickBot="1">
      <c r="A270" s="139"/>
      <c r="B270" s="140"/>
      <c r="C270" s="131" t="s">
        <v>21</v>
      </c>
      <c r="D270" s="131" t="s">
        <v>22</v>
      </c>
      <c r="E270" s="128" t="s">
        <v>23</v>
      </c>
      <c r="F270" s="385"/>
      <c r="G270" s="385"/>
      <c r="H270" s="385"/>
      <c r="I270" s="385"/>
      <c r="J270" s="385"/>
    </row>
    <row r="271" spans="1:10" s="384" customFormat="1" ht="15.75">
      <c r="A271" s="50" t="s">
        <v>24</v>
      </c>
      <c r="B271" s="95">
        <v>101</v>
      </c>
      <c r="C271" s="206">
        <v>15070678</v>
      </c>
      <c r="D271" s="389" t="s">
        <v>187</v>
      </c>
      <c r="E271" s="168">
        <v>-28858.639999999999</v>
      </c>
      <c r="F271" s="385"/>
      <c r="G271" s="385"/>
      <c r="H271" s="385"/>
      <c r="I271" s="385"/>
      <c r="J271" s="385"/>
    </row>
    <row r="272" spans="1:10" s="384" customFormat="1" ht="16.5" thickBot="1">
      <c r="A272" s="50" t="s">
        <v>24</v>
      </c>
      <c r="B272" s="95">
        <v>111</v>
      </c>
      <c r="C272" s="206">
        <v>5651303</v>
      </c>
      <c r="D272" s="389" t="s">
        <v>187</v>
      </c>
      <c r="E272" s="168">
        <v>-36478.370000000003</v>
      </c>
      <c r="F272" s="385"/>
      <c r="G272" s="123">
        <f>A269</f>
        <v>41608</v>
      </c>
      <c r="H272" s="385"/>
      <c r="I272" s="385"/>
      <c r="J272" s="385"/>
    </row>
    <row r="273" spans="1:10" s="384" customFormat="1" ht="16.5" thickBot="1">
      <c r="A273" s="50" t="s">
        <v>24</v>
      </c>
      <c r="B273" s="95">
        <v>112</v>
      </c>
      <c r="C273" s="206">
        <v>0</v>
      </c>
      <c r="D273" s="389" t="s">
        <v>187</v>
      </c>
      <c r="E273" s="168">
        <v>0</v>
      </c>
      <c r="F273" s="385"/>
      <c r="G273" s="113" t="s">
        <v>25</v>
      </c>
      <c r="H273" s="205"/>
      <c r="I273" s="126" t="s">
        <v>18</v>
      </c>
      <c r="J273" s="126" t="s">
        <v>19</v>
      </c>
    </row>
    <row r="274" spans="1:10" s="384" customFormat="1" ht="15.75">
      <c r="A274" s="50" t="s">
        <v>24</v>
      </c>
      <c r="B274" s="95">
        <v>121</v>
      </c>
      <c r="C274" s="206">
        <v>396185</v>
      </c>
      <c r="D274" s="389" t="s">
        <v>187</v>
      </c>
      <c r="E274" s="168">
        <v>-16940.830000000002</v>
      </c>
      <c r="F274" s="385"/>
      <c r="G274" s="151" t="s">
        <v>28</v>
      </c>
      <c r="H274" s="152" t="s">
        <v>75</v>
      </c>
      <c r="I274" s="468"/>
      <c r="J274" s="469">
        <f>IF(-E286&lt;0,-E286,0)</f>
        <v>-4107.12</v>
      </c>
    </row>
    <row r="275" spans="1:10" s="384" customFormat="1" ht="15.75">
      <c r="A275" s="50" t="s">
        <v>24</v>
      </c>
      <c r="B275" s="95">
        <v>122</v>
      </c>
      <c r="C275" s="206">
        <v>0</v>
      </c>
      <c r="D275" s="389" t="s">
        <v>187</v>
      </c>
      <c r="E275" s="168">
        <v>0</v>
      </c>
      <c r="F275" s="385"/>
      <c r="G275" s="153" t="s">
        <v>29</v>
      </c>
      <c r="H275" s="7" t="s">
        <v>76</v>
      </c>
      <c r="I275" s="470">
        <f>IF(-E286&gt;0,-E286,0)</f>
        <v>0</v>
      </c>
      <c r="J275" s="460"/>
    </row>
    <row r="276" spans="1:10" s="384" customFormat="1" ht="15.75">
      <c r="A276" s="50" t="s">
        <v>24</v>
      </c>
      <c r="B276" s="95">
        <v>131</v>
      </c>
      <c r="C276" s="206">
        <v>0</v>
      </c>
      <c r="D276" s="389" t="s">
        <v>187</v>
      </c>
      <c r="E276" s="168">
        <v>0</v>
      </c>
      <c r="F276" s="385"/>
      <c r="G276" s="153" t="s">
        <v>97</v>
      </c>
      <c r="H276" s="7" t="s">
        <v>26</v>
      </c>
      <c r="I276" s="470">
        <f>IF(-E284&gt;0,-E284,0)</f>
        <v>68424.86</v>
      </c>
      <c r="J276" s="460">
        <f>IF(-E284&lt;0,-E284,0)</f>
        <v>0</v>
      </c>
    </row>
    <row r="277" spans="1:10" s="384" customFormat="1" ht="15.75">
      <c r="A277" s="50" t="s">
        <v>24</v>
      </c>
      <c r="B277" s="95">
        <v>132</v>
      </c>
      <c r="C277" s="206">
        <v>0</v>
      </c>
      <c r="D277" s="389" t="s">
        <v>187</v>
      </c>
      <c r="E277" s="168">
        <v>0</v>
      </c>
      <c r="F277" s="385"/>
      <c r="G277" s="153" t="s">
        <v>10</v>
      </c>
      <c r="H277" s="7" t="s">
        <v>17</v>
      </c>
      <c r="I277" s="470"/>
      <c r="J277" s="460"/>
    </row>
    <row r="278" spans="1:10" s="384" customFormat="1" ht="16.5" thickBot="1">
      <c r="A278" s="50" t="s">
        <v>24</v>
      </c>
      <c r="B278" s="95">
        <v>146</v>
      </c>
      <c r="C278" s="206">
        <v>2936207</v>
      </c>
      <c r="D278" s="389" t="s">
        <v>187</v>
      </c>
      <c r="E278" s="168">
        <v>0</v>
      </c>
      <c r="F278" s="385"/>
      <c r="G278" s="154" t="s">
        <v>98</v>
      </c>
      <c r="H278" s="147" t="s">
        <v>27</v>
      </c>
      <c r="I278" s="462">
        <f>IF(-(E266-E287)&lt;0,0,-(E266-E287))</f>
        <v>0</v>
      </c>
      <c r="J278" s="471">
        <f>IF(-(E266-E287)&gt;0,0,-(E266-E287))</f>
        <v>-64317.739999999991</v>
      </c>
    </row>
    <row r="279" spans="1:10" s="384" customFormat="1" ht="15.75">
      <c r="A279" s="50" t="s">
        <v>151</v>
      </c>
      <c r="B279" s="95"/>
      <c r="C279" s="206"/>
      <c r="D279" s="389"/>
      <c r="E279" s="168">
        <v>0</v>
      </c>
      <c r="F279" s="385"/>
      <c r="G279" s="385"/>
      <c r="H279" s="385"/>
      <c r="I279" s="385"/>
      <c r="J279" s="338">
        <f>SUM(I274:J278)</f>
        <v>0</v>
      </c>
    </row>
    <row r="280" spans="1:10" s="384" customFormat="1" ht="15.75">
      <c r="A280" s="141" t="s">
        <v>143</v>
      </c>
      <c r="B280" s="95">
        <v>146</v>
      </c>
      <c r="C280" s="206"/>
      <c r="D280" s="121"/>
      <c r="E280" s="168">
        <v>0</v>
      </c>
      <c r="F280" s="385"/>
      <c r="G280" s="123"/>
      <c r="H280" s="7"/>
      <c r="I280" s="7"/>
      <c r="J280" s="7"/>
    </row>
    <row r="281" spans="1:10" s="384" customFormat="1" ht="15.75">
      <c r="A281" s="141" t="s">
        <v>105</v>
      </c>
      <c r="B281" s="95"/>
      <c r="C281" s="206"/>
      <c r="D281" s="121"/>
      <c r="E281" s="226">
        <v>13852.98</v>
      </c>
      <c r="F281" s="385"/>
      <c r="G281" s="123"/>
      <c r="H281" s="7"/>
      <c r="I281" s="12"/>
      <c r="J281" s="12"/>
    </row>
    <row r="282" spans="1:10" s="384" customFormat="1" ht="16.5" thickBot="1">
      <c r="A282" s="50"/>
      <c r="B282" s="95"/>
      <c r="C282" s="159">
        <f>SUM(C271:C281)</f>
        <v>24054373</v>
      </c>
      <c r="D282" s="142"/>
      <c r="E282" s="207">
        <f>SUM(E271:E281)</f>
        <v>-68424.86</v>
      </c>
      <c r="F282" s="385">
        <f>SUM(E271:E274)</f>
        <v>-82277.84</v>
      </c>
      <c r="G282" s="123"/>
      <c r="H282" s="7"/>
      <c r="I282" s="7"/>
      <c r="J282" s="8"/>
    </row>
    <row r="283" spans="1:10" s="384" customFormat="1" ht="16.5" thickTop="1">
      <c r="A283" s="50"/>
      <c r="B283" s="95"/>
      <c r="C283" s="224">
        <v>24054373</v>
      </c>
      <c r="D283" s="142" t="s">
        <v>161</v>
      </c>
      <c r="E283" s="156">
        <v>0</v>
      </c>
      <c r="F283" s="385"/>
      <c r="G283" s="11"/>
      <c r="H283" s="7"/>
      <c r="I283" s="8"/>
      <c r="J283" s="7"/>
    </row>
    <row r="284" spans="1:10" s="384" customFormat="1" ht="16.5" thickBot="1">
      <c r="A284" s="50"/>
      <c r="B284" s="95"/>
      <c r="C284" s="230">
        <f>C283-C282</f>
        <v>0</v>
      </c>
      <c r="D284" s="142"/>
      <c r="E284" s="160">
        <f>SUM(E282:E283)</f>
        <v>-68424.86</v>
      </c>
      <c r="F284" s="385"/>
      <c r="G284" s="65" t="s">
        <v>158</v>
      </c>
      <c r="H284" s="7"/>
      <c r="I284" s="7"/>
      <c r="J284" s="7"/>
    </row>
    <row r="285" spans="1:10" s="384" customFormat="1" ht="16.5" thickTop="1">
      <c r="A285" s="385"/>
      <c r="B285" s="385"/>
      <c r="C285" s="385"/>
      <c r="D285" s="142" t="s">
        <v>87</v>
      </c>
      <c r="E285" s="50">
        <f>E284+E266</f>
        <v>1482262.4810608793</v>
      </c>
      <c r="F285" s="385"/>
      <c r="G285" s="8">
        <f>(E266*(D286/12))+(E284*(D286/24))</f>
        <v>4107.1195507898819</v>
      </c>
      <c r="H285" s="466"/>
      <c r="I285" s="466"/>
      <c r="J285" s="7"/>
    </row>
    <row r="286" spans="1:10" s="384" customFormat="1" ht="15.75">
      <c r="A286" s="385"/>
      <c r="B286" s="385"/>
      <c r="C286" s="50" t="s">
        <v>57</v>
      </c>
      <c r="D286" s="225">
        <v>3.2500000000000001E-2</v>
      </c>
      <c r="E286" s="119">
        <f>ROUND(((E266)+(SUM(E284))/2)*(D286/12),2)</f>
        <v>4107.12</v>
      </c>
      <c r="F286" s="385"/>
      <c r="G286" s="8"/>
      <c r="H286" s="7"/>
      <c r="I286" s="12"/>
      <c r="J286" s="12"/>
    </row>
    <row r="287" spans="1:10" s="384" customFormat="1" ht="15.75">
      <c r="A287" s="385"/>
      <c r="B287" s="385"/>
      <c r="C287" s="50" t="s">
        <v>1</v>
      </c>
      <c r="D287" s="90">
        <f>A269</f>
        <v>41608</v>
      </c>
      <c r="E287" s="50">
        <f>SUM(E285:E286)</f>
        <v>1486369.6010608794</v>
      </c>
      <c r="F287" s="385"/>
      <c r="G287" s="246"/>
    </row>
    <row r="288" spans="1:10" s="384" customFormat="1" ht="15.75" thickBot="1"/>
    <row r="289" spans="1:10" s="384" customFormat="1" ht="15.75">
      <c r="A289" s="73" t="s">
        <v>141</v>
      </c>
      <c r="B289" s="78"/>
      <c r="C289" s="79"/>
      <c r="D289" s="80"/>
      <c r="E289" s="81"/>
      <c r="G289" s="5"/>
      <c r="H289" s="5"/>
      <c r="I289" s="48"/>
      <c r="J289" s="48"/>
    </row>
    <row r="290" spans="1:10" s="384" customFormat="1" ht="15.75">
      <c r="A290" s="219">
        <f>EOMONTH(A269,1)</f>
        <v>41639</v>
      </c>
      <c r="B290" s="137"/>
      <c r="C290" s="11"/>
      <c r="D290" s="138"/>
      <c r="E290" s="77"/>
      <c r="G290" s="5"/>
      <c r="H290" s="5"/>
      <c r="I290" s="48"/>
      <c r="J290" s="48"/>
    </row>
    <row r="291" spans="1:10" s="384" customFormat="1" ht="16.5" thickBot="1">
      <c r="A291" s="139"/>
      <c r="B291" s="140"/>
      <c r="C291" s="131" t="s">
        <v>21</v>
      </c>
      <c r="D291" s="131" t="s">
        <v>22</v>
      </c>
      <c r="E291" s="128" t="s">
        <v>23</v>
      </c>
      <c r="F291" s="385"/>
      <c r="G291" s="385"/>
      <c r="H291" s="385"/>
      <c r="I291" s="385"/>
      <c r="J291" s="385"/>
    </row>
    <row r="292" spans="1:10" s="384" customFormat="1" ht="15.75">
      <c r="A292" s="50" t="s">
        <v>24</v>
      </c>
      <c r="B292" s="95">
        <v>101</v>
      </c>
      <c r="C292" s="206">
        <f>Jan!$G$23</f>
        <v>20257484</v>
      </c>
      <c r="D292" s="389" t="s">
        <v>187</v>
      </c>
      <c r="E292" s="168">
        <v>-56737.25</v>
      </c>
      <c r="F292" s="385"/>
      <c r="G292" s="385"/>
      <c r="H292" s="385"/>
      <c r="I292" s="385"/>
      <c r="J292" s="385"/>
    </row>
    <row r="293" spans="1:10" s="384" customFormat="1" ht="16.5" thickBot="1">
      <c r="A293" s="50" t="s">
        <v>24</v>
      </c>
      <c r="B293" s="95">
        <v>111</v>
      </c>
      <c r="C293" s="206">
        <f>Jan!$G$25</f>
        <v>6608892</v>
      </c>
      <c r="D293" s="389" t="s">
        <v>187</v>
      </c>
      <c r="E293" s="168">
        <v>-36348.93</v>
      </c>
      <c r="F293" s="385"/>
      <c r="G293" s="123">
        <f>A290</f>
        <v>41639</v>
      </c>
      <c r="H293" s="385"/>
      <c r="I293" s="385"/>
      <c r="J293" s="385"/>
    </row>
    <row r="294" spans="1:10" s="384" customFormat="1" ht="16.5" thickBot="1">
      <c r="A294" s="50" t="s">
        <v>24</v>
      </c>
      <c r="B294" s="95">
        <v>112</v>
      </c>
      <c r="C294" s="206">
        <f>Jan!$G$26</f>
        <v>10558</v>
      </c>
      <c r="D294" s="389" t="s">
        <v>187</v>
      </c>
      <c r="E294" s="168">
        <v>0</v>
      </c>
      <c r="F294" s="385"/>
      <c r="G294" s="113" t="s">
        <v>25</v>
      </c>
      <c r="H294" s="205"/>
      <c r="I294" s="126" t="s">
        <v>18</v>
      </c>
      <c r="J294" s="126" t="s">
        <v>19</v>
      </c>
    </row>
    <row r="295" spans="1:10" s="384" customFormat="1" ht="15.75">
      <c r="A295" s="50" t="s">
        <v>24</v>
      </c>
      <c r="B295" s="95">
        <v>121</v>
      </c>
      <c r="C295" s="206">
        <f>Jan!$G$27</f>
        <v>362835</v>
      </c>
      <c r="D295" s="389" t="s">
        <v>187</v>
      </c>
      <c r="E295" s="168">
        <v>-8844.16</v>
      </c>
      <c r="F295" s="385"/>
      <c r="G295" s="151" t="s">
        <v>28</v>
      </c>
      <c r="H295" s="152" t="s">
        <v>75</v>
      </c>
      <c r="I295" s="468"/>
      <c r="J295" s="469">
        <f>IF(-E307&lt;0,-E307,0)</f>
        <v>-3887.55</v>
      </c>
    </row>
    <row r="296" spans="1:10" s="384" customFormat="1" ht="15.75">
      <c r="A296" s="50" t="s">
        <v>24</v>
      </c>
      <c r="B296" s="95">
        <v>122</v>
      </c>
      <c r="C296" s="206">
        <v>0</v>
      </c>
      <c r="D296" s="389" t="s">
        <v>187</v>
      </c>
      <c r="E296" s="168">
        <v>0</v>
      </c>
      <c r="F296" s="385"/>
      <c r="G296" s="153" t="s">
        <v>29</v>
      </c>
      <c r="H296" s="7" t="s">
        <v>76</v>
      </c>
      <c r="I296" s="470">
        <f>IF(-E307&gt;0,-E307,0)</f>
        <v>0</v>
      </c>
      <c r="J296" s="460"/>
    </row>
    <row r="297" spans="1:10" s="384" customFormat="1" ht="15.75">
      <c r="A297" s="50" t="s">
        <v>24</v>
      </c>
      <c r="B297" s="95">
        <v>131</v>
      </c>
      <c r="C297" s="206">
        <f>Jan!$G$29</f>
        <v>0</v>
      </c>
      <c r="D297" s="389" t="s">
        <v>187</v>
      </c>
      <c r="E297" s="168">
        <v>0</v>
      </c>
      <c r="F297" s="385"/>
      <c r="G297" s="153" t="s">
        <v>97</v>
      </c>
      <c r="H297" s="7" t="s">
        <v>26</v>
      </c>
      <c r="I297" s="470">
        <f>IF(-E305&gt;0,-E305,0)</f>
        <v>101930.34</v>
      </c>
      <c r="J297" s="460">
        <f>IF(-E305&lt;0,-E305,0)</f>
        <v>0</v>
      </c>
    </row>
    <row r="298" spans="1:10" s="384" customFormat="1" ht="15.75">
      <c r="A298" s="50" t="s">
        <v>24</v>
      </c>
      <c r="B298" s="95">
        <v>132</v>
      </c>
      <c r="C298" s="206">
        <v>0</v>
      </c>
      <c r="D298" s="389" t="s">
        <v>187</v>
      </c>
      <c r="E298" s="168">
        <v>0</v>
      </c>
      <c r="F298" s="385"/>
      <c r="G298" s="153" t="s">
        <v>10</v>
      </c>
      <c r="H298" s="7" t="s">
        <v>17</v>
      </c>
      <c r="I298" s="470"/>
      <c r="J298" s="460"/>
    </row>
    <row r="299" spans="1:10" s="384" customFormat="1" ht="16.5" thickBot="1">
      <c r="A299" s="50" t="s">
        <v>24</v>
      </c>
      <c r="B299" s="95">
        <v>146</v>
      </c>
      <c r="C299" s="206">
        <f>Jan!$G$31</f>
        <v>3629622</v>
      </c>
      <c r="D299" s="389" t="s">
        <v>187</v>
      </c>
      <c r="E299" s="168">
        <v>0</v>
      </c>
      <c r="F299" s="385"/>
      <c r="G299" s="154" t="s">
        <v>98</v>
      </c>
      <c r="H299" s="147" t="s">
        <v>27</v>
      </c>
      <c r="I299" s="462">
        <f>IF(-(E287-E308)&lt;0,0,-(E287-E308))</f>
        <v>0</v>
      </c>
      <c r="J299" s="471">
        <f>IF(-(E287-E308)&gt;0,0,-(E287-E308))</f>
        <v>-98042.790000000037</v>
      </c>
    </row>
    <row r="300" spans="1:10" s="384" customFormat="1" ht="15.75">
      <c r="A300" s="50" t="s">
        <v>151</v>
      </c>
      <c r="B300" s="95"/>
      <c r="C300" s="206"/>
      <c r="D300" s="389"/>
      <c r="E300" s="168">
        <v>0</v>
      </c>
      <c r="F300" s="385"/>
      <c r="G300" s="385"/>
      <c r="H300" s="385"/>
      <c r="I300" s="385"/>
      <c r="J300" s="338">
        <f>SUM(I295:J299)</f>
        <v>0</v>
      </c>
    </row>
    <row r="301" spans="1:10" s="384" customFormat="1" ht="15.75">
      <c r="A301" s="141" t="s">
        <v>143</v>
      </c>
      <c r="B301" s="95">
        <v>146</v>
      </c>
      <c r="C301" s="206"/>
      <c r="D301" s="121"/>
      <c r="E301" s="168">
        <v>0</v>
      </c>
      <c r="F301" s="385"/>
      <c r="G301" s="123"/>
      <c r="H301" s="7"/>
      <c r="I301" s="7"/>
      <c r="J301" s="7"/>
    </row>
    <row r="302" spans="1:10" s="384" customFormat="1" ht="15.75">
      <c r="A302" s="141" t="s">
        <v>105</v>
      </c>
      <c r="B302" s="95"/>
      <c r="C302" s="206"/>
      <c r="D302" s="121"/>
      <c r="E302" s="226">
        <v>0</v>
      </c>
      <c r="F302" s="385"/>
      <c r="G302" s="123"/>
      <c r="H302" s="7"/>
      <c r="I302" s="12"/>
      <c r="J302" s="12"/>
    </row>
    <row r="303" spans="1:10" s="384" customFormat="1" ht="16.5" thickBot="1">
      <c r="A303" s="50"/>
      <c r="B303" s="95"/>
      <c r="C303" s="159">
        <f>SUM(C292:C302)</f>
        <v>30869391</v>
      </c>
      <c r="D303" s="142"/>
      <c r="E303" s="207">
        <f>SUM(E292:E302)</f>
        <v>-101930.34</v>
      </c>
      <c r="F303" s="385"/>
      <c r="G303" s="123"/>
      <c r="H303" s="7"/>
      <c r="I303" s="7"/>
      <c r="J303" s="8"/>
    </row>
    <row r="304" spans="1:10" s="384" customFormat="1" ht="16.5" thickTop="1">
      <c r="A304" s="50"/>
      <c r="B304" s="95"/>
      <c r="C304" s="224">
        <v>34418458</v>
      </c>
      <c r="D304" s="142" t="s">
        <v>161</v>
      </c>
      <c r="E304" s="156">
        <v>0</v>
      </c>
      <c r="F304" s="385"/>
      <c r="G304" s="11"/>
      <c r="H304" s="7"/>
      <c r="I304" s="8"/>
      <c r="J304" s="7"/>
    </row>
    <row r="305" spans="1:10" s="384" customFormat="1" ht="16.5" thickBot="1">
      <c r="A305" s="50"/>
      <c r="B305" s="95"/>
      <c r="C305" s="230">
        <f>C304-C303</f>
        <v>3549067</v>
      </c>
      <c r="D305" s="142"/>
      <c r="E305" s="160">
        <f>SUM(E303:E304)</f>
        <v>-101930.34</v>
      </c>
      <c r="F305" s="385"/>
      <c r="G305" s="65" t="s">
        <v>158</v>
      </c>
      <c r="H305" s="7"/>
      <c r="I305" s="7"/>
      <c r="J305" s="7"/>
    </row>
    <row r="306" spans="1:10" s="384" customFormat="1" ht="16.5" thickTop="1">
      <c r="A306" s="385"/>
      <c r="B306" s="385"/>
      <c r="C306" s="385"/>
      <c r="D306" s="142" t="s">
        <v>87</v>
      </c>
      <c r="E306" s="50">
        <f>E305+E287</f>
        <v>1384439.2610608793</v>
      </c>
      <c r="F306" s="385"/>
      <c r="G306" s="8">
        <f>(E287*(D307/12))+(E305*(D307/24))</f>
        <v>3887.5536674565483</v>
      </c>
      <c r="H306" s="472"/>
      <c r="I306" s="472"/>
      <c r="J306" s="7"/>
    </row>
    <row r="307" spans="1:10" s="384" customFormat="1" ht="15.75">
      <c r="A307" s="385"/>
      <c r="B307" s="385"/>
      <c r="C307" s="50" t="s">
        <v>57</v>
      </c>
      <c r="D307" s="225">
        <v>3.2500000000000001E-2</v>
      </c>
      <c r="E307" s="119">
        <f>ROUND(((E287)+(SUM(E305))/2)*(D307/12),2)</f>
        <v>3887.55</v>
      </c>
      <c r="F307" s="385"/>
      <c r="G307" s="8"/>
      <c r="H307" s="7"/>
      <c r="I307" s="12"/>
      <c r="J307" s="12"/>
    </row>
    <row r="308" spans="1:10" s="384" customFormat="1" ht="15.75">
      <c r="A308" s="385"/>
      <c r="B308" s="385"/>
      <c r="C308" s="50" t="s">
        <v>1</v>
      </c>
      <c r="D308" s="90">
        <f>A290</f>
        <v>41639</v>
      </c>
      <c r="E308" s="50">
        <f>SUM(E306:E307)</f>
        <v>1388326.8110608794</v>
      </c>
      <c r="F308" s="385"/>
      <c r="G308" s="475" t="s">
        <v>244</v>
      </c>
      <c r="H308" s="476" t="e">
        <f>_xll.Get_Balance(I308,"YTD","USD","Total","A","","001","191000","GD","WA","DL")-E308</f>
        <v>#VALUE!</v>
      </c>
      <c r="I308" s="477">
        <v>201312</v>
      </c>
    </row>
    <row r="309" spans="1:10" s="384" customFormat="1"/>
  </sheetData>
  <mergeCells count="1">
    <mergeCell ref="G67:I70"/>
  </mergeCells>
  <conditionalFormatting sqref="C28">
    <cfRule type="cellIs" dxfId="67" priority="68" operator="notEqual">
      <formula>0</formula>
    </cfRule>
  </conditionalFormatting>
  <conditionalFormatting sqref="J23">
    <cfRule type="cellIs" dxfId="66" priority="66" stopIfTrue="1" operator="equal">
      <formula>0</formula>
    </cfRule>
    <cfRule type="cellIs" dxfId="65" priority="67" stopIfTrue="1" operator="notEqual">
      <formula>0</formula>
    </cfRule>
  </conditionalFormatting>
  <conditionalFormatting sqref="C51">
    <cfRule type="cellIs" dxfId="64" priority="65" operator="notEqual">
      <formula>0</formula>
    </cfRule>
  </conditionalFormatting>
  <conditionalFormatting sqref="J46">
    <cfRule type="cellIs" dxfId="63" priority="63" stopIfTrue="1" operator="equal">
      <formula>0</formula>
    </cfRule>
    <cfRule type="cellIs" dxfId="62" priority="64" stopIfTrue="1" operator="notEqual">
      <formula>0</formula>
    </cfRule>
  </conditionalFormatting>
  <conditionalFormatting sqref="J46">
    <cfRule type="cellIs" dxfId="61" priority="61" stopIfTrue="1" operator="equal">
      <formula>0</formula>
    </cfRule>
    <cfRule type="cellIs" dxfId="60" priority="62" stopIfTrue="1" operator="notEqual">
      <formula>0</formula>
    </cfRule>
  </conditionalFormatting>
  <conditionalFormatting sqref="C72">
    <cfRule type="cellIs" dxfId="59" priority="60" operator="notEqual">
      <formula>0</formula>
    </cfRule>
  </conditionalFormatting>
  <conditionalFormatting sqref="J67">
    <cfRule type="cellIs" dxfId="58" priority="58" stopIfTrue="1" operator="equal">
      <formula>0</formula>
    </cfRule>
    <cfRule type="cellIs" dxfId="57" priority="59" stopIfTrue="1" operator="notEqual">
      <formula>0</formula>
    </cfRule>
  </conditionalFormatting>
  <conditionalFormatting sqref="J67">
    <cfRule type="cellIs" dxfId="56" priority="56" stopIfTrue="1" operator="equal">
      <formula>0</formula>
    </cfRule>
    <cfRule type="cellIs" dxfId="55" priority="57" stopIfTrue="1" operator="notEqual">
      <formula>0</formula>
    </cfRule>
  </conditionalFormatting>
  <conditionalFormatting sqref="C93">
    <cfRule type="cellIs" dxfId="54" priority="55" operator="notEqual">
      <formula>0</formula>
    </cfRule>
  </conditionalFormatting>
  <conditionalFormatting sqref="J88">
    <cfRule type="cellIs" dxfId="53" priority="53" stopIfTrue="1" operator="equal">
      <formula>0</formula>
    </cfRule>
    <cfRule type="cellIs" dxfId="52" priority="54" stopIfTrue="1" operator="notEqual">
      <formula>0</formula>
    </cfRule>
  </conditionalFormatting>
  <conditionalFormatting sqref="J88">
    <cfRule type="cellIs" dxfId="51" priority="51" stopIfTrue="1" operator="equal">
      <formula>0</formula>
    </cfRule>
    <cfRule type="cellIs" dxfId="50" priority="52" stopIfTrue="1" operator="notEqual">
      <formula>0</formula>
    </cfRule>
  </conditionalFormatting>
  <conditionalFormatting sqref="C114">
    <cfRule type="cellIs" dxfId="49" priority="50" operator="notEqual">
      <formula>0</formula>
    </cfRule>
  </conditionalFormatting>
  <conditionalFormatting sqref="J109">
    <cfRule type="cellIs" dxfId="48" priority="48" stopIfTrue="1" operator="equal">
      <formula>0</formula>
    </cfRule>
    <cfRule type="cellIs" dxfId="47" priority="49" stopIfTrue="1" operator="notEqual">
      <formula>0</formula>
    </cfRule>
  </conditionalFormatting>
  <conditionalFormatting sqref="J109">
    <cfRule type="cellIs" dxfId="46" priority="46" stopIfTrue="1" operator="equal">
      <formula>0</formula>
    </cfRule>
    <cfRule type="cellIs" dxfId="45" priority="47" stopIfTrue="1" operator="notEqual">
      <formula>0</formula>
    </cfRule>
  </conditionalFormatting>
  <conditionalFormatting sqref="C135">
    <cfRule type="cellIs" dxfId="44" priority="45" operator="notEqual">
      <formula>0</formula>
    </cfRule>
  </conditionalFormatting>
  <conditionalFormatting sqref="J130">
    <cfRule type="cellIs" dxfId="43" priority="43" stopIfTrue="1" operator="equal">
      <formula>0</formula>
    </cfRule>
    <cfRule type="cellIs" dxfId="42" priority="44" stopIfTrue="1" operator="notEqual">
      <formula>0</formula>
    </cfRule>
  </conditionalFormatting>
  <conditionalFormatting sqref="J130">
    <cfRule type="cellIs" dxfId="41" priority="41" stopIfTrue="1" operator="equal">
      <formula>0</formula>
    </cfRule>
    <cfRule type="cellIs" dxfId="40" priority="42" stopIfTrue="1" operator="notEqual">
      <formula>0</formula>
    </cfRule>
  </conditionalFormatting>
  <conditionalFormatting sqref="C156">
    <cfRule type="cellIs" dxfId="39" priority="40" operator="notEqual">
      <formula>0</formula>
    </cfRule>
  </conditionalFormatting>
  <conditionalFormatting sqref="J151">
    <cfRule type="cellIs" dxfId="38" priority="38" stopIfTrue="1" operator="equal">
      <formula>0</formula>
    </cfRule>
    <cfRule type="cellIs" dxfId="37" priority="39" stopIfTrue="1" operator="notEqual">
      <formula>0</formula>
    </cfRule>
  </conditionalFormatting>
  <conditionalFormatting sqref="J151">
    <cfRule type="cellIs" dxfId="36" priority="36" stopIfTrue="1" operator="equal">
      <formula>0</formula>
    </cfRule>
    <cfRule type="cellIs" dxfId="35" priority="37" stopIfTrue="1" operator="notEqual">
      <formula>0</formula>
    </cfRule>
  </conditionalFormatting>
  <conditionalFormatting sqref="C177">
    <cfRule type="cellIs" dxfId="34" priority="35" operator="notEqual">
      <formula>0</formula>
    </cfRule>
  </conditionalFormatting>
  <conditionalFormatting sqref="J172">
    <cfRule type="cellIs" dxfId="33" priority="33" stopIfTrue="1" operator="equal">
      <formula>0</formula>
    </cfRule>
    <cfRule type="cellIs" dxfId="32" priority="34" stopIfTrue="1" operator="notEqual">
      <formula>0</formula>
    </cfRule>
  </conditionalFormatting>
  <conditionalFormatting sqref="J172">
    <cfRule type="cellIs" dxfId="31" priority="31" stopIfTrue="1" operator="equal">
      <formula>0</formula>
    </cfRule>
    <cfRule type="cellIs" dxfId="30" priority="32" stopIfTrue="1" operator="notEqual">
      <formula>0</formula>
    </cfRule>
  </conditionalFormatting>
  <conditionalFormatting sqref="C198">
    <cfRule type="cellIs" dxfId="29" priority="30" operator="notEqual">
      <formula>0</formula>
    </cfRule>
  </conditionalFormatting>
  <conditionalFormatting sqref="J193">
    <cfRule type="cellIs" dxfId="28" priority="28" stopIfTrue="1" operator="equal">
      <formula>0</formula>
    </cfRule>
    <cfRule type="cellIs" dxfId="27" priority="29" stopIfTrue="1" operator="notEqual">
      <formula>0</formula>
    </cfRule>
  </conditionalFormatting>
  <conditionalFormatting sqref="J193">
    <cfRule type="cellIs" dxfId="26" priority="26" stopIfTrue="1" operator="equal">
      <formula>0</formula>
    </cfRule>
    <cfRule type="cellIs" dxfId="25" priority="27" stopIfTrue="1" operator="notEqual">
      <formula>0</formula>
    </cfRule>
  </conditionalFormatting>
  <conditionalFormatting sqref="C219">
    <cfRule type="cellIs" dxfId="24" priority="25" operator="notEqual">
      <formula>0</formula>
    </cfRule>
  </conditionalFormatting>
  <conditionalFormatting sqref="J214">
    <cfRule type="cellIs" dxfId="23" priority="23" stopIfTrue="1" operator="equal">
      <formula>0</formula>
    </cfRule>
    <cfRule type="cellIs" dxfId="22" priority="24" stopIfTrue="1" operator="notEqual">
      <formula>0</formula>
    </cfRule>
  </conditionalFormatting>
  <conditionalFormatting sqref="J214">
    <cfRule type="cellIs" dxfId="21" priority="21" stopIfTrue="1" operator="equal">
      <formula>0</formula>
    </cfRule>
    <cfRule type="cellIs" dxfId="20" priority="22" stopIfTrue="1" operator="notEqual">
      <formula>0</formula>
    </cfRule>
  </conditionalFormatting>
  <conditionalFormatting sqref="C240">
    <cfRule type="cellIs" dxfId="19" priority="20" operator="notEqual">
      <formula>0</formula>
    </cfRule>
  </conditionalFormatting>
  <conditionalFormatting sqref="J235">
    <cfRule type="cellIs" dxfId="18" priority="18" stopIfTrue="1" operator="equal">
      <formula>0</formula>
    </cfRule>
    <cfRule type="cellIs" dxfId="17" priority="19" stopIfTrue="1" operator="notEqual">
      <formula>0</formula>
    </cfRule>
  </conditionalFormatting>
  <conditionalFormatting sqref="J235">
    <cfRule type="cellIs" dxfId="16" priority="16" stopIfTrue="1" operator="equal">
      <formula>0</formula>
    </cfRule>
    <cfRule type="cellIs" dxfId="15" priority="17" stopIfTrue="1" operator="notEqual">
      <formula>0</formula>
    </cfRule>
  </conditionalFormatting>
  <conditionalFormatting sqref="C261">
    <cfRule type="cellIs" dxfId="14" priority="15" operator="notEqual">
      <formula>0</formula>
    </cfRule>
  </conditionalFormatting>
  <conditionalFormatting sqref="J256">
    <cfRule type="cellIs" dxfId="13" priority="13" stopIfTrue="1" operator="equal">
      <formula>0</formula>
    </cfRule>
    <cfRule type="cellIs" dxfId="12" priority="14" stopIfTrue="1" operator="notEqual">
      <formula>0</formula>
    </cfRule>
  </conditionalFormatting>
  <conditionalFormatting sqref="J256">
    <cfRule type="cellIs" dxfId="11" priority="11" stopIfTrue="1" operator="equal">
      <formula>0</formula>
    </cfRule>
    <cfRule type="cellIs" dxfId="10" priority="12" stopIfTrue="1" operator="notEqual">
      <formula>0</formula>
    </cfRule>
  </conditionalFormatting>
  <conditionalFormatting sqref="C284">
    <cfRule type="cellIs" dxfId="9" priority="10" operator="notEqual">
      <formula>0</formula>
    </cfRule>
  </conditionalFormatting>
  <conditionalFormatting sqref="J279">
    <cfRule type="cellIs" dxfId="8" priority="8" stopIfTrue="1" operator="equal">
      <formula>0</formula>
    </cfRule>
    <cfRule type="cellIs" dxfId="7" priority="9" stopIfTrue="1" operator="notEqual">
      <formula>0</formula>
    </cfRule>
  </conditionalFormatting>
  <conditionalFormatting sqref="J279">
    <cfRule type="cellIs" dxfId="6" priority="6" stopIfTrue="1" operator="equal">
      <formula>0</formula>
    </cfRule>
    <cfRule type="cellIs" dxfId="5" priority="7" stopIfTrue="1" operator="notEqual">
      <formula>0</formula>
    </cfRule>
  </conditionalFormatting>
  <conditionalFormatting sqref="C305">
    <cfRule type="cellIs" dxfId="4" priority="5" operator="notEqual">
      <formula>0</formula>
    </cfRule>
  </conditionalFormatting>
  <conditionalFormatting sqref="J300">
    <cfRule type="cellIs" dxfId="3" priority="3" stopIfTrue="1" operator="equal">
      <formula>0</formula>
    </cfRule>
    <cfRule type="cellIs" dxfId="2" priority="4" stopIfTrue="1" operator="notEqual">
      <formula>0</formula>
    </cfRule>
  </conditionalFormatting>
  <conditionalFormatting sqref="J300">
    <cfRule type="cellIs" dxfId="1" priority="1" stopIfTrue="1" operator="equal">
      <formula>0</formula>
    </cfRule>
    <cfRule type="cellIs" dxfId="0" priority="2" stopIfTrue="1" operator="notEqual">
      <formula>0</formula>
    </cfRule>
  </conditionalFormatting>
  <printOptions gridLinesSet="0"/>
  <pageMargins left="0.5" right="0.25" top="0.92" bottom="0.5" header="0.25" footer="0.25"/>
  <pageSetup scale="45" fitToHeight="2" orientation="portrait" horizontalDpi="300" verticalDpi="300" r:id="rId1"/>
  <headerFooter alignWithMargins="0">
    <oddHeader>&amp;L&amp;12Prior Period Unrecovered Gas Costs
Washington
191000</oddHeader>
    <oddFooter>&amp;L&amp;F&amp;C&amp;A&amp;R&amp;D  &amp;T</oddFooter>
  </headerFooter>
  <customProperties>
    <customPr name="xxe4aPID" r:id="rId2"/>
  </customPropertie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">
    <tabColor rgb="FF00CC66"/>
    <pageSetUpPr fitToPage="1"/>
  </sheetPr>
  <dimension ref="A1:U1485"/>
  <sheetViews>
    <sheetView showGridLines="0" topLeftCell="A25" zoomScale="70" zoomScaleNormal="70" workbookViewId="0">
      <selection activeCell="K36" sqref="K36"/>
    </sheetView>
  </sheetViews>
  <sheetFormatPr defaultColWidth="16" defaultRowHeight="15"/>
  <cols>
    <col min="1" max="1" width="46.28515625" style="1" customWidth="1"/>
    <col min="2" max="2" width="25.5703125" style="1" customWidth="1"/>
    <col min="3" max="3" width="25.28515625" style="1" customWidth="1"/>
    <col min="4" max="4" width="2.7109375" style="30" customWidth="1"/>
    <col min="5" max="5" width="4.28515625" style="1" customWidth="1"/>
    <col min="6" max="6" width="26.7109375" style="1" customWidth="1"/>
    <col min="7" max="7" width="19" style="1" customWidth="1"/>
    <col min="8" max="8" width="22" style="1" customWidth="1"/>
    <col min="9" max="9" width="20.42578125" style="1" customWidth="1"/>
    <col min="10" max="10" width="26.28515625" style="1" customWidth="1"/>
    <col min="11" max="11" width="21.85546875" style="1" bestFit="1" customWidth="1"/>
    <col min="12" max="12" width="23.85546875" style="1" customWidth="1"/>
    <col min="13" max="13" width="20.85546875" style="1" bestFit="1" customWidth="1"/>
    <col min="14" max="15" width="16" style="1"/>
    <col min="16" max="16" width="16.28515625" style="1" bestFit="1" customWidth="1"/>
    <col min="17" max="16384" width="16" style="1"/>
  </cols>
  <sheetData>
    <row r="1" spans="1:13" ht="16.5" thickBot="1">
      <c r="A1" s="145" t="s">
        <v>64</v>
      </c>
      <c r="B1" s="29"/>
      <c r="C1" s="528">
        <v>201801</v>
      </c>
      <c r="F1" s="529">
        <f>C1</f>
        <v>201801</v>
      </c>
      <c r="G1" s="38"/>
      <c r="H1" s="162" t="s">
        <v>69</v>
      </c>
      <c r="I1" s="126" t="s">
        <v>3</v>
      </c>
      <c r="J1" s="126" t="s">
        <v>3</v>
      </c>
      <c r="K1" s="126" t="s">
        <v>66</v>
      </c>
      <c r="L1" s="126" t="s">
        <v>66</v>
      </c>
      <c r="M1" s="38"/>
    </row>
    <row r="2" spans="1:13" ht="15.75">
      <c r="C2" s="31"/>
      <c r="F2" s="38"/>
      <c r="G2" s="38"/>
      <c r="H2" s="163" t="s">
        <v>32</v>
      </c>
      <c r="I2" s="164" t="s">
        <v>65</v>
      </c>
      <c r="J2" s="164" t="s">
        <v>65</v>
      </c>
      <c r="K2" s="164" t="s">
        <v>67</v>
      </c>
      <c r="L2" s="164" t="s">
        <v>67</v>
      </c>
      <c r="M2" s="38"/>
    </row>
    <row r="3" spans="1:13" ht="16.5" thickBot="1">
      <c r="A3" s="63" t="s">
        <v>110</v>
      </c>
      <c r="C3" s="32"/>
      <c r="D3" s="33"/>
      <c r="F3" s="50" t="s">
        <v>72</v>
      </c>
      <c r="G3" s="38"/>
      <c r="H3" s="165" t="s">
        <v>68</v>
      </c>
      <c r="I3" s="165" t="s">
        <v>35</v>
      </c>
      <c r="J3" s="165" t="s">
        <v>63</v>
      </c>
      <c r="K3" s="165" t="s">
        <v>35</v>
      </c>
      <c r="L3" s="165" t="s">
        <v>63</v>
      </c>
      <c r="M3" s="38"/>
    </row>
    <row r="4" spans="1:13" ht="15.75">
      <c r="A4" s="38" t="s">
        <v>88</v>
      </c>
      <c r="C4" s="560">
        <v>3655974.78</v>
      </c>
      <c r="D4" s="34"/>
      <c r="F4" s="38"/>
      <c r="G4" s="38"/>
      <c r="H4" s="11"/>
      <c r="I4" s="38"/>
      <c r="J4" s="38"/>
      <c r="L4" s="38"/>
      <c r="M4" s="38"/>
    </row>
    <row r="5" spans="1:13" ht="14.25" customHeight="1">
      <c r="A5" s="38" t="s">
        <v>31</v>
      </c>
      <c r="C5" s="560">
        <f>28431.47-1275.62</f>
        <v>27155.850000000002</v>
      </c>
      <c r="D5" s="34"/>
      <c r="F5" s="38"/>
      <c r="G5" s="38"/>
      <c r="H5" s="11"/>
      <c r="I5" s="594">
        <v>0.69059999999999999</v>
      </c>
      <c r="J5" s="594">
        <v>0.30940000000000001</v>
      </c>
      <c r="K5" s="445">
        <f>ROUND(G45/(G45+K43),4)</f>
        <v>0.70330000000000004</v>
      </c>
      <c r="L5" s="445">
        <f>1-K5</f>
        <v>0.29669999999999996</v>
      </c>
      <c r="M5" s="38"/>
    </row>
    <row r="6" spans="1:13" ht="16.5" thickBot="1">
      <c r="A6" s="49" t="s">
        <v>30</v>
      </c>
      <c r="C6" s="561">
        <f>-1494747.7-426339.9-121811.4-137037.83-78568.35-98131.26</f>
        <v>-2356636.44</v>
      </c>
      <c r="D6" s="34"/>
      <c r="F6" s="38"/>
      <c r="G6" s="38"/>
      <c r="H6" s="38"/>
      <c r="I6" s="38"/>
      <c r="J6" s="38"/>
      <c r="K6" s="38"/>
      <c r="L6" s="38"/>
      <c r="M6" s="38"/>
    </row>
    <row r="7" spans="1:13" ht="16.5" thickBot="1">
      <c r="A7" s="66" t="s">
        <v>140</v>
      </c>
      <c r="C7" s="100">
        <f>SUM(C4:C6)</f>
        <v>1326494.19</v>
      </c>
      <c r="D7" s="35"/>
      <c r="F7" s="166" t="s">
        <v>139</v>
      </c>
      <c r="G7" s="166"/>
      <c r="H7" s="125">
        <f>C34</f>
        <v>2253440.5299999993</v>
      </c>
      <c r="I7" s="167">
        <f>H7*I5</f>
        <v>1556226.0300179995</v>
      </c>
      <c r="J7" s="167">
        <f>H7*J5</f>
        <v>697214.49998199986</v>
      </c>
      <c r="K7" s="167"/>
      <c r="L7" s="167"/>
      <c r="M7" s="38"/>
    </row>
    <row r="8" spans="1:13" ht="15.75">
      <c r="A8" s="1" t="s">
        <v>89</v>
      </c>
      <c r="C8" s="560">
        <v>252729.32</v>
      </c>
      <c r="D8" s="35"/>
      <c r="F8" s="38"/>
      <c r="G8" s="38"/>
      <c r="H8" s="168"/>
      <c r="I8" s="168"/>
      <c r="J8" s="168"/>
      <c r="K8" s="168"/>
      <c r="L8" s="168"/>
      <c r="M8" s="38"/>
    </row>
    <row r="9" spans="1:13" ht="15.75">
      <c r="A9" s="38" t="s">
        <v>90</v>
      </c>
      <c r="C9" s="560">
        <f>8973.45+5.43</f>
        <v>8978.880000000001</v>
      </c>
      <c r="D9" s="36"/>
      <c r="F9" s="166" t="s">
        <v>119</v>
      </c>
      <c r="G9" s="38"/>
      <c r="H9" s="167">
        <f>C56</f>
        <v>7455235.2899999982</v>
      </c>
      <c r="I9" s="167"/>
      <c r="J9" s="167"/>
      <c r="K9" s="167">
        <f>H9*K5</f>
        <v>5243266.9794569993</v>
      </c>
      <c r="L9" s="167">
        <f>H9*L5</f>
        <v>2211968.3105429993</v>
      </c>
      <c r="M9" s="38"/>
    </row>
    <row r="10" spans="1:13" ht="15.75">
      <c r="A10" s="49" t="s">
        <v>91</v>
      </c>
      <c r="C10" s="561">
        <v>-3418.47</v>
      </c>
      <c r="D10" s="36"/>
      <c r="F10" s="169" t="s">
        <v>44</v>
      </c>
      <c r="G10" s="38"/>
      <c r="H10" s="167">
        <f>C57</f>
        <v>5580.95</v>
      </c>
      <c r="I10" s="167"/>
      <c r="J10" s="167"/>
      <c r="K10" s="167">
        <f>H10</f>
        <v>5580.95</v>
      </c>
      <c r="L10" s="167"/>
      <c r="M10" s="38"/>
    </row>
    <row r="11" spans="1:13">
      <c r="A11" s="66" t="s">
        <v>145</v>
      </c>
      <c r="C11" s="100">
        <f>SUM(C8:C10)</f>
        <v>258289.73</v>
      </c>
      <c r="D11" s="36"/>
      <c r="F11" s="169" t="s">
        <v>45</v>
      </c>
      <c r="G11" s="38"/>
      <c r="H11" s="170">
        <f>C58</f>
        <v>4185.79</v>
      </c>
      <c r="I11" s="167"/>
      <c r="J11" s="167"/>
      <c r="K11" s="170"/>
      <c r="L11" s="170">
        <f>H11</f>
        <v>4185.79</v>
      </c>
      <c r="M11" s="38"/>
    </row>
    <row r="12" spans="1:13" ht="15.75">
      <c r="A12" s="1" t="s">
        <v>165</v>
      </c>
      <c r="C12" s="560">
        <f>200789.19+1706.01</f>
        <v>202495.2</v>
      </c>
      <c r="D12" s="36"/>
      <c r="F12" s="169" t="s">
        <v>138</v>
      </c>
      <c r="G12" s="38"/>
      <c r="H12" s="167">
        <f>H9+H10+H11</f>
        <v>7465002.0299999984</v>
      </c>
      <c r="I12" s="167"/>
      <c r="J12" s="167"/>
      <c r="K12" s="167">
        <f>SUM(K9:K11)</f>
        <v>5248847.9294569995</v>
      </c>
      <c r="L12" s="167">
        <f>SUM(L9:L11)</f>
        <v>2216154.1005429993</v>
      </c>
      <c r="M12" s="38"/>
    </row>
    <row r="13" spans="1:13" ht="16.5" thickBot="1">
      <c r="A13" s="49" t="s">
        <v>166</v>
      </c>
      <c r="C13" s="555">
        <v>0</v>
      </c>
      <c r="D13" s="36"/>
      <c r="F13" s="171"/>
      <c r="G13" s="172"/>
      <c r="H13" s="173"/>
      <c r="I13" s="174"/>
      <c r="J13" s="173"/>
      <c r="K13" s="168"/>
      <c r="L13" s="173"/>
      <c r="M13" s="38"/>
    </row>
    <row r="14" spans="1:13" ht="16.5" thickBot="1">
      <c r="A14" s="66" t="s">
        <v>92</v>
      </c>
      <c r="C14" s="100">
        <f>SUM(C12:C13)</f>
        <v>202495.2</v>
      </c>
      <c r="D14" s="37"/>
      <c r="F14" s="50" t="s">
        <v>69</v>
      </c>
      <c r="G14" s="175"/>
      <c r="H14" s="125">
        <f>H12+H7</f>
        <v>9718442.5599999987</v>
      </c>
      <c r="I14" s="176">
        <f>SUM(I7:I13)</f>
        <v>1556226.0300179995</v>
      </c>
      <c r="J14" s="176">
        <f>SUM(J7:J13)</f>
        <v>697214.49998199986</v>
      </c>
      <c r="K14" s="176">
        <f>K12</f>
        <v>5248847.9294569995</v>
      </c>
      <c r="L14" s="176">
        <f>L12</f>
        <v>2216154.1005429993</v>
      </c>
      <c r="M14" s="38"/>
    </row>
    <row r="15" spans="1:13" ht="15.75">
      <c r="A15" s="1" t="s">
        <v>183</v>
      </c>
      <c r="C15" s="560">
        <f>411773.16+3986.07</f>
        <v>415759.23</v>
      </c>
      <c r="D15" s="36"/>
      <c r="F15" s="171"/>
      <c r="G15" s="172" t="s">
        <v>102</v>
      </c>
      <c r="H15" s="173">
        <f>H14-C61</f>
        <v>0</v>
      </c>
      <c r="I15" s="177"/>
      <c r="J15" s="173">
        <f>J7+I7-H7</f>
        <v>0</v>
      </c>
      <c r="K15" s="38"/>
      <c r="L15" s="173">
        <f>H12-K14-L14</f>
        <v>0</v>
      </c>
      <c r="M15" s="38"/>
    </row>
    <row r="16" spans="1:13" ht="15.75">
      <c r="A16" s="49" t="s">
        <v>184</v>
      </c>
      <c r="C16" s="555">
        <v>0</v>
      </c>
      <c r="D16" s="36"/>
      <c r="F16" s="178"/>
      <c r="G16" s="172"/>
      <c r="H16" s="179"/>
      <c r="I16" s="180"/>
      <c r="J16" s="179"/>
      <c r="K16" s="38"/>
      <c r="L16" s="179"/>
      <c r="M16" s="38"/>
    </row>
    <row r="17" spans="1:14" ht="15.75" thickBot="1">
      <c r="A17" s="66" t="s">
        <v>185</v>
      </c>
      <c r="C17" s="100">
        <f>SUM(C15:C16)</f>
        <v>415759.23</v>
      </c>
      <c r="D17" s="37"/>
      <c r="F17" s="171"/>
      <c r="G17" s="172"/>
      <c r="H17" s="179"/>
      <c r="I17" s="180"/>
      <c r="J17" s="183"/>
      <c r="K17" s="38"/>
      <c r="L17" s="179"/>
      <c r="M17" s="38"/>
    </row>
    <row r="18" spans="1:14" ht="16.5" thickBot="1">
      <c r="A18" s="1" t="s">
        <v>163</v>
      </c>
      <c r="C18" s="560">
        <f>83248.66+10571.6-991.71</f>
        <v>92828.55</v>
      </c>
      <c r="D18" s="36"/>
      <c r="F18" s="646" t="s">
        <v>134</v>
      </c>
      <c r="G18" s="647"/>
      <c r="H18" s="647"/>
      <c r="I18" s="648"/>
      <c r="J18" s="646" t="s">
        <v>135</v>
      </c>
      <c r="K18" s="647"/>
      <c r="L18" s="647"/>
      <c r="M18" s="648"/>
    </row>
    <row r="19" spans="1:14" ht="15.75">
      <c r="A19" s="46" t="s">
        <v>164</v>
      </c>
      <c r="C19" s="561">
        <f>908.45</f>
        <v>908.45</v>
      </c>
      <c r="D19" s="36"/>
      <c r="F19" s="201" t="s">
        <v>108</v>
      </c>
      <c r="G19" s="164" t="s">
        <v>33</v>
      </c>
      <c r="H19" s="164" t="s">
        <v>33</v>
      </c>
      <c r="I19" s="164" t="s">
        <v>33</v>
      </c>
      <c r="J19" s="201" t="s">
        <v>108</v>
      </c>
      <c r="K19" s="164" t="s">
        <v>33</v>
      </c>
      <c r="L19" s="164" t="s">
        <v>33</v>
      </c>
      <c r="M19" s="185" t="s">
        <v>33</v>
      </c>
    </row>
    <row r="20" spans="1:14" ht="16.5" thickBot="1">
      <c r="A20" s="67" t="s">
        <v>93</v>
      </c>
      <c r="C20" s="100">
        <f>SUM(C18:C19)</f>
        <v>93737</v>
      </c>
      <c r="D20" s="36"/>
      <c r="F20" s="195" t="s">
        <v>162</v>
      </c>
      <c r="G20" s="165" t="s">
        <v>101</v>
      </c>
      <c r="H20" s="165" t="s">
        <v>36</v>
      </c>
      <c r="I20" s="165" t="s">
        <v>34</v>
      </c>
      <c r="J20" s="195" t="s">
        <v>162</v>
      </c>
      <c r="K20" s="165" t="s">
        <v>101</v>
      </c>
      <c r="L20" s="165" t="s">
        <v>36</v>
      </c>
      <c r="M20" s="165" t="s">
        <v>34</v>
      </c>
    </row>
    <row r="21" spans="1:14" ht="15.75">
      <c r="A21" s="46" t="s">
        <v>149</v>
      </c>
      <c r="B21" s="384"/>
      <c r="C21" s="561">
        <f>1850+820.3</f>
        <v>2670.3</v>
      </c>
      <c r="D21" s="36"/>
      <c r="F21" s="184"/>
      <c r="G21" s="12"/>
      <c r="H21" s="12"/>
      <c r="I21" s="185"/>
      <c r="J21" s="129"/>
      <c r="K21" s="13"/>
      <c r="L21" s="13"/>
      <c r="M21" s="205"/>
    </row>
    <row r="22" spans="1:14" ht="18" customHeight="1">
      <c r="A22" s="65" t="s">
        <v>149</v>
      </c>
      <c r="C22" s="100">
        <f>SUM(C21)</f>
        <v>2670.3</v>
      </c>
      <c r="D22" s="36"/>
      <c r="F22" s="199" t="s">
        <v>126</v>
      </c>
      <c r="G22" s="7"/>
      <c r="H22" s="7"/>
      <c r="I22" s="98"/>
      <c r="J22" s="199" t="s">
        <v>126</v>
      </c>
      <c r="K22" s="7"/>
      <c r="L22" s="7"/>
      <c r="M22" s="98"/>
    </row>
    <row r="23" spans="1:14" ht="15.75">
      <c r="A23" s="208" t="s">
        <v>180</v>
      </c>
      <c r="C23" s="100">
        <v>0</v>
      </c>
      <c r="D23" s="36"/>
      <c r="F23" s="200" t="s">
        <v>37</v>
      </c>
      <c r="G23" s="564">
        <v>20257484</v>
      </c>
      <c r="H23" s="628">
        <v>0.10743999999999999</v>
      </c>
      <c r="I23" s="196">
        <f t="shared" ref="I23:I31" si="0">G23*H23</f>
        <v>2176464.0809599999</v>
      </c>
      <c r="J23" s="200" t="s">
        <v>37</v>
      </c>
      <c r="K23" s="564">
        <v>8822773</v>
      </c>
      <c r="L23" s="628">
        <v>0.10496999999999999</v>
      </c>
      <c r="M23" s="196">
        <f>K23*L23</f>
        <v>926126.48180999991</v>
      </c>
      <c r="N23" s="384"/>
    </row>
    <row r="24" spans="1:14" ht="15.75">
      <c r="A24" s="208" t="s">
        <v>186</v>
      </c>
      <c r="C24" s="312">
        <v>0</v>
      </c>
      <c r="D24" s="36"/>
      <c r="F24" s="200" t="s">
        <v>305</v>
      </c>
      <c r="G24" s="564">
        <v>22671</v>
      </c>
      <c r="H24" s="628">
        <v>0.10743999999999999</v>
      </c>
      <c r="I24" s="196">
        <f t="shared" si="0"/>
        <v>2435.7722399999998</v>
      </c>
      <c r="J24" s="200" t="s">
        <v>38</v>
      </c>
      <c r="K24" s="564">
        <v>2761366</v>
      </c>
      <c r="L24" s="628">
        <v>0.10496999999999999</v>
      </c>
      <c r="M24" s="196">
        <f t="shared" ref="M24:M27" si="1">K24*L24</f>
        <v>289860.58901999996</v>
      </c>
      <c r="N24" s="384"/>
    </row>
    <row r="25" spans="1:14" ht="15.75">
      <c r="A25" s="208" t="s">
        <v>189</v>
      </c>
      <c r="C25" s="314">
        <v>0</v>
      </c>
      <c r="D25" s="36"/>
      <c r="F25" s="200" t="s">
        <v>38</v>
      </c>
      <c r="G25" s="564">
        <v>6608892</v>
      </c>
      <c r="H25" s="628">
        <v>9.8650000000000002E-2</v>
      </c>
      <c r="I25" s="196">
        <f t="shared" si="0"/>
        <v>651967.19579999999</v>
      </c>
      <c r="J25" s="200" t="s">
        <v>39</v>
      </c>
      <c r="K25" s="564">
        <v>3610</v>
      </c>
      <c r="L25" s="628">
        <v>0.10496999999999999</v>
      </c>
      <c r="M25" s="196">
        <f t="shared" si="1"/>
        <v>378.94169999999997</v>
      </c>
      <c r="N25" s="384"/>
    </row>
    <row r="26" spans="1:14" ht="15.75">
      <c r="A26" s="209" t="s">
        <v>313</v>
      </c>
      <c r="C26" s="315">
        <v>0</v>
      </c>
      <c r="D26" s="36"/>
      <c r="F26" s="200" t="s">
        <v>39</v>
      </c>
      <c r="G26" s="564">
        <v>10558</v>
      </c>
      <c r="H26" s="628">
        <v>9.8650000000000002E-2</v>
      </c>
      <c r="I26" s="196">
        <f t="shared" si="0"/>
        <v>1041.5467000000001</v>
      </c>
      <c r="J26" s="200" t="s">
        <v>40</v>
      </c>
      <c r="K26" s="262"/>
      <c r="L26" s="628">
        <v>0.10496999999999999</v>
      </c>
      <c r="M26" s="196">
        <f t="shared" si="1"/>
        <v>0</v>
      </c>
      <c r="N26" s="384"/>
    </row>
    <row r="27" spans="1:14" ht="15.75">
      <c r="A27" s="65" t="s">
        <v>96</v>
      </c>
      <c r="C27" s="100">
        <f>SUM(C23:C26)</f>
        <v>0</v>
      </c>
      <c r="D27" s="36"/>
      <c r="F27" s="200" t="s">
        <v>40</v>
      </c>
      <c r="G27" s="564">
        <v>362835</v>
      </c>
      <c r="H27" s="628">
        <v>0.10433000000000001</v>
      </c>
      <c r="I27" s="196">
        <f t="shared" si="0"/>
        <v>37854.575550000001</v>
      </c>
      <c r="J27" s="200" t="s">
        <v>41</v>
      </c>
      <c r="K27" s="262"/>
      <c r="L27" s="628">
        <v>0.10496999999999999</v>
      </c>
      <c r="M27" s="196">
        <f t="shared" si="1"/>
        <v>0</v>
      </c>
      <c r="N27" s="384"/>
    </row>
    <row r="28" spans="1:14" ht="16.5" thickBot="1">
      <c r="A28" s="210" t="s">
        <v>150</v>
      </c>
      <c r="C28" s="312">
        <v>0</v>
      </c>
      <c r="D28" s="37"/>
      <c r="F28" s="200" t="s">
        <v>41</v>
      </c>
      <c r="G28" s="564">
        <v>65295</v>
      </c>
      <c r="H28" s="628">
        <v>0.10433000000000001</v>
      </c>
      <c r="I28" s="196">
        <f t="shared" si="0"/>
        <v>6812.2273500000001</v>
      </c>
      <c r="J28" s="199" t="s">
        <v>127</v>
      </c>
      <c r="K28" s="181">
        <f>SUM(K23:K27)</f>
        <v>11587749</v>
      </c>
      <c r="L28" s="182"/>
      <c r="M28" s="197">
        <f>SUM(M23:M27)</f>
        <v>1216366.0125299999</v>
      </c>
      <c r="N28" s="384"/>
    </row>
    <row r="29" spans="1:14" ht="17.25" thickTop="1" thickBot="1">
      <c r="A29" s="210" t="s">
        <v>167</v>
      </c>
      <c r="B29" s="38"/>
      <c r="C29" s="312">
        <v>0</v>
      </c>
      <c r="D29" s="36"/>
      <c r="F29" s="200" t="s">
        <v>42</v>
      </c>
      <c r="G29" s="564">
        <v>0</v>
      </c>
      <c r="H29" s="628">
        <v>6.2480000000000001E-2</v>
      </c>
      <c r="I29" s="196">
        <f t="shared" si="0"/>
        <v>0</v>
      </c>
      <c r="J29" s="199"/>
      <c r="K29" s="231">
        <v>11587749</v>
      </c>
      <c r="L29" s="187" t="s">
        <v>102</v>
      </c>
      <c r="M29" s="465">
        <f>M28/K28</f>
        <v>0.10496999999999999</v>
      </c>
      <c r="N29" s="384"/>
    </row>
    <row r="30" spans="1:14" ht="16.5" thickBot="1">
      <c r="A30" s="2" t="s">
        <v>111</v>
      </c>
      <c r="C30" s="125">
        <f>C7+C11+C14+C17+C20+C22+C27+C28+C29</f>
        <v>2299445.6499999994</v>
      </c>
      <c r="D30" s="37"/>
      <c r="F30" s="200" t="s">
        <v>43</v>
      </c>
      <c r="G30" s="564">
        <v>139102</v>
      </c>
      <c r="H30" s="628">
        <v>6.2480000000000001E-2</v>
      </c>
      <c r="I30" s="196">
        <f t="shared" si="0"/>
        <v>8691.0929599999999</v>
      </c>
      <c r="J30" s="200"/>
      <c r="K30" s="230">
        <f>K28-K29</f>
        <v>0</v>
      </c>
      <c r="L30" s="182"/>
      <c r="M30" s="198"/>
    </row>
    <row r="31" spans="1:14" ht="15.75">
      <c r="A31" s="1" t="s">
        <v>112</v>
      </c>
      <c r="C31" s="560">
        <v>-8961.94</v>
      </c>
      <c r="D31" s="39"/>
      <c r="F31" s="200" t="s">
        <v>74</v>
      </c>
      <c r="G31" s="564">
        <v>3629622</v>
      </c>
      <c r="H31" s="628">
        <v>5.4000000000000003E-3</v>
      </c>
      <c r="I31" s="196">
        <f t="shared" si="0"/>
        <v>19599.9588</v>
      </c>
      <c r="J31" s="153"/>
      <c r="K31" s="7"/>
      <c r="L31" s="182"/>
      <c r="M31" s="198"/>
    </row>
    <row r="32" spans="1:14" ht="16.5" thickBot="1">
      <c r="A32" s="2" t="s">
        <v>116</v>
      </c>
      <c r="B32" s="2" t="s">
        <v>117</v>
      </c>
      <c r="C32" s="580">
        <f>C30+C31</f>
        <v>2290483.7099999995</v>
      </c>
      <c r="D32" s="40"/>
      <c r="F32" s="199" t="s">
        <v>127</v>
      </c>
      <c r="G32" s="181">
        <f>SUM(G23:G31)</f>
        <v>31096459</v>
      </c>
      <c r="H32" s="7"/>
      <c r="I32" s="197">
        <f>SUM(I23:I31)</f>
        <v>2904866.4503599997</v>
      </c>
      <c r="J32" s="192"/>
      <c r="K32" s="193"/>
      <c r="L32" s="7"/>
      <c r="M32" s="190"/>
    </row>
    <row r="33" spans="1:17" ht="17.25" thickTop="1" thickBot="1">
      <c r="A33" s="1" t="s">
        <v>113</v>
      </c>
      <c r="C33" s="580">
        <f>-C5-C9-C13-C16-C19</f>
        <v>-37043.18</v>
      </c>
      <c r="D33" s="36"/>
      <c r="F33" s="186"/>
      <c r="G33" s="231">
        <v>31096459</v>
      </c>
      <c r="H33" s="187" t="s">
        <v>102</v>
      </c>
      <c r="I33" s="216">
        <f>I32/G32</f>
        <v>9.3414701987772936E-2</v>
      </c>
      <c r="J33" s="192"/>
      <c r="K33" s="193"/>
      <c r="L33" s="7"/>
      <c r="M33" s="98"/>
    </row>
    <row r="34" spans="1:17" ht="16.5" thickBot="1">
      <c r="A34" s="2" t="s">
        <v>114</v>
      </c>
      <c r="C34" s="125">
        <f>SUM(C32:C33)</f>
        <v>2253440.5299999993</v>
      </c>
      <c r="D34" s="36"/>
      <c r="F34" s="153"/>
      <c r="G34" s="230">
        <f>G32-G33</f>
        <v>0</v>
      </c>
      <c r="H34" s="7"/>
      <c r="I34" s="98"/>
      <c r="J34" s="192"/>
      <c r="K34" s="191"/>
      <c r="L34" s="7"/>
      <c r="M34" s="98"/>
    </row>
    <row r="35" spans="1:17" ht="18" customHeight="1">
      <c r="A35" s="2"/>
      <c r="C35" s="101"/>
      <c r="D35" s="36"/>
      <c r="F35" s="184"/>
      <c r="G35" s="12"/>
      <c r="H35" s="12"/>
      <c r="I35" s="185"/>
      <c r="J35" s="199" t="s">
        <v>128</v>
      </c>
      <c r="K35" s="644"/>
      <c r="L35" s="644"/>
      <c r="M35" s="645"/>
    </row>
    <row r="36" spans="1:17" ht="15.75">
      <c r="A36" s="16" t="s">
        <v>94</v>
      </c>
      <c r="B36" s="2"/>
      <c r="C36" s="100"/>
      <c r="D36" s="36"/>
      <c r="F36" s="199" t="s">
        <v>128</v>
      </c>
      <c r="G36" s="7"/>
      <c r="H36" s="7"/>
      <c r="I36" s="98"/>
      <c r="J36" s="200" t="s">
        <v>37</v>
      </c>
      <c r="K36" s="608">
        <v>8822773</v>
      </c>
      <c r="L36" s="628">
        <v>0.21725</v>
      </c>
      <c r="M36" s="196">
        <f t="shared" ref="M36:M42" si="2">K36*L36</f>
        <v>1916747.4342499999</v>
      </c>
      <c r="N36" s="384"/>
      <c r="P36" s="273"/>
      <c r="Q36" s="273"/>
    </row>
    <row r="37" spans="1:17" ht="15.75">
      <c r="A37" s="7" t="s">
        <v>129</v>
      </c>
      <c r="B37" s="86" t="s">
        <v>115</v>
      </c>
      <c r="C37" s="560">
        <v>9310111.5999999996</v>
      </c>
      <c r="D37" s="36"/>
      <c r="F37" s="200" t="s">
        <v>37</v>
      </c>
      <c r="G37" s="608">
        <v>20257484</v>
      </c>
      <c r="H37" s="628">
        <v>0.21817</v>
      </c>
      <c r="I37" s="196">
        <f t="shared" ref="I37:I44" si="3">G37*H37</f>
        <v>4419575.2842800003</v>
      </c>
      <c r="J37" s="200" t="s">
        <v>38</v>
      </c>
      <c r="K37" s="608">
        <v>2761366</v>
      </c>
      <c r="L37" s="628">
        <v>0.21725</v>
      </c>
      <c r="M37" s="196">
        <f t="shared" si="2"/>
        <v>599906.7635</v>
      </c>
      <c r="N37" s="384"/>
      <c r="P37" s="273"/>
      <c r="Q37" s="273"/>
    </row>
    <row r="38" spans="1:17" ht="15.75">
      <c r="A38" s="144" t="s">
        <v>14</v>
      </c>
      <c r="B38" s="86" t="s">
        <v>115</v>
      </c>
      <c r="C38" s="560">
        <v>0</v>
      </c>
      <c r="D38" s="36"/>
      <c r="F38" s="200" t="s">
        <v>305</v>
      </c>
      <c r="G38" s="608">
        <v>22671</v>
      </c>
      <c r="H38" s="628">
        <v>0.21817</v>
      </c>
      <c r="I38" s="196">
        <f t="shared" si="3"/>
        <v>4946.1320699999997</v>
      </c>
      <c r="J38" s="200" t="s">
        <v>39</v>
      </c>
      <c r="K38" s="608">
        <v>3610</v>
      </c>
      <c r="L38" s="628">
        <v>0.21725</v>
      </c>
      <c r="M38" s="196">
        <f t="shared" si="2"/>
        <v>784.27250000000004</v>
      </c>
      <c r="N38" s="384"/>
      <c r="P38" s="273"/>
      <c r="Q38" s="273"/>
    </row>
    <row r="39" spans="1:17" ht="15.75">
      <c r="A39" s="7" t="s">
        <v>146</v>
      </c>
      <c r="B39" s="86" t="s">
        <v>147</v>
      </c>
      <c r="C39" s="560">
        <v>-92480.2</v>
      </c>
      <c r="D39" s="36"/>
      <c r="F39" s="200" t="s">
        <v>38</v>
      </c>
      <c r="G39" s="608">
        <v>6608892</v>
      </c>
      <c r="H39" s="628">
        <v>0.21817</v>
      </c>
      <c r="I39" s="196">
        <f t="shared" si="3"/>
        <v>1441861.9676399999</v>
      </c>
      <c r="J39" s="200" t="s">
        <v>40</v>
      </c>
      <c r="K39" s="263">
        <f>K26</f>
        <v>0</v>
      </c>
      <c r="L39" s="628">
        <v>0.21725</v>
      </c>
      <c r="M39" s="196">
        <f t="shared" si="2"/>
        <v>0</v>
      </c>
      <c r="N39" s="384"/>
      <c r="P39" s="273"/>
      <c r="Q39" s="273"/>
    </row>
    <row r="40" spans="1:17" ht="15.75">
      <c r="A40" s="7" t="s">
        <v>131</v>
      </c>
      <c r="B40" s="86" t="s">
        <v>132</v>
      </c>
      <c r="C40" s="560">
        <v>2270713.2799999998</v>
      </c>
      <c r="D40" s="36"/>
      <c r="F40" s="200" t="s">
        <v>39</v>
      </c>
      <c r="G40" s="608">
        <v>10558</v>
      </c>
      <c r="H40" s="628">
        <v>0.21817</v>
      </c>
      <c r="I40" s="196">
        <f t="shared" si="3"/>
        <v>2303.4388600000002</v>
      </c>
      <c r="J40" s="200" t="s">
        <v>41</v>
      </c>
      <c r="K40" s="263">
        <f>K27</f>
        <v>0</v>
      </c>
      <c r="L40" s="628">
        <v>0.21725</v>
      </c>
      <c r="M40" s="196">
        <f t="shared" si="2"/>
        <v>0</v>
      </c>
      <c r="N40" s="384"/>
      <c r="P40" s="273"/>
      <c r="Q40" s="273"/>
    </row>
    <row r="41" spans="1:17" ht="15.75">
      <c r="A41" s="7" t="s">
        <v>153</v>
      </c>
      <c r="B41" s="6" t="s">
        <v>155</v>
      </c>
      <c r="C41" s="560">
        <v>1919.57</v>
      </c>
      <c r="D41" s="36"/>
      <c r="F41" s="200" t="s">
        <v>40</v>
      </c>
      <c r="G41" s="608">
        <v>362835</v>
      </c>
      <c r="H41" s="628">
        <v>0.21817</v>
      </c>
      <c r="I41" s="196">
        <f t="shared" si="3"/>
        <v>79159.711949999997</v>
      </c>
      <c r="J41" s="200" t="s">
        <v>42</v>
      </c>
      <c r="K41" s="262">
        <v>0</v>
      </c>
      <c r="L41" s="628">
        <v>0.21725</v>
      </c>
      <c r="M41" s="196">
        <f t="shared" si="2"/>
        <v>0</v>
      </c>
      <c r="N41" s="384"/>
      <c r="P41" s="273"/>
      <c r="Q41" s="273"/>
    </row>
    <row r="42" spans="1:17" ht="16.5" thickBot="1">
      <c r="A42" s="7" t="s">
        <v>178</v>
      </c>
      <c r="B42" s="229" t="s">
        <v>179</v>
      </c>
      <c r="C42" s="560">
        <v>895916.94</v>
      </c>
      <c r="D42" s="37"/>
      <c r="F42" s="200" t="s">
        <v>41</v>
      </c>
      <c r="G42" s="608">
        <v>65295</v>
      </c>
      <c r="H42" s="628">
        <v>0.21817</v>
      </c>
      <c r="I42" s="196">
        <f t="shared" si="3"/>
        <v>14245.41015</v>
      </c>
      <c r="J42" s="200" t="s">
        <v>43</v>
      </c>
      <c r="K42" s="264">
        <v>0</v>
      </c>
      <c r="L42" s="628">
        <v>0.21725</v>
      </c>
      <c r="M42" s="196">
        <f t="shared" si="2"/>
        <v>0</v>
      </c>
      <c r="N42" s="384"/>
      <c r="P42" s="273"/>
      <c r="Q42" s="273"/>
    </row>
    <row r="43" spans="1:17" ht="16.5" thickBot="1">
      <c r="A43" s="85" t="s">
        <v>123</v>
      </c>
      <c r="B43" s="12"/>
      <c r="C43" s="125">
        <f>SUM(C37:C42)</f>
        <v>12386181.189999999</v>
      </c>
      <c r="D43" s="36"/>
      <c r="F43" s="200" t="s">
        <v>42</v>
      </c>
      <c r="G43" s="608">
        <v>0</v>
      </c>
      <c r="H43" s="628">
        <v>0.21817</v>
      </c>
      <c r="I43" s="196">
        <f t="shared" si="3"/>
        <v>0</v>
      </c>
      <c r="J43" s="199" t="s">
        <v>133</v>
      </c>
      <c r="K43" s="181">
        <f>SUM(K36:K42)</f>
        <v>11587749</v>
      </c>
      <c r="L43" s="182"/>
      <c r="M43" s="197">
        <f>SUM(M36:M42)</f>
        <v>2517438.4702499998</v>
      </c>
    </row>
    <row r="44" spans="1:17" ht="16.5" thickBot="1">
      <c r="A44" s="83" t="s">
        <v>177</v>
      </c>
      <c r="B44" s="84" t="s">
        <v>120</v>
      </c>
      <c r="C44" s="560">
        <f>-447647.7+3873607.53-24735.54+1377.31</f>
        <v>3402601.5999999996</v>
      </c>
      <c r="D44" s="37"/>
      <c r="F44" s="200" t="s">
        <v>43</v>
      </c>
      <c r="G44" s="608">
        <v>139102</v>
      </c>
      <c r="H44" s="628">
        <v>0.21817</v>
      </c>
      <c r="I44" s="196">
        <f t="shared" si="3"/>
        <v>30347.88334</v>
      </c>
      <c r="J44" s="194"/>
      <c r="K44" s="232">
        <v>11587749</v>
      </c>
      <c r="L44" s="189" t="s">
        <v>102</v>
      </c>
      <c r="M44" s="217">
        <f>M43/K43</f>
        <v>0.21724999999999997</v>
      </c>
    </row>
    <row r="45" spans="1:17" ht="16.5" thickBot="1">
      <c r="A45" s="211" t="s">
        <v>168</v>
      </c>
      <c r="B45" s="6" t="s">
        <v>115</v>
      </c>
      <c r="C45" s="122">
        <v>0</v>
      </c>
      <c r="D45" s="39"/>
      <c r="F45" s="199" t="s">
        <v>133</v>
      </c>
      <c r="G45" s="181">
        <f>SUM(G37:G44)</f>
        <v>27466837</v>
      </c>
      <c r="H45" s="182"/>
      <c r="I45" s="197">
        <f>SUM(I37:I44)</f>
        <v>5992439.8282900015</v>
      </c>
      <c r="J45" s="124"/>
      <c r="K45" s="230">
        <f>K43-K44</f>
        <v>0</v>
      </c>
      <c r="L45" s="38"/>
      <c r="M45" s="124"/>
    </row>
    <row r="46" spans="1:17" ht="19.5" customHeight="1" thickTop="1" thickBot="1">
      <c r="A46" s="144" t="s">
        <v>169</v>
      </c>
      <c r="B46" s="6" t="s">
        <v>115</v>
      </c>
      <c r="C46" s="122">
        <v>0</v>
      </c>
      <c r="D46" s="40"/>
      <c r="F46" s="188"/>
      <c r="G46" s="232">
        <v>27466837</v>
      </c>
      <c r="H46" s="189" t="s">
        <v>102</v>
      </c>
      <c r="I46" s="215">
        <f>I45/G45</f>
        <v>0.21817000000000006</v>
      </c>
      <c r="J46" s="124"/>
      <c r="K46" s="230"/>
      <c r="L46" s="385"/>
      <c r="M46" s="124"/>
    </row>
    <row r="47" spans="1:17" ht="19.5" customHeight="1">
      <c r="A47" s="1" t="s">
        <v>137</v>
      </c>
      <c r="B47" s="6" t="s">
        <v>115</v>
      </c>
      <c r="C47" s="122">
        <v>0</v>
      </c>
      <c r="D47" s="36"/>
      <c r="F47" s="38"/>
      <c r="G47" s="230">
        <f>G45-G46</f>
        <v>0</v>
      </c>
      <c r="H47" s="38"/>
      <c r="I47" s="38"/>
      <c r="J47" s="124"/>
      <c r="K47" s="230"/>
      <c r="L47" s="385"/>
      <c r="M47" s="124"/>
    </row>
    <row r="48" spans="1:17" ht="16.5" thickBot="1">
      <c r="A48" s="144" t="s">
        <v>304</v>
      </c>
      <c r="B48" s="6" t="s">
        <v>115</v>
      </c>
      <c r="C48" s="560">
        <v>7000</v>
      </c>
      <c r="D48" s="36"/>
      <c r="F48" s="38"/>
      <c r="G48" s="38"/>
      <c r="H48" s="38"/>
      <c r="I48" s="38"/>
      <c r="J48" s="124"/>
      <c r="K48" s="114"/>
      <c r="L48" s="38"/>
      <c r="M48" s="68"/>
    </row>
    <row r="49" spans="1:21" ht="15.75">
      <c r="A49" s="7" t="s">
        <v>130</v>
      </c>
      <c r="B49" s="86" t="s">
        <v>152</v>
      </c>
      <c r="C49" s="560">
        <v>19453.97</v>
      </c>
      <c r="D49" s="36"/>
      <c r="F49" s="38"/>
      <c r="G49" s="114"/>
      <c r="H49" s="129" t="s">
        <v>35</v>
      </c>
      <c r="I49" s="13" t="s">
        <v>35</v>
      </c>
      <c r="J49" s="13" t="s">
        <v>63</v>
      </c>
      <c r="K49" s="127" t="s">
        <v>70</v>
      </c>
      <c r="L49" s="124"/>
      <c r="M49" s="38"/>
    </row>
    <row r="50" spans="1:21" ht="16.5" thickBot="1">
      <c r="A50" s="7" t="s">
        <v>222</v>
      </c>
      <c r="B50" s="218" t="s">
        <v>152</v>
      </c>
      <c r="C50" s="560">
        <v>3069.37</v>
      </c>
      <c r="D50" s="37"/>
      <c r="F50" s="50" t="s">
        <v>73</v>
      </c>
      <c r="G50" s="38"/>
      <c r="H50" s="130" t="s">
        <v>2</v>
      </c>
      <c r="I50" s="131" t="s">
        <v>3</v>
      </c>
      <c r="J50" s="131" t="s">
        <v>2</v>
      </c>
      <c r="K50" s="128" t="s">
        <v>3</v>
      </c>
      <c r="L50" s="38"/>
      <c r="M50" s="38"/>
    </row>
    <row r="51" spans="1:21" ht="15.75">
      <c r="A51" s="7" t="s">
        <v>308</v>
      </c>
      <c r="B51" s="452" t="s">
        <v>152</v>
      </c>
      <c r="C51" s="560">
        <v>5858.93</v>
      </c>
      <c r="D51" s="36"/>
      <c r="F51" s="38"/>
      <c r="G51" s="38"/>
      <c r="H51" s="151"/>
      <c r="I51" s="152"/>
      <c r="J51" s="152"/>
      <c r="K51" s="152"/>
      <c r="L51" s="126" t="s">
        <v>103</v>
      </c>
      <c r="M51" s="38"/>
    </row>
    <row r="52" spans="1:21" ht="15.75">
      <c r="A52" s="22" t="s">
        <v>118</v>
      </c>
      <c r="B52" s="6"/>
      <c r="C52" s="581">
        <f>-C33</f>
        <v>37043.18</v>
      </c>
      <c r="D52" s="33"/>
      <c r="F52" s="38" t="s">
        <v>136</v>
      </c>
      <c r="G52" s="38"/>
      <c r="H52" s="212">
        <f>K12</f>
        <v>5248847.9294569995</v>
      </c>
      <c r="I52" s="115">
        <f>I14</f>
        <v>1556226.0300179995</v>
      </c>
      <c r="J52" s="115">
        <f>L12</f>
        <v>2216154.1005429993</v>
      </c>
      <c r="K52" s="115">
        <f>J14</f>
        <v>697214.49998199986</v>
      </c>
      <c r="L52" s="132">
        <f>SUM(H52:K52)</f>
        <v>9718442.5599999987</v>
      </c>
      <c r="M52" s="38"/>
    </row>
    <row r="53" spans="1:21" ht="16.5" thickBot="1">
      <c r="A53" s="385" t="s">
        <v>315</v>
      </c>
      <c r="B53" s="627" t="s">
        <v>316</v>
      </c>
      <c r="C53" s="560">
        <f>7821.52+0.01</f>
        <v>7821.5300000000007</v>
      </c>
      <c r="D53" s="36"/>
      <c r="F53" s="1" t="s">
        <v>109</v>
      </c>
      <c r="H53" s="212">
        <f>-I45</f>
        <v>-5992439.8282900015</v>
      </c>
      <c r="I53" s="115">
        <f>-I32</f>
        <v>-2904866.4503599997</v>
      </c>
      <c r="J53" s="115">
        <f>-M43</f>
        <v>-2517438.4702499998</v>
      </c>
      <c r="K53" s="115">
        <f>-M28</f>
        <v>-1216366.0125299999</v>
      </c>
      <c r="L53" s="261">
        <f>SUM(H53:K53)</f>
        <v>-12631110.761429999</v>
      </c>
    </row>
    <row r="54" spans="1:21" ht="16.5" thickBot="1">
      <c r="A54" s="382" t="s">
        <v>124</v>
      </c>
      <c r="B54" s="473" t="s">
        <v>296</v>
      </c>
      <c r="C54" s="560">
        <f>-538419.62-4072845.36-3427529.5</f>
        <v>-8038794.4799999995</v>
      </c>
      <c r="D54" s="36"/>
      <c r="F54" s="1" t="s">
        <v>86</v>
      </c>
      <c r="H54" s="234">
        <v>0</v>
      </c>
      <c r="I54" s="235">
        <v>0</v>
      </c>
      <c r="J54" s="235">
        <v>0</v>
      </c>
      <c r="K54" s="236">
        <v>0</v>
      </c>
      <c r="L54" s="214">
        <f>SUM(L52:L53)</f>
        <v>-2912668.2014300004</v>
      </c>
    </row>
    <row r="55" spans="1:21" ht="16.5" thickBot="1">
      <c r="A55" s="1" t="s">
        <v>312</v>
      </c>
      <c r="B55" s="6" t="s">
        <v>190</v>
      </c>
      <c r="C55" s="560">
        <v>-375000</v>
      </c>
      <c r="D55" s="36"/>
      <c r="F55" s="1" t="s">
        <v>71</v>
      </c>
      <c r="H55" s="125">
        <f>H52+H53+H54</f>
        <v>-743591.89883300196</v>
      </c>
      <c r="I55" s="125">
        <f>I52+I53+I54</f>
        <v>-1348640.4203420002</v>
      </c>
      <c r="J55" s="125">
        <f>J52+J53+J54</f>
        <v>-301284.36970700044</v>
      </c>
      <c r="K55" s="125">
        <f>K52+K53+K54</f>
        <v>-519151.51254800009</v>
      </c>
      <c r="L55" s="47">
        <f>SUM(H55:K55)</f>
        <v>-2912668.2014300027</v>
      </c>
    </row>
    <row r="56" spans="1:21" ht="16.5" thickBot="1">
      <c r="A56" s="82" t="s">
        <v>119</v>
      </c>
      <c r="B56" s="84"/>
      <c r="C56" s="160">
        <f>SUM(C43:C55)</f>
        <v>7455235.2899999982</v>
      </c>
      <c r="D56" s="36"/>
      <c r="F56" s="240" t="s">
        <v>181</v>
      </c>
      <c r="H56" s="1" t="s">
        <v>173</v>
      </c>
      <c r="I56" s="5">
        <f>SUM(H55:I55)</f>
        <v>-2092232.3191750022</v>
      </c>
      <c r="J56" s="15" t="s">
        <v>174</v>
      </c>
      <c r="K56" s="1">
        <f>SUM(J55:K55)</f>
        <v>-820435.88225500053</v>
      </c>
      <c r="L56" s="213">
        <f>ROUND(L54-L55,3)</f>
        <v>0</v>
      </c>
      <c r="T56" s="42"/>
    </row>
    <row r="57" spans="1:21" ht="16.5" thickTop="1">
      <c r="A57" s="1" t="s">
        <v>121</v>
      </c>
      <c r="B57" s="6" t="s">
        <v>115</v>
      </c>
      <c r="C57" s="560">
        <v>5580.95</v>
      </c>
      <c r="D57" s="36"/>
      <c r="F57" s="397" t="s">
        <v>181</v>
      </c>
      <c r="H57" s="96"/>
    </row>
    <row r="58" spans="1:21" ht="16.5" thickBot="1">
      <c r="A58" s="1" t="s">
        <v>122</v>
      </c>
      <c r="B58" s="6" t="s">
        <v>115</v>
      </c>
      <c r="C58" s="560">
        <v>4185.79</v>
      </c>
      <c r="D58" s="36"/>
      <c r="F58" s="397" t="s">
        <v>182</v>
      </c>
      <c r="H58" s="157"/>
      <c r="I58" s="120"/>
      <c r="J58" s="120"/>
      <c r="K58" s="204"/>
      <c r="L58" s="120"/>
    </row>
    <row r="59" spans="1:21" ht="16.5" thickBot="1">
      <c r="A59" s="2" t="s">
        <v>125</v>
      </c>
      <c r="B59" s="2"/>
      <c r="C59" s="160">
        <f>SUM(C56:C58)</f>
        <v>7465002.0299999984</v>
      </c>
      <c r="D59" s="36"/>
      <c r="F59" s="543" t="s">
        <v>303</v>
      </c>
      <c r="G59" s="544" t="str">
        <f>IF(OR(AND(I56&gt;0,K56&gt;0),AND(I56&lt;0,K56&lt;0)),"OK","ERROR")</f>
        <v>OK</v>
      </c>
      <c r="H59" s="386" t="s">
        <v>294</v>
      </c>
      <c r="I59" s="387"/>
    </row>
    <row r="60" spans="1:21" ht="17.25" thickTop="1" thickBot="1">
      <c r="A60" s="2"/>
      <c r="C60" s="101"/>
      <c r="D60" s="36"/>
      <c r="H60" s="318" t="s">
        <v>175</v>
      </c>
      <c r="I60" s="319" t="s">
        <v>176</v>
      </c>
      <c r="J60" s="5"/>
    </row>
    <row r="61" spans="1:21" ht="16.5" thickBot="1">
      <c r="A61" s="9"/>
      <c r="B61" s="9" t="s">
        <v>95</v>
      </c>
      <c r="C61" s="125">
        <f>C59+C34</f>
        <v>9718442.5599999987</v>
      </c>
      <c r="D61" s="37"/>
      <c r="H61" s="349" t="e">
        <f>SUM('WA - Def-Amtz (current)'!AJ5:AJ10,'WA - Def-Amtz (current)'!AJ35:AJ40,'WA - Def-Amtz (current)'!AJ70:AJ73,#REF!,#REF!,#REF!)+'WA - Def-Amtz (current)'!AJ43+#REF!</f>
        <v>#REF!</v>
      </c>
      <c r="I61" s="449" t="e">
        <f>SUM('WA - Def-Amtz (current)'!AK5:AK10,'WA - Def-Amtz (current)'!AK35:AK40,'WA - Def-Amtz (current)'!AK70:AK73,#REF!,#REF!,#REF!)+'WA - Def-Amtz (current)'!AK44+#REF!</f>
        <v>#REF!</v>
      </c>
      <c r="J61" s="1">
        <f>H53+I53+J53+K53</f>
        <v>-12631110.761429999</v>
      </c>
    </row>
    <row r="62" spans="1:21" ht="15.75">
      <c r="A62" s="2"/>
      <c r="B62" s="9" t="s">
        <v>160</v>
      </c>
      <c r="C62" s="350">
        <v>9718442.5600000005</v>
      </c>
      <c r="G62" s="5"/>
      <c r="I62" s="135" t="e">
        <f>H61-I61</f>
        <v>#REF!</v>
      </c>
      <c r="N62" s="5"/>
      <c r="O62" s="5"/>
      <c r="P62" s="21"/>
    </row>
    <row r="63" spans="1:21" ht="15.75">
      <c r="A63" s="9"/>
      <c r="B63" s="9" t="s">
        <v>159</v>
      </c>
      <c r="C63" s="257">
        <f>ROUND(C61-C62,2)</f>
        <v>0</v>
      </c>
      <c r="D63" s="36"/>
      <c r="G63" s="384"/>
      <c r="H63" s="384"/>
      <c r="I63" s="384"/>
      <c r="J63" s="384"/>
      <c r="S63" s="6"/>
    </row>
    <row r="64" spans="1:21" ht="15.75">
      <c r="A64" s="44"/>
      <c r="C64" s="351"/>
      <c r="D64" s="43"/>
      <c r="G64" s="384"/>
      <c r="H64" s="384"/>
      <c r="I64" s="384"/>
      <c r="J64" s="384"/>
      <c r="N64" s="22"/>
      <c r="U64" s="2"/>
    </row>
    <row r="65" spans="1:21" ht="15.75">
      <c r="A65" s="44"/>
      <c r="C65" s="8"/>
      <c r="D65" s="36"/>
      <c r="G65" s="384"/>
      <c r="H65" s="384"/>
      <c r="I65" s="384"/>
      <c r="J65" s="384"/>
      <c r="N65" s="22"/>
      <c r="S65" s="23"/>
    </row>
    <row r="66" spans="1:21" ht="15.75">
      <c r="A66" s="2"/>
      <c r="C66" s="8"/>
      <c r="D66" s="36"/>
      <c r="G66" s="384"/>
      <c r="H66" s="96"/>
      <c r="I66" s="384"/>
      <c r="J66" s="384"/>
      <c r="N66" s="22"/>
      <c r="S66" s="24"/>
    </row>
    <row r="67" spans="1:21">
      <c r="C67" s="100"/>
      <c r="D67" s="36"/>
      <c r="G67" s="384"/>
      <c r="H67" s="384"/>
      <c r="I67" s="384"/>
      <c r="J67" s="384"/>
      <c r="N67" s="22"/>
      <c r="S67" s="25"/>
    </row>
    <row r="68" spans="1:21">
      <c r="D68" s="36"/>
      <c r="G68" s="384"/>
      <c r="H68" s="384"/>
      <c r="I68" s="384"/>
      <c r="J68" s="384"/>
      <c r="N68" s="22"/>
      <c r="S68" s="24"/>
    </row>
    <row r="69" spans="1:21">
      <c r="D69" s="37"/>
      <c r="G69" s="384"/>
      <c r="H69" s="384"/>
      <c r="I69" s="384"/>
      <c r="J69" s="384"/>
      <c r="N69" s="22"/>
    </row>
    <row r="70" spans="1:21">
      <c r="D70" s="36"/>
      <c r="G70" s="384"/>
      <c r="H70" s="384"/>
      <c r="I70" s="384"/>
      <c r="J70" s="384"/>
      <c r="N70" s="22"/>
      <c r="S70" s="26"/>
    </row>
    <row r="71" spans="1:21">
      <c r="D71" s="36"/>
      <c r="G71" s="384"/>
      <c r="H71" s="384"/>
      <c r="I71" s="384"/>
      <c r="J71" s="384"/>
    </row>
    <row r="72" spans="1:21">
      <c r="D72" s="36"/>
      <c r="G72" s="384"/>
      <c r="H72" s="384"/>
      <c r="I72" s="384"/>
      <c r="J72" s="384"/>
    </row>
    <row r="73" spans="1:21">
      <c r="D73" s="45"/>
      <c r="S73" s="27"/>
    </row>
    <row r="74" spans="1:21">
      <c r="R74" s="6"/>
      <c r="S74" s="6"/>
      <c r="T74" s="6"/>
    </row>
    <row r="76" spans="1:21">
      <c r="U76" s="28"/>
    </row>
    <row r="1477" spans="3:3">
      <c r="C1477" s="1">
        <v>-2130</v>
      </c>
    </row>
    <row r="1485" spans="3:3">
      <c r="C1485" s="1">
        <f>7004298-2130</f>
        <v>7002168</v>
      </c>
    </row>
  </sheetData>
  <mergeCells count="3">
    <mergeCell ref="K35:M35"/>
    <mergeCell ref="J18:M18"/>
    <mergeCell ref="F18:I18"/>
  </mergeCells>
  <phoneticPr fontId="0" type="noConversion"/>
  <conditionalFormatting sqref="C63 L56 I62">
    <cfRule type="cellIs" dxfId="299" priority="27" stopIfTrue="1" operator="equal">
      <formula>0</formula>
    </cfRule>
    <cfRule type="cellIs" dxfId="298" priority="28" stopIfTrue="1" operator="notEqual">
      <formula>0</formula>
    </cfRule>
  </conditionalFormatting>
  <conditionalFormatting sqref="G34 G47 K30 K45:K47">
    <cfRule type="cellIs" dxfId="297" priority="20" operator="notEqual">
      <formula>0</formula>
    </cfRule>
  </conditionalFormatting>
  <conditionalFormatting sqref="C63">
    <cfRule type="cellIs" dxfId="296" priority="14" stopIfTrue="1" operator="equal">
      <formula>0</formula>
    </cfRule>
    <cfRule type="cellIs" dxfId="295" priority="15" stopIfTrue="1" operator="notEqual">
      <formula>0</formula>
    </cfRule>
  </conditionalFormatting>
  <conditionalFormatting sqref="K30">
    <cfRule type="cellIs" dxfId="294" priority="13" operator="notEqual">
      <formula>0</formula>
    </cfRule>
  </conditionalFormatting>
  <conditionalFormatting sqref="G59">
    <cfRule type="cellIs" dxfId="293" priority="2" operator="equal">
      <formula>"ERROR"</formula>
    </cfRule>
  </conditionalFormatting>
  <conditionalFormatting sqref="G59">
    <cfRule type="cellIs" dxfId="292" priority="1" operator="equal">
      <formula>"ERROR"</formula>
    </cfRule>
  </conditionalFormatting>
  <printOptions verticalCentered="1" gridLinesSet="0"/>
  <pageMargins left="0.5" right="0" top="0.25" bottom="0.5" header="0" footer="0.25"/>
  <pageSetup scale="47" orientation="landscape" cellComments="asDisplayed" r:id="rId1"/>
  <headerFooter alignWithMargins="0">
    <oddFooter>&amp;L&amp;F&amp;C&amp;A&amp;R&amp;D&amp;T</oddFooter>
  </headerFooter>
  <customProperties>
    <customPr name="xxe4aPID" r:id="rId2"/>
  </customProperties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7">
    <tabColor rgb="FF00CC66"/>
    <pageSetUpPr fitToPage="1"/>
  </sheetPr>
  <dimension ref="A1:U1485"/>
  <sheetViews>
    <sheetView showGridLines="0" topLeftCell="A25" zoomScale="70" zoomScaleNormal="70" workbookViewId="0">
      <selection activeCell="F37" sqref="F37"/>
    </sheetView>
  </sheetViews>
  <sheetFormatPr defaultColWidth="16" defaultRowHeight="15"/>
  <cols>
    <col min="1" max="1" width="44.85546875" style="384" customWidth="1"/>
    <col min="2" max="2" width="25.5703125" style="384" customWidth="1"/>
    <col min="3" max="3" width="25.28515625" style="384" customWidth="1"/>
    <col min="4" max="4" width="2.7109375" style="30" customWidth="1"/>
    <col min="5" max="5" width="4.28515625" style="384" customWidth="1"/>
    <col min="6" max="6" width="26.7109375" style="384" customWidth="1"/>
    <col min="7" max="7" width="19" style="384" customWidth="1"/>
    <col min="8" max="8" width="22" style="384" customWidth="1"/>
    <col min="9" max="9" width="20.42578125" style="384" customWidth="1"/>
    <col min="10" max="10" width="26.28515625" style="384" customWidth="1"/>
    <col min="11" max="11" width="21.85546875" style="384" bestFit="1" customWidth="1"/>
    <col min="12" max="12" width="23.85546875" style="384" customWidth="1"/>
    <col min="13" max="13" width="20.85546875" style="384" bestFit="1" customWidth="1"/>
    <col min="14" max="14" width="16" style="384"/>
    <col min="15" max="16" width="16.28515625" style="384" bestFit="1" customWidth="1"/>
    <col min="17" max="16384" width="16" style="384"/>
  </cols>
  <sheetData>
    <row r="1" spans="1:13" ht="16.5" thickBot="1">
      <c r="A1" s="145" t="s">
        <v>64</v>
      </c>
      <c r="B1" s="29"/>
      <c r="C1" s="529">
        <f>Jan!C1+1</f>
        <v>201802</v>
      </c>
      <c r="F1" s="529">
        <f>C1</f>
        <v>201802</v>
      </c>
      <c r="G1" s="385"/>
      <c r="H1" s="162" t="s">
        <v>69</v>
      </c>
      <c r="I1" s="126" t="s">
        <v>3</v>
      </c>
      <c r="J1" s="126" t="s">
        <v>3</v>
      </c>
      <c r="K1" s="126" t="s">
        <v>66</v>
      </c>
      <c r="L1" s="126" t="s">
        <v>66</v>
      </c>
      <c r="M1" s="385"/>
    </row>
    <row r="2" spans="1:13" ht="15.75">
      <c r="C2" s="31"/>
      <c r="F2" s="385"/>
      <c r="G2" s="385"/>
      <c r="H2" s="163" t="s">
        <v>32</v>
      </c>
      <c r="I2" s="164" t="s">
        <v>65</v>
      </c>
      <c r="J2" s="164" t="s">
        <v>65</v>
      </c>
      <c r="K2" s="164" t="s">
        <v>67</v>
      </c>
      <c r="L2" s="164" t="s">
        <v>67</v>
      </c>
      <c r="M2" s="385"/>
    </row>
    <row r="3" spans="1:13" ht="16.5" thickBot="1">
      <c r="A3" s="63" t="s">
        <v>110</v>
      </c>
      <c r="C3" s="32"/>
      <c r="D3" s="33"/>
      <c r="F3" s="50" t="s">
        <v>72</v>
      </c>
      <c r="G3" s="385"/>
      <c r="H3" s="165" t="s">
        <v>68</v>
      </c>
      <c r="I3" s="165" t="s">
        <v>35</v>
      </c>
      <c r="J3" s="165" t="s">
        <v>63</v>
      </c>
      <c r="K3" s="165" t="s">
        <v>35</v>
      </c>
      <c r="L3" s="165" t="s">
        <v>63</v>
      </c>
      <c r="M3" s="385"/>
    </row>
    <row r="4" spans="1:13" ht="15.75">
      <c r="A4" s="385" t="s">
        <v>88</v>
      </c>
      <c r="C4" s="560">
        <v>3302170.75</v>
      </c>
      <c r="D4" s="34"/>
      <c r="F4" s="385"/>
      <c r="G4" s="385"/>
      <c r="H4" s="11"/>
      <c r="I4" s="385"/>
      <c r="J4" s="385"/>
      <c r="L4" s="385"/>
      <c r="M4" s="385"/>
    </row>
    <row r="5" spans="1:13" ht="14.25" customHeight="1">
      <c r="A5" s="385" t="s">
        <v>31</v>
      </c>
      <c r="C5" s="560">
        <f>31936.15-1356.32</f>
        <v>30579.83</v>
      </c>
      <c r="D5" s="34"/>
      <c r="F5" s="385"/>
      <c r="G5" s="385"/>
      <c r="H5" s="11"/>
      <c r="I5" s="594">
        <v>0.69059999999999999</v>
      </c>
      <c r="J5" s="594">
        <v>0.30940000000000001</v>
      </c>
      <c r="K5" s="445">
        <f>ROUND(G45/(G45+K43),4)</f>
        <v>0.67810000000000004</v>
      </c>
      <c r="L5" s="445">
        <f>1-K5</f>
        <v>0.32189999999999996</v>
      </c>
      <c r="M5" s="385"/>
    </row>
    <row r="6" spans="1:13" ht="16.5" thickBot="1">
      <c r="A6" s="49" t="s">
        <v>30</v>
      </c>
      <c r="C6" s="561">
        <f>-1350094.69-385081.19-110023.2-123776.1-70964.96-88634.69</f>
        <v>-2128574.83</v>
      </c>
      <c r="D6" s="34"/>
      <c r="F6" s="385"/>
      <c r="G6" s="385"/>
      <c r="H6" s="385"/>
      <c r="I6" s="385"/>
      <c r="J6" s="385"/>
      <c r="K6" s="385"/>
      <c r="L6" s="385"/>
      <c r="M6" s="385"/>
    </row>
    <row r="7" spans="1:13" ht="16.5" thickBot="1">
      <c r="A7" s="66" t="s">
        <v>140</v>
      </c>
      <c r="C7" s="100">
        <f>SUM(C4:C6)</f>
        <v>1204175.75</v>
      </c>
      <c r="D7" s="35"/>
      <c r="F7" s="166" t="s">
        <v>139</v>
      </c>
      <c r="G7" s="166"/>
      <c r="H7" s="125">
        <f>C34</f>
        <v>2050580.85</v>
      </c>
      <c r="I7" s="167">
        <f>H7*I5</f>
        <v>1416131.1350100001</v>
      </c>
      <c r="J7" s="167">
        <f>H7*J5</f>
        <v>634449.71499000001</v>
      </c>
      <c r="K7" s="167"/>
      <c r="L7" s="167"/>
      <c r="M7" s="385"/>
    </row>
    <row r="8" spans="1:13" ht="15.75">
      <c r="A8" s="384" t="s">
        <v>89</v>
      </c>
      <c r="C8" s="560">
        <v>228271.63</v>
      </c>
      <c r="D8" s="35"/>
      <c r="F8" s="385"/>
      <c r="G8" s="385"/>
      <c r="H8" s="168"/>
      <c r="I8" s="168"/>
      <c r="J8" s="168"/>
      <c r="K8" s="168"/>
      <c r="L8" s="168"/>
      <c r="M8" s="385"/>
    </row>
    <row r="9" spans="1:13" ht="15.75">
      <c r="A9" s="385" t="s">
        <v>90</v>
      </c>
      <c r="C9" s="560">
        <f>8020.76+20438.86+25218.45</f>
        <v>53678.070000000007</v>
      </c>
      <c r="D9" s="36"/>
      <c r="F9" s="166" t="s">
        <v>119</v>
      </c>
      <c r="G9" s="385"/>
      <c r="H9" s="167">
        <f>C56</f>
        <v>7856148.2400000002</v>
      </c>
      <c r="I9" s="167"/>
      <c r="J9" s="167"/>
      <c r="K9" s="167">
        <f>H9*K5</f>
        <v>5327254.1215440007</v>
      </c>
      <c r="L9" s="167">
        <f>H9*L5</f>
        <v>2528894.118456</v>
      </c>
      <c r="M9" s="385"/>
    </row>
    <row r="10" spans="1:13" ht="15.75">
      <c r="A10" s="49" t="s">
        <v>91</v>
      </c>
      <c r="C10" s="561">
        <f>-3087.64</f>
        <v>-3087.64</v>
      </c>
      <c r="D10" s="36"/>
      <c r="F10" s="169" t="s">
        <v>44</v>
      </c>
      <c r="G10" s="385"/>
      <c r="H10" s="167">
        <f>C57</f>
        <v>39031.120000000003</v>
      </c>
      <c r="I10" s="167"/>
      <c r="J10" s="167"/>
      <c r="K10" s="167">
        <f>H10</f>
        <v>39031.120000000003</v>
      </c>
      <c r="L10" s="167"/>
      <c r="M10" s="385"/>
    </row>
    <row r="11" spans="1:13">
      <c r="A11" s="66" t="s">
        <v>145</v>
      </c>
      <c r="C11" s="100">
        <f>SUM(C8:C10)</f>
        <v>278862.06</v>
      </c>
      <c r="D11" s="36"/>
      <c r="F11" s="169" t="s">
        <v>45</v>
      </c>
      <c r="G11" s="385"/>
      <c r="H11" s="170">
        <f>C58</f>
        <v>16847.12</v>
      </c>
      <c r="I11" s="167"/>
      <c r="J11" s="167"/>
      <c r="K11" s="170"/>
      <c r="L11" s="170">
        <f>H11</f>
        <v>16847.12</v>
      </c>
      <c r="M11" s="385"/>
    </row>
    <row r="12" spans="1:13" ht="15.75">
      <c r="A12" s="384" t="s">
        <v>165</v>
      </c>
      <c r="C12" s="560">
        <f>192542.32-5898</f>
        <v>186644.32</v>
      </c>
      <c r="D12" s="36"/>
      <c r="F12" s="169" t="s">
        <v>138</v>
      </c>
      <c r="G12" s="385"/>
      <c r="H12" s="167">
        <f>H9+H10+H11</f>
        <v>7912026.4800000004</v>
      </c>
      <c r="I12" s="167"/>
      <c r="J12" s="167"/>
      <c r="K12" s="167">
        <f>SUM(K9:K11)</f>
        <v>5366285.2415440008</v>
      </c>
      <c r="L12" s="167">
        <f>SUM(L9:L11)</f>
        <v>2545741.2384560001</v>
      </c>
      <c r="M12" s="385"/>
    </row>
    <row r="13" spans="1:13" ht="16.5" thickBot="1">
      <c r="A13" s="49" t="s">
        <v>166</v>
      </c>
      <c r="C13" s="555">
        <v>0</v>
      </c>
      <c r="D13" s="36"/>
      <c r="F13" s="171"/>
      <c r="G13" s="172"/>
      <c r="H13" s="173"/>
      <c r="I13" s="174"/>
      <c r="J13" s="173"/>
      <c r="K13" s="168"/>
      <c r="L13" s="173"/>
      <c r="M13" s="385"/>
    </row>
    <row r="14" spans="1:13" ht="16.5" thickBot="1">
      <c r="A14" s="66" t="s">
        <v>92</v>
      </c>
      <c r="C14" s="100">
        <f>SUM(C12:C13)</f>
        <v>186644.32</v>
      </c>
      <c r="D14" s="37"/>
      <c r="F14" s="50" t="s">
        <v>69</v>
      </c>
      <c r="G14" s="175"/>
      <c r="H14" s="125">
        <f>H12+H7</f>
        <v>9962607.3300000001</v>
      </c>
      <c r="I14" s="176">
        <f>SUM(I7:I13)</f>
        <v>1416131.1350100001</v>
      </c>
      <c r="J14" s="176">
        <f>SUM(J7:J13)</f>
        <v>634449.71499000001</v>
      </c>
      <c r="K14" s="176">
        <f>K12</f>
        <v>5366285.2415440008</v>
      </c>
      <c r="L14" s="176">
        <f>L12</f>
        <v>2545741.2384560001</v>
      </c>
      <c r="M14" s="385"/>
    </row>
    <row r="15" spans="1:13" ht="15.75">
      <c r="A15" s="384" t="s">
        <v>183</v>
      </c>
      <c r="C15" s="560">
        <f>394860.7-12095.45</f>
        <v>382765.25</v>
      </c>
      <c r="D15" s="36"/>
      <c r="F15" s="171"/>
      <c r="G15" s="172" t="s">
        <v>102</v>
      </c>
      <c r="H15" s="173">
        <f>H14-C61</f>
        <v>0</v>
      </c>
      <c r="I15" s="177"/>
      <c r="J15" s="173">
        <f>J7+I7-H7</f>
        <v>0</v>
      </c>
      <c r="K15" s="385"/>
      <c r="L15" s="173">
        <f>H12-K14-L14</f>
        <v>0</v>
      </c>
      <c r="M15" s="385"/>
    </row>
    <row r="16" spans="1:13" ht="15.75">
      <c r="A16" s="49" t="s">
        <v>184</v>
      </c>
      <c r="C16" s="555">
        <v>0</v>
      </c>
      <c r="D16" s="36"/>
      <c r="F16" s="178"/>
      <c r="G16" s="172"/>
      <c r="H16" s="179"/>
      <c r="I16" s="180"/>
      <c r="J16" s="179"/>
      <c r="K16" s="385"/>
      <c r="L16" s="179"/>
      <c r="M16" s="385"/>
    </row>
    <row r="17" spans="1:13" ht="15.75" thickBot="1">
      <c r="A17" s="66" t="s">
        <v>185</v>
      </c>
      <c r="C17" s="100">
        <f>SUM(C15:C16)</f>
        <v>382765.25</v>
      </c>
      <c r="D17" s="37"/>
      <c r="F17" s="171"/>
      <c r="G17" s="172"/>
      <c r="H17" s="179"/>
      <c r="I17" s="180"/>
      <c r="J17" s="183"/>
      <c r="K17" s="385"/>
      <c r="L17" s="179"/>
      <c r="M17" s="385"/>
    </row>
    <row r="18" spans="1:13" ht="16.5" thickBot="1">
      <c r="A18" s="384" t="s">
        <v>163</v>
      </c>
      <c r="C18" s="560">
        <f>79829.44+10137.4-2766.73</f>
        <v>87200.11</v>
      </c>
      <c r="D18" s="36"/>
      <c r="F18" s="646" t="s">
        <v>134</v>
      </c>
      <c r="G18" s="647"/>
      <c r="H18" s="647"/>
      <c r="I18" s="648"/>
      <c r="J18" s="646" t="s">
        <v>135</v>
      </c>
      <c r="K18" s="647"/>
      <c r="L18" s="647"/>
      <c r="M18" s="648"/>
    </row>
    <row r="19" spans="1:13" ht="15.75">
      <c r="A19" s="46" t="s">
        <v>164</v>
      </c>
      <c r="C19" s="561">
        <f>2240.22</f>
        <v>2240.2199999999998</v>
      </c>
      <c r="D19" s="36"/>
      <c r="F19" s="201" t="s">
        <v>108</v>
      </c>
      <c r="G19" s="164" t="s">
        <v>33</v>
      </c>
      <c r="H19" s="164" t="s">
        <v>33</v>
      </c>
      <c r="I19" s="164" t="s">
        <v>33</v>
      </c>
      <c r="J19" s="201" t="s">
        <v>108</v>
      </c>
      <c r="K19" s="164" t="s">
        <v>33</v>
      </c>
      <c r="L19" s="164" t="s">
        <v>33</v>
      </c>
      <c r="M19" s="185" t="s">
        <v>33</v>
      </c>
    </row>
    <row r="20" spans="1:13" ht="16.5" thickBot="1">
      <c r="A20" s="67" t="s">
        <v>93</v>
      </c>
      <c r="C20" s="100">
        <f>SUM(C18:C19)</f>
        <v>89440.33</v>
      </c>
      <c r="D20" s="36"/>
      <c r="F20" s="195" t="s">
        <v>162</v>
      </c>
      <c r="G20" s="165" t="s">
        <v>101</v>
      </c>
      <c r="H20" s="165" t="s">
        <v>36</v>
      </c>
      <c r="I20" s="165" t="s">
        <v>34</v>
      </c>
      <c r="J20" s="195" t="s">
        <v>162</v>
      </c>
      <c r="K20" s="165" t="s">
        <v>101</v>
      </c>
      <c r="L20" s="165" t="s">
        <v>36</v>
      </c>
      <c r="M20" s="165" t="s">
        <v>34</v>
      </c>
    </row>
    <row r="21" spans="1:13" ht="15.75">
      <c r="A21" s="46" t="s">
        <v>149</v>
      </c>
      <c r="C21" s="561">
        <f>1884.24+1850</f>
        <v>3734.24</v>
      </c>
      <c r="D21" s="36"/>
      <c r="F21" s="184"/>
      <c r="G21" s="12"/>
      <c r="H21" s="12"/>
      <c r="I21" s="185"/>
      <c r="J21" s="129"/>
      <c r="K21" s="13"/>
      <c r="L21" s="13"/>
      <c r="M21" s="205"/>
    </row>
    <row r="22" spans="1:13" ht="18" customHeight="1">
      <c r="A22" s="65" t="s">
        <v>149</v>
      </c>
      <c r="C22" s="100">
        <f>SUM(C21)</f>
        <v>3734.24</v>
      </c>
      <c r="D22" s="36"/>
      <c r="F22" s="199" t="s">
        <v>126</v>
      </c>
      <c r="G22" s="7"/>
      <c r="H22" s="7"/>
      <c r="I22" s="98"/>
      <c r="J22" s="199" t="s">
        <v>126</v>
      </c>
      <c r="K22" s="7"/>
      <c r="L22" s="7"/>
      <c r="M22" s="98"/>
    </row>
    <row r="23" spans="1:13" ht="15.75">
      <c r="A23" s="208" t="s">
        <v>180</v>
      </c>
      <c r="C23" s="100">
        <v>0</v>
      </c>
      <c r="D23" s="36"/>
      <c r="F23" s="200" t="s">
        <v>37</v>
      </c>
      <c r="G23" s="562">
        <v>18179866</v>
      </c>
      <c r="H23" s="389" t="s">
        <v>306</v>
      </c>
      <c r="I23" s="585">
        <v>2081351</v>
      </c>
      <c r="J23" s="200" t="s">
        <v>37</v>
      </c>
      <c r="K23" s="562">
        <v>9222783</v>
      </c>
      <c r="L23" s="389" t="s">
        <v>306</v>
      </c>
      <c r="M23" s="585">
        <v>1027603</v>
      </c>
    </row>
    <row r="24" spans="1:13" ht="15.75">
      <c r="A24" s="208" t="s">
        <v>186</v>
      </c>
      <c r="C24" s="312">
        <v>0</v>
      </c>
      <c r="D24" s="36"/>
      <c r="F24" s="200" t="s">
        <v>305</v>
      </c>
      <c r="G24" s="562">
        <v>21014</v>
      </c>
      <c r="H24" s="389" t="s">
        <v>306</v>
      </c>
      <c r="I24" s="585">
        <v>2402</v>
      </c>
      <c r="J24" s="200" t="s">
        <v>38</v>
      </c>
      <c r="K24" s="562">
        <v>3135975</v>
      </c>
      <c r="L24" s="389" t="s">
        <v>306</v>
      </c>
      <c r="M24" s="585">
        <v>351342</v>
      </c>
    </row>
    <row r="25" spans="1:13" ht="15.75">
      <c r="A25" s="208" t="s">
        <v>189</v>
      </c>
      <c r="C25" s="314">
        <v>0</v>
      </c>
      <c r="D25" s="36"/>
      <c r="F25" s="200" t="s">
        <v>38</v>
      </c>
      <c r="G25" s="562">
        <v>7202971</v>
      </c>
      <c r="H25" s="389" t="s">
        <v>306</v>
      </c>
      <c r="I25" s="585">
        <v>759003</v>
      </c>
      <c r="J25" s="200" t="s">
        <v>39</v>
      </c>
      <c r="K25" s="562">
        <v>3435</v>
      </c>
      <c r="L25" s="389" t="s">
        <v>306</v>
      </c>
      <c r="M25" s="585">
        <v>384</v>
      </c>
    </row>
    <row r="26" spans="1:13" ht="15.75">
      <c r="A26" s="209" t="s">
        <v>188</v>
      </c>
      <c r="C26" s="315">
        <v>0</v>
      </c>
      <c r="D26" s="36"/>
      <c r="F26" s="200" t="s">
        <v>39</v>
      </c>
      <c r="G26" s="562">
        <v>21563</v>
      </c>
      <c r="H26" s="389" t="s">
        <v>306</v>
      </c>
      <c r="I26" s="585">
        <v>2123</v>
      </c>
      <c r="J26" s="200" t="s">
        <v>40</v>
      </c>
      <c r="K26" s="562">
        <v>0</v>
      </c>
      <c r="L26" s="389" t="s">
        <v>306</v>
      </c>
      <c r="M26" s="585">
        <f t="shared" ref="M26:M27" si="0">K26*L26</f>
        <v>0</v>
      </c>
    </row>
    <row r="27" spans="1:13" ht="15.75">
      <c r="A27" s="65" t="s">
        <v>96</v>
      </c>
      <c r="C27" s="100">
        <f>SUM(C23:C26)</f>
        <v>0</v>
      </c>
      <c r="D27" s="36"/>
      <c r="F27" s="200" t="s">
        <v>40</v>
      </c>
      <c r="G27" s="562">
        <v>448875</v>
      </c>
      <c r="H27" s="389" t="s">
        <v>306</v>
      </c>
      <c r="I27" s="585">
        <v>48583</v>
      </c>
      <c r="J27" s="200" t="s">
        <v>41</v>
      </c>
      <c r="K27" s="562">
        <v>0</v>
      </c>
      <c r="L27" s="389" t="s">
        <v>306</v>
      </c>
      <c r="M27" s="585">
        <f t="shared" si="0"/>
        <v>0</v>
      </c>
    </row>
    <row r="28" spans="1:13" ht="16.5" thickBot="1">
      <c r="A28" s="210" t="s">
        <v>150</v>
      </c>
      <c r="C28" s="312">
        <v>0</v>
      </c>
      <c r="D28" s="37"/>
      <c r="F28" s="200" t="s">
        <v>41</v>
      </c>
      <c r="G28" s="562">
        <v>48826</v>
      </c>
      <c r="H28" s="389" t="s">
        <v>306</v>
      </c>
      <c r="I28" s="585">
        <v>5622</v>
      </c>
      <c r="J28" s="199" t="s">
        <v>127</v>
      </c>
      <c r="K28" s="181">
        <f>SUM(K23:K27)</f>
        <v>12362193</v>
      </c>
      <c r="L28" s="182"/>
      <c r="M28" s="197">
        <f>SUM(M23:M27)</f>
        <v>1379329</v>
      </c>
    </row>
    <row r="29" spans="1:13" ht="17.25" thickTop="1" thickBot="1">
      <c r="A29" s="210" t="s">
        <v>167</v>
      </c>
      <c r="B29" s="385"/>
      <c r="C29" s="312">
        <v>0</v>
      </c>
      <c r="D29" s="36"/>
      <c r="F29" s="200" t="s">
        <v>42</v>
      </c>
      <c r="G29" s="562">
        <v>0</v>
      </c>
      <c r="H29" s="389" t="s">
        <v>306</v>
      </c>
      <c r="I29" s="585">
        <v>0</v>
      </c>
      <c r="J29" s="199"/>
      <c r="K29" s="231">
        <v>12362193</v>
      </c>
      <c r="L29" s="187" t="s">
        <v>102</v>
      </c>
      <c r="M29" s="465">
        <f>M28/K28</f>
        <v>0.11157640072436986</v>
      </c>
    </row>
    <row r="30" spans="1:13" ht="16.5" thickBot="1">
      <c r="A30" s="2" t="s">
        <v>111</v>
      </c>
      <c r="C30" s="125">
        <f>C7+C11+C14+C17+C20+C22+C27+C28+C29</f>
        <v>2145621.9500000002</v>
      </c>
      <c r="D30" s="37"/>
      <c r="F30" s="200" t="s">
        <v>43</v>
      </c>
      <c r="G30" s="562">
        <v>117328</v>
      </c>
      <c r="H30" s="389" t="s">
        <v>306</v>
      </c>
      <c r="I30" s="585">
        <v>7875</v>
      </c>
      <c r="J30" s="200"/>
      <c r="K30" s="230">
        <f>K28-K29</f>
        <v>0</v>
      </c>
      <c r="L30" s="182"/>
      <c r="M30" s="198"/>
    </row>
    <row r="31" spans="1:13" ht="15.75">
      <c r="A31" s="384" t="s">
        <v>112</v>
      </c>
      <c r="C31" s="560">
        <v>-8542.98</v>
      </c>
      <c r="D31" s="39"/>
      <c r="F31" s="200" t="s">
        <v>74</v>
      </c>
      <c r="G31" s="562">
        <v>3567188</v>
      </c>
      <c r="H31" s="389" t="s">
        <v>306</v>
      </c>
      <c r="I31" s="585">
        <v>1901</v>
      </c>
      <c r="J31" s="153"/>
      <c r="K31" s="7"/>
      <c r="L31" s="182"/>
      <c r="M31" s="198"/>
    </row>
    <row r="32" spans="1:13" ht="16.5" thickBot="1">
      <c r="A32" s="2" t="s">
        <v>116</v>
      </c>
      <c r="B32" s="2" t="s">
        <v>117</v>
      </c>
      <c r="C32" s="567">
        <f>C30+C31</f>
        <v>2137078.9700000002</v>
      </c>
      <c r="D32" s="40"/>
      <c r="F32" s="199" t="s">
        <v>127</v>
      </c>
      <c r="G32" s="181">
        <f>SUM(G23:G31)</f>
        <v>29607631</v>
      </c>
      <c r="H32" s="7"/>
      <c r="I32" s="197">
        <f>SUM(I23:I31)</f>
        <v>2908860</v>
      </c>
      <c r="J32" s="192"/>
      <c r="K32" s="193"/>
      <c r="L32" s="7"/>
      <c r="M32" s="190"/>
    </row>
    <row r="33" spans="1:17" ht="17.25" thickTop="1" thickBot="1">
      <c r="A33" s="384" t="s">
        <v>113</v>
      </c>
      <c r="C33" s="311">
        <f>-C5-C9-C13-C16-C19</f>
        <v>-86498.12000000001</v>
      </c>
      <c r="D33" s="36"/>
      <c r="F33" s="186"/>
      <c r="G33" s="231">
        <v>29607631</v>
      </c>
      <c r="H33" s="187" t="s">
        <v>102</v>
      </c>
      <c r="I33" s="216">
        <f>I32/G32</f>
        <v>9.8246968830434295E-2</v>
      </c>
      <c r="J33" s="192"/>
      <c r="K33" s="193"/>
      <c r="L33" s="7"/>
      <c r="M33" s="98"/>
    </row>
    <row r="34" spans="1:17" ht="16.5" thickBot="1">
      <c r="A34" s="2" t="s">
        <v>114</v>
      </c>
      <c r="C34" s="125">
        <f>SUM(C32:C33)</f>
        <v>2050580.85</v>
      </c>
      <c r="D34" s="36"/>
      <c r="F34" s="153"/>
      <c r="G34" s="230">
        <f>G32-G33</f>
        <v>0</v>
      </c>
      <c r="H34" s="7"/>
      <c r="I34" s="98"/>
      <c r="J34" s="192"/>
      <c r="K34" s="191"/>
      <c r="L34" s="7"/>
      <c r="M34" s="98"/>
    </row>
    <row r="35" spans="1:17" ht="18" customHeight="1">
      <c r="A35" s="2"/>
      <c r="C35" s="101"/>
      <c r="D35" s="36"/>
      <c r="F35" s="184"/>
      <c r="G35" s="12"/>
      <c r="H35" s="12"/>
      <c r="I35" s="185"/>
      <c r="J35" s="199" t="s">
        <v>128</v>
      </c>
      <c r="K35" s="644"/>
      <c r="L35" s="644"/>
      <c r="M35" s="645"/>
    </row>
    <row r="36" spans="1:17" ht="15.75">
      <c r="A36" s="16" t="s">
        <v>94</v>
      </c>
      <c r="B36" s="2"/>
      <c r="C36" s="100"/>
      <c r="D36" s="36"/>
      <c r="F36" s="199" t="s">
        <v>128</v>
      </c>
      <c r="G36" s="7"/>
      <c r="H36" s="7"/>
      <c r="I36" s="98"/>
      <c r="J36" s="200" t="s">
        <v>37</v>
      </c>
      <c r="K36" s="582">
        <f>K23</f>
        <v>9222783</v>
      </c>
      <c r="L36" s="389" t="s">
        <v>306</v>
      </c>
      <c r="M36" s="585">
        <v>1347216</v>
      </c>
      <c r="P36" s="273"/>
      <c r="Q36" s="273"/>
    </row>
    <row r="37" spans="1:17" ht="15.75">
      <c r="A37" s="7" t="s">
        <v>129</v>
      </c>
      <c r="B37" s="532" t="s">
        <v>115</v>
      </c>
      <c r="C37" s="560">
        <v>9543034.9000000004</v>
      </c>
      <c r="D37" s="36"/>
      <c r="F37" s="200" t="s">
        <v>37</v>
      </c>
      <c r="G37" s="582">
        <v>18179866</v>
      </c>
      <c r="H37" s="389" t="s">
        <v>306</v>
      </c>
      <c r="I37" s="585">
        <v>2666323</v>
      </c>
      <c r="J37" s="200" t="s">
        <v>38</v>
      </c>
      <c r="K37" s="582">
        <f>K24</f>
        <v>3135975</v>
      </c>
      <c r="L37" s="389" t="s">
        <v>306</v>
      </c>
      <c r="M37" s="585">
        <v>472170</v>
      </c>
      <c r="P37" s="273"/>
      <c r="Q37" s="273"/>
    </row>
    <row r="38" spans="1:17" ht="15.75">
      <c r="A38" s="144" t="s">
        <v>14</v>
      </c>
      <c r="B38" s="532" t="s">
        <v>115</v>
      </c>
      <c r="C38" s="560">
        <v>0</v>
      </c>
      <c r="D38" s="36"/>
      <c r="F38" s="200" t="s">
        <v>305</v>
      </c>
      <c r="G38" s="582">
        <v>21014</v>
      </c>
      <c r="H38" s="389" t="s">
        <v>306</v>
      </c>
      <c r="I38" s="585">
        <v>3079</v>
      </c>
      <c r="J38" s="200" t="s">
        <v>39</v>
      </c>
      <c r="K38" s="582">
        <f>K25</f>
        <v>3435</v>
      </c>
      <c r="L38" s="389" t="s">
        <v>306</v>
      </c>
      <c r="M38" s="585">
        <v>594</v>
      </c>
      <c r="P38" s="273"/>
      <c r="Q38" s="273"/>
    </row>
    <row r="39" spans="1:17" ht="15.75">
      <c r="A39" s="7" t="s">
        <v>146</v>
      </c>
      <c r="B39" s="532" t="s">
        <v>147</v>
      </c>
      <c r="C39" s="560">
        <v>-78881.08</v>
      </c>
      <c r="D39" s="36"/>
      <c r="F39" s="200" t="s">
        <v>38</v>
      </c>
      <c r="G39" s="582">
        <v>7202971</v>
      </c>
      <c r="H39" s="389" t="s">
        <v>306</v>
      </c>
      <c r="I39" s="585">
        <v>1097244</v>
      </c>
      <c r="J39" s="200" t="s">
        <v>40</v>
      </c>
      <c r="K39" s="582">
        <f>K26</f>
        <v>0</v>
      </c>
      <c r="L39" s="389" t="s">
        <v>306</v>
      </c>
      <c r="M39" s="585">
        <f t="shared" ref="M39:M42" si="1">K39*L39</f>
        <v>0</v>
      </c>
      <c r="P39" s="273"/>
      <c r="Q39" s="273"/>
    </row>
    <row r="40" spans="1:17" ht="15.75">
      <c r="A40" s="7" t="s">
        <v>131</v>
      </c>
      <c r="B40" s="532" t="s">
        <v>132</v>
      </c>
      <c r="C40" s="560">
        <v>1620475.5</v>
      </c>
      <c r="D40" s="36"/>
      <c r="F40" s="200" t="s">
        <v>39</v>
      </c>
      <c r="G40" s="582">
        <v>21563</v>
      </c>
      <c r="H40" s="389" t="s">
        <v>306</v>
      </c>
      <c r="I40" s="585">
        <v>3152</v>
      </c>
      <c r="J40" s="200" t="s">
        <v>41</v>
      </c>
      <c r="K40" s="582">
        <f>K27</f>
        <v>0</v>
      </c>
      <c r="L40" s="389" t="s">
        <v>306</v>
      </c>
      <c r="M40" s="585">
        <f t="shared" si="1"/>
        <v>0</v>
      </c>
      <c r="P40" s="273"/>
      <c r="Q40" s="273"/>
    </row>
    <row r="41" spans="1:17" ht="15.75">
      <c r="A41" s="7" t="s">
        <v>153</v>
      </c>
      <c r="B41" s="6" t="s">
        <v>155</v>
      </c>
      <c r="C41" s="560">
        <v>87624.95</v>
      </c>
      <c r="D41" s="36"/>
      <c r="F41" s="200" t="s">
        <v>40</v>
      </c>
      <c r="G41" s="582">
        <v>448875</v>
      </c>
      <c r="H41" s="389" t="s">
        <v>306</v>
      </c>
      <c r="I41" s="585">
        <v>65803</v>
      </c>
      <c r="J41" s="200" t="s">
        <v>42</v>
      </c>
      <c r="K41" s="582">
        <v>0</v>
      </c>
      <c r="L41" s="389" t="s">
        <v>306</v>
      </c>
      <c r="M41" s="585">
        <f t="shared" si="1"/>
        <v>0</v>
      </c>
      <c r="P41" s="273"/>
      <c r="Q41" s="273"/>
    </row>
    <row r="42" spans="1:17" ht="16.5" thickBot="1">
      <c r="A42" s="7" t="s">
        <v>178</v>
      </c>
      <c r="B42" s="532" t="s">
        <v>179</v>
      </c>
      <c r="C42" s="560">
        <v>827715.23</v>
      </c>
      <c r="D42" s="37"/>
      <c r="F42" s="200" t="s">
        <v>41</v>
      </c>
      <c r="G42" s="582">
        <v>48826</v>
      </c>
      <c r="H42" s="389" t="s">
        <v>306</v>
      </c>
      <c r="I42" s="585">
        <v>9365</v>
      </c>
      <c r="J42" s="200" t="s">
        <v>43</v>
      </c>
      <c r="K42" s="582">
        <v>0</v>
      </c>
      <c r="L42" s="389" t="s">
        <v>306</v>
      </c>
      <c r="M42" s="585">
        <f t="shared" si="1"/>
        <v>0</v>
      </c>
      <c r="P42" s="273"/>
      <c r="Q42" s="273"/>
    </row>
    <row r="43" spans="1:17" ht="16.5" thickBot="1">
      <c r="A43" s="85" t="s">
        <v>123</v>
      </c>
      <c r="B43" s="12"/>
      <c r="C43" s="125">
        <f>SUM(C37:C42)</f>
        <v>11999969.5</v>
      </c>
      <c r="D43" s="36"/>
      <c r="F43" s="200" t="s">
        <v>42</v>
      </c>
      <c r="G43" s="582">
        <v>0</v>
      </c>
      <c r="H43" s="389" t="s">
        <v>306</v>
      </c>
      <c r="I43" s="585">
        <v>0</v>
      </c>
      <c r="J43" s="199" t="s">
        <v>133</v>
      </c>
      <c r="K43" s="181">
        <f>SUM(K36:K42)</f>
        <v>12362193</v>
      </c>
      <c r="L43" s="182"/>
      <c r="M43" s="197">
        <f>SUM(M36:M42)</f>
        <v>1819980</v>
      </c>
    </row>
    <row r="44" spans="1:17" ht="16.5" thickBot="1">
      <c r="A44" s="83" t="s">
        <v>177</v>
      </c>
      <c r="B44" s="84" t="s">
        <v>120</v>
      </c>
      <c r="C44" s="560">
        <f>-466167.08+4763434.38-34955.1+6300.92</f>
        <v>4268613.12</v>
      </c>
      <c r="D44" s="37"/>
      <c r="F44" s="200" t="s">
        <v>43</v>
      </c>
      <c r="G44" s="582">
        <v>117328</v>
      </c>
      <c r="H44" s="389" t="s">
        <v>306</v>
      </c>
      <c r="I44" s="585">
        <v>20720</v>
      </c>
      <c r="J44" s="194"/>
      <c r="K44" s="232">
        <v>12362193</v>
      </c>
      <c r="L44" s="189" t="s">
        <v>102</v>
      </c>
      <c r="M44" s="217">
        <f>M43/K43</f>
        <v>0.14722145172786091</v>
      </c>
    </row>
    <row r="45" spans="1:17" ht="16.5" thickBot="1">
      <c r="A45" s="211" t="s">
        <v>168</v>
      </c>
      <c r="B45" s="6" t="s">
        <v>115</v>
      </c>
      <c r="C45" s="122">
        <v>0</v>
      </c>
      <c r="D45" s="39"/>
      <c r="F45" s="199" t="s">
        <v>133</v>
      </c>
      <c r="G45" s="181">
        <f>SUM(G37:G44)</f>
        <v>26040443</v>
      </c>
      <c r="H45" s="182"/>
      <c r="I45" s="197">
        <f>SUM(I37:I44)</f>
        <v>3865686</v>
      </c>
      <c r="J45" s="85"/>
      <c r="K45" s="230">
        <f>K43-K44</f>
        <v>0</v>
      </c>
      <c r="L45" s="187"/>
      <c r="M45" s="556"/>
    </row>
    <row r="46" spans="1:17" ht="19.5" customHeight="1" thickTop="1" thickBot="1">
      <c r="A46" s="144" t="s">
        <v>169</v>
      </c>
      <c r="B46" s="6" t="s">
        <v>115</v>
      </c>
      <c r="C46" s="122">
        <v>0</v>
      </c>
      <c r="D46" s="40"/>
      <c r="F46" s="188"/>
      <c r="G46" s="232">
        <v>26040443</v>
      </c>
      <c r="H46" s="189" t="s">
        <v>102</v>
      </c>
      <c r="I46" s="215">
        <f>I45/G45</f>
        <v>0.14844931785530685</v>
      </c>
      <c r="J46" s="85"/>
      <c r="K46" s="231"/>
      <c r="L46" s="187"/>
      <c r="M46" s="556"/>
    </row>
    <row r="47" spans="1:17" ht="15.75">
      <c r="A47" s="384" t="s">
        <v>137</v>
      </c>
      <c r="B47" s="6" t="s">
        <v>115</v>
      </c>
      <c r="C47" s="122">
        <v>0</v>
      </c>
      <c r="D47" s="36"/>
      <c r="F47" s="385"/>
      <c r="G47" s="230">
        <f>G45-G46</f>
        <v>0</v>
      </c>
      <c r="H47" s="385"/>
      <c r="I47" s="385"/>
      <c r="J47" s="124"/>
      <c r="K47" s="230"/>
      <c r="L47" s="385"/>
      <c r="M47" s="124"/>
    </row>
    <row r="48" spans="1:17" ht="16.5" thickBot="1">
      <c r="A48" s="144" t="s">
        <v>304</v>
      </c>
      <c r="B48" s="6" t="s">
        <v>115</v>
      </c>
      <c r="C48" s="560">
        <v>7000</v>
      </c>
      <c r="D48" s="36"/>
      <c r="F48" s="385"/>
      <c r="G48" s="385"/>
      <c r="H48" s="385"/>
      <c r="I48" s="385"/>
      <c r="J48" s="124"/>
      <c r="K48" s="114"/>
      <c r="L48" s="385"/>
      <c r="M48" s="68"/>
    </row>
    <row r="49" spans="1:21" ht="15.75">
      <c r="A49" s="7" t="s">
        <v>130</v>
      </c>
      <c r="B49" s="532" t="s">
        <v>152</v>
      </c>
      <c r="C49" s="560">
        <v>15979.98</v>
      </c>
      <c r="D49" s="36"/>
      <c r="F49" s="385"/>
      <c r="G49" s="114"/>
      <c r="H49" s="129" t="s">
        <v>35</v>
      </c>
      <c r="I49" s="13" t="s">
        <v>35</v>
      </c>
      <c r="J49" s="13" t="s">
        <v>63</v>
      </c>
      <c r="K49" s="127" t="s">
        <v>70</v>
      </c>
      <c r="L49" s="124"/>
      <c r="M49" s="385"/>
    </row>
    <row r="50" spans="1:21" ht="16.5" thickBot="1">
      <c r="A50" s="7" t="s">
        <v>222</v>
      </c>
      <c r="B50" s="532" t="s">
        <v>152</v>
      </c>
      <c r="C50" s="560">
        <v>2533.2199999999998</v>
      </c>
      <c r="D50" s="37"/>
      <c r="F50" s="50" t="s">
        <v>73</v>
      </c>
      <c r="G50" s="385"/>
      <c r="H50" s="130" t="s">
        <v>2</v>
      </c>
      <c r="I50" s="131" t="s">
        <v>3</v>
      </c>
      <c r="J50" s="131" t="s">
        <v>2</v>
      </c>
      <c r="K50" s="128" t="s">
        <v>3</v>
      </c>
      <c r="L50" s="385"/>
      <c r="M50" s="385"/>
    </row>
    <row r="51" spans="1:21" ht="15.75">
      <c r="A51" s="7" t="s">
        <v>308</v>
      </c>
      <c r="B51" s="532" t="s">
        <v>152</v>
      </c>
      <c r="C51" s="560">
        <v>2513.29</v>
      </c>
      <c r="D51" s="36"/>
      <c r="F51" s="385"/>
      <c r="G51" s="385"/>
      <c r="H51" s="151"/>
      <c r="I51" s="152"/>
      <c r="J51" s="152"/>
      <c r="K51" s="152"/>
      <c r="L51" s="126" t="s">
        <v>103</v>
      </c>
      <c r="M51" s="385"/>
    </row>
    <row r="52" spans="1:21" ht="15.75">
      <c r="A52" s="22" t="s">
        <v>118</v>
      </c>
      <c r="B52" s="6"/>
      <c r="C52" s="100">
        <f>-C33</f>
        <v>86498.12000000001</v>
      </c>
      <c r="D52" s="33"/>
      <c r="F52" s="385" t="s">
        <v>136</v>
      </c>
      <c r="G52" s="385"/>
      <c r="H52" s="212">
        <f>K12</f>
        <v>5366285.2415440008</v>
      </c>
      <c r="I52" s="115">
        <f>I14</f>
        <v>1416131.1350100001</v>
      </c>
      <c r="J52" s="115">
        <f>L12</f>
        <v>2545741.2384560001</v>
      </c>
      <c r="K52" s="115">
        <f>J14</f>
        <v>634449.71499000001</v>
      </c>
      <c r="L52" s="132">
        <f>SUM(H52:K52)</f>
        <v>9962607.3300000001</v>
      </c>
      <c r="M52" s="385"/>
    </row>
    <row r="53" spans="1:21" ht="16.5" thickBot="1">
      <c r="A53" s="385" t="s">
        <v>315</v>
      </c>
      <c r="B53" s="639" t="s">
        <v>316</v>
      </c>
      <c r="C53" s="560">
        <v>6015.52</v>
      </c>
      <c r="D53" s="36"/>
      <c r="F53" s="384" t="s">
        <v>109</v>
      </c>
      <c r="H53" s="212">
        <f>-I45</f>
        <v>-3865686</v>
      </c>
      <c r="I53" s="115">
        <f>-I32</f>
        <v>-2908860</v>
      </c>
      <c r="J53" s="115">
        <f>-M43</f>
        <v>-1819980</v>
      </c>
      <c r="K53" s="115">
        <f>-M28</f>
        <v>-1379329</v>
      </c>
      <c r="L53" s="261">
        <f>SUM(H53:K53)</f>
        <v>-9973855</v>
      </c>
    </row>
    <row r="54" spans="1:21" ht="16.5" thickBot="1">
      <c r="A54" s="382" t="s">
        <v>124</v>
      </c>
      <c r="B54" s="473" t="s">
        <v>296</v>
      </c>
      <c r="C54" s="560">
        <f>-565084.1-5558647.79-2034242.62</f>
        <v>-8157974.5099999998</v>
      </c>
      <c r="D54" s="36"/>
      <c r="F54" s="384" t="s">
        <v>86</v>
      </c>
      <c r="H54" s="234">
        <v>0</v>
      </c>
      <c r="I54" s="235">
        <v>0</v>
      </c>
      <c r="J54" s="235">
        <v>0</v>
      </c>
      <c r="K54" s="236">
        <v>0</v>
      </c>
      <c r="L54" s="214">
        <f>SUM(L52:L53)</f>
        <v>-11247.669999999925</v>
      </c>
    </row>
    <row r="55" spans="1:21" ht="16.5" thickBot="1">
      <c r="A55" s="384" t="s">
        <v>312</v>
      </c>
      <c r="B55" s="6" t="s">
        <v>190</v>
      </c>
      <c r="C55" s="560">
        <v>-375000</v>
      </c>
      <c r="D55" s="36"/>
      <c r="F55" s="384" t="s">
        <v>71</v>
      </c>
      <c r="H55" s="125">
        <f>IFERROR(H52+H53+H54,0)</f>
        <v>1500599.2415440008</v>
      </c>
      <c r="I55" s="125">
        <f>I52+I53+I54</f>
        <v>-1492728.8649899999</v>
      </c>
      <c r="J55" s="125">
        <f>IFERROR(J52+J53+J54,0)</f>
        <v>725761.23845600011</v>
      </c>
      <c r="K55" s="125">
        <f>K52+K53+K54</f>
        <v>-744879.28500999999</v>
      </c>
      <c r="L55" s="47">
        <f>SUM(H55:K55)</f>
        <v>-11247.669999998994</v>
      </c>
    </row>
    <row r="56" spans="1:21" ht="16.5" thickBot="1">
      <c r="A56" s="82" t="s">
        <v>119</v>
      </c>
      <c r="B56" s="84"/>
      <c r="C56" s="160">
        <f>SUM(C43:C55)</f>
        <v>7856148.2400000002</v>
      </c>
      <c r="D56" s="36"/>
      <c r="F56" s="240" t="s">
        <v>181</v>
      </c>
      <c r="H56" s="384" t="s">
        <v>173</v>
      </c>
      <c r="I56" s="5">
        <f>SUM(H55:I55)</f>
        <v>7870.3765540008899</v>
      </c>
      <c r="J56" s="15" t="s">
        <v>174</v>
      </c>
      <c r="K56" s="384">
        <f>SUM(J55:K55)</f>
        <v>-19118.046553999884</v>
      </c>
      <c r="L56" s="213">
        <f>ROUND(L54-L55,3)</f>
        <v>0</v>
      </c>
      <c r="T56" s="42"/>
    </row>
    <row r="57" spans="1:21" ht="16.5" thickTop="1">
      <c r="A57" s="384" t="s">
        <v>121</v>
      </c>
      <c r="B57" s="6" t="s">
        <v>115</v>
      </c>
      <c r="C57" s="560">
        <v>39031.120000000003</v>
      </c>
      <c r="D57" s="36"/>
      <c r="F57" s="397" t="s">
        <v>181</v>
      </c>
      <c r="H57" s="96"/>
    </row>
    <row r="58" spans="1:21" ht="16.5" thickBot="1">
      <c r="A58" s="384" t="s">
        <v>122</v>
      </c>
      <c r="B58" s="6" t="s">
        <v>115</v>
      </c>
      <c r="C58" s="560">
        <v>16847.12</v>
      </c>
      <c r="D58" s="36"/>
      <c r="F58" s="397" t="s">
        <v>182</v>
      </c>
      <c r="H58" s="157"/>
      <c r="I58" s="120"/>
      <c r="J58" s="120"/>
      <c r="K58" s="204"/>
      <c r="L58" s="120"/>
    </row>
    <row r="59" spans="1:21" ht="16.5" thickBot="1">
      <c r="A59" s="2" t="s">
        <v>125</v>
      </c>
      <c r="B59" s="2"/>
      <c r="C59" s="160">
        <f>SUM(C56:C58)</f>
        <v>7912026.4800000004</v>
      </c>
      <c r="D59" s="36"/>
      <c r="F59" s="543" t="s">
        <v>303</v>
      </c>
      <c r="G59" s="544" t="str">
        <f>IF(OR(AND(I56&gt;0,K56&gt;0),AND(I56&lt;0,K56&lt;0)),"OK","ERROR")</f>
        <v>ERROR</v>
      </c>
      <c r="H59" s="386" t="s">
        <v>294</v>
      </c>
      <c r="I59" s="387"/>
    </row>
    <row r="60" spans="1:21" ht="17.25" thickTop="1" thickBot="1">
      <c r="A60" s="2"/>
      <c r="C60" s="101"/>
      <c r="D60" s="36"/>
      <c r="H60" s="318" t="s">
        <v>175</v>
      </c>
      <c r="I60" s="319" t="s">
        <v>176</v>
      </c>
      <c r="J60" s="5"/>
    </row>
    <row r="61" spans="1:21" ht="16.5" thickBot="1">
      <c r="A61" s="9"/>
      <c r="B61" s="9" t="s">
        <v>95</v>
      </c>
      <c r="C61" s="125">
        <f>C59+C34</f>
        <v>9962607.3300000001</v>
      </c>
      <c r="D61" s="37"/>
      <c r="H61" s="349" t="e">
        <f>SUM('WA - Def-Amtz (current)'!AJ5:AJ10,'WA - Def-Amtz (current)'!AJ35:AJ40,'WA - Def-Amtz (current)'!AJ70:AJ73,#REF!,#REF!,#REF!)+'WA - Def-Amtz (current)'!AJ43+#REF!</f>
        <v>#REF!</v>
      </c>
      <c r="I61" s="449" t="e">
        <f>SUM('WA - Def-Amtz (current)'!AK5:AK10,'WA - Def-Amtz (current)'!AK35:AK40,'WA - Def-Amtz (current)'!AK70:AK73,#REF!,#REF!,#REF!)+'WA - Def-Amtz (current)'!AK44+#REF!</f>
        <v>#REF!</v>
      </c>
      <c r="J61" s="384">
        <f>H53+I53+J53+K53</f>
        <v>-9973855</v>
      </c>
    </row>
    <row r="62" spans="1:21" ht="15.75">
      <c r="A62" s="2"/>
      <c r="B62" s="9" t="s">
        <v>160</v>
      </c>
      <c r="C62" s="610">
        <v>9962607.3300000001</v>
      </c>
      <c r="G62" s="5"/>
      <c r="I62" s="338" t="e">
        <f>H61-I61</f>
        <v>#REF!</v>
      </c>
      <c r="N62" s="5"/>
      <c r="O62" s="5"/>
      <c r="P62" s="21"/>
    </row>
    <row r="63" spans="1:21" ht="15.75">
      <c r="A63" s="9"/>
      <c r="B63" s="9" t="s">
        <v>159</v>
      </c>
      <c r="C63" s="257">
        <f>ROUND(C61-C62,2)</f>
        <v>0</v>
      </c>
      <c r="D63" s="36"/>
      <c r="S63" s="6"/>
    </row>
    <row r="64" spans="1:21" ht="15.75">
      <c r="A64" s="44"/>
      <c r="C64" s="351"/>
      <c r="D64" s="43"/>
      <c r="N64" s="22"/>
      <c r="U64" s="2"/>
    </row>
    <row r="65" spans="1:21" ht="15.75">
      <c r="A65" s="44"/>
      <c r="C65" s="8"/>
      <c r="D65" s="36"/>
      <c r="N65" s="22"/>
      <c r="S65" s="23"/>
    </row>
    <row r="66" spans="1:21" ht="15.75">
      <c r="A66" s="2"/>
      <c r="C66" s="8"/>
      <c r="D66" s="36"/>
      <c r="H66" s="96"/>
      <c r="N66" s="22"/>
      <c r="S66" s="24"/>
    </row>
    <row r="67" spans="1:21">
      <c r="C67" s="100"/>
      <c r="D67" s="36"/>
      <c r="N67" s="22"/>
      <c r="S67" s="25"/>
    </row>
    <row r="68" spans="1:21">
      <c r="D68" s="36"/>
      <c r="N68" s="22"/>
      <c r="S68" s="24"/>
    </row>
    <row r="69" spans="1:21">
      <c r="D69" s="37"/>
      <c r="N69" s="22"/>
    </row>
    <row r="70" spans="1:21">
      <c r="D70" s="36"/>
      <c r="N70" s="22"/>
      <c r="S70" s="26"/>
    </row>
    <row r="71" spans="1:21">
      <c r="D71" s="36"/>
    </row>
    <row r="72" spans="1:21">
      <c r="D72" s="36"/>
    </row>
    <row r="73" spans="1:21">
      <c r="D73" s="45"/>
      <c r="S73" s="27"/>
    </row>
    <row r="74" spans="1:21">
      <c r="R74" s="6"/>
      <c r="S74" s="6"/>
      <c r="T74" s="6"/>
    </row>
    <row r="76" spans="1:21">
      <c r="U76" s="28"/>
    </row>
    <row r="1477" spans="3:3">
      <c r="C1477" s="384">
        <v>-2130</v>
      </c>
    </row>
    <row r="1485" spans="3:3">
      <c r="C1485" s="384">
        <f>7004298-2130</f>
        <v>7002168</v>
      </c>
    </row>
  </sheetData>
  <mergeCells count="3">
    <mergeCell ref="F18:I18"/>
    <mergeCell ref="J18:M18"/>
    <mergeCell ref="K35:M35"/>
  </mergeCells>
  <conditionalFormatting sqref="C63 L56 I62">
    <cfRule type="cellIs" dxfId="291" priority="9" stopIfTrue="1" operator="equal">
      <formula>0</formula>
    </cfRule>
    <cfRule type="cellIs" dxfId="290" priority="10" stopIfTrue="1" operator="notEqual">
      <formula>0</formula>
    </cfRule>
  </conditionalFormatting>
  <conditionalFormatting sqref="G34 G47 K30 K47">
    <cfRule type="cellIs" dxfId="289" priority="8" operator="notEqual">
      <formula>0</formula>
    </cfRule>
  </conditionalFormatting>
  <conditionalFormatting sqref="C63">
    <cfRule type="cellIs" dxfId="288" priority="6" stopIfTrue="1" operator="equal">
      <formula>0</formula>
    </cfRule>
    <cfRule type="cellIs" dxfId="287" priority="7" stopIfTrue="1" operator="notEqual">
      <formula>0</formula>
    </cfRule>
  </conditionalFormatting>
  <conditionalFormatting sqref="K30">
    <cfRule type="cellIs" dxfId="286" priority="5" operator="notEqual">
      <formula>0</formula>
    </cfRule>
  </conditionalFormatting>
  <conditionalFormatting sqref="G59">
    <cfRule type="cellIs" dxfId="285" priority="4" operator="equal">
      <formula>"""ERROR"""</formula>
    </cfRule>
  </conditionalFormatting>
  <conditionalFormatting sqref="G59">
    <cfRule type="cellIs" dxfId="284" priority="3" operator="equal">
      <formula>"ERROR"</formula>
    </cfRule>
  </conditionalFormatting>
  <conditionalFormatting sqref="G59">
    <cfRule type="cellIs" dxfId="283" priority="2" operator="equal">
      <formula>"ERROR"</formula>
    </cfRule>
  </conditionalFormatting>
  <conditionalFormatting sqref="K45">
    <cfRule type="cellIs" dxfId="282" priority="1" operator="notEqual">
      <formula>0</formula>
    </cfRule>
  </conditionalFormatting>
  <printOptions verticalCentered="1" gridLinesSet="0"/>
  <pageMargins left="0.5" right="0" top="0.25" bottom="0.5" header="0" footer="0.25"/>
  <pageSetup scale="47" orientation="landscape" cellComments="asDisplayed" r:id="rId1"/>
  <headerFooter alignWithMargins="0">
    <oddFooter>&amp;L&amp;F&amp;C&amp;A&amp;R&amp;D&amp;T</oddFooter>
  </headerFooter>
  <customProperties>
    <customPr name="xxe4aPID" r:id="rId2"/>
  </customProperties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8">
    <tabColor rgb="FF00CC66"/>
    <pageSetUpPr fitToPage="1"/>
  </sheetPr>
  <dimension ref="A1:U1484"/>
  <sheetViews>
    <sheetView showGridLines="0" topLeftCell="A28" zoomScale="70" zoomScaleNormal="70" workbookViewId="0">
      <selection activeCell="G60" sqref="G60"/>
    </sheetView>
  </sheetViews>
  <sheetFormatPr defaultColWidth="16" defaultRowHeight="15"/>
  <cols>
    <col min="1" max="1" width="44.85546875" style="384" customWidth="1"/>
    <col min="2" max="2" width="25.5703125" style="384" customWidth="1"/>
    <col min="3" max="3" width="25.28515625" style="384" customWidth="1"/>
    <col min="4" max="4" width="2.7109375" style="30" customWidth="1"/>
    <col min="5" max="5" width="4.28515625" style="384" customWidth="1"/>
    <col min="6" max="6" width="26.7109375" style="384" customWidth="1"/>
    <col min="7" max="7" width="19" style="384" customWidth="1"/>
    <col min="8" max="8" width="22" style="384" customWidth="1"/>
    <col min="9" max="9" width="20.42578125" style="384" customWidth="1"/>
    <col min="10" max="10" width="26.28515625" style="384" customWidth="1"/>
    <col min="11" max="11" width="21.85546875" style="384" bestFit="1" customWidth="1"/>
    <col min="12" max="12" width="23.85546875" style="384" customWidth="1"/>
    <col min="13" max="13" width="20.85546875" style="384" bestFit="1" customWidth="1"/>
    <col min="14" max="15" width="16" style="384"/>
    <col min="16" max="16" width="16.28515625" style="384" bestFit="1" customWidth="1"/>
    <col min="17" max="16384" width="16" style="384"/>
  </cols>
  <sheetData>
    <row r="1" spans="1:13" ht="16.5" thickBot="1">
      <c r="A1" s="145" t="s">
        <v>64</v>
      </c>
      <c r="B1" s="29"/>
      <c r="C1" s="529">
        <f>Feb!C1+1</f>
        <v>201803</v>
      </c>
      <c r="F1" s="529">
        <f>C1</f>
        <v>201803</v>
      </c>
      <c r="G1" s="385"/>
      <c r="H1" s="162" t="s">
        <v>69</v>
      </c>
      <c r="I1" s="126" t="s">
        <v>3</v>
      </c>
      <c r="J1" s="126" t="s">
        <v>3</v>
      </c>
      <c r="K1" s="126" t="s">
        <v>66</v>
      </c>
      <c r="L1" s="126" t="s">
        <v>66</v>
      </c>
      <c r="M1" s="385"/>
    </row>
    <row r="2" spans="1:13" ht="15.75">
      <c r="C2" s="31"/>
      <c r="F2" s="385"/>
      <c r="G2" s="385"/>
      <c r="H2" s="163" t="s">
        <v>32</v>
      </c>
      <c r="I2" s="164" t="s">
        <v>65</v>
      </c>
      <c r="J2" s="164" t="s">
        <v>65</v>
      </c>
      <c r="K2" s="164" t="s">
        <v>67</v>
      </c>
      <c r="L2" s="164" t="s">
        <v>67</v>
      </c>
      <c r="M2" s="385"/>
    </row>
    <row r="3" spans="1:13" ht="16.5" thickBot="1">
      <c r="A3" s="63" t="s">
        <v>110</v>
      </c>
      <c r="C3" s="32"/>
      <c r="D3" s="33"/>
      <c r="F3" s="50" t="s">
        <v>72</v>
      </c>
      <c r="G3" s="385"/>
      <c r="H3" s="165" t="s">
        <v>68</v>
      </c>
      <c r="I3" s="165" t="s">
        <v>35</v>
      </c>
      <c r="J3" s="165" t="s">
        <v>63</v>
      </c>
      <c r="K3" s="165" t="s">
        <v>35</v>
      </c>
      <c r="L3" s="165" t="s">
        <v>63</v>
      </c>
      <c r="M3" s="385"/>
    </row>
    <row r="4" spans="1:13" ht="15.75">
      <c r="A4" s="385" t="s">
        <v>88</v>
      </c>
      <c r="C4" s="569">
        <f>4598122.63</f>
        <v>4598122.63</v>
      </c>
      <c r="D4" s="34"/>
      <c r="F4" s="385"/>
      <c r="G4" s="385"/>
      <c r="H4" s="11"/>
      <c r="I4" s="385"/>
      <c r="J4" s="385"/>
      <c r="L4" s="385"/>
      <c r="M4" s="385"/>
    </row>
    <row r="5" spans="1:13" ht="14.25" customHeight="1">
      <c r="A5" s="385" t="s">
        <v>31</v>
      </c>
      <c r="C5" s="569">
        <f>-312.87+73985.42</f>
        <v>73672.55</v>
      </c>
      <c r="D5" s="34"/>
      <c r="F5" s="385"/>
      <c r="G5" s="385"/>
      <c r="H5" s="11"/>
      <c r="I5" s="594">
        <v>0.70530000000000004</v>
      </c>
      <c r="J5" s="594">
        <v>0.29470000000000002</v>
      </c>
      <c r="K5" s="445">
        <f>ROUND(G45/(G45+K43),4)</f>
        <v>0.68079999999999996</v>
      </c>
      <c r="L5" s="445">
        <f>1-K5</f>
        <v>0.31920000000000004</v>
      </c>
      <c r="M5" s="385"/>
    </row>
    <row r="6" spans="1:13" ht="16.5" thickBot="1">
      <c r="A6" s="49" t="s">
        <v>30</v>
      </c>
      <c r="C6" s="570">
        <f>-81979.5-102391.76-2343063.08-444850-127100-142987.5</f>
        <v>-3242371.84</v>
      </c>
      <c r="D6" s="34"/>
      <c r="F6" s="385"/>
      <c r="G6" s="385"/>
      <c r="H6" s="385"/>
      <c r="I6" s="385"/>
      <c r="J6" s="385"/>
      <c r="K6" s="385"/>
      <c r="L6" s="385"/>
      <c r="M6" s="385"/>
    </row>
    <row r="7" spans="1:13" ht="16.5" thickBot="1">
      <c r="A7" s="66" t="s">
        <v>140</v>
      </c>
      <c r="C7" s="100">
        <f>SUM(C4:C6)</f>
        <v>1429423.3399999999</v>
      </c>
      <c r="D7" s="35"/>
      <c r="F7" s="166" t="s">
        <v>139</v>
      </c>
      <c r="G7" s="166"/>
      <c r="H7" s="125">
        <f>C34</f>
        <v>2297443.3099999996</v>
      </c>
      <c r="I7" s="167">
        <f>H7*I5</f>
        <v>1620386.7665429998</v>
      </c>
      <c r="J7" s="167">
        <f>H7*J5</f>
        <v>677056.54345699993</v>
      </c>
      <c r="K7" s="167"/>
      <c r="L7" s="167"/>
      <c r="M7" s="385"/>
    </row>
    <row r="8" spans="1:13" ht="15.75">
      <c r="A8" s="384" t="s">
        <v>89</v>
      </c>
      <c r="C8" s="569">
        <f>252729.32</f>
        <v>252729.32</v>
      </c>
      <c r="D8" s="35"/>
      <c r="F8" s="385"/>
      <c r="G8" s="385"/>
      <c r="H8" s="168"/>
      <c r="I8" s="168"/>
      <c r="J8" s="168"/>
      <c r="K8" s="168"/>
      <c r="L8" s="168"/>
      <c r="M8" s="385"/>
    </row>
    <row r="9" spans="1:13" ht="15.75">
      <c r="A9" s="385" t="s">
        <v>90</v>
      </c>
      <c r="C9" s="569">
        <f>8377.64</f>
        <v>8377.64</v>
      </c>
      <c r="D9" s="36"/>
      <c r="F9" s="166" t="s">
        <v>119</v>
      </c>
      <c r="G9" s="385"/>
      <c r="H9" s="167">
        <f>C55</f>
        <v>6248823.6599999983</v>
      </c>
      <c r="I9" s="167"/>
      <c r="J9" s="167"/>
      <c r="K9" s="167">
        <f>H9*K5</f>
        <v>4254199.1477279989</v>
      </c>
      <c r="L9" s="167">
        <f>H9*L5</f>
        <v>1994624.5122719996</v>
      </c>
      <c r="M9" s="385"/>
    </row>
    <row r="10" spans="1:13" ht="15.75">
      <c r="A10" s="49" t="s">
        <v>91</v>
      </c>
      <c r="C10" s="570">
        <f>-3418.47</f>
        <v>-3418.47</v>
      </c>
      <c r="D10" s="36"/>
      <c r="F10" s="169" t="s">
        <v>44</v>
      </c>
      <c r="G10" s="385"/>
      <c r="H10" s="167">
        <f>C56</f>
        <v>-75592.070000000007</v>
      </c>
      <c r="I10" s="167"/>
      <c r="J10" s="167"/>
      <c r="K10" s="167">
        <f>H10</f>
        <v>-75592.070000000007</v>
      </c>
      <c r="L10" s="167"/>
      <c r="M10" s="385"/>
    </row>
    <row r="11" spans="1:13">
      <c r="A11" s="66" t="s">
        <v>145</v>
      </c>
      <c r="C11" s="100">
        <f>SUM(C8:C10)</f>
        <v>257688.49000000002</v>
      </c>
      <c r="D11" s="36"/>
      <c r="F11" s="169" t="s">
        <v>45</v>
      </c>
      <c r="G11" s="385"/>
      <c r="H11" s="170">
        <f>C57</f>
        <v>-34696.86</v>
      </c>
      <c r="I11" s="167"/>
      <c r="J11" s="167"/>
      <c r="K11" s="170"/>
      <c r="L11" s="170">
        <f>H11</f>
        <v>-34696.86</v>
      </c>
      <c r="M11" s="385"/>
    </row>
    <row r="12" spans="1:13" ht="15.75">
      <c r="A12" s="384" t="s">
        <v>165</v>
      </c>
      <c r="C12" s="569">
        <f>178747.89+206.23</f>
        <v>178954.12000000002</v>
      </c>
      <c r="D12" s="36"/>
      <c r="F12" s="169" t="s">
        <v>138</v>
      </c>
      <c r="G12" s="385"/>
      <c r="H12" s="167">
        <f>H9+H10+H11</f>
        <v>6138534.7299999977</v>
      </c>
      <c r="I12" s="167"/>
      <c r="J12" s="167"/>
      <c r="K12" s="167">
        <f>SUM(K9:K11)</f>
        <v>4178607.0777279991</v>
      </c>
      <c r="L12" s="167">
        <f>SUM(L9:L11)</f>
        <v>1959927.6522719995</v>
      </c>
      <c r="M12" s="385"/>
    </row>
    <row r="13" spans="1:13" ht="16.5" thickBot="1">
      <c r="A13" s="49" t="s">
        <v>166</v>
      </c>
      <c r="C13" s="555">
        <v>0</v>
      </c>
      <c r="D13" s="36"/>
      <c r="F13" s="171"/>
      <c r="G13" s="172"/>
      <c r="H13" s="173"/>
      <c r="I13" s="174"/>
      <c r="J13" s="173"/>
      <c r="K13" s="168"/>
      <c r="L13" s="173"/>
      <c r="M13" s="385"/>
    </row>
    <row r="14" spans="1:13" ht="16.5" thickBot="1">
      <c r="A14" s="66" t="s">
        <v>92</v>
      </c>
      <c r="C14" s="100">
        <f>SUM(C12:C13)</f>
        <v>178954.12000000002</v>
      </c>
      <c r="D14" s="37"/>
      <c r="F14" s="50" t="s">
        <v>69</v>
      </c>
      <c r="G14" s="175"/>
      <c r="H14" s="125">
        <f>H12+H7</f>
        <v>8435978.0399999972</v>
      </c>
      <c r="I14" s="176">
        <f>SUM(I7:I13)</f>
        <v>1620386.7665429998</v>
      </c>
      <c r="J14" s="176">
        <f>SUM(J7:J13)</f>
        <v>677056.54345699993</v>
      </c>
      <c r="K14" s="176">
        <f>K12</f>
        <v>4178607.0777279991</v>
      </c>
      <c r="L14" s="176">
        <f>L12</f>
        <v>1959927.6522719995</v>
      </c>
      <c r="M14" s="385"/>
    </row>
    <row r="15" spans="1:13" ht="15.75">
      <c r="A15" s="384" t="s">
        <v>183</v>
      </c>
      <c r="C15" s="569">
        <f>441286.46-81.42-81.42+576.98</f>
        <v>441700.60000000003</v>
      </c>
      <c r="D15" s="36"/>
      <c r="F15" s="171"/>
      <c r="G15" s="172" t="s">
        <v>102</v>
      </c>
      <c r="H15" s="173">
        <f>H14-C60</f>
        <v>0</v>
      </c>
      <c r="I15" s="177"/>
      <c r="J15" s="173">
        <f>J7+I7-H7</f>
        <v>0</v>
      </c>
      <c r="K15" s="385"/>
      <c r="L15" s="173">
        <f>H12-K14-L14</f>
        <v>0</v>
      </c>
      <c r="M15" s="385"/>
    </row>
    <row r="16" spans="1:13" ht="15.75">
      <c r="A16" s="49" t="s">
        <v>184</v>
      </c>
      <c r="C16" s="555">
        <v>0</v>
      </c>
      <c r="D16" s="36"/>
      <c r="F16" s="178"/>
      <c r="G16" s="172"/>
      <c r="H16" s="179"/>
      <c r="I16" s="180"/>
      <c r="J16" s="179"/>
      <c r="K16" s="385"/>
      <c r="L16" s="179"/>
      <c r="M16" s="385"/>
    </row>
    <row r="17" spans="1:13" ht="15.75" thickBot="1">
      <c r="A17" s="66" t="s">
        <v>185</v>
      </c>
      <c r="C17" s="100">
        <f>SUM(C15:C16)</f>
        <v>441700.60000000003</v>
      </c>
      <c r="D17" s="37"/>
      <c r="F17" s="171"/>
      <c r="G17" s="172"/>
      <c r="H17" s="179"/>
      <c r="I17" s="180"/>
      <c r="J17" s="183"/>
      <c r="K17" s="385"/>
      <c r="L17" s="179"/>
      <c r="M17" s="385"/>
    </row>
    <row r="18" spans="1:13" ht="16.5" thickBot="1">
      <c r="A18" s="384" t="s">
        <v>163</v>
      </c>
      <c r="C18" s="569">
        <f>64585.46+9782.5+1039.47</f>
        <v>75407.429999999993</v>
      </c>
      <c r="D18" s="36"/>
      <c r="F18" s="646" t="s">
        <v>134</v>
      </c>
      <c r="G18" s="647"/>
      <c r="H18" s="647"/>
      <c r="I18" s="648"/>
      <c r="J18" s="646" t="s">
        <v>135</v>
      </c>
      <c r="K18" s="647"/>
      <c r="L18" s="647"/>
      <c r="M18" s="648"/>
    </row>
    <row r="19" spans="1:13" ht="15.75">
      <c r="A19" s="46" t="s">
        <v>164</v>
      </c>
      <c r="C19" s="570">
        <f>2133.72</f>
        <v>2133.7199999999998</v>
      </c>
      <c r="D19" s="36"/>
      <c r="F19" s="201" t="s">
        <v>108</v>
      </c>
      <c r="G19" s="164" t="s">
        <v>33</v>
      </c>
      <c r="H19" s="164" t="s">
        <v>33</v>
      </c>
      <c r="I19" s="164" t="s">
        <v>33</v>
      </c>
      <c r="J19" s="201" t="s">
        <v>108</v>
      </c>
      <c r="K19" s="164" t="s">
        <v>33</v>
      </c>
      <c r="L19" s="164" t="s">
        <v>33</v>
      </c>
      <c r="M19" s="185" t="s">
        <v>33</v>
      </c>
    </row>
    <row r="20" spans="1:13" ht="16.5" thickBot="1">
      <c r="A20" s="67" t="s">
        <v>93</v>
      </c>
      <c r="C20" s="100">
        <f>SUM(C18:C19)</f>
        <v>77541.149999999994</v>
      </c>
      <c r="D20" s="36"/>
      <c r="F20" s="195" t="s">
        <v>162</v>
      </c>
      <c r="G20" s="165" t="s">
        <v>101</v>
      </c>
      <c r="H20" s="165" t="s">
        <v>36</v>
      </c>
      <c r="I20" s="165" t="s">
        <v>34</v>
      </c>
      <c r="J20" s="195" t="s">
        <v>162</v>
      </c>
      <c r="K20" s="165" t="s">
        <v>101</v>
      </c>
      <c r="L20" s="165" t="s">
        <v>36</v>
      </c>
      <c r="M20" s="165" t="s">
        <v>34</v>
      </c>
    </row>
    <row r="21" spans="1:13" ht="15.75">
      <c r="A21" s="46" t="s">
        <v>149</v>
      </c>
      <c r="C21" s="570">
        <f>1850+2540.8</f>
        <v>4390.8</v>
      </c>
      <c r="D21" s="36"/>
      <c r="F21" s="184"/>
      <c r="G21" s="12"/>
      <c r="H21" s="12"/>
      <c r="I21" s="185"/>
      <c r="J21" s="129"/>
      <c r="K21" s="13"/>
      <c r="L21" s="13"/>
      <c r="M21" s="205"/>
    </row>
    <row r="22" spans="1:13" ht="18" customHeight="1">
      <c r="A22" s="65" t="s">
        <v>149</v>
      </c>
      <c r="C22" s="100">
        <f>SUM(C21)</f>
        <v>4390.8</v>
      </c>
      <c r="D22" s="36"/>
      <c r="F22" s="199" t="s">
        <v>126</v>
      </c>
      <c r="G22" s="7"/>
      <c r="H22" s="7"/>
      <c r="I22" s="98"/>
      <c r="J22" s="199" t="s">
        <v>126</v>
      </c>
      <c r="K22" s="7"/>
      <c r="L22" s="7"/>
      <c r="M22" s="98"/>
    </row>
    <row r="23" spans="1:13" ht="15.75">
      <c r="A23" s="208" t="s">
        <v>180</v>
      </c>
      <c r="C23" s="100">
        <v>0</v>
      </c>
      <c r="D23" s="36"/>
      <c r="F23" s="200" t="s">
        <v>37</v>
      </c>
      <c r="G23" s="562">
        <v>14316138</v>
      </c>
      <c r="H23" s="597">
        <v>0.12678</v>
      </c>
      <c r="I23" s="196">
        <f t="shared" ref="I23:I31" si="0">G23*H23</f>
        <v>1814999.9756400001</v>
      </c>
      <c r="J23" s="200" t="s">
        <v>37</v>
      </c>
      <c r="K23" s="562">
        <v>7018804</v>
      </c>
      <c r="L23" s="597">
        <v>0.11330999999999999</v>
      </c>
      <c r="M23" s="196">
        <f>K23*L23</f>
        <v>795300.68123999995</v>
      </c>
    </row>
    <row r="24" spans="1:13" ht="15.75">
      <c r="A24" s="208" t="s">
        <v>186</v>
      </c>
      <c r="C24" s="122">
        <v>0</v>
      </c>
      <c r="D24" s="36"/>
      <c r="F24" s="200" t="s">
        <v>305</v>
      </c>
      <c r="G24" s="562">
        <v>22738</v>
      </c>
      <c r="H24" s="597">
        <v>0.12678</v>
      </c>
      <c r="I24" s="196">
        <f t="shared" si="0"/>
        <v>2882.7236400000002</v>
      </c>
      <c r="J24" s="200" t="s">
        <v>38</v>
      </c>
      <c r="K24" s="562">
        <v>2558534</v>
      </c>
      <c r="L24" s="597">
        <v>0.11330999999999999</v>
      </c>
      <c r="M24" s="196">
        <f t="shared" ref="M24:M27" si="1">K24*L24</f>
        <v>289907.48754</v>
      </c>
    </row>
    <row r="25" spans="1:13" ht="15.75">
      <c r="A25" s="208" t="s">
        <v>189</v>
      </c>
      <c r="C25" s="557">
        <v>0</v>
      </c>
      <c r="D25" s="36"/>
      <c r="F25" s="200" t="s">
        <v>38</v>
      </c>
      <c r="G25" s="562">
        <v>5603968</v>
      </c>
      <c r="H25" s="597">
        <v>0.11865000000000001</v>
      </c>
      <c r="I25" s="196">
        <f t="shared" si="0"/>
        <v>664910.80320000008</v>
      </c>
      <c r="J25" s="200" t="s">
        <v>39</v>
      </c>
      <c r="K25" s="562">
        <v>2902</v>
      </c>
      <c r="L25" s="597">
        <v>0.11330999999999999</v>
      </c>
      <c r="M25" s="196">
        <f t="shared" si="1"/>
        <v>328.82561999999996</v>
      </c>
    </row>
    <row r="26" spans="1:13" ht="15.75">
      <c r="A26" s="209" t="s">
        <v>188</v>
      </c>
      <c r="C26" s="558">
        <v>0</v>
      </c>
      <c r="D26" s="36"/>
      <c r="F26" s="200" t="s">
        <v>39</v>
      </c>
      <c r="G26" s="562">
        <v>0</v>
      </c>
      <c r="H26" s="597">
        <v>0.11865000000000001</v>
      </c>
      <c r="I26" s="196">
        <f t="shared" si="0"/>
        <v>0</v>
      </c>
      <c r="J26" s="200" t="s">
        <v>40</v>
      </c>
      <c r="K26" s="262"/>
      <c r="L26" s="597">
        <v>0.11330999999999999</v>
      </c>
      <c r="M26" s="196">
        <f t="shared" si="1"/>
        <v>0</v>
      </c>
    </row>
    <row r="27" spans="1:13" ht="15.75">
      <c r="A27" s="65" t="s">
        <v>96</v>
      </c>
      <c r="C27" s="100">
        <f>SUM(C23:C26)</f>
        <v>0</v>
      </c>
      <c r="D27" s="36"/>
      <c r="F27" s="200" t="s">
        <v>40</v>
      </c>
      <c r="G27" s="562">
        <v>334116</v>
      </c>
      <c r="H27" s="597">
        <v>0.11541</v>
      </c>
      <c r="I27" s="196">
        <f t="shared" si="0"/>
        <v>38560.327559999998</v>
      </c>
      <c r="J27" s="200" t="s">
        <v>41</v>
      </c>
      <c r="K27" s="262"/>
      <c r="L27" s="597">
        <v>0.11330999999999999</v>
      </c>
      <c r="M27" s="196">
        <f t="shared" si="1"/>
        <v>0</v>
      </c>
    </row>
    <row r="28" spans="1:13" ht="16.5" thickBot="1">
      <c r="A28" s="210" t="s">
        <v>150</v>
      </c>
      <c r="C28" s="312">
        <v>0</v>
      </c>
      <c r="D28" s="37"/>
      <c r="F28" s="200" t="s">
        <v>41</v>
      </c>
      <c r="G28" s="562">
        <v>53363</v>
      </c>
      <c r="H28" s="597">
        <v>0.11541</v>
      </c>
      <c r="I28" s="196">
        <f t="shared" si="0"/>
        <v>6158.6238299999995</v>
      </c>
      <c r="J28" s="199" t="s">
        <v>127</v>
      </c>
      <c r="K28" s="181">
        <f>SUM(K23:K27)</f>
        <v>9580240</v>
      </c>
      <c r="L28" s="182"/>
      <c r="M28" s="197">
        <f>SUM(M23:M27)</f>
        <v>1085536.9944</v>
      </c>
    </row>
    <row r="29" spans="1:13" ht="17.25" thickTop="1" thickBot="1">
      <c r="A29" s="210" t="s">
        <v>167</v>
      </c>
      <c r="B29" s="385"/>
      <c r="C29" s="312">
        <v>0</v>
      </c>
      <c r="D29" s="36"/>
      <c r="F29" s="200" t="s">
        <v>42</v>
      </c>
      <c r="G29" s="562">
        <v>0</v>
      </c>
      <c r="H29" s="597">
        <v>7.4310000000000001E-2</v>
      </c>
      <c r="I29" s="196">
        <f t="shared" si="0"/>
        <v>0</v>
      </c>
      <c r="J29" s="199"/>
      <c r="K29" s="231">
        <v>9580240</v>
      </c>
      <c r="L29" s="187" t="s">
        <v>102</v>
      </c>
      <c r="M29" s="465">
        <f>M28/K28</f>
        <v>0.11330999999999999</v>
      </c>
    </row>
    <row r="30" spans="1:13" ht="16.5" thickBot="1">
      <c r="A30" s="2" t="s">
        <v>111</v>
      </c>
      <c r="C30" s="125">
        <f>C7+C11+C14+C17+C20+C22+C27+C28+C29</f>
        <v>2389698.4999999995</v>
      </c>
      <c r="D30" s="37"/>
      <c r="F30" s="200" t="s">
        <v>43</v>
      </c>
      <c r="G30" s="562">
        <v>102871</v>
      </c>
      <c r="H30" s="597">
        <v>7.4310000000000001E-2</v>
      </c>
      <c r="I30" s="196">
        <f t="shared" si="0"/>
        <v>7644.3440099999998</v>
      </c>
      <c r="J30" s="200"/>
      <c r="K30" s="230">
        <f>K28-K29</f>
        <v>0</v>
      </c>
      <c r="L30" s="182"/>
      <c r="M30" s="198"/>
    </row>
    <row r="31" spans="1:13" ht="15.75">
      <c r="A31" s="384" t="s">
        <v>112</v>
      </c>
      <c r="C31" s="560">
        <f>-8071.28</f>
        <v>-8071.28</v>
      </c>
      <c r="D31" s="39"/>
      <c r="F31" s="200" t="s">
        <v>74</v>
      </c>
      <c r="G31" s="562">
        <v>3381923</v>
      </c>
      <c r="H31" s="597">
        <v>5.4000000000000001E-4</v>
      </c>
      <c r="I31" s="196">
        <f t="shared" si="0"/>
        <v>1826.2384200000001</v>
      </c>
      <c r="J31" s="153"/>
      <c r="K31" s="7"/>
      <c r="L31" s="182"/>
      <c r="M31" s="198"/>
    </row>
    <row r="32" spans="1:13" ht="16.5" thickBot="1">
      <c r="A32" s="2" t="s">
        <v>116</v>
      </c>
      <c r="B32" s="2" t="s">
        <v>117</v>
      </c>
      <c r="C32" s="573">
        <f>C30+C31</f>
        <v>2381627.2199999997</v>
      </c>
      <c r="D32" s="40"/>
      <c r="F32" s="199" t="s">
        <v>127</v>
      </c>
      <c r="G32" s="181">
        <f>SUM(G23:G31)</f>
        <v>23815117</v>
      </c>
      <c r="H32" s="7"/>
      <c r="I32" s="197">
        <f>SUM(I23:I31)</f>
        <v>2536983.0363000003</v>
      </c>
      <c r="J32" s="192"/>
      <c r="K32" s="193"/>
      <c r="L32" s="7"/>
      <c r="M32" s="190"/>
    </row>
    <row r="33" spans="1:17" ht="17.25" thickTop="1" thickBot="1">
      <c r="A33" s="384" t="s">
        <v>113</v>
      </c>
      <c r="C33" s="311">
        <f>-C5-C9-C13-C16-C19</f>
        <v>-84183.91</v>
      </c>
      <c r="D33" s="36"/>
      <c r="F33" s="186"/>
      <c r="G33" s="231">
        <v>23815117</v>
      </c>
      <c r="H33" s="187" t="s">
        <v>102</v>
      </c>
      <c r="I33" s="216">
        <f>I32/G32</f>
        <v>0.10652826254433267</v>
      </c>
      <c r="J33" s="192"/>
      <c r="K33" s="193"/>
      <c r="L33" s="7"/>
      <c r="M33" s="98"/>
    </row>
    <row r="34" spans="1:17" ht="16.5" thickBot="1">
      <c r="A34" s="2" t="s">
        <v>114</v>
      </c>
      <c r="C34" s="125">
        <f>SUM(C32:C33)</f>
        <v>2297443.3099999996</v>
      </c>
      <c r="D34" s="36"/>
      <c r="F34" s="153"/>
      <c r="G34" s="230">
        <f>G32-G33</f>
        <v>0</v>
      </c>
      <c r="H34" s="7"/>
      <c r="I34" s="98"/>
      <c r="J34" s="192"/>
      <c r="K34" s="191"/>
      <c r="L34" s="7"/>
      <c r="M34" s="98"/>
    </row>
    <row r="35" spans="1:17" ht="18" customHeight="1">
      <c r="A35" s="2"/>
      <c r="C35" s="101"/>
      <c r="D35" s="36"/>
      <c r="F35" s="184"/>
      <c r="G35" s="12"/>
      <c r="H35" s="12"/>
      <c r="I35" s="185"/>
      <c r="J35" s="199" t="s">
        <v>128</v>
      </c>
      <c r="K35" s="644"/>
      <c r="L35" s="644"/>
      <c r="M35" s="645"/>
    </row>
    <row r="36" spans="1:17" ht="15.75">
      <c r="A36" s="16" t="s">
        <v>94</v>
      </c>
      <c r="B36" s="2"/>
      <c r="C36" s="100"/>
      <c r="D36" s="36"/>
      <c r="F36" s="199" t="s">
        <v>128</v>
      </c>
      <c r="G36" s="7"/>
      <c r="H36" s="7"/>
      <c r="I36" s="98"/>
      <c r="J36" s="200" t="s">
        <v>37</v>
      </c>
      <c r="K36" s="582">
        <f>K23</f>
        <v>7018804</v>
      </c>
      <c r="L36" s="597">
        <v>0.23895</v>
      </c>
      <c r="M36" s="196">
        <f t="shared" ref="M36:M42" si="2">K36*L36</f>
        <v>1677143.2157999999</v>
      </c>
      <c r="P36" s="273"/>
      <c r="Q36" s="273"/>
    </row>
    <row r="37" spans="1:17" ht="15.75">
      <c r="A37" s="7" t="s">
        <v>129</v>
      </c>
      <c r="B37" s="532" t="s">
        <v>115</v>
      </c>
      <c r="C37" s="560">
        <f>9074120.32</f>
        <v>9074120.3200000003</v>
      </c>
      <c r="D37" s="36"/>
      <c r="F37" s="200" t="s">
        <v>37</v>
      </c>
      <c r="G37" s="582">
        <f>G23</f>
        <v>14316138</v>
      </c>
      <c r="H37" s="597">
        <v>0.23860000000000001</v>
      </c>
      <c r="I37" s="196">
        <f t="shared" ref="I37:I44" si="3">G37*H37</f>
        <v>3415830.5268000001</v>
      </c>
      <c r="J37" s="200" t="s">
        <v>38</v>
      </c>
      <c r="K37" s="582">
        <f>K24</f>
        <v>2558534</v>
      </c>
      <c r="L37" s="597">
        <v>0.23895</v>
      </c>
      <c r="M37" s="196">
        <f t="shared" si="2"/>
        <v>611361.69929999998</v>
      </c>
      <c r="P37" s="273"/>
      <c r="Q37" s="273"/>
    </row>
    <row r="38" spans="1:17" ht="15.75">
      <c r="A38" s="144" t="s">
        <v>14</v>
      </c>
      <c r="B38" s="532" t="s">
        <v>115</v>
      </c>
      <c r="C38" s="122">
        <v>0</v>
      </c>
      <c r="D38" s="36"/>
      <c r="F38" s="200" t="s">
        <v>305</v>
      </c>
      <c r="G38" s="582">
        <f>G24</f>
        <v>22738</v>
      </c>
      <c r="H38" s="597">
        <v>0.23860000000000001</v>
      </c>
      <c r="I38" s="196">
        <f t="shared" si="3"/>
        <v>5425.2867999999999</v>
      </c>
      <c r="J38" s="200" t="s">
        <v>39</v>
      </c>
      <c r="K38" s="582">
        <f>K25</f>
        <v>2902</v>
      </c>
      <c r="L38" s="597">
        <v>0.23895</v>
      </c>
      <c r="M38" s="196">
        <f t="shared" si="2"/>
        <v>693.43290000000002</v>
      </c>
      <c r="P38" s="273"/>
      <c r="Q38" s="273"/>
    </row>
    <row r="39" spans="1:17" ht="15.75">
      <c r="A39" s="7" t="s">
        <v>146</v>
      </c>
      <c r="B39" s="532" t="s">
        <v>147</v>
      </c>
      <c r="C39" s="560">
        <v>-65215.32</v>
      </c>
      <c r="D39" s="36"/>
      <c r="F39" s="200" t="s">
        <v>38</v>
      </c>
      <c r="G39" s="582">
        <f t="shared" ref="G39:G44" si="4">G25</f>
        <v>5603968</v>
      </c>
      <c r="H39" s="597">
        <v>0.23860000000000001</v>
      </c>
      <c r="I39" s="196">
        <f t="shared" si="3"/>
        <v>1337106.7648</v>
      </c>
      <c r="J39" s="200" t="s">
        <v>40</v>
      </c>
      <c r="K39" s="582">
        <f>K26</f>
        <v>0</v>
      </c>
      <c r="L39" s="597">
        <v>0.23895</v>
      </c>
      <c r="M39" s="196">
        <f t="shared" si="2"/>
        <v>0</v>
      </c>
      <c r="P39" s="273"/>
      <c r="Q39" s="273"/>
    </row>
    <row r="40" spans="1:17" ht="15.75">
      <c r="A40" s="7" t="s">
        <v>131</v>
      </c>
      <c r="B40" s="532" t="s">
        <v>132</v>
      </c>
      <c r="C40" s="560">
        <v>1546674.48</v>
      </c>
      <c r="D40" s="36"/>
      <c r="F40" s="200" t="s">
        <v>39</v>
      </c>
      <c r="G40" s="582">
        <f t="shared" si="4"/>
        <v>0</v>
      </c>
      <c r="H40" s="597">
        <v>0.23860000000000001</v>
      </c>
      <c r="I40" s="196">
        <f t="shared" si="3"/>
        <v>0</v>
      </c>
      <c r="J40" s="200" t="s">
        <v>41</v>
      </c>
      <c r="K40" s="582">
        <f>K27</f>
        <v>0</v>
      </c>
      <c r="L40" s="597">
        <v>0.23895</v>
      </c>
      <c r="M40" s="196">
        <f t="shared" si="2"/>
        <v>0</v>
      </c>
      <c r="P40" s="273"/>
      <c r="Q40" s="273"/>
    </row>
    <row r="41" spans="1:17" ht="15.75">
      <c r="A41" s="7" t="s">
        <v>153</v>
      </c>
      <c r="B41" s="6" t="s">
        <v>155</v>
      </c>
      <c r="C41" s="560">
        <v>-36628.71</v>
      </c>
      <c r="D41" s="36"/>
      <c r="F41" s="200" t="s">
        <v>40</v>
      </c>
      <c r="G41" s="582">
        <f t="shared" si="4"/>
        <v>334116</v>
      </c>
      <c r="H41" s="597">
        <v>0.23860000000000001</v>
      </c>
      <c r="I41" s="196">
        <f t="shared" si="3"/>
        <v>79720.077600000004</v>
      </c>
      <c r="J41" s="200" t="s">
        <v>42</v>
      </c>
      <c r="K41" s="562">
        <v>0</v>
      </c>
      <c r="L41" s="597">
        <v>0.23895</v>
      </c>
      <c r="M41" s="196">
        <f t="shared" si="2"/>
        <v>0</v>
      </c>
      <c r="P41" s="273"/>
      <c r="Q41" s="273"/>
    </row>
    <row r="42" spans="1:17" ht="16.5" thickBot="1">
      <c r="A42" s="7" t="s">
        <v>178</v>
      </c>
      <c r="B42" s="532" t="s">
        <v>179</v>
      </c>
      <c r="C42" s="560">
        <v>454092.34</v>
      </c>
      <c r="D42" s="37"/>
      <c r="F42" s="200" t="s">
        <v>41</v>
      </c>
      <c r="G42" s="582">
        <f t="shared" si="4"/>
        <v>53363</v>
      </c>
      <c r="H42" s="597">
        <v>0.23860000000000001</v>
      </c>
      <c r="I42" s="196">
        <f t="shared" si="3"/>
        <v>12732.4118</v>
      </c>
      <c r="J42" s="200" t="s">
        <v>43</v>
      </c>
      <c r="K42" s="583">
        <v>0</v>
      </c>
      <c r="L42" s="597">
        <v>0.23895</v>
      </c>
      <c r="M42" s="196">
        <f t="shared" si="2"/>
        <v>0</v>
      </c>
      <c r="P42" s="273"/>
      <c r="Q42" s="273"/>
    </row>
    <row r="43" spans="1:17" ht="16.5" thickBot="1">
      <c r="A43" s="85" t="s">
        <v>123</v>
      </c>
      <c r="B43" s="12"/>
      <c r="C43" s="125">
        <f>SUM(C37:C42)</f>
        <v>10973043.109999999</v>
      </c>
      <c r="D43" s="36"/>
      <c r="F43" s="200" t="s">
        <v>42</v>
      </c>
      <c r="G43" s="582">
        <f t="shared" si="4"/>
        <v>0</v>
      </c>
      <c r="H43" s="597">
        <v>0.23860000000000001</v>
      </c>
      <c r="I43" s="196">
        <f t="shared" si="3"/>
        <v>0</v>
      </c>
      <c r="J43" s="199" t="s">
        <v>133</v>
      </c>
      <c r="K43" s="181">
        <f>SUM(K36:K42)</f>
        <v>9580240</v>
      </c>
      <c r="L43" s="182"/>
      <c r="M43" s="197">
        <f>SUM(M36:M42)</f>
        <v>2289198.3479999998</v>
      </c>
    </row>
    <row r="44" spans="1:17" ht="16.5" thickBot="1">
      <c r="A44" s="83" t="s">
        <v>177</v>
      </c>
      <c r="B44" s="84" t="s">
        <v>120</v>
      </c>
      <c r="C44" s="560">
        <f>-263325.46+1279478.31-27464.41+173423.4</f>
        <v>1162111.8400000001</v>
      </c>
      <c r="D44" s="37"/>
      <c r="F44" s="200" t="s">
        <v>43</v>
      </c>
      <c r="G44" s="582">
        <f t="shared" si="4"/>
        <v>102871</v>
      </c>
      <c r="H44" s="597">
        <v>0.23860000000000001</v>
      </c>
      <c r="I44" s="196">
        <f t="shared" si="3"/>
        <v>24545.0206</v>
      </c>
      <c r="J44" s="194"/>
      <c r="K44" s="232">
        <v>9580240</v>
      </c>
      <c r="L44" s="189" t="s">
        <v>102</v>
      </c>
      <c r="M44" s="217">
        <f>M43/K43</f>
        <v>0.23894999999999997</v>
      </c>
    </row>
    <row r="45" spans="1:17" ht="16.5" thickBot="1">
      <c r="A45" s="211" t="s">
        <v>168</v>
      </c>
      <c r="B45" s="6" t="s">
        <v>115</v>
      </c>
      <c r="C45" s="122">
        <v>0</v>
      </c>
      <c r="D45" s="39"/>
      <c r="F45" s="199" t="s">
        <v>133</v>
      </c>
      <c r="G45" s="181">
        <f>SUM(G37:G44)</f>
        <v>20433194</v>
      </c>
      <c r="H45" s="182"/>
      <c r="I45" s="197">
        <f>SUM(I37:I44)</f>
        <v>4875360.0884000007</v>
      </c>
      <c r="J45" s="85"/>
      <c r="K45" s="231"/>
      <c r="L45" s="187"/>
      <c r="M45" s="556"/>
    </row>
    <row r="46" spans="1:17" ht="19.5" customHeight="1" thickTop="1" thickBot="1">
      <c r="A46" s="144" t="s">
        <v>169</v>
      </c>
      <c r="B46" s="6" t="s">
        <v>115</v>
      </c>
      <c r="C46" s="122">
        <v>0</v>
      </c>
      <c r="D46" s="40"/>
      <c r="F46" s="188"/>
      <c r="G46" s="232">
        <v>20433194</v>
      </c>
      <c r="H46" s="189" t="s">
        <v>102</v>
      </c>
      <c r="I46" s="215">
        <f>I45/G45</f>
        <v>0.23860000000000003</v>
      </c>
      <c r="J46" s="85"/>
      <c r="K46" s="231"/>
      <c r="L46" s="187"/>
      <c r="M46" s="556"/>
    </row>
    <row r="47" spans="1:17" ht="19.5" customHeight="1">
      <c r="A47" s="384" t="s">
        <v>137</v>
      </c>
      <c r="B47" s="6" t="s">
        <v>115</v>
      </c>
      <c r="C47" s="560">
        <v>-10462.91</v>
      </c>
      <c r="D47" s="36"/>
      <c r="F47" s="385"/>
      <c r="G47" s="230">
        <f>G45-G46</f>
        <v>0</v>
      </c>
      <c r="H47" s="385"/>
      <c r="I47" s="385"/>
      <c r="J47" s="124"/>
      <c r="K47" s="230">
        <f>K43-K44</f>
        <v>0</v>
      </c>
      <c r="L47" s="385"/>
      <c r="M47" s="124"/>
    </row>
    <row r="48" spans="1:17" ht="16.5" thickBot="1">
      <c r="A48" s="144" t="s">
        <v>220</v>
      </c>
      <c r="B48" s="6" t="s">
        <v>115</v>
      </c>
      <c r="C48" s="560">
        <v>7000</v>
      </c>
      <c r="D48" s="36"/>
      <c r="F48" s="385"/>
      <c r="G48" s="385"/>
      <c r="H48" s="385"/>
      <c r="I48" s="385"/>
      <c r="J48" s="124"/>
      <c r="K48" s="114"/>
      <c r="L48" s="385"/>
      <c r="M48" s="68"/>
    </row>
    <row r="49" spans="1:21" ht="15.75">
      <c r="A49" s="7" t="s">
        <v>130</v>
      </c>
      <c r="B49" s="532" t="s">
        <v>152</v>
      </c>
      <c r="C49" s="560">
        <v>28664.94</v>
      </c>
      <c r="D49" s="36"/>
      <c r="F49" s="385"/>
      <c r="G49" s="114"/>
      <c r="H49" s="129" t="s">
        <v>35</v>
      </c>
      <c r="I49" s="13" t="s">
        <v>35</v>
      </c>
      <c r="J49" s="13" t="s">
        <v>63</v>
      </c>
      <c r="K49" s="127" t="s">
        <v>70</v>
      </c>
      <c r="L49" s="124"/>
      <c r="M49" s="385"/>
    </row>
    <row r="50" spans="1:21" ht="16.5" thickBot="1">
      <c r="A50" s="7" t="s">
        <v>222</v>
      </c>
      <c r="B50" s="532" t="s">
        <v>152</v>
      </c>
      <c r="C50" s="560">
        <v>1810.65</v>
      </c>
      <c r="D50" s="37"/>
      <c r="F50" s="50" t="s">
        <v>73</v>
      </c>
      <c r="G50" s="385"/>
      <c r="H50" s="130" t="s">
        <v>2</v>
      </c>
      <c r="I50" s="131" t="s">
        <v>3</v>
      </c>
      <c r="J50" s="131" t="s">
        <v>2</v>
      </c>
      <c r="K50" s="128" t="s">
        <v>3</v>
      </c>
      <c r="L50" s="385"/>
      <c r="M50" s="385"/>
    </row>
    <row r="51" spans="1:21" ht="15.75">
      <c r="A51" s="7" t="s">
        <v>308</v>
      </c>
      <c r="B51" s="532" t="s">
        <v>152</v>
      </c>
      <c r="C51" s="560">
        <v>8007.93</v>
      </c>
      <c r="D51" s="36"/>
      <c r="F51" s="385"/>
      <c r="G51" s="385"/>
      <c r="H51" s="151"/>
      <c r="I51" s="152"/>
      <c r="J51" s="152"/>
      <c r="K51" s="152"/>
      <c r="L51" s="126" t="s">
        <v>103</v>
      </c>
      <c r="M51" s="385"/>
    </row>
    <row r="52" spans="1:21" ht="15.75">
      <c r="A52" s="22" t="s">
        <v>118</v>
      </c>
      <c r="B52" s="6"/>
      <c r="C52" s="100">
        <f>-C33</f>
        <v>84183.91</v>
      </c>
      <c r="D52" s="33"/>
      <c r="F52" s="385" t="s">
        <v>136</v>
      </c>
      <c r="G52" s="385"/>
      <c r="H52" s="212">
        <f>K12</f>
        <v>4178607.0777279991</v>
      </c>
      <c r="I52" s="115">
        <f>I14</f>
        <v>1620386.7665429998</v>
      </c>
      <c r="J52" s="115">
        <f>L12</f>
        <v>1959927.6522719995</v>
      </c>
      <c r="K52" s="115">
        <f>J14</f>
        <v>677056.54345699993</v>
      </c>
      <c r="L52" s="132">
        <f>SUM(H52:K52)</f>
        <v>8435978.0399999972</v>
      </c>
      <c r="M52" s="385"/>
    </row>
    <row r="53" spans="1:21" ht="16.5" thickBot="1">
      <c r="A53" s="382" t="s">
        <v>124</v>
      </c>
      <c r="B53" s="473" t="s">
        <v>296</v>
      </c>
      <c r="C53" s="560">
        <f>-593705.04-3489345.06-1547485.71</f>
        <v>-5630535.8100000005</v>
      </c>
      <c r="D53" s="36"/>
      <c r="F53" s="384" t="s">
        <v>109</v>
      </c>
      <c r="H53" s="212">
        <f>-I45</f>
        <v>-4875360.0884000007</v>
      </c>
      <c r="I53" s="115">
        <f>-I32</f>
        <v>-2536983.0363000003</v>
      </c>
      <c r="J53" s="115">
        <f>-M43</f>
        <v>-2289198.3479999998</v>
      </c>
      <c r="K53" s="115">
        <f>-M28</f>
        <v>-1085536.9944</v>
      </c>
      <c r="L53" s="261">
        <f>SUM(H53:K53)</f>
        <v>-10787078.4671</v>
      </c>
    </row>
    <row r="54" spans="1:21" ht="16.5" thickBot="1">
      <c r="A54" s="384" t="s">
        <v>312</v>
      </c>
      <c r="B54" s="6" t="s">
        <v>190</v>
      </c>
      <c r="C54" s="560">
        <v>-375000</v>
      </c>
      <c r="D54" s="36"/>
      <c r="F54" s="384" t="s">
        <v>86</v>
      </c>
      <c r="H54" s="234">
        <v>0</v>
      </c>
      <c r="I54" s="235">
        <v>0</v>
      </c>
      <c r="J54" s="235">
        <v>0</v>
      </c>
      <c r="K54" s="236">
        <v>0</v>
      </c>
      <c r="L54" s="214">
        <f>SUM(L52:L53)</f>
        <v>-2351100.4271000028</v>
      </c>
    </row>
    <row r="55" spans="1:21" ht="16.5" thickBot="1">
      <c r="A55" s="82" t="s">
        <v>119</v>
      </c>
      <c r="B55" s="84"/>
      <c r="C55" s="160">
        <f>SUM(C43:C54)</f>
        <v>6248823.6599999983</v>
      </c>
      <c r="D55" s="36"/>
      <c r="F55" s="384" t="s">
        <v>71</v>
      </c>
      <c r="H55" s="125">
        <f>IFERROR(H52+H53+H54,0)</f>
        <v>-696753.01067200163</v>
      </c>
      <c r="I55" s="125">
        <f>I52+I53+I54</f>
        <v>-916596.2697570005</v>
      </c>
      <c r="J55" s="125">
        <f>IFERROR(J52+J53+J54,0)</f>
        <v>-329270.69572800025</v>
      </c>
      <c r="K55" s="125">
        <f>K52+K53+K54</f>
        <v>-408480.45094300003</v>
      </c>
      <c r="L55" s="47">
        <f>SUM(H55:K55)</f>
        <v>-2351100.4271000023</v>
      </c>
    </row>
    <row r="56" spans="1:21" ht="17.25" thickTop="1" thickBot="1">
      <c r="A56" s="384" t="s">
        <v>121</v>
      </c>
      <c r="B56" s="6" t="s">
        <v>115</v>
      </c>
      <c r="C56" s="560">
        <v>-75592.070000000007</v>
      </c>
      <c r="D56" s="36"/>
      <c r="F56" s="240" t="s">
        <v>181</v>
      </c>
      <c r="H56" s="384" t="s">
        <v>173</v>
      </c>
      <c r="I56" s="5">
        <f>SUM(H55:I55)</f>
        <v>-1613349.2804290021</v>
      </c>
      <c r="J56" s="15" t="s">
        <v>174</v>
      </c>
      <c r="K56" s="384">
        <f>SUM(J55:K55)</f>
        <v>-737751.14667100029</v>
      </c>
      <c r="L56" s="213">
        <f>ROUND(L54-L55,3)</f>
        <v>0</v>
      </c>
      <c r="T56" s="42"/>
    </row>
    <row r="57" spans="1:21" ht="16.5" thickTop="1">
      <c r="A57" s="384" t="s">
        <v>122</v>
      </c>
      <c r="B57" s="6" t="s">
        <v>115</v>
      </c>
      <c r="C57" s="560">
        <v>-34696.86</v>
      </c>
      <c r="D57" s="36"/>
      <c r="F57" s="397" t="s">
        <v>181</v>
      </c>
      <c r="H57" s="96"/>
    </row>
    <row r="58" spans="1:21" ht="16.5" thickBot="1">
      <c r="A58" s="2" t="s">
        <v>125</v>
      </c>
      <c r="B58" s="2"/>
      <c r="C58" s="160">
        <f>SUM(C55:C57)</f>
        <v>6138534.7299999977</v>
      </c>
      <c r="D58" s="36"/>
      <c r="F58" s="397" t="s">
        <v>182</v>
      </c>
      <c r="H58" s="157"/>
      <c r="I58" s="120"/>
      <c r="J58" s="120"/>
      <c r="K58" s="204"/>
      <c r="L58" s="120"/>
    </row>
    <row r="59" spans="1:21" ht="17.25" thickTop="1" thickBot="1">
      <c r="A59" s="2"/>
      <c r="C59" s="101"/>
      <c r="D59" s="36"/>
      <c r="F59" s="543" t="s">
        <v>303</v>
      </c>
      <c r="G59" s="544" t="str">
        <f>IF(OR(AND(I56&gt;0,K56&gt;0),AND(I56&lt;0,K56&lt;0)),"OK","ERROR")</f>
        <v>OK</v>
      </c>
      <c r="H59" s="386" t="s">
        <v>294</v>
      </c>
      <c r="I59" s="387"/>
    </row>
    <row r="60" spans="1:21" ht="16.5" thickBot="1">
      <c r="A60" s="9"/>
      <c r="B60" s="9" t="s">
        <v>95</v>
      </c>
      <c r="C60" s="125">
        <f>C58+C34</f>
        <v>8435978.0399999972</v>
      </c>
      <c r="D60" s="36"/>
      <c r="H60" s="318" t="s">
        <v>175</v>
      </c>
      <c r="I60" s="319" t="s">
        <v>176</v>
      </c>
      <c r="J60" s="5"/>
    </row>
    <row r="61" spans="1:21" ht="16.5" thickBot="1">
      <c r="A61" s="2"/>
      <c r="B61" s="9" t="s">
        <v>160</v>
      </c>
      <c r="C61" s="350">
        <v>8435978.0399999991</v>
      </c>
      <c r="D61" s="37"/>
      <c r="H61" s="349" t="e">
        <f>SUM(#REF!,#REF!,#REF!,#REF!,#REF!,#REF!)</f>
        <v>#REF!</v>
      </c>
      <c r="I61" s="449" t="e">
        <f>SUM(#REF!,#REF!,#REF!,#REF!,#REF!,#REF!)</f>
        <v>#REF!</v>
      </c>
      <c r="J61" s="384">
        <f>H53+I53+J53+K53</f>
        <v>-10787078.4671</v>
      </c>
    </row>
    <row r="62" spans="1:21" ht="15.75">
      <c r="A62" s="9"/>
      <c r="B62" s="9" t="s">
        <v>159</v>
      </c>
      <c r="C62" s="257">
        <f>ROUND(C60-C61,2)</f>
        <v>0</v>
      </c>
      <c r="G62" s="5"/>
      <c r="I62" s="338" t="e">
        <f>H61-I61</f>
        <v>#REF!</v>
      </c>
      <c r="N62" s="5"/>
      <c r="O62" s="5"/>
      <c r="P62" s="21"/>
    </row>
    <row r="63" spans="1:21" ht="15.75">
      <c r="A63" s="44"/>
      <c r="C63" s="351"/>
      <c r="D63" s="36"/>
      <c r="S63" s="6"/>
    </row>
    <row r="64" spans="1:21" ht="15.75">
      <c r="A64" s="44"/>
      <c r="C64" s="8"/>
      <c r="D64" s="43"/>
      <c r="N64" s="22"/>
      <c r="U64" s="2"/>
    </row>
    <row r="65" spans="1:21" ht="15.75">
      <c r="A65" s="2"/>
      <c r="C65" s="8"/>
      <c r="D65" s="36"/>
      <c r="N65" s="22"/>
      <c r="S65" s="23"/>
    </row>
    <row r="66" spans="1:21">
      <c r="C66" s="100"/>
      <c r="D66" s="36"/>
      <c r="H66" s="96"/>
      <c r="N66" s="22"/>
      <c r="S66" s="24"/>
    </row>
    <row r="67" spans="1:21">
      <c r="D67" s="36"/>
      <c r="N67" s="22"/>
      <c r="S67" s="25"/>
    </row>
    <row r="68" spans="1:21">
      <c r="D68" s="36"/>
      <c r="N68" s="22"/>
      <c r="S68" s="24"/>
    </row>
    <row r="69" spans="1:21">
      <c r="D69" s="37"/>
      <c r="N69" s="22"/>
    </row>
    <row r="70" spans="1:21">
      <c r="D70" s="36"/>
      <c r="N70" s="22"/>
      <c r="S70" s="26"/>
    </row>
    <row r="71" spans="1:21">
      <c r="D71" s="36"/>
    </row>
    <row r="72" spans="1:21">
      <c r="D72" s="36"/>
    </row>
    <row r="73" spans="1:21">
      <c r="D73" s="45"/>
      <c r="S73" s="27"/>
    </row>
    <row r="74" spans="1:21">
      <c r="R74" s="6"/>
      <c r="S74" s="6"/>
      <c r="T74" s="6"/>
    </row>
    <row r="76" spans="1:21">
      <c r="U76" s="28"/>
    </row>
    <row r="1476" spans="3:3">
      <c r="C1476" s="384">
        <v>-2130</v>
      </c>
    </row>
    <row r="1484" spans="3:3">
      <c r="C1484" s="384">
        <f>7004298-2130</f>
        <v>7002168</v>
      </c>
    </row>
  </sheetData>
  <mergeCells count="3">
    <mergeCell ref="F18:I18"/>
    <mergeCell ref="J18:M18"/>
    <mergeCell ref="K35:M35"/>
  </mergeCells>
  <conditionalFormatting sqref="C62 L56 I62">
    <cfRule type="cellIs" dxfId="281" priority="8" stopIfTrue="1" operator="equal">
      <formula>0</formula>
    </cfRule>
    <cfRule type="cellIs" dxfId="280" priority="9" stopIfTrue="1" operator="notEqual">
      <formula>0</formula>
    </cfRule>
  </conditionalFormatting>
  <conditionalFormatting sqref="G34 G47 K30 K47">
    <cfRule type="cellIs" dxfId="279" priority="7" operator="notEqual">
      <formula>0</formula>
    </cfRule>
  </conditionalFormatting>
  <conditionalFormatting sqref="C62">
    <cfRule type="cellIs" dxfId="278" priority="5" stopIfTrue="1" operator="equal">
      <formula>0</formula>
    </cfRule>
    <cfRule type="cellIs" dxfId="277" priority="6" stopIfTrue="1" operator="notEqual">
      <formula>0</formula>
    </cfRule>
  </conditionalFormatting>
  <conditionalFormatting sqref="K30">
    <cfRule type="cellIs" dxfId="276" priority="4" operator="notEqual">
      <formula>0</formula>
    </cfRule>
  </conditionalFormatting>
  <conditionalFormatting sqref="G59">
    <cfRule type="cellIs" dxfId="275" priority="3" operator="equal">
      <formula>"""ERROR"""</formula>
    </cfRule>
  </conditionalFormatting>
  <conditionalFormatting sqref="G59">
    <cfRule type="cellIs" dxfId="274" priority="2" operator="equal">
      <formula>"ERROR"</formula>
    </cfRule>
  </conditionalFormatting>
  <conditionalFormatting sqref="G59">
    <cfRule type="cellIs" dxfId="273" priority="1" operator="equal">
      <formula>"ERROR"</formula>
    </cfRule>
  </conditionalFormatting>
  <printOptions verticalCentered="1" gridLinesSet="0"/>
  <pageMargins left="0.5" right="0" top="0.25" bottom="0.5" header="0" footer="0.25"/>
  <pageSetup scale="47" orientation="landscape" cellComments="asDisplayed" r:id="rId1"/>
  <headerFooter alignWithMargins="0">
    <oddFooter>&amp;L&amp;F&amp;C&amp;A&amp;R&amp;D&amp;T</oddFooter>
  </headerFooter>
  <customProperties>
    <customPr name="xxe4aPID" r:id="rId2"/>
  </customProperties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9">
    <tabColor rgb="FF00CC66"/>
    <pageSetUpPr fitToPage="1"/>
  </sheetPr>
  <dimension ref="A1:U1484"/>
  <sheetViews>
    <sheetView showGridLines="0" topLeftCell="A31" zoomScale="70" zoomScaleNormal="70" workbookViewId="0">
      <selection activeCell="G60" sqref="G60"/>
    </sheetView>
  </sheetViews>
  <sheetFormatPr defaultColWidth="16" defaultRowHeight="15"/>
  <cols>
    <col min="1" max="1" width="44.85546875" style="384" customWidth="1"/>
    <col min="2" max="2" width="25.5703125" style="384" customWidth="1"/>
    <col min="3" max="3" width="25.28515625" style="384" customWidth="1"/>
    <col min="4" max="4" width="2.7109375" style="30" customWidth="1"/>
    <col min="5" max="5" width="4.28515625" style="384" customWidth="1"/>
    <col min="6" max="6" width="26.7109375" style="384" customWidth="1"/>
    <col min="7" max="7" width="19" style="384" customWidth="1"/>
    <col min="8" max="8" width="22" style="384" customWidth="1"/>
    <col min="9" max="9" width="20.42578125" style="384" customWidth="1"/>
    <col min="10" max="10" width="26.28515625" style="384" customWidth="1"/>
    <col min="11" max="11" width="21.85546875" style="384" bestFit="1" customWidth="1"/>
    <col min="12" max="12" width="23.85546875" style="384" customWidth="1"/>
    <col min="13" max="13" width="20.85546875" style="384" bestFit="1" customWidth="1"/>
    <col min="14" max="15" width="16" style="384"/>
    <col min="16" max="16" width="16.28515625" style="384" bestFit="1" customWidth="1"/>
    <col min="17" max="16384" width="16" style="384"/>
  </cols>
  <sheetData>
    <row r="1" spans="1:13" ht="16.5" thickBot="1">
      <c r="A1" s="145" t="s">
        <v>64</v>
      </c>
      <c r="B1" s="29"/>
      <c r="C1" s="529">
        <f>Mar!C1+1</f>
        <v>201804</v>
      </c>
      <c r="F1" s="529">
        <f>C1</f>
        <v>201804</v>
      </c>
      <c r="G1" s="385"/>
      <c r="H1" s="162" t="s">
        <v>69</v>
      </c>
      <c r="I1" s="126" t="s">
        <v>3</v>
      </c>
      <c r="J1" s="126" t="s">
        <v>3</v>
      </c>
      <c r="K1" s="126" t="s">
        <v>66</v>
      </c>
      <c r="L1" s="126" t="s">
        <v>66</v>
      </c>
      <c r="M1" s="385"/>
    </row>
    <row r="2" spans="1:13" ht="15.75">
      <c r="C2" s="31"/>
      <c r="F2" s="385"/>
      <c r="G2" s="385"/>
      <c r="H2" s="163" t="s">
        <v>32</v>
      </c>
      <c r="I2" s="164" t="s">
        <v>65</v>
      </c>
      <c r="J2" s="164" t="s">
        <v>65</v>
      </c>
      <c r="K2" s="164" t="s">
        <v>67</v>
      </c>
      <c r="L2" s="164" t="s">
        <v>67</v>
      </c>
      <c r="M2" s="385"/>
    </row>
    <row r="3" spans="1:13" ht="16.5" thickBot="1">
      <c r="A3" s="63" t="s">
        <v>110</v>
      </c>
      <c r="C3" s="32"/>
      <c r="D3" s="33"/>
      <c r="F3" s="50" t="s">
        <v>72</v>
      </c>
      <c r="G3" s="385"/>
      <c r="H3" s="165" t="s">
        <v>68</v>
      </c>
      <c r="I3" s="165" t="s">
        <v>35</v>
      </c>
      <c r="J3" s="165" t="s">
        <v>63</v>
      </c>
      <c r="K3" s="165" t="s">
        <v>35</v>
      </c>
      <c r="L3" s="165" t="s">
        <v>63</v>
      </c>
      <c r="M3" s="385"/>
    </row>
    <row r="4" spans="1:13" ht="15.75">
      <c r="A4" s="385" t="s">
        <v>88</v>
      </c>
      <c r="C4" s="569">
        <f>4449796.09</f>
        <v>4449796.09</v>
      </c>
      <c r="D4" s="34"/>
      <c r="F4" s="385"/>
      <c r="G4" s="385"/>
      <c r="H4" s="11"/>
      <c r="I4" s="385"/>
      <c r="J4" s="385"/>
      <c r="L4" s="385"/>
      <c r="M4" s="385"/>
    </row>
    <row r="5" spans="1:13" ht="14.25" customHeight="1">
      <c r="A5" s="385" t="s">
        <v>31</v>
      </c>
      <c r="C5" s="569">
        <f>79305.26-2.34-268.09</f>
        <v>79034.83</v>
      </c>
      <c r="D5" s="34"/>
      <c r="F5" s="385"/>
      <c r="G5" s="385"/>
      <c r="H5" s="11"/>
      <c r="I5" s="594">
        <v>0.70530000000000004</v>
      </c>
      <c r="J5" s="594">
        <v>0.29470000000000002</v>
      </c>
      <c r="K5" s="445">
        <f>ROUND(G45/(G45+K43),4)</f>
        <v>0.67689999999999995</v>
      </c>
      <c r="L5" s="445">
        <f>1-K5</f>
        <v>0.32310000000000005</v>
      </c>
      <c r="M5" s="385"/>
    </row>
    <row r="6" spans="1:13" ht="16.5" thickBot="1">
      <c r="A6" s="49" t="s">
        <v>30</v>
      </c>
      <c r="C6" s="570">
        <f>-2267480.4-430500-123000-138375-79335-99088.8</f>
        <v>-3137779.1999999997</v>
      </c>
      <c r="D6" s="34"/>
      <c r="F6" s="385"/>
      <c r="G6" s="385"/>
      <c r="H6" s="385"/>
      <c r="I6" s="385"/>
      <c r="J6" s="385"/>
      <c r="K6" s="385"/>
      <c r="L6" s="385"/>
      <c r="M6" s="385"/>
    </row>
    <row r="7" spans="1:13" ht="16.5" thickBot="1">
      <c r="A7" s="66" t="s">
        <v>140</v>
      </c>
      <c r="C7" s="100">
        <f>SUM(C4:C6)</f>
        <v>1391051.7200000002</v>
      </c>
      <c r="D7" s="35"/>
      <c r="F7" s="166" t="s">
        <v>139</v>
      </c>
      <c r="G7" s="166"/>
      <c r="H7" s="125">
        <f>C34</f>
        <v>2157588.0500000007</v>
      </c>
      <c r="I7" s="167">
        <f>H7*I5</f>
        <v>1521746.8516650007</v>
      </c>
      <c r="J7" s="167">
        <f>H7*J5</f>
        <v>635841.19833500031</v>
      </c>
      <c r="K7" s="167"/>
      <c r="L7" s="167"/>
      <c r="M7" s="385"/>
    </row>
    <row r="8" spans="1:13" ht="15.75">
      <c r="A8" s="384" t="s">
        <v>89</v>
      </c>
      <c r="C8" s="569">
        <v>185334.94</v>
      </c>
      <c r="D8" s="35"/>
      <c r="F8" s="385"/>
      <c r="G8" s="385"/>
      <c r="H8" s="168"/>
      <c r="I8" s="168"/>
      <c r="J8" s="168"/>
      <c r="K8" s="168"/>
      <c r="L8" s="168"/>
      <c r="M8" s="385"/>
    </row>
    <row r="9" spans="1:13" ht="15.75">
      <c r="A9" s="385" t="s">
        <v>90</v>
      </c>
      <c r="C9" s="569">
        <f>6318.34+153.7</f>
        <v>6472.04</v>
      </c>
      <c r="D9" s="36"/>
      <c r="F9" s="166" t="s">
        <v>119</v>
      </c>
      <c r="G9" s="385"/>
      <c r="H9" s="167">
        <f>C55</f>
        <v>3514160.1999999983</v>
      </c>
      <c r="I9" s="167"/>
      <c r="J9" s="167"/>
      <c r="K9" s="167">
        <f>H9*K5</f>
        <v>2378735.0393799986</v>
      </c>
      <c r="L9" s="167">
        <f>H9*L5</f>
        <v>1135425.1606199997</v>
      </c>
      <c r="M9" s="385"/>
    </row>
    <row r="10" spans="1:13" ht="15.75">
      <c r="A10" s="49" t="s">
        <v>91</v>
      </c>
      <c r="C10" s="570">
        <f>-3308.2</f>
        <v>-3308.2</v>
      </c>
      <c r="D10" s="36"/>
      <c r="F10" s="169" t="s">
        <v>44</v>
      </c>
      <c r="G10" s="385"/>
      <c r="H10" s="167">
        <f>C56</f>
        <v>70287.94</v>
      </c>
      <c r="I10" s="167"/>
      <c r="J10" s="167"/>
      <c r="K10" s="167">
        <f>H10</f>
        <v>70287.94</v>
      </c>
      <c r="L10" s="167"/>
      <c r="M10" s="385"/>
    </row>
    <row r="11" spans="1:13">
      <c r="A11" s="66" t="s">
        <v>145</v>
      </c>
      <c r="C11" s="100">
        <f>SUM(C8:C10)</f>
        <v>188498.78</v>
      </c>
      <c r="D11" s="36"/>
      <c r="F11" s="169" t="s">
        <v>45</v>
      </c>
      <c r="G11" s="385"/>
      <c r="H11" s="170">
        <f>C57</f>
        <v>31458.61</v>
      </c>
      <c r="I11" s="167"/>
      <c r="J11" s="167"/>
      <c r="K11" s="170"/>
      <c r="L11" s="170">
        <f>H11</f>
        <v>31458.61</v>
      </c>
      <c r="M11" s="385"/>
    </row>
    <row r="12" spans="1:13" ht="15.75">
      <c r="A12" s="384" t="s">
        <v>165</v>
      </c>
      <c r="C12" s="569">
        <f>173973.36-2925.51</f>
        <v>171047.84999999998</v>
      </c>
      <c r="D12" s="36"/>
      <c r="F12" s="169" t="s">
        <v>138</v>
      </c>
      <c r="G12" s="385"/>
      <c r="H12" s="167">
        <f>H9+H10+H11</f>
        <v>3615906.7499999981</v>
      </c>
      <c r="I12" s="167"/>
      <c r="J12" s="167"/>
      <c r="K12" s="167">
        <f>SUM(K9:K11)</f>
        <v>2449022.9793799985</v>
      </c>
      <c r="L12" s="167">
        <f>SUM(L9:L11)</f>
        <v>1166883.7706199999</v>
      </c>
      <c r="M12" s="385"/>
    </row>
    <row r="13" spans="1:13" ht="16.5" thickBot="1">
      <c r="A13" s="49" t="s">
        <v>166</v>
      </c>
      <c r="C13" s="313">
        <v>0</v>
      </c>
      <c r="D13" s="36"/>
      <c r="F13" s="171"/>
      <c r="G13" s="172"/>
      <c r="H13" s="173"/>
      <c r="I13" s="174"/>
      <c r="J13" s="173"/>
      <c r="K13" s="168"/>
      <c r="L13" s="173"/>
      <c r="M13" s="385"/>
    </row>
    <row r="14" spans="1:13" ht="16.5" thickBot="1">
      <c r="A14" s="66" t="s">
        <v>92</v>
      </c>
      <c r="C14" s="100">
        <f>SUM(C12:C13)</f>
        <v>171047.84999999998</v>
      </c>
      <c r="D14" s="37"/>
      <c r="F14" s="50" t="s">
        <v>69</v>
      </c>
      <c r="G14" s="175"/>
      <c r="H14" s="125">
        <f>H12+H7</f>
        <v>5773494.7999999989</v>
      </c>
      <c r="I14" s="176">
        <f>SUM(I7:I13)</f>
        <v>1521746.8516650007</v>
      </c>
      <c r="J14" s="176">
        <f>SUM(J7:J13)</f>
        <v>635841.19833500031</v>
      </c>
      <c r="K14" s="176">
        <f>K12</f>
        <v>2449022.9793799985</v>
      </c>
      <c r="L14" s="176">
        <f>L12</f>
        <v>1166883.7706199999</v>
      </c>
      <c r="M14" s="385"/>
    </row>
    <row r="15" spans="1:13" ht="15.75">
      <c r="A15" s="384" t="s">
        <v>183</v>
      </c>
      <c r="C15" s="569">
        <f>-7222.98+429499.28</f>
        <v>422276.30000000005</v>
      </c>
      <c r="D15" s="36"/>
      <c r="F15" s="171"/>
      <c r="G15" s="172" t="s">
        <v>102</v>
      </c>
      <c r="H15" s="173">
        <f>H14-C60</f>
        <v>0</v>
      </c>
      <c r="I15" s="177"/>
      <c r="J15" s="173">
        <f>J7+I7-H7</f>
        <v>0</v>
      </c>
      <c r="K15" s="385"/>
      <c r="L15" s="173">
        <f>H12-K14-L14</f>
        <v>0</v>
      </c>
      <c r="M15" s="385"/>
    </row>
    <row r="16" spans="1:13" ht="15.75">
      <c r="A16" s="49" t="s">
        <v>184</v>
      </c>
      <c r="C16" s="313">
        <v>0</v>
      </c>
      <c r="D16" s="36"/>
      <c r="F16" s="178"/>
      <c r="G16" s="172"/>
      <c r="H16" s="179"/>
      <c r="I16" s="180"/>
      <c r="J16" s="179"/>
      <c r="K16" s="385"/>
      <c r="L16" s="179"/>
      <c r="M16" s="385"/>
    </row>
    <row r="17" spans="1:13" ht="15.75" thickBot="1">
      <c r="A17" s="66" t="s">
        <v>185</v>
      </c>
      <c r="C17" s="100">
        <f>SUM(C15:C16)</f>
        <v>422276.30000000005</v>
      </c>
      <c r="D17" s="37"/>
      <c r="F17" s="171"/>
      <c r="G17" s="172"/>
      <c r="H17" s="179"/>
      <c r="I17" s="180"/>
      <c r="J17" s="183"/>
      <c r="K17" s="385"/>
      <c r="L17" s="179"/>
      <c r="M17" s="385"/>
    </row>
    <row r="18" spans="1:13" ht="16.5" thickBot="1">
      <c r="A18" s="384" t="s">
        <v>163</v>
      </c>
      <c r="C18" s="569">
        <f>9521.2-1214.19+59136.08</f>
        <v>67443.09</v>
      </c>
      <c r="D18" s="36"/>
      <c r="F18" s="646" t="s">
        <v>134</v>
      </c>
      <c r="G18" s="647"/>
      <c r="H18" s="647"/>
      <c r="I18" s="648"/>
      <c r="J18" s="646" t="s">
        <v>135</v>
      </c>
      <c r="K18" s="647"/>
      <c r="L18" s="647"/>
      <c r="M18" s="648"/>
    </row>
    <row r="19" spans="1:13" ht="15.75">
      <c r="A19" s="46" t="s">
        <v>164</v>
      </c>
      <c r="C19" s="570">
        <f>3314.65</f>
        <v>3314.65</v>
      </c>
      <c r="D19" s="36"/>
      <c r="F19" s="201" t="s">
        <v>108</v>
      </c>
      <c r="G19" s="164" t="s">
        <v>33</v>
      </c>
      <c r="H19" s="164" t="s">
        <v>33</v>
      </c>
      <c r="I19" s="164" t="s">
        <v>33</v>
      </c>
      <c r="J19" s="201" t="s">
        <v>108</v>
      </c>
      <c r="K19" s="164" t="s">
        <v>33</v>
      </c>
      <c r="L19" s="164" t="s">
        <v>33</v>
      </c>
      <c r="M19" s="185" t="s">
        <v>33</v>
      </c>
    </row>
    <row r="20" spans="1:13" ht="16.5" thickBot="1">
      <c r="A20" s="67" t="s">
        <v>93</v>
      </c>
      <c r="C20" s="100">
        <f>SUM(C18:C19)</f>
        <v>70757.739999999991</v>
      </c>
      <c r="D20" s="36"/>
      <c r="F20" s="195" t="s">
        <v>162</v>
      </c>
      <c r="G20" s="165" t="s">
        <v>101</v>
      </c>
      <c r="H20" s="165" t="s">
        <v>36</v>
      </c>
      <c r="I20" s="165" t="s">
        <v>34</v>
      </c>
      <c r="J20" s="195" t="s">
        <v>162</v>
      </c>
      <c r="K20" s="165" t="s">
        <v>101</v>
      </c>
      <c r="L20" s="165" t="s">
        <v>36</v>
      </c>
      <c r="M20" s="165" t="s">
        <v>34</v>
      </c>
    </row>
    <row r="21" spans="1:13" ht="15.75">
      <c r="A21" s="46" t="s">
        <v>149</v>
      </c>
      <c r="C21" s="570">
        <f>1850+927.18</f>
        <v>2777.18</v>
      </c>
      <c r="D21" s="36"/>
      <c r="F21" s="184"/>
      <c r="G21" s="12"/>
      <c r="H21" s="12"/>
      <c r="I21" s="185"/>
      <c r="J21" s="129"/>
      <c r="K21" s="13"/>
      <c r="L21" s="13"/>
      <c r="M21" s="205"/>
    </row>
    <row r="22" spans="1:13" ht="18" customHeight="1">
      <c r="A22" s="65" t="s">
        <v>149</v>
      </c>
      <c r="C22" s="100">
        <f>SUM(C21)</f>
        <v>2777.18</v>
      </c>
      <c r="D22" s="36"/>
      <c r="F22" s="199" t="s">
        <v>126</v>
      </c>
      <c r="G22" s="7"/>
      <c r="H22" s="7"/>
      <c r="I22" s="98"/>
      <c r="J22" s="199" t="s">
        <v>126</v>
      </c>
      <c r="K22" s="7"/>
      <c r="L22" s="7"/>
      <c r="M22" s="98"/>
    </row>
    <row r="23" spans="1:13" ht="15.75">
      <c r="A23" s="208" t="s">
        <v>180</v>
      </c>
      <c r="C23" s="100">
        <v>0</v>
      </c>
      <c r="D23" s="36"/>
      <c r="F23" s="200" t="s">
        <v>37</v>
      </c>
      <c r="G23" s="562">
        <v>9641125</v>
      </c>
      <c r="H23" s="597">
        <v>0.12678</v>
      </c>
      <c r="I23" s="196">
        <f t="shared" ref="I23:I31" si="0">G23*H23</f>
        <v>1222301.8275000001</v>
      </c>
      <c r="J23" s="200" t="s">
        <v>37</v>
      </c>
      <c r="K23" s="562">
        <v>4807641</v>
      </c>
      <c r="L23" s="597">
        <v>0.11330999999999999</v>
      </c>
      <c r="M23" s="196">
        <f>K23*L23</f>
        <v>544753.80171000003</v>
      </c>
    </row>
    <row r="24" spans="1:13" ht="15.75">
      <c r="A24" s="208" t="s">
        <v>186</v>
      </c>
      <c r="C24" s="312">
        <v>0</v>
      </c>
      <c r="D24" s="36"/>
      <c r="F24" s="200" t="s">
        <v>305</v>
      </c>
      <c r="G24" s="562">
        <v>15697</v>
      </c>
      <c r="H24" s="597">
        <v>0.12678</v>
      </c>
      <c r="I24" s="196">
        <f t="shared" si="0"/>
        <v>1990.06566</v>
      </c>
      <c r="J24" s="200" t="s">
        <v>38</v>
      </c>
      <c r="K24" s="562">
        <v>1910087</v>
      </c>
      <c r="L24" s="597">
        <v>0.11330999999999999</v>
      </c>
      <c r="M24" s="196">
        <f t="shared" ref="M24:M27" si="1">K24*L24</f>
        <v>216431.95796999999</v>
      </c>
    </row>
    <row r="25" spans="1:13" ht="15.75">
      <c r="A25" s="208" t="s">
        <v>189</v>
      </c>
      <c r="C25" s="314">
        <v>0</v>
      </c>
      <c r="D25" s="36"/>
      <c r="F25" s="200" t="s">
        <v>38</v>
      </c>
      <c r="G25" s="562">
        <v>4021494</v>
      </c>
      <c r="H25" s="597">
        <v>0.11865000000000001</v>
      </c>
      <c r="I25" s="196">
        <f t="shared" si="0"/>
        <v>477150.26310000004</v>
      </c>
      <c r="J25" s="200" t="s">
        <v>39</v>
      </c>
      <c r="K25" s="562">
        <v>7675</v>
      </c>
      <c r="L25" s="597">
        <v>0.11330999999999999</v>
      </c>
      <c r="M25" s="196">
        <f t="shared" si="1"/>
        <v>869.65424999999993</v>
      </c>
    </row>
    <row r="26" spans="1:13" ht="15.75">
      <c r="A26" s="209" t="s">
        <v>188</v>
      </c>
      <c r="C26" s="315">
        <v>0</v>
      </c>
      <c r="D26" s="36"/>
      <c r="F26" s="200" t="s">
        <v>39</v>
      </c>
      <c r="G26" s="562">
        <v>0</v>
      </c>
      <c r="H26" s="597">
        <v>0.11865000000000001</v>
      </c>
      <c r="I26" s="196">
        <f t="shared" si="0"/>
        <v>0</v>
      </c>
      <c r="J26" s="200" t="s">
        <v>40</v>
      </c>
      <c r="K26" s="562">
        <v>0</v>
      </c>
      <c r="L26" s="597">
        <v>0.11330999999999999</v>
      </c>
      <c r="M26" s="196">
        <f t="shared" si="1"/>
        <v>0</v>
      </c>
    </row>
    <row r="27" spans="1:13" ht="15.75">
      <c r="A27" s="65" t="s">
        <v>96</v>
      </c>
      <c r="C27" s="100">
        <f>SUM(C23:C26)</f>
        <v>0</v>
      </c>
      <c r="D27" s="36"/>
      <c r="F27" s="200" t="s">
        <v>40</v>
      </c>
      <c r="G27" s="562">
        <v>288026</v>
      </c>
      <c r="H27" s="597">
        <v>0.11541</v>
      </c>
      <c r="I27" s="196">
        <f t="shared" si="0"/>
        <v>33241.08066</v>
      </c>
      <c r="J27" s="200" t="s">
        <v>41</v>
      </c>
      <c r="K27" s="562">
        <v>0</v>
      </c>
      <c r="L27" s="597">
        <v>0.11330999999999999</v>
      </c>
      <c r="M27" s="196">
        <f t="shared" si="1"/>
        <v>0</v>
      </c>
    </row>
    <row r="28" spans="1:13" ht="16.5" thickBot="1">
      <c r="A28" s="210" t="s">
        <v>150</v>
      </c>
      <c r="C28" s="312">
        <v>0</v>
      </c>
      <c r="D28" s="37"/>
      <c r="F28" s="200" t="s">
        <v>41</v>
      </c>
      <c r="G28" s="562">
        <v>35134</v>
      </c>
      <c r="H28" s="597">
        <v>0.11541</v>
      </c>
      <c r="I28" s="196">
        <f t="shared" si="0"/>
        <v>4054.8149399999998</v>
      </c>
      <c r="J28" s="199" t="s">
        <v>127</v>
      </c>
      <c r="K28" s="181">
        <f>SUM(K23:K27)</f>
        <v>6725403</v>
      </c>
      <c r="L28" s="182"/>
      <c r="M28" s="197">
        <f>SUM(M23:M27)</f>
        <v>762055.41393000004</v>
      </c>
    </row>
    <row r="29" spans="1:13" ht="17.25" thickTop="1" thickBot="1">
      <c r="A29" s="210" t="s">
        <v>167</v>
      </c>
      <c r="B29" s="385"/>
      <c r="C29" s="312">
        <v>0</v>
      </c>
      <c r="D29" s="36"/>
      <c r="F29" s="200" t="s">
        <v>42</v>
      </c>
      <c r="G29" s="562">
        <v>0</v>
      </c>
      <c r="H29" s="597">
        <v>7.4310000000000001E-2</v>
      </c>
      <c r="I29" s="196">
        <f t="shared" si="0"/>
        <v>0</v>
      </c>
      <c r="J29" s="199"/>
      <c r="K29" s="231">
        <v>6725403</v>
      </c>
      <c r="L29" s="187" t="s">
        <v>102</v>
      </c>
      <c r="M29" s="465">
        <f>M28/K28</f>
        <v>0.11331000000000001</v>
      </c>
    </row>
    <row r="30" spans="1:13" ht="16.5" thickBot="1">
      <c r="A30" s="2" t="s">
        <v>111</v>
      </c>
      <c r="C30" s="125">
        <f>C7+C11+C14+C17+C20+C22+C27+C28+C29</f>
        <v>2246409.5700000008</v>
      </c>
      <c r="D30" s="37"/>
      <c r="F30" s="200" t="s">
        <v>43</v>
      </c>
      <c r="G30" s="562">
        <v>88850</v>
      </c>
      <c r="H30" s="597">
        <v>7.4310000000000001E-2</v>
      </c>
      <c r="I30" s="196">
        <f t="shared" si="0"/>
        <v>6602.4435000000003</v>
      </c>
      <c r="J30" s="200"/>
      <c r="K30" s="230">
        <f>K28-K29</f>
        <v>0</v>
      </c>
      <c r="L30" s="182"/>
      <c r="M30" s="198"/>
    </row>
    <row r="31" spans="1:13" ht="15.75">
      <c r="A31" s="384" t="s">
        <v>112</v>
      </c>
      <c r="C31" s="560">
        <v>0</v>
      </c>
      <c r="D31" s="39"/>
      <c r="F31" s="200" t="s">
        <v>74</v>
      </c>
      <c r="G31" s="562">
        <v>2868630</v>
      </c>
      <c r="H31" s="597">
        <v>5.4000000000000001E-4</v>
      </c>
      <c r="I31" s="196">
        <f t="shared" si="0"/>
        <v>1549.0602000000001</v>
      </c>
      <c r="J31" s="153"/>
      <c r="K31" s="7"/>
      <c r="L31" s="182"/>
      <c r="M31" s="198"/>
    </row>
    <row r="32" spans="1:13" ht="16.5" thickBot="1">
      <c r="A32" s="2" t="s">
        <v>116</v>
      </c>
      <c r="B32" s="2" t="s">
        <v>117</v>
      </c>
      <c r="C32" s="573">
        <f>C30+C31</f>
        <v>2246409.5700000008</v>
      </c>
      <c r="D32" s="40"/>
      <c r="F32" s="199" t="s">
        <v>127</v>
      </c>
      <c r="G32" s="181">
        <f>SUM(G23:G31)</f>
        <v>16958956</v>
      </c>
      <c r="H32" s="7"/>
      <c r="I32" s="197">
        <f>SUM(I23:I31)</f>
        <v>1746889.5555600002</v>
      </c>
      <c r="J32" s="192"/>
      <c r="K32" s="193"/>
      <c r="L32" s="7"/>
      <c r="M32" s="190"/>
    </row>
    <row r="33" spans="1:17" ht="17.25" thickTop="1" thickBot="1">
      <c r="A33" s="384" t="s">
        <v>113</v>
      </c>
      <c r="C33" s="311">
        <f>-C5-C9-C13-C16-C19</f>
        <v>-88821.51999999999</v>
      </c>
      <c r="D33" s="36"/>
      <c r="F33" s="186"/>
      <c r="G33" s="231">
        <v>16958956</v>
      </c>
      <c r="H33" s="187" t="s">
        <v>102</v>
      </c>
      <c r="I33" s="216">
        <f>I32/G32</f>
        <v>0.10300690417263894</v>
      </c>
      <c r="J33" s="192"/>
      <c r="K33" s="193"/>
      <c r="L33" s="7"/>
      <c r="M33" s="98"/>
    </row>
    <row r="34" spans="1:17" ht="16.5" thickBot="1">
      <c r="A34" s="2" t="s">
        <v>114</v>
      </c>
      <c r="C34" s="125">
        <f>SUM(C32:C33)</f>
        <v>2157588.0500000007</v>
      </c>
      <c r="D34" s="36"/>
      <c r="F34" s="153"/>
      <c r="G34" s="230">
        <f>G32-G33</f>
        <v>0</v>
      </c>
      <c r="H34" s="7"/>
      <c r="I34" s="98"/>
      <c r="J34" s="192"/>
      <c r="K34" s="191"/>
      <c r="L34" s="7"/>
      <c r="M34" s="98"/>
    </row>
    <row r="35" spans="1:17" ht="18" customHeight="1">
      <c r="A35" s="2"/>
      <c r="C35" s="101"/>
      <c r="D35" s="36"/>
      <c r="F35" s="184"/>
      <c r="G35" s="12"/>
      <c r="H35" s="12"/>
      <c r="I35" s="185"/>
      <c r="J35" s="199" t="s">
        <v>128</v>
      </c>
      <c r="K35" s="644"/>
      <c r="L35" s="644"/>
      <c r="M35" s="645"/>
    </row>
    <row r="36" spans="1:17" ht="15.75">
      <c r="A36" s="16" t="s">
        <v>94</v>
      </c>
      <c r="B36" s="2"/>
      <c r="C36" s="100"/>
      <c r="D36" s="36"/>
      <c r="F36" s="199" t="s">
        <v>128</v>
      </c>
      <c r="G36" s="7"/>
      <c r="H36" s="7"/>
      <c r="I36" s="98"/>
      <c r="J36" s="200" t="s">
        <v>37</v>
      </c>
      <c r="K36" s="582">
        <f>K23</f>
        <v>4807641</v>
      </c>
      <c r="L36" s="597">
        <v>0.23895</v>
      </c>
      <c r="M36" s="196">
        <f t="shared" ref="M36:M42" si="2">K36*L36</f>
        <v>1148785.8169499999</v>
      </c>
      <c r="P36" s="273"/>
      <c r="Q36" s="273"/>
    </row>
    <row r="37" spans="1:17" ht="15.75">
      <c r="A37" s="7" t="s">
        <v>129</v>
      </c>
      <c r="B37" s="532" t="s">
        <v>115</v>
      </c>
      <c r="C37" s="560">
        <v>9356409.9399999995</v>
      </c>
      <c r="D37" s="36"/>
      <c r="F37" s="200" t="s">
        <v>37</v>
      </c>
      <c r="G37" s="582">
        <f>G23</f>
        <v>9641125</v>
      </c>
      <c r="H37" s="597">
        <v>0.23860000000000001</v>
      </c>
      <c r="I37" s="196">
        <f t="shared" ref="I37:I44" si="3">G37*H37</f>
        <v>2300372.4250000003</v>
      </c>
      <c r="J37" s="200" t="s">
        <v>38</v>
      </c>
      <c r="K37" s="582">
        <f>K24</f>
        <v>1910087</v>
      </c>
      <c r="L37" s="597">
        <v>0.23895</v>
      </c>
      <c r="M37" s="196">
        <f t="shared" si="2"/>
        <v>456415.28865</v>
      </c>
      <c r="P37" s="273"/>
      <c r="Q37" s="273"/>
    </row>
    <row r="38" spans="1:17" ht="15.75">
      <c r="A38" s="144" t="s">
        <v>14</v>
      </c>
      <c r="B38" s="532" t="s">
        <v>115</v>
      </c>
      <c r="C38" s="569"/>
      <c r="D38" s="36"/>
      <c r="F38" s="200" t="s">
        <v>305</v>
      </c>
      <c r="G38" s="582">
        <f>G24</f>
        <v>15697</v>
      </c>
      <c r="H38" s="597">
        <v>0.23860000000000001</v>
      </c>
      <c r="I38" s="196">
        <f t="shared" si="3"/>
        <v>3745.3042</v>
      </c>
      <c r="J38" s="200" t="s">
        <v>39</v>
      </c>
      <c r="K38" s="582">
        <f>K25</f>
        <v>7675</v>
      </c>
      <c r="L38" s="597">
        <v>0.23895</v>
      </c>
      <c r="M38" s="196">
        <f t="shared" si="2"/>
        <v>1833.9412499999999</v>
      </c>
      <c r="P38" s="273"/>
      <c r="Q38" s="273"/>
    </row>
    <row r="39" spans="1:17" ht="15.75">
      <c r="A39" s="7" t="s">
        <v>146</v>
      </c>
      <c r="B39" s="532" t="s">
        <v>147</v>
      </c>
      <c r="C39" s="560">
        <v>-41723.83</v>
      </c>
      <c r="D39" s="36"/>
      <c r="F39" s="200" t="s">
        <v>38</v>
      </c>
      <c r="G39" s="582">
        <f t="shared" ref="G39:G44" si="4">G25</f>
        <v>4021494</v>
      </c>
      <c r="H39" s="597">
        <v>0.23860000000000001</v>
      </c>
      <c r="I39" s="196">
        <f t="shared" si="3"/>
        <v>959528.46840000001</v>
      </c>
      <c r="J39" s="200" t="s">
        <v>40</v>
      </c>
      <c r="K39" s="582">
        <f>K26</f>
        <v>0</v>
      </c>
      <c r="L39" s="597">
        <v>0.23895</v>
      </c>
      <c r="M39" s="196">
        <f t="shared" si="2"/>
        <v>0</v>
      </c>
      <c r="P39" s="273"/>
      <c r="Q39" s="273"/>
    </row>
    <row r="40" spans="1:17" ht="15.75">
      <c r="A40" s="7" t="s">
        <v>131</v>
      </c>
      <c r="B40" s="532" t="s">
        <v>132</v>
      </c>
      <c r="C40" s="560">
        <v>180549.6</v>
      </c>
      <c r="D40" s="36"/>
      <c r="F40" s="200" t="s">
        <v>39</v>
      </c>
      <c r="G40" s="582">
        <f t="shared" si="4"/>
        <v>0</v>
      </c>
      <c r="H40" s="597">
        <v>0.23860000000000001</v>
      </c>
      <c r="I40" s="196">
        <f t="shared" si="3"/>
        <v>0</v>
      </c>
      <c r="J40" s="200" t="s">
        <v>41</v>
      </c>
      <c r="K40" s="582">
        <f>K27</f>
        <v>0</v>
      </c>
      <c r="L40" s="597">
        <v>0.23895</v>
      </c>
      <c r="M40" s="196">
        <f t="shared" si="2"/>
        <v>0</v>
      </c>
      <c r="P40" s="273"/>
      <c r="Q40" s="273"/>
    </row>
    <row r="41" spans="1:17" ht="15.75">
      <c r="A41" s="7" t="s">
        <v>153</v>
      </c>
      <c r="B41" s="6" t="s">
        <v>155</v>
      </c>
      <c r="C41" s="560">
        <v>112268.62</v>
      </c>
      <c r="D41" s="36"/>
      <c r="F41" s="200" t="s">
        <v>40</v>
      </c>
      <c r="G41" s="582">
        <f t="shared" si="4"/>
        <v>288026</v>
      </c>
      <c r="H41" s="597">
        <v>0.23860000000000001</v>
      </c>
      <c r="I41" s="196">
        <f t="shared" si="3"/>
        <v>68723.003599999996</v>
      </c>
      <c r="J41" s="200" t="s">
        <v>42</v>
      </c>
      <c r="K41" s="562">
        <v>0</v>
      </c>
      <c r="L41" s="597">
        <v>0.23895</v>
      </c>
      <c r="M41" s="196">
        <f t="shared" si="2"/>
        <v>0</v>
      </c>
      <c r="P41" s="273"/>
      <c r="Q41" s="273"/>
    </row>
    <row r="42" spans="1:17" ht="16.5" thickBot="1">
      <c r="A42" s="7" t="s">
        <v>178</v>
      </c>
      <c r="B42" s="532" t="s">
        <v>179</v>
      </c>
      <c r="C42" s="560">
        <v>875984.83</v>
      </c>
      <c r="D42" s="37"/>
      <c r="F42" s="200" t="s">
        <v>41</v>
      </c>
      <c r="G42" s="582">
        <f t="shared" si="4"/>
        <v>35134</v>
      </c>
      <c r="H42" s="597">
        <v>0.23860000000000001</v>
      </c>
      <c r="I42" s="196">
        <f t="shared" si="3"/>
        <v>8382.9724000000006</v>
      </c>
      <c r="J42" s="200" t="s">
        <v>43</v>
      </c>
      <c r="K42" s="583">
        <v>0</v>
      </c>
      <c r="L42" s="597">
        <v>0.23895</v>
      </c>
      <c r="M42" s="196">
        <f t="shared" si="2"/>
        <v>0</v>
      </c>
      <c r="P42" s="273"/>
      <c r="Q42" s="273"/>
    </row>
    <row r="43" spans="1:17" ht="16.5" thickBot="1">
      <c r="A43" s="85" t="s">
        <v>123</v>
      </c>
      <c r="B43" s="12"/>
      <c r="C43" s="125">
        <f>SUM(C37:C42)</f>
        <v>10483489.159999998</v>
      </c>
      <c r="D43" s="36"/>
      <c r="F43" s="200" t="s">
        <v>42</v>
      </c>
      <c r="G43" s="582">
        <f t="shared" si="4"/>
        <v>0</v>
      </c>
      <c r="H43" s="597">
        <v>0.23860000000000001</v>
      </c>
      <c r="I43" s="196">
        <f t="shared" si="3"/>
        <v>0</v>
      </c>
      <c r="J43" s="199" t="s">
        <v>133</v>
      </c>
      <c r="K43" s="181">
        <f>SUM(K36:K42)</f>
        <v>6725403</v>
      </c>
      <c r="L43" s="182"/>
      <c r="M43" s="197">
        <f>SUM(M36:M42)</f>
        <v>1607035.0468499998</v>
      </c>
    </row>
    <row r="44" spans="1:17" ht="16.5" thickBot="1">
      <c r="A44" s="83" t="s">
        <v>177</v>
      </c>
      <c r="B44" s="84" t="s">
        <v>120</v>
      </c>
      <c r="C44" s="560">
        <f>-2840374.66+449101.41-36226.26+36348.14</f>
        <v>-2391151.3699999996</v>
      </c>
      <c r="D44" s="37"/>
      <c r="F44" s="200" t="s">
        <v>43</v>
      </c>
      <c r="G44" s="582">
        <f t="shared" si="4"/>
        <v>88850</v>
      </c>
      <c r="H44" s="597">
        <v>0.23860000000000001</v>
      </c>
      <c r="I44" s="196">
        <f t="shared" si="3"/>
        <v>21199.61</v>
      </c>
      <c r="J44" s="194"/>
      <c r="K44" s="232">
        <v>6725403</v>
      </c>
      <c r="L44" s="189" t="s">
        <v>102</v>
      </c>
      <c r="M44" s="217">
        <f>M43/K43</f>
        <v>0.23894999999999997</v>
      </c>
    </row>
    <row r="45" spans="1:17" ht="16.5" thickBot="1">
      <c r="A45" s="211" t="s">
        <v>168</v>
      </c>
      <c r="B45" s="6" t="s">
        <v>115</v>
      </c>
      <c r="C45" s="569">
        <v>0</v>
      </c>
      <c r="D45" s="39"/>
      <c r="F45" s="199" t="s">
        <v>133</v>
      </c>
      <c r="G45" s="181">
        <f>SUM(G37:G44)</f>
        <v>14090326</v>
      </c>
      <c r="H45" s="182"/>
      <c r="I45" s="197">
        <f>SUM(I37:I44)</f>
        <v>3361951.7836000002</v>
      </c>
      <c r="J45" s="85"/>
      <c r="K45" s="230">
        <f>K43-K44</f>
        <v>0</v>
      </c>
      <c r="L45" s="187"/>
      <c r="M45" s="556"/>
    </row>
    <row r="46" spans="1:17" ht="19.5" customHeight="1" thickTop="1" thickBot="1">
      <c r="A46" s="144" t="s">
        <v>169</v>
      </c>
      <c r="B46" s="6" t="s">
        <v>115</v>
      </c>
      <c r="C46" s="569">
        <v>0</v>
      </c>
      <c r="D46" s="40"/>
      <c r="F46" s="188"/>
      <c r="G46" s="232">
        <v>14090326</v>
      </c>
      <c r="H46" s="189" t="s">
        <v>102</v>
      </c>
      <c r="I46" s="215">
        <f>I45/G45</f>
        <v>0.23860000000000001</v>
      </c>
      <c r="J46" s="85"/>
      <c r="K46" s="231"/>
      <c r="L46" s="187"/>
      <c r="M46" s="556"/>
    </row>
    <row r="47" spans="1:17" ht="19.5" customHeight="1">
      <c r="A47" s="384" t="s">
        <v>137</v>
      </c>
      <c r="B47" s="6" t="s">
        <v>115</v>
      </c>
      <c r="C47" s="560">
        <v>0</v>
      </c>
      <c r="D47" s="36"/>
      <c r="F47" s="385"/>
      <c r="G47" s="230">
        <f>G45-G46</f>
        <v>0</v>
      </c>
      <c r="H47" s="385"/>
      <c r="I47" s="385"/>
      <c r="J47" s="124"/>
      <c r="K47" s="230"/>
      <c r="L47" s="385"/>
      <c r="M47" s="124"/>
    </row>
    <row r="48" spans="1:17" ht="16.5" thickBot="1">
      <c r="A48" s="144" t="s">
        <v>304</v>
      </c>
      <c r="B48" s="6" t="s">
        <v>115</v>
      </c>
      <c r="C48" s="560">
        <v>7000</v>
      </c>
      <c r="D48" s="36"/>
      <c r="F48" s="385"/>
      <c r="G48" s="385"/>
      <c r="H48" s="385"/>
      <c r="I48" s="385"/>
      <c r="J48" s="124"/>
      <c r="K48" s="114"/>
      <c r="L48" s="385"/>
      <c r="M48" s="68"/>
    </row>
    <row r="49" spans="1:21" ht="15.75">
      <c r="A49" s="7" t="s">
        <v>130</v>
      </c>
      <c r="B49" s="532" t="s">
        <v>152</v>
      </c>
      <c r="C49" s="560">
        <v>28969.96</v>
      </c>
      <c r="D49" s="36"/>
      <c r="F49" s="385"/>
      <c r="G49" s="114"/>
      <c r="H49" s="129" t="s">
        <v>35</v>
      </c>
      <c r="I49" s="13" t="s">
        <v>35</v>
      </c>
      <c r="J49" s="13" t="s">
        <v>63</v>
      </c>
      <c r="K49" s="127" t="s">
        <v>70</v>
      </c>
      <c r="L49" s="124"/>
      <c r="M49" s="385"/>
    </row>
    <row r="50" spans="1:21" ht="16.5" thickBot="1">
      <c r="A50" s="7" t="s">
        <v>222</v>
      </c>
      <c r="B50" s="532" t="s">
        <v>152</v>
      </c>
      <c r="C50" s="560">
        <v>1083.8900000000001</v>
      </c>
      <c r="D50" s="37"/>
      <c r="F50" s="50" t="s">
        <v>73</v>
      </c>
      <c r="G50" s="385"/>
      <c r="H50" s="130" t="s">
        <v>2</v>
      </c>
      <c r="I50" s="131" t="s">
        <v>3</v>
      </c>
      <c r="J50" s="131" t="s">
        <v>2</v>
      </c>
      <c r="K50" s="128" t="s">
        <v>3</v>
      </c>
      <c r="L50" s="385"/>
      <c r="M50" s="385"/>
    </row>
    <row r="51" spans="1:21" ht="15.75">
      <c r="A51" s="7" t="s">
        <v>308</v>
      </c>
      <c r="B51" s="532" t="s">
        <v>152</v>
      </c>
      <c r="C51" s="560">
        <v>7091.91</v>
      </c>
      <c r="D51" s="36"/>
      <c r="F51" s="385"/>
      <c r="G51" s="385"/>
      <c r="H51" s="151"/>
      <c r="I51" s="152"/>
      <c r="J51" s="152"/>
      <c r="K51" s="152"/>
      <c r="L51" s="126" t="s">
        <v>103</v>
      </c>
      <c r="M51" s="385"/>
    </row>
    <row r="52" spans="1:21" ht="15.75">
      <c r="A52" s="22" t="s">
        <v>118</v>
      </c>
      <c r="B52" s="6"/>
      <c r="C52" s="601">
        <f>-C33</f>
        <v>88821.51999999999</v>
      </c>
      <c r="D52" s="33"/>
      <c r="F52" s="385" t="s">
        <v>136</v>
      </c>
      <c r="G52" s="385"/>
      <c r="H52" s="212">
        <f>K12</f>
        <v>2449022.9793799985</v>
      </c>
      <c r="I52" s="115">
        <f>I14</f>
        <v>1521746.8516650007</v>
      </c>
      <c r="J52" s="115">
        <f>L12</f>
        <v>1166883.7706199999</v>
      </c>
      <c r="K52" s="115">
        <f>J14</f>
        <v>635841.19833500031</v>
      </c>
      <c r="L52" s="132">
        <f>SUM(H52:K52)</f>
        <v>5773494.7999999989</v>
      </c>
      <c r="M52" s="385"/>
    </row>
    <row r="53" spans="1:21" ht="16.5" thickBot="1">
      <c r="A53" s="382" t="s">
        <v>124</v>
      </c>
      <c r="B53" s="473" t="s">
        <v>296</v>
      </c>
      <c r="C53" s="560">
        <f>-2861255.56-27114.75-1447774.56</f>
        <v>-4336144.87</v>
      </c>
      <c r="D53" s="36"/>
      <c r="F53" s="384" t="s">
        <v>109</v>
      </c>
      <c r="H53" s="212">
        <f>-I45</f>
        <v>-3361951.7836000002</v>
      </c>
      <c r="I53" s="115">
        <f>-I32</f>
        <v>-1746889.5555600002</v>
      </c>
      <c r="J53" s="115">
        <f>-M43</f>
        <v>-1607035.0468499998</v>
      </c>
      <c r="K53" s="115">
        <f>-M28</f>
        <v>-762055.41393000004</v>
      </c>
      <c r="L53" s="261">
        <f>SUM(H53:K53)</f>
        <v>-7477931.7999400003</v>
      </c>
    </row>
    <row r="54" spans="1:21" ht="16.5" thickBot="1">
      <c r="A54" s="384" t="s">
        <v>312</v>
      </c>
      <c r="B54" s="6" t="s">
        <v>190</v>
      </c>
      <c r="C54" s="560">
        <v>-375000</v>
      </c>
      <c r="D54" s="36"/>
      <c r="F54" s="384" t="s">
        <v>86</v>
      </c>
      <c r="H54" s="234">
        <v>0</v>
      </c>
      <c r="I54" s="235">
        <v>0</v>
      </c>
      <c r="J54" s="235">
        <v>0</v>
      </c>
      <c r="K54" s="236">
        <v>0</v>
      </c>
      <c r="L54" s="214">
        <f>SUM(L52:L53)</f>
        <v>-1704436.9999400014</v>
      </c>
    </row>
    <row r="55" spans="1:21" ht="16.5" thickBot="1">
      <c r="A55" s="82" t="s">
        <v>119</v>
      </c>
      <c r="B55" s="84"/>
      <c r="C55" s="160">
        <f>SUM(C43:C54)</f>
        <v>3514160.1999999983</v>
      </c>
      <c r="D55" s="36"/>
      <c r="F55" s="384" t="s">
        <v>71</v>
      </c>
      <c r="H55" s="125">
        <f>IFERROR(H52+H53+H54,0)</f>
        <v>-912928.80422000168</v>
      </c>
      <c r="I55" s="125">
        <f>I52+I53+I54</f>
        <v>-225142.70389499958</v>
      </c>
      <c r="J55" s="125">
        <f>IFERROR(J52+J53+J54,0)</f>
        <v>-440151.27622999996</v>
      </c>
      <c r="K55" s="125">
        <f>K52+K53+K54</f>
        <v>-126214.21559499972</v>
      </c>
      <c r="L55" s="47">
        <f>SUM(H55:K55)</f>
        <v>-1704436.9999400009</v>
      </c>
    </row>
    <row r="56" spans="1:21" ht="17.25" thickTop="1" thickBot="1">
      <c r="A56" s="384" t="s">
        <v>121</v>
      </c>
      <c r="B56" s="6" t="s">
        <v>115</v>
      </c>
      <c r="C56" s="560">
        <v>70287.94</v>
      </c>
      <c r="D56" s="36"/>
      <c r="F56" s="240" t="s">
        <v>181</v>
      </c>
      <c r="H56" s="384" t="s">
        <v>173</v>
      </c>
      <c r="I56" s="5">
        <f>SUM(H55:I55)</f>
        <v>-1138071.5081150013</v>
      </c>
      <c r="J56" s="15" t="s">
        <v>174</v>
      </c>
      <c r="K56" s="384">
        <f>SUM(J55:K55)</f>
        <v>-566365.49182499968</v>
      </c>
      <c r="L56" s="213">
        <f>ROUND(L54-L55,3)</f>
        <v>0</v>
      </c>
      <c r="T56" s="42"/>
    </row>
    <row r="57" spans="1:21" ht="16.5" thickTop="1">
      <c r="A57" s="384" t="s">
        <v>122</v>
      </c>
      <c r="B57" s="6" t="s">
        <v>115</v>
      </c>
      <c r="C57" s="560">
        <v>31458.61</v>
      </c>
      <c r="D57" s="36"/>
      <c r="F57" s="397" t="s">
        <v>181</v>
      </c>
      <c r="H57" s="96"/>
    </row>
    <row r="58" spans="1:21" ht="16.5" thickBot="1">
      <c r="A58" s="2" t="s">
        <v>125</v>
      </c>
      <c r="B58" s="2"/>
      <c r="C58" s="160">
        <f>SUM(C55:C57)</f>
        <v>3615906.7499999981</v>
      </c>
      <c r="D58" s="36"/>
      <c r="F58" s="397" t="s">
        <v>182</v>
      </c>
      <c r="H58" s="157"/>
      <c r="I58" s="120"/>
      <c r="J58" s="120"/>
      <c r="K58" s="204"/>
      <c r="L58" s="120"/>
    </row>
    <row r="59" spans="1:21" ht="17.25" thickTop="1" thickBot="1">
      <c r="A59" s="2"/>
      <c r="C59" s="101"/>
      <c r="D59" s="36"/>
      <c r="F59" s="543" t="s">
        <v>303</v>
      </c>
      <c r="G59" s="544" t="str">
        <f>IF(OR(AND(I56&gt;0,K56&gt;0),AND(I56&lt;0,K56&lt;0)),"OK","ERROR")</f>
        <v>OK</v>
      </c>
      <c r="H59" s="386" t="s">
        <v>294</v>
      </c>
      <c r="I59" s="387"/>
    </row>
    <row r="60" spans="1:21" ht="16.5" thickBot="1">
      <c r="A60" s="9"/>
      <c r="B60" s="9" t="s">
        <v>95</v>
      </c>
      <c r="C60" s="125">
        <f>C58+C34</f>
        <v>5773494.7999999989</v>
      </c>
      <c r="D60" s="36"/>
      <c r="H60" s="318" t="s">
        <v>175</v>
      </c>
      <c r="I60" s="319" t="s">
        <v>176</v>
      </c>
      <c r="J60" s="5"/>
    </row>
    <row r="61" spans="1:21" ht="16.5" thickBot="1">
      <c r="A61" s="2"/>
      <c r="B61" s="9" t="s">
        <v>160</v>
      </c>
      <c r="C61" s="584">
        <v>5773494.7999999998</v>
      </c>
      <c r="D61" s="37"/>
      <c r="H61" s="349" t="e">
        <f>SUM(#REF!,#REF!,#REF!,#REF!,#REF!,#REF!)</f>
        <v>#REF!</v>
      </c>
      <c r="I61" s="449" t="e">
        <f>SUM(#REF!,#REF!,#REF!,#REF!,#REF!,#REF!)</f>
        <v>#REF!</v>
      </c>
      <c r="J61" s="384">
        <f>H53+I53+J53+K53</f>
        <v>-7477931.7999400003</v>
      </c>
    </row>
    <row r="62" spans="1:21" ht="15.75">
      <c r="A62" s="9"/>
      <c r="B62" s="9" t="s">
        <v>159</v>
      </c>
      <c r="C62" s="257">
        <f>ROUND(C60-C61,2)</f>
        <v>0</v>
      </c>
      <c r="G62" s="5"/>
      <c r="I62" s="338" t="e">
        <f>H61-I61</f>
        <v>#REF!</v>
      </c>
      <c r="N62" s="5"/>
      <c r="O62" s="5"/>
      <c r="P62" s="21"/>
    </row>
    <row r="63" spans="1:21" ht="15.75">
      <c r="A63" s="44"/>
      <c r="C63" s="351"/>
      <c r="D63" s="36"/>
      <c r="S63" s="6"/>
    </row>
    <row r="64" spans="1:21" ht="15.75">
      <c r="A64" s="44"/>
      <c r="C64" s="8"/>
      <c r="D64" s="43"/>
      <c r="N64" s="22"/>
      <c r="U64" s="2"/>
    </row>
    <row r="65" spans="1:21" ht="15.75">
      <c r="A65" s="2"/>
      <c r="C65" s="8"/>
      <c r="D65" s="36"/>
      <c r="N65" s="22"/>
      <c r="S65" s="23"/>
    </row>
    <row r="66" spans="1:21">
      <c r="C66" s="100"/>
      <c r="D66" s="36"/>
      <c r="N66" s="22"/>
      <c r="S66" s="24"/>
    </row>
    <row r="67" spans="1:21">
      <c r="D67" s="36"/>
      <c r="N67" s="22"/>
      <c r="S67" s="25"/>
    </row>
    <row r="68" spans="1:21">
      <c r="D68" s="36"/>
      <c r="N68" s="22"/>
      <c r="S68" s="24"/>
    </row>
    <row r="69" spans="1:21">
      <c r="D69" s="37"/>
      <c r="N69" s="22"/>
    </row>
    <row r="70" spans="1:21">
      <c r="D70" s="36"/>
      <c r="N70" s="22"/>
      <c r="S70" s="26"/>
    </row>
    <row r="71" spans="1:21">
      <c r="D71" s="36"/>
    </row>
    <row r="72" spans="1:21">
      <c r="D72" s="36"/>
    </row>
    <row r="73" spans="1:21">
      <c r="D73" s="45"/>
      <c r="S73" s="27"/>
    </row>
    <row r="74" spans="1:21">
      <c r="R74" s="6"/>
      <c r="S74" s="6"/>
      <c r="T74" s="6"/>
    </row>
    <row r="76" spans="1:21">
      <c r="U76" s="28"/>
    </row>
    <row r="1476" spans="3:3">
      <c r="C1476" s="384">
        <v>-2130</v>
      </c>
    </row>
    <row r="1484" spans="3:3">
      <c r="C1484" s="384">
        <f>7004298-2130</f>
        <v>7002168</v>
      </c>
    </row>
  </sheetData>
  <mergeCells count="3">
    <mergeCell ref="F18:I18"/>
    <mergeCell ref="J18:M18"/>
    <mergeCell ref="K35:M35"/>
  </mergeCells>
  <conditionalFormatting sqref="C62 L56 I62">
    <cfRule type="cellIs" dxfId="272" priority="9" stopIfTrue="1" operator="equal">
      <formula>0</formula>
    </cfRule>
    <cfRule type="cellIs" dxfId="271" priority="10" stopIfTrue="1" operator="notEqual">
      <formula>0</formula>
    </cfRule>
  </conditionalFormatting>
  <conditionalFormatting sqref="G34 G47 K30 K47">
    <cfRule type="cellIs" dxfId="270" priority="8" operator="notEqual">
      <formula>0</formula>
    </cfRule>
  </conditionalFormatting>
  <conditionalFormatting sqref="C62">
    <cfRule type="cellIs" dxfId="269" priority="6" stopIfTrue="1" operator="equal">
      <formula>0</formula>
    </cfRule>
    <cfRule type="cellIs" dxfId="268" priority="7" stopIfTrue="1" operator="notEqual">
      <formula>0</formula>
    </cfRule>
  </conditionalFormatting>
  <conditionalFormatting sqref="K30">
    <cfRule type="cellIs" dxfId="267" priority="5" operator="notEqual">
      <formula>0</formula>
    </cfRule>
  </conditionalFormatting>
  <conditionalFormatting sqref="G59">
    <cfRule type="cellIs" dxfId="266" priority="4" operator="equal">
      <formula>"""ERROR"""</formula>
    </cfRule>
  </conditionalFormatting>
  <conditionalFormatting sqref="G59">
    <cfRule type="cellIs" dxfId="265" priority="3" operator="equal">
      <formula>"ERROR"</formula>
    </cfRule>
  </conditionalFormatting>
  <conditionalFormatting sqref="G59">
    <cfRule type="cellIs" dxfId="264" priority="2" operator="equal">
      <formula>"ERROR"</formula>
    </cfRule>
  </conditionalFormatting>
  <conditionalFormatting sqref="K45">
    <cfRule type="cellIs" dxfId="263" priority="1" operator="notEqual">
      <formula>0</formula>
    </cfRule>
  </conditionalFormatting>
  <printOptions verticalCentered="1" gridLinesSet="0"/>
  <pageMargins left="0.5" right="0" top="0.25" bottom="0.5" header="0" footer="0.25"/>
  <pageSetup scale="47" orientation="landscape" cellComments="asDisplayed" r:id="rId1"/>
  <headerFooter alignWithMargins="0">
    <oddFooter>&amp;L&amp;F&amp;C&amp;A&amp;R&amp;D&amp;T</oddFooter>
  </headerFooter>
  <customProperties>
    <customPr name="xxe4aPID" r:id="rId2"/>
  </customProperties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0">
    <tabColor rgb="FF00CC66"/>
    <pageSetUpPr fitToPage="1"/>
  </sheetPr>
  <dimension ref="A1:U1485"/>
  <sheetViews>
    <sheetView showGridLines="0" topLeftCell="A40" zoomScale="70" zoomScaleNormal="70" workbookViewId="0">
      <selection activeCell="G60" sqref="G60"/>
    </sheetView>
  </sheetViews>
  <sheetFormatPr defaultColWidth="16" defaultRowHeight="15"/>
  <cols>
    <col min="1" max="1" width="44.85546875" style="384" customWidth="1"/>
    <col min="2" max="2" width="25.5703125" style="384" customWidth="1"/>
    <col min="3" max="3" width="25.28515625" style="384" customWidth="1"/>
    <col min="4" max="4" width="2.7109375" style="30" customWidth="1"/>
    <col min="5" max="5" width="4.28515625" style="384" customWidth="1"/>
    <col min="6" max="6" width="26.7109375" style="384" customWidth="1"/>
    <col min="7" max="7" width="19" style="384" customWidth="1"/>
    <col min="8" max="8" width="22" style="384" customWidth="1"/>
    <col min="9" max="9" width="20.42578125" style="384" customWidth="1"/>
    <col min="10" max="10" width="26.28515625" style="384" customWidth="1"/>
    <col min="11" max="11" width="21.85546875" style="384" bestFit="1" customWidth="1"/>
    <col min="12" max="12" width="23.85546875" style="384" customWidth="1"/>
    <col min="13" max="13" width="20.85546875" style="384" bestFit="1" customWidth="1"/>
    <col min="14" max="15" width="16" style="384"/>
    <col min="16" max="16" width="16.28515625" style="384" bestFit="1" customWidth="1"/>
    <col min="17" max="16384" width="16" style="384"/>
  </cols>
  <sheetData>
    <row r="1" spans="1:13" ht="16.5" thickBot="1">
      <c r="A1" s="145" t="s">
        <v>64</v>
      </c>
      <c r="B1" s="29"/>
      <c r="C1" s="529">
        <f>Apr!C1+1</f>
        <v>201805</v>
      </c>
      <c r="F1" s="529">
        <f>C1</f>
        <v>201805</v>
      </c>
      <c r="G1" s="385"/>
      <c r="H1" s="162" t="s">
        <v>69</v>
      </c>
      <c r="I1" s="126" t="s">
        <v>3</v>
      </c>
      <c r="J1" s="126" t="s">
        <v>3</v>
      </c>
      <c r="K1" s="126" t="s">
        <v>66</v>
      </c>
      <c r="L1" s="126" t="s">
        <v>66</v>
      </c>
      <c r="M1" s="385"/>
    </row>
    <row r="2" spans="1:13" ht="15.75">
      <c r="C2" s="31"/>
      <c r="F2" s="385"/>
      <c r="G2" s="385"/>
      <c r="H2" s="163" t="s">
        <v>32</v>
      </c>
      <c r="I2" s="164" t="s">
        <v>65</v>
      </c>
      <c r="J2" s="164" t="s">
        <v>65</v>
      </c>
      <c r="K2" s="164" t="s">
        <v>67</v>
      </c>
      <c r="L2" s="164" t="s">
        <v>67</v>
      </c>
      <c r="M2" s="385"/>
    </row>
    <row r="3" spans="1:13" ht="16.5" thickBot="1">
      <c r="A3" s="63" t="s">
        <v>110</v>
      </c>
      <c r="C3" s="32"/>
      <c r="D3" s="33"/>
      <c r="F3" s="50" t="s">
        <v>72</v>
      </c>
      <c r="G3" s="385"/>
      <c r="H3" s="165" t="s">
        <v>68</v>
      </c>
      <c r="I3" s="165" t="s">
        <v>35</v>
      </c>
      <c r="J3" s="165" t="s">
        <v>63</v>
      </c>
      <c r="K3" s="165" t="s">
        <v>35</v>
      </c>
      <c r="L3" s="165" t="s">
        <v>63</v>
      </c>
      <c r="M3" s="385"/>
    </row>
    <row r="4" spans="1:13" ht="15.75">
      <c r="A4" s="385" t="s">
        <v>88</v>
      </c>
      <c r="C4" s="560">
        <v>4598122.63</v>
      </c>
      <c r="D4" s="34"/>
      <c r="F4" s="385"/>
      <c r="G4" s="385"/>
      <c r="H4" s="11"/>
      <c r="I4" s="385"/>
      <c r="J4" s="385"/>
      <c r="L4" s="385"/>
      <c r="M4" s="385"/>
    </row>
    <row r="5" spans="1:13" ht="14.25" customHeight="1">
      <c r="A5" s="385" t="s">
        <v>31</v>
      </c>
      <c r="C5" s="560">
        <v>91385.34</v>
      </c>
      <c r="D5" s="34"/>
      <c r="F5" s="385"/>
      <c r="G5" s="385"/>
      <c r="H5" s="11"/>
      <c r="I5" s="594">
        <v>0.70530000000000004</v>
      </c>
      <c r="J5" s="594">
        <v>0.29470000000000002</v>
      </c>
      <c r="K5" s="445">
        <f>ROUND(G45/(G45+K43),4)</f>
        <v>0.66269999999999996</v>
      </c>
      <c r="L5" s="445">
        <f>1-K5</f>
        <v>0.33730000000000004</v>
      </c>
      <c r="M5" s="385"/>
    </row>
    <row r="6" spans="1:13" ht="16.5" thickBot="1">
      <c r="A6" s="49" t="s">
        <v>30</v>
      </c>
      <c r="C6" s="561">
        <f>-2343063.08-444850-127100-142987.5-81979.5-102391.76</f>
        <v>-3242371.84</v>
      </c>
      <c r="D6" s="34"/>
      <c r="F6" s="385"/>
      <c r="G6" s="385"/>
      <c r="H6" s="385"/>
      <c r="I6" s="385"/>
      <c r="J6" s="385"/>
      <c r="K6" s="385"/>
      <c r="L6" s="385"/>
      <c r="M6" s="385"/>
    </row>
    <row r="7" spans="1:13" ht="16.5" thickBot="1">
      <c r="A7" s="66" t="s">
        <v>140</v>
      </c>
      <c r="C7" s="100">
        <f>SUM(C4:C6)</f>
        <v>1447136.13</v>
      </c>
      <c r="D7" s="35"/>
      <c r="F7" s="166" t="s">
        <v>139</v>
      </c>
      <c r="G7" s="166"/>
      <c r="H7" s="125">
        <f>C34</f>
        <v>2218045.21</v>
      </c>
      <c r="I7" s="167">
        <f>H7*I5</f>
        <v>1564387.2866130001</v>
      </c>
      <c r="J7" s="167">
        <f>H7*J5</f>
        <v>653657.92338699999</v>
      </c>
      <c r="K7" s="167"/>
      <c r="L7" s="167"/>
      <c r="M7" s="385"/>
    </row>
    <row r="8" spans="1:13" ht="15.75">
      <c r="A8" s="384" t="s">
        <v>89</v>
      </c>
      <c r="C8" s="560">
        <f>191512.75</f>
        <v>191512.75</v>
      </c>
      <c r="D8" s="35"/>
      <c r="F8" s="385"/>
      <c r="G8" s="385"/>
      <c r="H8" s="168"/>
      <c r="I8" s="168"/>
      <c r="J8" s="168"/>
      <c r="K8" s="168"/>
      <c r="L8" s="168"/>
      <c r="M8" s="385"/>
    </row>
    <row r="9" spans="1:13" ht="15.75">
      <c r="A9" s="385" t="s">
        <v>90</v>
      </c>
      <c r="C9" s="560">
        <f>28.67+6237.62-244.2</f>
        <v>6022.09</v>
      </c>
      <c r="D9" s="36"/>
      <c r="F9" s="166" t="s">
        <v>119</v>
      </c>
      <c r="G9" s="385"/>
      <c r="H9" s="167">
        <f>C56</f>
        <v>2256068.79</v>
      </c>
      <c r="I9" s="167"/>
      <c r="J9" s="167"/>
      <c r="K9" s="167">
        <f>H9*K5</f>
        <v>1495096.7871329999</v>
      </c>
      <c r="L9" s="167">
        <f>H9*L5</f>
        <v>760972.00286700006</v>
      </c>
      <c r="M9" s="385"/>
    </row>
    <row r="10" spans="1:13" ht="15.75">
      <c r="A10" s="49" t="s">
        <v>91</v>
      </c>
      <c r="C10" s="561">
        <v>-3418.47</v>
      </c>
      <c r="D10" s="36"/>
      <c r="F10" s="169" t="s">
        <v>44</v>
      </c>
      <c r="G10" s="385"/>
      <c r="H10" s="167">
        <f>C57</f>
        <v>-121291.31</v>
      </c>
      <c r="I10" s="167"/>
      <c r="J10" s="167"/>
      <c r="K10" s="167">
        <f>H10</f>
        <v>-121291.31</v>
      </c>
      <c r="L10" s="167"/>
      <c r="M10" s="385"/>
    </row>
    <row r="11" spans="1:13">
      <c r="A11" s="66" t="s">
        <v>145</v>
      </c>
      <c r="C11" s="100">
        <f>SUM(C8:C10)</f>
        <v>194116.37</v>
      </c>
      <c r="D11" s="36"/>
      <c r="F11" s="169" t="s">
        <v>45</v>
      </c>
      <c r="G11" s="385"/>
      <c r="H11" s="170">
        <f>C58</f>
        <v>-59843.79</v>
      </c>
      <c r="I11" s="167"/>
      <c r="J11" s="167"/>
      <c r="K11" s="170"/>
      <c r="L11" s="170">
        <f>H11</f>
        <v>-59843.79</v>
      </c>
      <c r="M11" s="385"/>
    </row>
    <row r="12" spans="1:13" ht="15.75">
      <c r="A12" s="384" t="s">
        <v>165</v>
      </c>
      <c r="C12" s="560">
        <f>2499.4+175992.44</f>
        <v>178491.84</v>
      </c>
      <c r="D12" s="36"/>
      <c r="F12" s="169" t="s">
        <v>138</v>
      </c>
      <c r="G12" s="385"/>
      <c r="H12" s="167">
        <f>H9+H10+H11</f>
        <v>2074933.69</v>
      </c>
      <c r="I12" s="167"/>
      <c r="J12" s="167"/>
      <c r="K12" s="167">
        <f>SUM(K9:K11)</f>
        <v>1373805.4771329998</v>
      </c>
      <c r="L12" s="167">
        <f>SUM(L9:L11)</f>
        <v>701128.21286700002</v>
      </c>
      <c r="M12" s="385"/>
    </row>
    <row r="13" spans="1:13" ht="16.5" thickBot="1">
      <c r="A13" s="49" t="s">
        <v>166</v>
      </c>
      <c r="C13" s="313">
        <v>0</v>
      </c>
      <c r="D13" s="36"/>
      <c r="F13" s="171"/>
      <c r="G13" s="172"/>
      <c r="H13" s="173"/>
      <c r="I13" s="174"/>
      <c r="J13" s="173"/>
      <c r="K13" s="168"/>
      <c r="L13" s="173"/>
      <c r="M13" s="385"/>
    </row>
    <row r="14" spans="1:13" ht="16.5" thickBot="1">
      <c r="A14" s="66" t="s">
        <v>92</v>
      </c>
      <c r="C14" s="100">
        <f>SUM(C12:C13)</f>
        <v>178491.84</v>
      </c>
      <c r="D14" s="37"/>
      <c r="F14" s="50" t="s">
        <v>69</v>
      </c>
      <c r="G14" s="175"/>
      <c r="H14" s="125">
        <f>H12+H7</f>
        <v>4292978.9000000004</v>
      </c>
      <c r="I14" s="176">
        <f>SUM(I7:I13)</f>
        <v>1564387.2866130001</v>
      </c>
      <c r="J14" s="176">
        <f>SUM(J7:J13)</f>
        <v>653657.92338699999</v>
      </c>
      <c r="K14" s="176">
        <f>K12</f>
        <v>1373805.4771329998</v>
      </c>
      <c r="L14" s="176">
        <f>L12</f>
        <v>701128.21286700002</v>
      </c>
      <c r="M14" s="385"/>
    </row>
    <row r="15" spans="1:13" ht="15.75">
      <c r="A15" s="384" t="s">
        <v>183</v>
      </c>
      <c r="C15" s="560">
        <f>434483.91+6169.92</f>
        <v>440653.82999999996</v>
      </c>
      <c r="D15" s="36"/>
      <c r="F15" s="171"/>
      <c r="G15" s="172" t="s">
        <v>102</v>
      </c>
      <c r="H15" s="173">
        <f>H14-C61</f>
        <v>0</v>
      </c>
      <c r="I15" s="177"/>
      <c r="J15" s="173">
        <f>J7+I7-H7</f>
        <v>0</v>
      </c>
      <c r="K15" s="385"/>
      <c r="L15" s="173">
        <f>H12-K14-L14</f>
        <v>0</v>
      </c>
      <c r="M15" s="385"/>
    </row>
    <row r="16" spans="1:13" ht="15.75">
      <c r="A16" s="49" t="s">
        <v>184</v>
      </c>
      <c r="C16" s="313">
        <v>0</v>
      </c>
      <c r="D16" s="36"/>
      <c r="F16" s="178"/>
      <c r="G16" s="172"/>
      <c r="H16" s="179"/>
      <c r="I16" s="180"/>
      <c r="J16" s="179"/>
      <c r="K16" s="385"/>
      <c r="L16" s="179"/>
      <c r="M16" s="385"/>
    </row>
    <row r="17" spans="1:13" ht="15.75" thickBot="1">
      <c r="A17" s="66" t="s">
        <v>185</v>
      </c>
      <c r="C17" s="100">
        <f>SUM(C15:C16)</f>
        <v>440653.82999999996</v>
      </c>
      <c r="D17" s="37"/>
      <c r="F17" s="171"/>
      <c r="G17" s="172"/>
      <c r="H17" s="179"/>
      <c r="I17" s="180"/>
      <c r="J17" s="183"/>
      <c r="K17" s="385"/>
      <c r="L17" s="179"/>
      <c r="M17" s="385"/>
    </row>
    <row r="18" spans="1:13" ht="16.5" thickBot="1">
      <c r="A18" s="384" t="s">
        <v>163</v>
      </c>
      <c r="C18" s="560">
        <f>9631.7+59822.39+986.36</f>
        <v>70440.45</v>
      </c>
      <c r="D18" s="36"/>
      <c r="F18" s="646" t="s">
        <v>134</v>
      </c>
      <c r="G18" s="647"/>
      <c r="H18" s="647"/>
      <c r="I18" s="648"/>
      <c r="J18" s="646" t="s">
        <v>135</v>
      </c>
      <c r="K18" s="647"/>
      <c r="L18" s="647"/>
      <c r="M18" s="648"/>
    </row>
    <row r="19" spans="1:13" ht="15.75">
      <c r="A19" s="46" t="s">
        <v>164</v>
      </c>
      <c r="C19" s="561">
        <v>275.20999999999998</v>
      </c>
      <c r="D19" s="36"/>
      <c r="F19" s="201" t="s">
        <v>108</v>
      </c>
      <c r="G19" s="164" t="s">
        <v>33</v>
      </c>
      <c r="H19" s="164" t="s">
        <v>33</v>
      </c>
      <c r="I19" s="164" t="s">
        <v>33</v>
      </c>
      <c r="J19" s="201" t="s">
        <v>108</v>
      </c>
      <c r="K19" s="164" t="s">
        <v>33</v>
      </c>
      <c r="L19" s="164" t="s">
        <v>33</v>
      </c>
      <c r="M19" s="185" t="s">
        <v>33</v>
      </c>
    </row>
    <row r="20" spans="1:13" ht="16.5" thickBot="1">
      <c r="A20" s="67" t="s">
        <v>93</v>
      </c>
      <c r="C20" s="100">
        <f>SUM(C18:C19)</f>
        <v>70715.66</v>
      </c>
      <c r="D20" s="36"/>
      <c r="F20" s="195" t="s">
        <v>162</v>
      </c>
      <c r="G20" s="165" t="s">
        <v>101</v>
      </c>
      <c r="H20" s="165" t="s">
        <v>36</v>
      </c>
      <c r="I20" s="165" t="s">
        <v>34</v>
      </c>
      <c r="J20" s="195" t="s">
        <v>162</v>
      </c>
      <c r="K20" s="165" t="s">
        <v>101</v>
      </c>
      <c r="L20" s="165" t="s">
        <v>36</v>
      </c>
      <c r="M20" s="165" t="s">
        <v>34</v>
      </c>
    </row>
    <row r="21" spans="1:13" ht="15.75">
      <c r="A21" s="46" t="s">
        <v>149</v>
      </c>
      <c r="C21" s="561">
        <f>1850+346.41</f>
        <v>2196.41</v>
      </c>
      <c r="D21" s="36"/>
      <c r="F21" s="184"/>
      <c r="G21" s="12"/>
      <c r="H21" s="12"/>
      <c r="I21" s="185"/>
      <c r="J21" s="129"/>
      <c r="K21" s="13"/>
      <c r="L21" s="13"/>
      <c r="M21" s="205"/>
    </row>
    <row r="22" spans="1:13" ht="18" customHeight="1">
      <c r="A22" s="65" t="s">
        <v>149</v>
      </c>
      <c r="C22" s="100">
        <f>SUM(C21)</f>
        <v>2196.41</v>
      </c>
      <c r="D22" s="36"/>
      <c r="F22" s="199" t="s">
        <v>126</v>
      </c>
      <c r="G22" s="7"/>
      <c r="H22" s="7"/>
      <c r="I22" s="98"/>
      <c r="J22" s="199" t="s">
        <v>126</v>
      </c>
      <c r="K22" s="7"/>
      <c r="L22" s="7"/>
      <c r="M22" s="98"/>
    </row>
    <row r="23" spans="1:13" ht="15.75">
      <c r="A23" s="208" t="s">
        <v>180</v>
      </c>
      <c r="C23" s="100">
        <v>0</v>
      </c>
      <c r="D23" s="36"/>
      <c r="F23" s="200" t="s">
        <v>37</v>
      </c>
      <c r="G23" s="562">
        <v>4941679</v>
      </c>
      <c r="H23" s="597">
        <v>0.12678</v>
      </c>
      <c r="I23" s="196">
        <f t="shared" ref="I23:I31" si="0">G23*H23</f>
        <v>626506.06362000003</v>
      </c>
      <c r="J23" s="200" t="s">
        <v>37</v>
      </c>
      <c r="K23" s="562">
        <v>2613793</v>
      </c>
      <c r="L23" s="597">
        <v>0.11330999999999999</v>
      </c>
      <c r="M23" s="196">
        <f>K23*L23</f>
        <v>296168.88483</v>
      </c>
    </row>
    <row r="24" spans="1:13" ht="15.75">
      <c r="A24" s="208" t="s">
        <v>186</v>
      </c>
      <c r="C24" s="312">
        <v>0</v>
      </c>
      <c r="D24" s="36"/>
      <c r="F24" s="200" t="s">
        <v>305</v>
      </c>
      <c r="G24" s="562">
        <v>8078</v>
      </c>
      <c r="H24" s="597">
        <v>0.12678</v>
      </c>
      <c r="I24" s="196">
        <f t="shared" si="0"/>
        <v>1024.1288400000001</v>
      </c>
      <c r="J24" s="200" t="s">
        <v>38</v>
      </c>
      <c r="K24" s="562">
        <v>1315495</v>
      </c>
      <c r="L24" s="597">
        <v>0.11330999999999999</v>
      </c>
      <c r="M24" s="196">
        <f t="shared" ref="M24:M27" si="1">K24*L24</f>
        <v>149058.73845</v>
      </c>
    </row>
    <row r="25" spans="1:13" ht="15.75">
      <c r="A25" s="208" t="s">
        <v>189</v>
      </c>
      <c r="C25" s="314">
        <v>0</v>
      </c>
      <c r="D25" s="36"/>
      <c r="F25" s="200" t="s">
        <v>38</v>
      </c>
      <c r="G25" s="562">
        <v>2425238</v>
      </c>
      <c r="H25" s="597">
        <v>0.11865000000000001</v>
      </c>
      <c r="I25" s="196">
        <f t="shared" si="0"/>
        <v>287754.48869999999</v>
      </c>
      <c r="J25" s="200" t="s">
        <v>39</v>
      </c>
      <c r="K25" s="562">
        <v>29168</v>
      </c>
      <c r="L25" s="597">
        <v>0.11330999999999999</v>
      </c>
      <c r="M25" s="196">
        <f t="shared" si="1"/>
        <v>3305.0260799999996</v>
      </c>
    </row>
    <row r="26" spans="1:13" ht="15.75">
      <c r="A26" s="209" t="s">
        <v>188</v>
      </c>
      <c r="C26" s="315">
        <v>0</v>
      </c>
      <c r="D26" s="36"/>
      <c r="F26" s="200" t="s">
        <v>39</v>
      </c>
      <c r="G26" s="562">
        <v>0</v>
      </c>
      <c r="H26" s="597">
        <v>0.11865000000000001</v>
      </c>
      <c r="I26" s="196">
        <f t="shared" si="0"/>
        <v>0</v>
      </c>
      <c r="J26" s="200" t="s">
        <v>40</v>
      </c>
      <c r="K26" s="562">
        <v>0</v>
      </c>
      <c r="L26" s="597">
        <v>0.11330999999999999</v>
      </c>
      <c r="M26" s="196">
        <f t="shared" si="1"/>
        <v>0</v>
      </c>
    </row>
    <row r="27" spans="1:13" ht="15.75">
      <c r="A27" s="65" t="s">
        <v>96</v>
      </c>
      <c r="C27" s="100">
        <f>SUM(C23:C26)</f>
        <v>0</v>
      </c>
      <c r="D27" s="36"/>
      <c r="F27" s="200" t="s">
        <v>40</v>
      </c>
      <c r="G27" s="562">
        <v>302382</v>
      </c>
      <c r="H27" s="597">
        <v>0.11541</v>
      </c>
      <c r="I27" s="196">
        <f t="shared" si="0"/>
        <v>34897.906620000002</v>
      </c>
      <c r="J27" s="200" t="s">
        <v>41</v>
      </c>
      <c r="K27" s="562">
        <v>0</v>
      </c>
      <c r="L27" s="597">
        <v>0.11330999999999999</v>
      </c>
      <c r="M27" s="196">
        <f t="shared" si="1"/>
        <v>0</v>
      </c>
    </row>
    <row r="28" spans="1:13" ht="16.5" thickBot="1">
      <c r="A28" s="210" t="s">
        <v>150</v>
      </c>
      <c r="C28" s="312">
        <v>0</v>
      </c>
      <c r="D28" s="37"/>
      <c r="F28" s="200" t="s">
        <v>41</v>
      </c>
      <c r="G28" s="562">
        <v>29064</v>
      </c>
      <c r="H28" s="597">
        <v>0.11541</v>
      </c>
      <c r="I28" s="196">
        <f t="shared" si="0"/>
        <v>3354.2762400000001</v>
      </c>
      <c r="J28" s="199" t="s">
        <v>127</v>
      </c>
      <c r="K28" s="181">
        <f>SUM(K23:K27)</f>
        <v>3958456</v>
      </c>
      <c r="L28" s="182"/>
      <c r="M28" s="197">
        <f>SUM(M23:M27)</f>
        <v>448532.64935999998</v>
      </c>
    </row>
    <row r="29" spans="1:13" ht="17.25" thickTop="1" thickBot="1">
      <c r="A29" s="210" t="s">
        <v>167</v>
      </c>
      <c r="B29" s="385"/>
      <c r="C29" s="312">
        <v>0</v>
      </c>
      <c r="D29" s="36"/>
      <c r="F29" s="200" t="s">
        <v>42</v>
      </c>
      <c r="G29" s="562">
        <v>0</v>
      </c>
      <c r="H29" s="597">
        <v>7.4310000000000001E-2</v>
      </c>
      <c r="I29" s="196">
        <f t="shared" si="0"/>
        <v>0</v>
      </c>
      <c r="J29" s="199"/>
      <c r="K29" s="231">
        <v>3958456</v>
      </c>
      <c r="L29" s="187" t="s">
        <v>102</v>
      </c>
      <c r="M29" s="465">
        <f>M28/K28</f>
        <v>0.11330999999999999</v>
      </c>
    </row>
    <row r="30" spans="1:13" ht="16.5" thickBot="1">
      <c r="A30" s="2" t="s">
        <v>111</v>
      </c>
      <c r="C30" s="125">
        <f>C7+C11+C14+C17+C20+C22+C27+C28+C29</f>
        <v>2333310.2400000002</v>
      </c>
      <c r="D30" s="37"/>
      <c r="F30" s="200" t="s">
        <v>43</v>
      </c>
      <c r="G30" s="562">
        <v>71877</v>
      </c>
      <c r="H30" s="597">
        <v>7.4310000000000001E-2</v>
      </c>
      <c r="I30" s="196">
        <f t="shared" si="0"/>
        <v>5341.1798699999999</v>
      </c>
      <c r="J30" s="200"/>
      <c r="K30" s="230">
        <f>K28-K29</f>
        <v>0</v>
      </c>
      <c r="L30" s="182"/>
      <c r="M30" s="198"/>
    </row>
    <row r="31" spans="1:13" ht="15.75">
      <c r="A31" s="384" t="s">
        <v>112</v>
      </c>
      <c r="C31" s="560">
        <v>-17582.39</v>
      </c>
      <c r="D31" s="39"/>
      <c r="F31" s="200" t="s">
        <v>74</v>
      </c>
      <c r="G31" s="562">
        <v>2501903</v>
      </c>
      <c r="H31" s="597">
        <v>5.4000000000000001E-4</v>
      </c>
      <c r="I31" s="196">
        <f t="shared" si="0"/>
        <v>1351.0276200000001</v>
      </c>
      <c r="J31" s="153"/>
      <c r="K31" s="7"/>
      <c r="L31" s="182"/>
      <c r="M31" s="198"/>
    </row>
    <row r="32" spans="1:13" ht="16.5" thickBot="1">
      <c r="A32" s="2" t="s">
        <v>116</v>
      </c>
      <c r="B32" s="2" t="s">
        <v>117</v>
      </c>
      <c r="C32" s="580">
        <f>C30+C31</f>
        <v>2315727.85</v>
      </c>
      <c r="D32" s="40"/>
      <c r="F32" s="199" t="s">
        <v>127</v>
      </c>
      <c r="G32" s="181">
        <f>SUM(G23:G31)</f>
        <v>10280221</v>
      </c>
      <c r="H32" s="7"/>
      <c r="I32" s="197">
        <f>SUM(I23:I31)</f>
        <v>960229.07151000004</v>
      </c>
      <c r="J32" s="192"/>
      <c r="K32" s="193"/>
      <c r="L32" s="7"/>
      <c r="M32" s="190"/>
    </row>
    <row r="33" spans="1:17" ht="17.25" thickTop="1" thickBot="1">
      <c r="A33" s="384" t="s">
        <v>113</v>
      </c>
      <c r="C33" s="580">
        <f>-C5-C9-C13-C16-C19</f>
        <v>-97682.64</v>
      </c>
      <c r="D33" s="36"/>
      <c r="F33" s="186"/>
      <c r="G33" s="231">
        <v>10280221</v>
      </c>
      <c r="H33" s="187" t="s">
        <v>102</v>
      </c>
      <c r="I33" s="216">
        <f>I32/G32</f>
        <v>9.3405489192304333E-2</v>
      </c>
      <c r="J33" s="192"/>
      <c r="K33" s="193"/>
      <c r="L33" s="7"/>
      <c r="M33" s="98"/>
    </row>
    <row r="34" spans="1:17" ht="16.5" thickBot="1">
      <c r="A34" s="2" t="s">
        <v>114</v>
      </c>
      <c r="C34" s="125">
        <f>SUM(C32:C33)</f>
        <v>2218045.21</v>
      </c>
      <c r="D34" s="36"/>
      <c r="F34" s="153"/>
      <c r="G34" s="230">
        <f>G32-G33</f>
        <v>0</v>
      </c>
      <c r="H34" s="7"/>
      <c r="I34" s="98"/>
      <c r="J34" s="192"/>
      <c r="K34" s="191"/>
      <c r="L34" s="7"/>
      <c r="M34" s="98"/>
    </row>
    <row r="35" spans="1:17" ht="18" customHeight="1">
      <c r="A35" s="2"/>
      <c r="C35" s="101"/>
      <c r="D35" s="36"/>
      <c r="F35" s="184"/>
      <c r="G35" s="12"/>
      <c r="H35" s="12"/>
      <c r="I35" s="185"/>
      <c r="J35" s="199" t="s">
        <v>128</v>
      </c>
      <c r="K35" s="644"/>
      <c r="L35" s="644"/>
      <c r="M35" s="645"/>
    </row>
    <row r="36" spans="1:17" ht="15.75">
      <c r="A36" s="16" t="s">
        <v>94</v>
      </c>
      <c r="B36" s="2"/>
      <c r="C36" s="100"/>
      <c r="D36" s="36"/>
      <c r="F36" s="199" t="s">
        <v>128</v>
      </c>
      <c r="G36" s="7"/>
      <c r="H36" s="7"/>
      <c r="I36" s="98"/>
      <c r="J36" s="200" t="s">
        <v>37</v>
      </c>
      <c r="K36" s="582">
        <f>K23</f>
        <v>2613793</v>
      </c>
      <c r="L36" s="597">
        <v>0.23895</v>
      </c>
      <c r="M36" s="196">
        <f t="shared" ref="M36:M42" si="2">K36*L36</f>
        <v>624565.83735000005</v>
      </c>
      <c r="P36" s="273"/>
      <c r="Q36" s="273"/>
    </row>
    <row r="37" spans="1:17" ht="15.75">
      <c r="A37" s="7" t="s">
        <v>129</v>
      </c>
      <c r="B37" s="532" t="s">
        <v>115</v>
      </c>
      <c r="C37" s="560">
        <v>11437837.800000001</v>
      </c>
      <c r="D37" s="36"/>
      <c r="F37" s="200" t="s">
        <v>37</v>
      </c>
      <c r="G37" s="582">
        <f>G23</f>
        <v>4941679</v>
      </c>
      <c r="H37" s="597">
        <v>0.23860000000000001</v>
      </c>
      <c r="I37" s="196">
        <f t="shared" ref="I37:I44" si="3">G37*H37</f>
        <v>1179084.6094</v>
      </c>
      <c r="J37" s="200" t="s">
        <v>38</v>
      </c>
      <c r="K37" s="582">
        <f>K24</f>
        <v>1315495</v>
      </c>
      <c r="L37" s="597">
        <v>0.23895</v>
      </c>
      <c r="M37" s="196">
        <f t="shared" si="2"/>
        <v>314337.53025000001</v>
      </c>
      <c r="P37" s="273"/>
      <c r="Q37" s="273"/>
    </row>
    <row r="38" spans="1:17" ht="15.75">
      <c r="A38" s="144" t="s">
        <v>14</v>
      </c>
      <c r="B38" s="532" t="s">
        <v>115</v>
      </c>
      <c r="C38" s="122"/>
      <c r="D38" s="36"/>
      <c r="F38" s="200" t="s">
        <v>305</v>
      </c>
      <c r="G38" s="582">
        <f>G24</f>
        <v>8078</v>
      </c>
      <c r="H38" s="597">
        <v>0.23860000000000001</v>
      </c>
      <c r="I38" s="196">
        <f t="shared" si="3"/>
        <v>1927.4108000000001</v>
      </c>
      <c r="J38" s="200" t="s">
        <v>39</v>
      </c>
      <c r="K38" s="582">
        <f>K25</f>
        <v>29168</v>
      </c>
      <c r="L38" s="597">
        <v>0.23895</v>
      </c>
      <c r="M38" s="196">
        <f t="shared" si="2"/>
        <v>6969.6935999999996</v>
      </c>
      <c r="P38" s="273"/>
      <c r="Q38" s="273"/>
    </row>
    <row r="39" spans="1:17" ht="15.75">
      <c r="A39" s="7" t="s">
        <v>146</v>
      </c>
      <c r="B39" s="532" t="s">
        <v>147</v>
      </c>
      <c r="C39" s="560">
        <f>-43054.17</f>
        <v>-43054.17</v>
      </c>
      <c r="D39" s="36"/>
      <c r="F39" s="200" t="s">
        <v>38</v>
      </c>
      <c r="G39" s="582">
        <f t="shared" ref="G39:G44" si="4">G25</f>
        <v>2425238</v>
      </c>
      <c r="H39" s="597">
        <v>0.23860000000000001</v>
      </c>
      <c r="I39" s="196">
        <f t="shared" si="3"/>
        <v>578661.7868</v>
      </c>
      <c r="J39" s="200" t="s">
        <v>40</v>
      </c>
      <c r="K39" s="582">
        <f>K26</f>
        <v>0</v>
      </c>
      <c r="L39" s="597">
        <v>0.23895</v>
      </c>
      <c r="M39" s="196">
        <f t="shared" si="2"/>
        <v>0</v>
      </c>
      <c r="P39" s="273"/>
      <c r="Q39" s="273"/>
    </row>
    <row r="40" spans="1:17" ht="15.75">
      <c r="A40" s="7" t="s">
        <v>131</v>
      </c>
      <c r="B40" s="532" t="s">
        <v>132</v>
      </c>
      <c r="C40" s="560">
        <v>-32552.85</v>
      </c>
      <c r="D40" s="36"/>
      <c r="F40" s="200" t="s">
        <v>39</v>
      </c>
      <c r="G40" s="582">
        <f t="shared" si="4"/>
        <v>0</v>
      </c>
      <c r="H40" s="597">
        <v>0.23860000000000001</v>
      </c>
      <c r="I40" s="196">
        <f t="shared" si="3"/>
        <v>0</v>
      </c>
      <c r="J40" s="200" t="s">
        <v>41</v>
      </c>
      <c r="K40" s="582">
        <f>K27</f>
        <v>0</v>
      </c>
      <c r="L40" s="597">
        <v>0.23895</v>
      </c>
      <c r="M40" s="196">
        <f t="shared" si="2"/>
        <v>0</v>
      </c>
      <c r="P40" s="273"/>
      <c r="Q40" s="273"/>
    </row>
    <row r="41" spans="1:17" ht="15.75">
      <c r="A41" s="7" t="s">
        <v>153</v>
      </c>
      <c r="B41" s="6" t="s">
        <v>155</v>
      </c>
      <c r="C41" s="560">
        <f>-122764.98</f>
        <v>-122764.98</v>
      </c>
      <c r="D41" s="36"/>
      <c r="F41" s="200" t="s">
        <v>40</v>
      </c>
      <c r="G41" s="582">
        <f t="shared" si="4"/>
        <v>302382</v>
      </c>
      <c r="H41" s="597">
        <v>0.23860000000000001</v>
      </c>
      <c r="I41" s="196">
        <f t="shared" si="3"/>
        <v>72148.345199999996</v>
      </c>
      <c r="J41" s="200" t="s">
        <v>42</v>
      </c>
      <c r="K41" s="562">
        <v>0</v>
      </c>
      <c r="L41" s="597">
        <v>0.23895</v>
      </c>
      <c r="M41" s="196">
        <f t="shared" si="2"/>
        <v>0</v>
      </c>
      <c r="P41" s="273"/>
      <c r="Q41" s="273"/>
    </row>
    <row r="42" spans="1:17" ht="16.5" thickBot="1">
      <c r="A42" s="7" t="s">
        <v>178</v>
      </c>
      <c r="B42" s="532" t="s">
        <v>179</v>
      </c>
      <c r="C42" s="560">
        <v>1383448.91</v>
      </c>
      <c r="D42" s="37"/>
      <c r="F42" s="200" t="s">
        <v>41</v>
      </c>
      <c r="G42" s="582">
        <f t="shared" si="4"/>
        <v>29064</v>
      </c>
      <c r="H42" s="597">
        <v>0.23860000000000001</v>
      </c>
      <c r="I42" s="196">
        <f t="shared" si="3"/>
        <v>6934.6704</v>
      </c>
      <c r="J42" s="200" t="s">
        <v>43</v>
      </c>
      <c r="K42" s="583">
        <v>0</v>
      </c>
      <c r="L42" s="597">
        <v>0.23895</v>
      </c>
      <c r="M42" s="196">
        <f t="shared" si="2"/>
        <v>0</v>
      </c>
      <c r="P42" s="273"/>
      <c r="Q42" s="273"/>
    </row>
    <row r="43" spans="1:17" ht="16.5" thickBot="1">
      <c r="A43" s="85" t="s">
        <v>123</v>
      </c>
      <c r="B43" s="12"/>
      <c r="C43" s="125">
        <f>SUM(C37:C42)</f>
        <v>12622914.710000001</v>
      </c>
      <c r="D43" s="36"/>
      <c r="F43" s="200" t="s">
        <v>42</v>
      </c>
      <c r="G43" s="582">
        <f t="shared" si="4"/>
        <v>0</v>
      </c>
      <c r="H43" s="597">
        <v>0.23860000000000001</v>
      </c>
      <c r="I43" s="196">
        <f t="shared" si="3"/>
        <v>0</v>
      </c>
      <c r="J43" s="199" t="s">
        <v>133</v>
      </c>
      <c r="K43" s="181">
        <f>SUM(K36:K42)</f>
        <v>3958456</v>
      </c>
      <c r="L43" s="182"/>
      <c r="M43" s="197">
        <f>SUM(M36:M42)</f>
        <v>945873.0612</v>
      </c>
    </row>
    <row r="44" spans="1:17" ht="16.5" thickBot="1">
      <c r="A44" s="83" t="s">
        <v>177</v>
      </c>
      <c r="B44" s="84" t="s">
        <v>120</v>
      </c>
      <c r="C44" s="560">
        <f>-5928843.18+16336.32+1475.13</f>
        <v>-5911031.7299999995</v>
      </c>
      <c r="D44" s="37"/>
      <c r="F44" s="200" t="s">
        <v>43</v>
      </c>
      <c r="G44" s="582">
        <f t="shared" si="4"/>
        <v>71877</v>
      </c>
      <c r="H44" s="597">
        <v>0.23860000000000001</v>
      </c>
      <c r="I44" s="196">
        <f t="shared" si="3"/>
        <v>17149.852200000001</v>
      </c>
      <c r="J44" s="194"/>
      <c r="K44" s="232">
        <v>3958456</v>
      </c>
      <c r="L44" s="189" t="s">
        <v>102</v>
      </c>
      <c r="M44" s="217">
        <f>M43/K43</f>
        <v>0.23895</v>
      </c>
    </row>
    <row r="45" spans="1:17" ht="16.5" thickBot="1">
      <c r="A45" s="211" t="s">
        <v>168</v>
      </c>
      <c r="B45" s="6" t="s">
        <v>115</v>
      </c>
      <c r="C45" s="122">
        <v>0</v>
      </c>
      <c r="D45" s="39"/>
      <c r="F45" s="199" t="s">
        <v>133</v>
      </c>
      <c r="G45" s="181">
        <f>SUM(G37:G44)</f>
        <v>7778318</v>
      </c>
      <c r="H45" s="182"/>
      <c r="I45" s="197">
        <f>SUM(I37:I44)</f>
        <v>1855906.6748000002</v>
      </c>
      <c r="J45" s="85"/>
      <c r="K45" s="231"/>
      <c r="L45" s="187"/>
      <c r="M45" s="556"/>
    </row>
    <row r="46" spans="1:17" ht="19.5" customHeight="1" thickTop="1" thickBot="1">
      <c r="A46" s="144" t="s">
        <v>169</v>
      </c>
      <c r="B46" s="6" t="s">
        <v>115</v>
      </c>
      <c r="C46" s="122">
        <v>0</v>
      </c>
      <c r="D46" s="40"/>
      <c r="F46" s="188"/>
      <c r="G46" s="232">
        <v>7778318</v>
      </c>
      <c r="H46" s="189" t="s">
        <v>102</v>
      </c>
      <c r="I46" s="215">
        <f>I45/G45</f>
        <v>0.23860000000000001</v>
      </c>
      <c r="J46" s="85"/>
      <c r="K46" s="231"/>
      <c r="L46" s="187"/>
      <c r="M46" s="556"/>
    </row>
    <row r="47" spans="1:17" ht="19.5" customHeight="1">
      <c r="A47" s="384" t="s">
        <v>137</v>
      </c>
      <c r="B47" s="6" t="s">
        <v>115</v>
      </c>
      <c r="C47" s="122"/>
      <c r="D47" s="36"/>
      <c r="F47" s="385"/>
      <c r="G47" s="230">
        <f>G45-G46</f>
        <v>0</v>
      </c>
      <c r="H47" s="385"/>
      <c r="I47" s="385"/>
      <c r="J47" s="124"/>
      <c r="K47" s="230">
        <f>K43-K44</f>
        <v>0</v>
      </c>
      <c r="L47" s="385"/>
      <c r="M47" s="124"/>
    </row>
    <row r="48" spans="1:17" ht="16.5" thickBot="1">
      <c r="A48" s="144" t="s">
        <v>304</v>
      </c>
      <c r="B48" s="6" t="s">
        <v>115</v>
      </c>
      <c r="C48" s="560">
        <v>7000</v>
      </c>
      <c r="D48" s="36"/>
      <c r="F48" s="385"/>
      <c r="G48" s="385"/>
      <c r="H48" s="385"/>
      <c r="I48" s="385"/>
      <c r="J48" s="124"/>
      <c r="K48" s="114"/>
      <c r="L48" s="385"/>
      <c r="M48" s="68"/>
    </row>
    <row r="49" spans="1:21" ht="15.75">
      <c r="A49" s="7" t="s">
        <v>130</v>
      </c>
      <c r="B49" s="532" t="s">
        <v>152</v>
      </c>
      <c r="C49" s="560">
        <v>24679.43</v>
      </c>
      <c r="D49" s="36"/>
      <c r="F49" s="385"/>
      <c r="G49" s="114"/>
      <c r="H49" s="129" t="s">
        <v>35</v>
      </c>
      <c r="I49" s="13" t="s">
        <v>35</v>
      </c>
      <c r="J49" s="13" t="s">
        <v>63</v>
      </c>
      <c r="K49" s="127" t="s">
        <v>70</v>
      </c>
      <c r="L49" s="124"/>
      <c r="M49" s="385"/>
    </row>
    <row r="50" spans="1:21" ht="16.5" thickBot="1">
      <c r="A50" s="7" t="s">
        <v>222</v>
      </c>
      <c r="B50" s="532" t="s">
        <v>152</v>
      </c>
      <c r="C50" s="560">
        <v>754.97</v>
      </c>
      <c r="D50" s="37"/>
      <c r="F50" s="50" t="s">
        <v>73</v>
      </c>
      <c r="G50" s="385"/>
      <c r="H50" s="130" t="s">
        <v>2</v>
      </c>
      <c r="I50" s="131" t="s">
        <v>3</v>
      </c>
      <c r="J50" s="131" t="s">
        <v>2</v>
      </c>
      <c r="K50" s="128" t="s">
        <v>3</v>
      </c>
      <c r="L50" s="385"/>
      <c r="M50" s="385"/>
    </row>
    <row r="51" spans="1:21" ht="15.75">
      <c r="A51" s="7" t="s">
        <v>308</v>
      </c>
      <c r="B51" s="532" t="s">
        <v>152</v>
      </c>
      <c r="C51" s="560">
        <v>5383.39</v>
      </c>
      <c r="D51" s="36"/>
      <c r="F51" s="385"/>
      <c r="G51" s="385"/>
      <c r="H51" s="151"/>
      <c r="I51" s="152"/>
      <c r="J51" s="152"/>
      <c r="K51" s="152"/>
      <c r="L51" s="126" t="s">
        <v>103</v>
      </c>
      <c r="M51" s="385"/>
    </row>
    <row r="52" spans="1:21" ht="15.75">
      <c r="A52" s="22" t="s">
        <v>118</v>
      </c>
      <c r="B52" s="6"/>
      <c r="C52" s="581">
        <f>-C33</f>
        <v>97682.64</v>
      </c>
      <c r="D52" s="33"/>
      <c r="F52" s="385" t="s">
        <v>136</v>
      </c>
      <c r="G52" s="385"/>
      <c r="H52" s="212">
        <f>K12</f>
        <v>1373805.4771329998</v>
      </c>
      <c r="I52" s="115">
        <f>I14</f>
        <v>1564387.2866130001</v>
      </c>
      <c r="J52" s="115">
        <f>L12</f>
        <v>701128.21286700002</v>
      </c>
      <c r="K52" s="115">
        <f>J14</f>
        <v>653657.92338699999</v>
      </c>
      <c r="L52" s="132">
        <f>SUM(H52:K52)</f>
        <v>4292978.9000000004</v>
      </c>
      <c r="M52" s="385"/>
    </row>
    <row r="53" spans="1:21" ht="16.5" thickBot="1">
      <c r="A53" s="385" t="s">
        <v>315</v>
      </c>
      <c r="B53" s="602" t="s">
        <v>316</v>
      </c>
      <c r="C53" s="560">
        <f>94701.61</f>
        <v>94701.61</v>
      </c>
      <c r="D53" s="33"/>
      <c r="F53" s="384" t="s">
        <v>109</v>
      </c>
      <c r="H53" s="212">
        <f>-I45</f>
        <v>-1855906.6748000002</v>
      </c>
      <c r="I53" s="115">
        <f>-I32</f>
        <v>-960229.07151000004</v>
      </c>
      <c r="J53" s="115">
        <f>-M43</f>
        <v>-945873.0612</v>
      </c>
      <c r="K53" s="115">
        <f>-M28</f>
        <v>-448532.64935999998</v>
      </c>
      <c r="L53" s="261">
        <f>SUM(H53:K53)</f>
        <v>-4210541.4568699999</v>
      </c>
    </row>
    <row r="54" spans="1:21" ht="16.5" thickBot="1">
      <c r="A54" s="382" t="s">
        <v>124</v>
      </c>
      <c r="B54" s="473" t="s">
        <v>296</v>
      </c>
      <c r="C54" s="560">
        <f>32697.23-2581922.56-1761790.9</f>
        <v>-4311016.2300000004</v>
      </c>
      <c r="D54" s="36"/>
      <c r="F54" s="384" t="s">
        <v>86</v>
      </c>
      <c r="H54" s="234">
        <v>0</v>
      </c>
      <c r="I54" s="235">
        <v>0</v>
      </c>
      <c r="J54" s="235">
        <v>0</v>
      </c>
      <c r="K54" s="236">
        <v>0</v>
      </c>
      <c r="L54" s="214">
        <f>SUM(L52:L53)</f>
        <v>82437.443130000494</v>
      </c>
    </row>
    <row r="55" spans="1:21" ht="16.5" thickBot="1">
      <c r="A55" s="384" t="s">
        <v>312</v>
      </c>
      <c r="B55" s="6" t="s">
        <v>190</v>
      </c>
      <c r="C55" s="560">
        <v>-375000</v>
      </c>
      <c r="D55" s="36"/>
      <c r="F55" s="384" t="s">
        <v>71</v>
      </c>
      <c r="H55" s="125">
        <f>IFERROR(H52+H53+H54,0)</f>
        <v>-482101.19766700035</v>
      </c>
      <c r="I55" s="125">
        <f>I52+I53+I54</f>
        <v>604158.21510300005</v>
      </c>
      <c r="J55" s="125">
        <f>IFERROR(J52+J53+J54,0)</f>
        <v>-244744.84833299997</v>
      </c>
      <c r="K55" s="125">
        <f>K52+K53+K54</f>
        <v>205125.27402700001</v>
      </c>
      <c r="L55" s="47">
        <f>SUM(H55:K55)</f>
        <v>82437.443129999738</v>
      </c>
    </row>
    <row r="56" spans="1:21" ht="16.5" thickBot="1">
      <c r="A56" s="82" t="s">
        <v>119</v>
      </c>
      <c r="B56" s="84"/>
      <c r="C56" s="160">
        <f>SUM(C43:C55)</f>
        <v>2256068.79</v>
      </c>
      <c r="D56" s="36"/>
      <c r="F56" s="240" t="s">
        <v>181</v>
      </c>
      <c r="H56" s="384" t="s">
        <v>173</v>
      </c>
      <c r="I56" s="5">
        <f>SUM(H55:I55)</f>
        <v>122057.0174359997</v>
      </c>
      <c r="J56" s="15" t="s">
        <v>174</v>
      </c>
      <c r="K56" s="384">
        <f>SUM(J55:K55)</f>
        <v>-39619.574305999966</v>
      </c>
      <c r="L56" s="213">
        <f>ROUND(L54-L55,3)</f>
        <v>0</v>
      </c>
      <c r="T56" s="42"/>
    </row>
    <row r="57" spans="1:21" ht="16.5" thickTop="1">
      <c r="A57" s="384" t="s">
        <v>121</v>
      </c>
      <c r="B57" s="6" t="s">
        <v>115</v>
      </c>
      <c r="C57" s="560">
        <v>-121291.31</v>
      </c>
      <c r="D57" s="36"/>
      <c r="F57" s="397" t="s">
        <v>181</v>
      </c>
      <c r="H57" s="96"/>
    </row>
    <row r="58" spans="1:21" ht="16.5" thickBot="1">
      <c r="A58" s="384" t="s">
        <v>122</v>
      </c>
      <c r="B58" s="6" t="s">
        <v>115</v>
      </c>
      <c r="C58" s="560">
        <v>-59843.79</v>
      </c>
      <c r="D58" s="36"/>
      <c r="F58" s="397" t="s">
        <v>182</v>
      </c>
      <c r="H58" s="157"/>
      <c r="I58" s="120"/>
      <c r="J58" s="120"/>
      <c r="K58" s="204"/>
      <c r="L58" s="120"/>
    </row>
    <row r="59" spans="1:21" ht="16.5" thickBot="1">
      <c r="A59" s="2" t="s">
        <v>125</v>
      </c>
      <c r="B59" s="2"/>
      <c r="C59" s="160">
        <f>SUM(C56:C58)</f>
        <v>2074933.69</v>
      </c>
      <c r="D59" s="36"/>
      <c r="F59" s="543" t="s">
        <v>303</v>
      </c>
      <c r="G59" s="544" t="str">
        <f>IF(OR(AND(I56&gt;0,K56&gt;0),AND(I56&lt;0,K56&lt;0)),"OK","ERROR")</f>
        <v>ERROR</v>
      </c>
      <c r="H59" s="386" t="s">
        <v>294</v>
      </c>
      <c r="I59" s="387"/>
    </row>
    <row r="60" spans="1:21" ht="17.25" thickTop="1" thickBot="1">
      <c r="A60" s="2"/>
      <c r="C60" s="101"/>
      <c r="D60" s="36"/>
      <c r="H60" s="318" t="s">
        <v>175</v>
      </c>
      <c r="I60" s="319" t="s">
        <v>176</v>
      </c>
      <c r="J60" s="5"/>
    </row>
    <row r="61" spans="1:21" ht="16.5" thickBot="1">
      <c r="A61" s="9"/>
      <c r="B61" s="9" t="s">
        <v>95</v>
      </c>
      <c r="C61" s="125">
        <f>C59+C34</f>
        <v>4292978.9000000004</v>
      </c>
      <c r="D61" s="36"/>
      <c r="H61" s="349" t="e">
        <f>SUM(#REF!,#REF!,#REF!,#REF!,#REF!,#REF!)</f>
        <v>#REF!</v>
      </c>
      <c r="I61" s="449" t="e">
        <f>SUM(#REF!,#REF!,#REF!,#REF!,#REF!,#REF!)</f>
        <v>#REF!</v>
      </c>
      <c r="J61" s="384">
        <f>H53+I53+J53+K53</f>
        <v>-4210541.4568699999</v>
      </c>
    </row>
    <row r="62" spans="1:21" ht="15.75">
      <c r="A62" s="2"/>
      <c r="B62" s="9" t="s">
        <v>160</v>
      </c>
      <c r="C62" s="350">
        <v>4292978.9000000004</v>
      </c>
      <c r="D62" s="37"/>
      <c r="G62" s="5"/>
      <c r="I62" s="338" t="e">
        <f>H61-I61</f>
        <v>#REF!</v>
      </c>
      <c r="N62" s="5"/>
      <c r="O62" s="5"/>
      <c r="P62" s="21"/>
    </row>
    <row r="63" spans="1:21" ht="15.75">
      <c r="A63" s="9"/>
      <c r="B63" s="9" t="s">
        <v>159</v>
      </c>
      <c r="C63" s="257">
        <f>ROUND(C61-C62,2)</f>
        <v>0</v>
      </c>
      <c r="S63" s="6"/>
    </row>
    <row r="64" spans="1:21" ht="15.75">
      <c r="A64" s="44"/>
      <c r="C64" s="351"/>
      <c r="D64" s="36"/>
      <c r="N64" s="22"/>
      <c r="U64" s="2"/>
    </row>
    <row r="65" spans="1:21" ht="15.75">
      <c r="A65" s="44"/>
      <c r="C65" s="8"/>
      <c r="D65" s="43"/>
      <c r="N65" s="22"/>
      <c r="S65" s="23"/>
    </row>
    <row r="66" spans="1:21" ht="15.75">
      <c r="A66" s="2"/>
      <c r="C66" s="8"/>
      <c r="D66" s="36"/>
      <c r="N66" s="22"/>
      <c r="S66" s="24"/>
    </row>
    <row r="67" spans="1:21">
      <c r="C67" s="100"/>
      <c r="D67" s="36"/>
      <c r="N67" s="22"/>
      <c r="S67" s="25"/>
    </row>
    <row r="68" spans="1:21">
      <c r="D68" s="36"/>
      <c r="N68" s="22"/>
      <c r="S68" s="24"/>
    </row>
    <row r="69" spans="1:21">
      <c r="D69" s="36"/>
      <c r="N69" s="22"/>
    </row>
    <row r="70" spans="1:21">
      <c r="D70" s="37"/>
      <c r="N70" s="22"/>
      <c r="S70" s="26"/>
    </row>
    <row r="71" spans="1:21">
      <c r="D71" s="36"/>
    </row>
    <row r="72" spans="1:21">
      <c r="D72" s="36"/>
    </row>
    <row r="73" spans="1:21">
      <c r="D73" s="36"/>
      <c r="S73" s="27"/>
    </row>
    <row r="74" spans="1:21">
      <c r="D74" s="45"/>
      <c r="R74" s="6"/>
      <c r="S74" s="6"/>
      <c r="T74" s="6"/>
    </row>
    <row r="76" spans="1:21">
      <c r="U76" s="28"/>
    </row>
    <row r="1477" spans="3:3">
      <c r="C1477" s="384">
        <v>-2130</v>
      </c>
    </row>
    <row r="1485" spans="3:3">
      <c r="C1485" s="384">
        <f>7004298-2130</f>
        <v>7002168</v>
      </c>
    </row>
  </sheetData>
  <mergeCells count="3">
    <mergeCell ref="F18:I18"/>
    <mergeCell ref="J18:M18"/>
    <mergeCell ref="K35:M35"/>
  </mergeCells>
  <conditionalFormatting sqref="C63 L56 I62">
    <cfRule type="cellIs" dxfId="262" priority="7" stopIfTrue="1" operator="equal">
      <formula>0</formula>
    </cfRule>
    <cfRule type="cellIs" dxfId="261" priority="8" stopIfTrue="1" operator="notEqual">
      <formula>0</formula>
    </cfRule>
  </conditionalFormatting>
  <conditionalFormatting sqref="G34 G47 K30 K47">
    <cfRule type="cellIs" dxfId="260" priority="6" operator="notEqual">
      <formula>0</formula>
    </cfRule>
  </conditionalFormatting>
  <conditionalFormatting sqref="C63">
    <cfRule type="cellIs" dxfId="259" priority="4" stopIfTrue="1" operator="equal">
      <formula>0</formula>
    </cfRule>
    <cfRule type="cellIs" dxfId="258" priority="5" stopIfTrue="1" operator="notEqual">
      <formula>0</formula>
    </cfRule>
  </conditionalFormatting>
  <conditionalFormatting sqref="K30">
    <cfRule type="cellIs" dxfId="257" priority="3" operator="notEqual">
      <formula>0</formula>
    </cfRule>
  </conditionalFormatting>
  <conditionalFormatting sqref="G59">
    <cfRule type="cellIs" dxfId="256" priority="2" operator="equal">
      <formula>"ERROR"</formula>
    </cfRule>
  </conditionalFormatting>
  <conditionalFormatting sqref="G59">
    <cfRule type="cellIs" dxfId="255" priority="1" operator="equal">
      <formula>"ERROR"</formula>
    </cfRule>
  </conditionalFormatting>
  <printOptions verticalCentered="1" gridLinesSet="0"/>
  <pageMargins left="0.5" right="0" top="0.25" bottom="0.5" header="0" footer="0.25"/>
  <pageSetup scale="47" orientation="landscape" cellComments="asDisplayed" r:id="rId1"/>
  <headerFooter alignWithMargins="0">
    <oddFooter>&amp;L&amp;F&amp;C&amp;A&amp;R&amp;D&amp;T</oddFooter>
  </headerFooter>
  <customProperties>
    <customPr name="xxe4aPID" r:id="rId2"/>
  </customProperties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1">
    <tabColor rgb="FF00CC66"/>
    <pageSetUpPr fitToPage="1"/>
  </sheetPr>
  <dimension ref="A1:U1485"/>
  <sheetViews>
    <sheetView showGridLines="0" topLeftCell="A31" zoomScale="70" zoomScaleNormal="70" workbookViewId="0">
      <selection activeCell="G60" sqref="G60"/>
    </sheetView>
  </sheetViews>
  <sheetFormatPr defaultColWidth="16" defaultRowHeight="15"/>
  <cols>
    <col min="1" max="1" width="44.85546875" style="384" customWidth="1"/>
    <col min="2" max="2" width="25.5703125" style="384" customWidth="1"/>
    <col min="3" max="3" width="25.28515625" style="384" customWidth="1"/>
    <col min="4" max="4" width="2.7109375" style="30" customWidth="1"/>
    <col min="5" max="5" width="4.28515625" style="384" customWidth="1"/>
    <col min="6" max="6" width="26.7109375" style="384" customWidth="1"/>
    <col min="7" max="7" width="19" style="384" customWidth="1"/>
    <col min="8" max="8" width="22" style="384" customWidth="1"/>
    <col min="9" max="9" width="20.42578125" style="384" customWidth="1"/>
    <col min="10" max="10" width="26.28515625" style="384" customWidth="1"/>
    <col min="11" max="11" width="21.85546875" style="384" bestFit="1" customWidth="1"/>
    <col min="12" max="12" width="23.85546875" style="384" customWidth="1"/>
    <col min="13" max="13" width="20.85546875" style="384" bestFit="1" customWidth="1"/>
    <col min="14" max="15" width="16" style="384"/>
    <col min="16" max="16" width="16.28515625" style="384" bestFit="1" customWidth="1"/>
    <col min="17" max="16384" width="16" style="384"/>
  </cols>
  <sheetData>
    <row r="1" spans="1:13" ht="16.5" thickBot="1">
      <c r="A1" s="145" t="s">
        <v>64</v>
      </c>
      <c r="B1" s="29"/>
      <c r="C1" s="529">
        <f>May!C1+1</f>
        <v>201806</v>
      </c>
      <c r="F1" s="529">
        <f>C1</f>
        <v>201806</v>
      </c>
      <c r="G1" s="385"/>
      <c r="H1" s="162" t="s">
        <v>69</v>
      </c>
      <c r="I1" s="126" t="s">
        <v>3</v>
      </c>
      <c r="J1" s="126" t="s">
        <v>3</v>
      </c>
      <c r="K1" s="126" t="s">
        <v>66</v>
      </c>
      <c r="L1" s="126" t="s">
        <v>66</v>
      </c>
      <c r="M1" s="385"/>
    </row>
    <row r="2" spans="1:13" ht="15.75">
      <c r="C2" s="31"/>
      <c r="F2" s="385"/>
      <c r="G2" s="385"/>
      <c r="H2" s="163" t="s">
        <v>32</v>
      </c>
      <c r="I2" s="164" t="s">
        <v>65</v>
      </c>
      <c r="J2" s="164" t="s">
        <v>65</v>
      </c>
      <c r="K2" s="164" t="s">
        <v>67</v>
      </c>
      <c r="L2" s="164" t="s">
        <v>67</v>
      </c>
      <c r="M2" s="385"/>
    </row>
    <row r="3" spans="1:13" ht="16.5" thickBot="1">
      <c r="A3" s="63" t="s">
        <v>110</v>
      </c>
      <c r="C3" s="32"/>
      <c r="D3" s="33"/>
      <c r="F3" s="50" t="s">
        <v>72</v>
      </c>
      <c r="G3" s="385"/>
      <c r="H3" s="165" t="s">
        <v>68</v>
      </c>
      <c r="I3" s="165" t="s">
        <v>35</v>
      </c>
      <c r="J3" s="165" t="s">
        <v>63</v>
      </c>
      <c r="K3" s="165" t="s">
        <v>35</v>
      </c>
      <c r="L3" s="165" t="s">
        <v>63</v>
      </c>
      <c r="M3" s="385"/>
    </row>
    <row r="4" spans="1:13" ht="15.75">
      <c r="A4" s="385" t="s">
        <v>88</v>
      </c>
      <c r="C4" s="560">
        <f>4449796.09</f>
        <v>4449796.09</v>
      </c>
      <c r="D4" s="34"/>
      <c r="F4" s="385"/>
      <c r="G4" s="385"/>
      <c r="H4" s="11"/>
      <c r="I4" s="385"/>
      <c r="J4" s="385"/>
      <c r="L4" s="385"/>
      <c r="M4" s="385"/>
    </row>
    <row r="5" spans="1:13" ht="14.25" customHeight="1">
      <c r="A5" s="385" t="s">
        <v>31</v>
      </c>
      <c r="C5" s="560">
        <f>65499.83-6.51+2.96</f>
        <v>65496.28</v>
      </c>
      <c r="D5" s="34"/>
      <c r="F5" s="385"/>
      <c r="G5" s="385"/>
      <c r="H5" s="11"/>
      <c r="I5" s="594">
        <v>0.70530000000000004</v>
      </c>
      <c r="J5" s="594">
        <v>0.29470000000000002</v>
      </c>
      <c r="K5" s="445">
        <f>ROUND(G45/(G45+K43),4)</f>
        <v>0.6472</v>
      </c>
      <c r="L5" s="445">
        <f>1-K5</f>
        <v>0.3528</v>
      </c>
      <c r="M5" s="385"/>
    </row>
    <row r="6" spans="1:13" ht="16.5" thickBot="1">
      <c r="A6" s="49" t="s">
        <v>30</v>
      </c>
      <c r="C6" s="561">
        <f>-2267480.4-430500-123000-138375-79335-99088.8</f>
        <v>-3137779.1999999997</v>
      </c>
      <c r="D6" s="34"/>
      <c r="F6" s="385"/>
      <c r="G6" s="385"/>
      <c r="H6" s="385"/>
      <c r="I6" s="385"/>
      <c r="J6" s="385"/>
      <c r="K6" s="385"/>
      <c r="L6" s="385"/>
      <c r="M6" s="385"/>
    </row>
    <row r="7" spans="1:13" ht="16.5" thickBot="1">
      <c r="A7" s="66" t="s">
        <v>140</v>
      </c>
      <c r="C7" s="100">
        <f>SUM(C4:C6)</f>
        <v>1377513.1700000004</v>
      </c>
      <c r="D7" s="35"/>
      <c r="F7" s="166" t="s">
        <v>139</v>
      </c>
      <c r="G7" s="166"/>
      <c r="H7" s="125">
        <f>C34</f>
        <v>2182997.4600000004</v>
      </c>
      <c r="I7" s="167">
        <f>H7*I5</f>
        <v>1539668.1085380004</v>
      </c>
      <c r="J7" s="167">
        <f>H7*J5</f>
        <v>643329.35146200017</v>
      </c>
      <c r="K7" s="167"/>
      <c r="L7" s="167"/>
      <c r="M7" s="385"/>
    </row>
    <row r="8" spans="1:13" ht="15.75">
      <c r="A8" s="384" t="s">
        <v>89</v>
      </c>
      <c r="C8" s="560">
        <f>185334.94</f>
        <v>185334.94</v>
      </c>
      <c r="D8" s="35"/>
      <c r="F8" s="385"/>
      <c r="G8" s="385"/>
      <c r="H8" s="168"/>
      <c r="I8" s="168"/>
      <c r="J8" s="168"/>
      <c r="K8" s="168"/>
      <c r="L8" s="168"/>
      <c r="M8" s="385"/>
    </row>
    <row r="9" spans="1:13" ht="15.75">
      <c r="A9" s="385" t="s">
        <v>90</v>
      </c>
      <c r="C9" s="560">
        <f>4289.37</f>
        <v>4289.37</v>
      </c>
      <c r="D9" s="36"/>
      <c r="F9" s="166" t="s">
        <v>119</v>
      </c>
      <c r="G9" s="385"/>
      <c r="H9" s="167">
        <f>C56</f>
        <v>720702.23999999836</v>
      </c>
      <c r="I9" s="167"/>
      <c r="J9" s="167"/>
      <c r="K9" s="167">
        <f>H9*K5</f>
        <v>466438.48972799891</v>
      </c>
      <c r="L9" s="167">
        <f>H9*L5</f>
        <v>254263.75027199942</v>
      </c>
      <c r="M9" s="385"/>
    </row>
    <row r="10" spans="1:13" ht="15.75">
      <c r="A10" s="49" t="s">
        <v>91</v>
      </c>
      <c r="C10" s="561">
        <f>-3308.2</f>
        <v>-3308.2</v>
      </c>
      <c r="D10" s="36"/>
      <c r="F10" s="169" t="s">
        <v>44</v>
      </c>
      <c r="G10" s="385"/>
      <c r="H10" s="167">
        <f>C57</f>
        <v>94937.33</v>
      </c>
      <c r="I10" s="167"/>
      <c r="J10" s="167"/>
      <c r="K10" s="167">
        <f>H10</f>
        <v>94937.33</v>
      </c>
      <c r="L10" s="167"/>
      <c r="M10" s="385"/>
    </row>
    <row r="11" spans="1:13">
      <c r="A11" s="66" t="s">
        <v>145</v>
      </c>
      <c r="C11" s="100">
        <f>SUM(C8:C10)</f>
        <v>186316.11</v>
      </c>
      <c r="D11" s="36"/>
      <c r="F11" s="169" t="s">
        <v>45</v>
      </c>
      <c r="G11" s="385"/>
      <c r="H11" s="170">
        <f>C58</f>
        <v>44793.22</v>
      </c>
      <c r="I11" s="167"/>
      <c r="J11" s="167"/>
      <c r="K11" s="170"/>
      <c r="L11" s="170">
        <f>H11</f>
        <v>44793.22</v>
      </c>
      <c r="M11" s="385"/>
    </row>
    <row r="12" spans="1:13" ht="15.75">
      <c r="A12" s="384" t="s">
        <v>165</v>
      </c>
      <c r="C12" s="560">
        <f>183284.87+3233.85</f>
        <v>186518.72</v>
      </c>
      <c r="D12" s="36"/>
      <c r="F12" s="169" t="s">
        <v>138</v>
      </c>
      <c r="G12" s="385"/>
      <c r="H12" s="167">
        <f>H9+H10+H11</f>
        <v>860432.78999999829</v>
      </c>
      <c r="I12" s="167"/>
      <c r="J12" s="167"/>
      <c r="K12" s="167">
        <f>SUM(K9:K11)</f>
        <v>561375.81972799893</v>
      </c>
      <c r="L12" s="167">
        <f>SUM(L9:L11)</f>
        <v>299056.97027199942</v>
      </c>
      <c r="M12" s="385"/>
    </row>
    <row r="13" spans="1:13" ht="16.5" thickBot="1">
      <c r="A13" s="49" t="s">
        <v>166</v>
      </c>
      <c r="C13" s="555">
        <v>0</v>
      </c>
      <c r="D13" s="36"/>
      <c r="F13" s="171"/>
      <c r="G13" s="172"/>
      <c r="H13" s="173"/>
      <c r="I13" s="174"/>
      <c r="J13" s="173"/>
      <c r="K13" s="168"/>
      <c r="L13" s="173"/>
      <c r="M13" s="385"/>
    </row>
    <row r="14" spans="1:13" ht="16.5" thickBot="1">
      <c r="A14" s="66" t="s">
        <v>92</v>
      </c>
      <c r="C14" s="100">
        <f>SUM(C12:C13)</f>
        <v>186518.72</v>
      </c>
      <c r="D14" s="37"/>
      <c r="F14" s="50" t="s">
        <v>69</v>
      </c>
      <c r="G14" s="175"/>
      <c r="H14" s="125">
        <f>H12+H7</f>
        <v>3043430.2499999986</v>
      </c>
      <c r="I14" s="176">
        <f>SUM(I7:I13)</f>
        <v>1539668.1085380004</v>
      </c>
      <c r="J14" s="176">
        <f>SUM(J7:J13)</f>
        <v>643329.35146200017</v>
      </c>
      <c r="K14" s="176">
        <f>K12</f>
        <v>561375.81972799893</v>
      </c>
      <c r="L14" s="176">
        <f>L12</f>
        <v>299056.97027199942</v>
      </c>
      <c r="M14" s="385"/>
    </row>
    <row r="15" spans="1:13" ht="15.75">
      <c r="A15" s="384" t="s">
        <v>183</v>
      </c>
      <c r="C15" s="560">
        <f>428276.65+7983.61</f>
        <v>436260.26</v>
      </c>
      <c r="D15" s="36"/>
      <c r="F15" s="171"/>
      <c r="G15" s="172" t="s">
        <v>102</v>
      </c>
      <c r="H15" s="173">
        <f>H14-C61</f>
        <v>0</v>
      </c>
      <c r="I15" s="177"/>
      <c r="J15" s="173">
        <f>J7+I7-H7</f>
        <v>0</v>
      </c>
      <c r="K15" s="385"/>
      <c r="L15" s="173">
        <f>H12-K14-L14</f>
        <v>0</v>
      </c>
      <c r="M15" s="385"/>
    </row>
    <row r="16" spans="1:13" ht="15.75">
      <c r="A16" s="49" t="s">
        <v>184</v>
      </c>
      <c r="C16" s="555">
        <v>0</v>
      </c>
      <c r="D16" s="36"/>
      <c r="F16" s="178"/>
      <c r="G16" s="172"/>
      <c r="H16" s="179"/>
      <c r="I16" s="180"/>
      <c r="J16" s="179"/>
      <c r="K16" s="385"/>
      <c r="L16" s="179"/>
      <c r="M16" s="385"/>
    </row>
    <row r="17" spans="1:13" ht="15.75" thickBot="1">
      <c r="A17" s="66" t="s">
        <v>185</v>
      </c>
      <c r="C17" s="100">
        <f>SUM(C15:C16)</f>
        <v>436260.26</v>
      </c>
      <c r="D17" s="37"/>
      <c r="F17" s="171"/>
      <c r="G17" s="172"/>
      <c r="H17" s="179"/>
      <c r="I17" s="180"/>
      <c r="J17" s="183"/>
      <c r="K17" s="385"/>
      <c r="L17" s="179"/>
      <c r="M17" s="385"/>
    </row>
    <row r="18" spans="1:13" ht="16.5" thickBot="1">
      <c r="A18" s="384" t="s">
        <v>163</v>
      </c>
      <c r="C18" s="560">
        <f>62301.2+10030.8+806.32</f>
        <v>73138.320000000007</v>
      </c>
      <c r="D18" s="36"/>
      <c r="F18" s="646" t="s">
        <v>134</v>
      </c>
      <c r="G18" s="647"/>
      <c r="H18" s="647"/>
      <c r="I18" s="648"/>
      <c r="J18" s="646" t="s">
        <v>135</v>
      </c>
      <c r="K18" s="647"/>
      <c r="L18" s="647"/>
      <c r="M18" s="648"/>
    </row>
    <row r="19" spans="1:13" ht="15.75">
      <c r="A19" s="46" t="s">
        <v>164</v>
      </c>
      <c r="C19" s="555">
        <v>0</v>
      </c>
      <c r="D19" s="36"/>
      <c r="F19" s="201" t="s">
        <v>108</v>
      </c>
      <c r="G19" s="164" t="s">
        <v>33</v>
      </c>
      <c r="H19" s="164" t="s">
        <v>33</v>
      </c>
      <c r="I19" s="164" t="s">
        <v>33</v>
      </c>
      <c r="J19" s="201" t="s">
        <v>108</v>
      </c>
      <c r="K19" s="164" t="s">
        <v>33</v>
      </c>
      <c r="L19" s="164" t="s">
        <v>33</v>
      </c>
      <c r="M19" s="185" t="s">
        <v>33</v>
      </c>
    </row>
    <row r="20" spans="1:13" ht="16.5" thickBot="1">
      <c r="A20" s="67" t="s">
        <v>93</v>
      </c>
      <c r="C20" s="100">
        <f>SUM(C18:C19)</f>
        <v>73138.320000000007</v>
      </c>
      <c r="D20" s="36"/>
      <c r="F20" s="195" t="s">
        <v>162</v>
      </c>
      <c r="G20" s="165" t="s">
        <v>101</v>
      </c>
      <c r="H20" s="165" t="s">
        <v>36</v>
      </c>
      <c r="I20" s="165" t="s">
        <v>34</v>
      </c>
      <c r="J20" s="195" t="s">
        <v>162</v>
      </c>
      <c r="K20" s="165" t="s">
        <v>101</v>
      </c>
      <c r="L20" s="165" t="s">
        <v>36</v>
      </c>
      <c r="M20" s="165" t="s">
        <v>34</v>
      </c>
    </row>
    <row r="21" spans="1:13" ht="15.75">
      <c r="A21" s="46" t="s">
        <v>149</v>
      </c>
      <c r="C21" s="561">
        <f>1850+98.89</f>
        <v>1948.89</v>
      </c>
      <c r="D21" s="36"/>
      <c r="F21" s="184"/>
      <c r="G21" s="12"/>
      <c r="H21" s="12"/>
      <c r="I21" s="185"/>
      <c r="J21" s="129"/>
      <c r="K21" s="13"/>
      <c r="L21" s="13"/>
      <c r="M21" s="205"/>
    </row>
    <row r="22" spans="1:13" ht="18" customHeight="1">
      <c r="A22" s="65" t="s">
        <v>149</v>
      </c>
      <c r="C22" s="100">
        <f>SUM(C21)</f>
        <v>1948.89</v>
      </c>
      <c r="D22" s="36"/>
      <c r="F22" s="199" t="s">
        <v>126</v>
      </c>
      <c r="G22" s="7"/>
      <c r="H22" s="7"/>
      <c r="I22" s="98"/>
      <c r="J22" s="199" t="s">
        <v>126</v>
      </c>
      <c r="K22" s="7"/>
      <c r="L22" s="7"/>
      <c r="M22" s="98"/>
    </row>
    <row r="23" spans="1:13" ht="15.75">
      <c r="A23" s="208" t="s">
        <v>180</v>
      </c>
      <c r="C23" s="100">
        <v>0</v>
      </c>
      <c r="D23" s="36"/>
      <c r="F23" s="200" t="s">
        <v>37</v>
      </c>
      <c r="G23" s="562">
        <v>2542069</v>
      </c>
      <c r="H23" s="597">
        <v>0.12678</v>
      </c>
      <c r="I23" s="196">
        <f>G23*H23</f>
        <v>322283.50782</v>
      </c>
      <c r="J23" s="200" t="s">
        <v>37</v>
      </c>
      <c r="K23" s="562">
        <v>1233197</v>
      </c>
      <c r="L23" s="597">
        <v>0.11330999999999999</v>
      </c>
      <c r="M23" s="196">
        <f>K23*L23</f>
        <v>139733.55207000001</v>
      </c>
    </row>
    <row r="24" spans="1:13" ht="15.75">
      <c r="A24" s="208" t="s">
        <v>186</v>
      </c>
      <c r="C24" s="312">
        <v>0</v>
      </c>
      <c r="D24" s="36"/>
      <c r="F24" s="200" t="s">
        <v>305</v>
      </c>
      <c r="G24" s="562">
        <v>3619</v>
      </c>
      <c r="H24" s="597">
        <v>0.12678</v>
      </c>
      <c r="I24" s="196">
        <f t="shared" ref="I24:I31" si="0">G24*H24</f>
        <v>458.81682000000001</v>
      </c>
      <c r="J24" s="200" t="s">
        <v>38</v>
      </c>
      <c r="K24" s="562">
        <v>1319570</v>
      </c>
      <c r="L24" s="597">
        <v>0.11330999999999999</v>
      </c>
      <c r="M24" s="196">
        <f t="shared" ref="M24:M27" si="1">K24*L24</f>
        <v>149520.4767</v>
      </c>
    </row>
    <row r="25" spans="1:13" ht="15.75">
      <c r="A25" s="208" t="s">
        <v>189</v>
      </c>
      <c r="C25" s="314">
        <v>0</v>
      </c>
      <c r="D25" s="36"/>
      <c r="F25" s="200" t="s">
        <v>38</v>
      </c>
      <c r="G25" s="562">
        <v>1878375</v>
      </c>
      <c r="H25" s="597">
        <v>0.11865000000000001</v>
      </c>
      <c r="I25" s="196">
        <f t="shared" si="0"/>
        <v>222869.19375000001</v>
      </c>
      <c r="J25" s="200" t="s">
        <v>39</v>
      </c>
      <c r="K25" s="562">
        <v>55493</v>
      </c>
      <c r="L25" s="597">
        <v>0.11330999999999999</v>
      </c>
      <c r="M25" s="196">
        <f t="shared" si="1"/>
        <v>6287.91183</v>
      </c>
    </row>
    <row r="26" spans="1:13" ht="15.75">
      <c r="A26" s="209" t="s">
        <v>188</v>
      </c>
      <c r="C26" s="315">
        <v>0</v>
      </c>
      <c r="D26" s="36"/>
      <c r="F26" s="200" t="s">
        <v>39</v>
      </c>
      <c r="G26" s="562">
        <v>0</v>
      </c>
      <c r="H26" s="597">
        <v>0.11865000000000001</v>
      </c>
      <c r="I26" s="196">
        <f t="shared" si="0"/>
        <v>0</v>
      </c>
      <c r="J26" s="200" t="s">
        <v>40</v>
      </c>
      <c r="K26" s="562">
        <v>0</v>
      </c>
      <c r="L26" s="597">
        <v>0.11330999999999999</v>
      </c>
      <c r="M26" s="196">
        <f t="shared" si="1"/>
        <v>0</v>
      </c>
    </row>
    <row r="27" spans="1:13" ht="15.75">
      <c r="A27" s="65" t="s">
        <v>96</v>
      </c>
      <c r="C27" s="100">
        <f>SUM(C23:C26)</f>
        <v>0</v>
      </c>
      <c r="D27" s="36"/>
      <c r="F27" s="200" t="s">
        <v>40</v>
      </c>
      <c r="G27" s="562">
        <v>289055</v>
      </c>
      <c r="H27" s="597">
        <v>0.11541</v>
      </c>
      <c r="I27" s="196">
        <f t="shared" si="0"/>
        <v>33359.837549999997</v>
      </c>
      <c r="J27" s="200" t="s">
        <v>41</v>
      </c>
      <c r="K27" s="562">
        <v>0</v>
      </c>
      <c r="L27" s="597">
        <v>0.11330999999999999</v>
      </c>
      <c r="M27" s="196">
        <f t="shared" si="1"/>
        <v>0</v>
      </c>
    </row>
    <row r="28" spans="1:13" ht="16.5" thickBot="1">
      <c r="A28" s="210" t="s">
        <v>150</v>
      </c>
      <c r="C28" s="312">
        <v>0</v>
      </c>
      <c r="D28" s="37"/>
      <c r="F28" s="200" t="s">
        <v>41</v>
      </c>
      <c r="G28" s="562">
        <v>17666</v>
      </c>
      <c r="H28" s="597">
        <v>0.11541</v>
      </c>
      <c r="I28" s="196">
        <f t="shared" si="0"/>
        <v>2038.8330599999999</v>
      </c>
      <c r="J28" s="199" t="s">
        <v>127</v>
      </c>
      <c r="K28" s="181">
        <f>SUM(K23:K27)</f>
        <v>2608260</v>
      </c>
      <c r="L28" s="182"/>
      <c r="M28" s="197">
        <f>SUM(M23:M27)</f>
        <v>295541.94059999997</v>
      </c>
    </row>
    <row r="29" spans="1:13" ht="17.25" thickTop="1" thickBot="1">
      <c r="A29" s="210" t="s">
        <v>167</v>
      </c>
      <c r="B29" s="385"/>
      <c r="C29" s="312">
        <v>0</v>
      </c>
      <c r="D29" s="36"/>
      <c r="F29" s="200" t="s">
        <v>42</v>
      </c>
      <c r="G29" s="562">
        <v>0</v>
      </c>
      <c r="H29" s="597">
        <v>7.4310000000000001E-2</v>
      </c>
      <c r="I29" s="196">
        <f t="shared" si="0"/>
        <v>0</v>
      </c>
      <c r="J29" s="199"/>
      <c r="K29" s="231">
        <v>2608260</v>
      </c>
      <c r="L29" s="187" t="s">
        <v>102</v>
      </c>
      <c r="M29" s="465">
        <f>M28/K28</f>
        <v>0.11330999999999999</v>
      </c>
    </row>
    <row r="30" spans="1:13" ht="16.5" thickBot="1">
      <c r="A30" s="2" t="s">
        <v>111</v>
      </c>
      <c r="C30" s="125">
        <f>C7+C11+C14+C17+C20+C22+C27+C28+C29</f>
        <v>2261695.4700000002</v>
      </c>
      <c r="D30" s="37"/>
      <c r="F30" s="200" t="s">
        <v>43</v>
      </c>
      <c r="G30" s="562">
        <v>53882</v>
      </c>
      <c r="H30" s="597">
        <v>7.4310000000000001E-2</v>
      </c>
      <c r="I30" s="196">
        <f t="shared" si="0"/>
        <v>4003.9714199999999</v>
      </c>
      <c r="J30" s="200"/>
      <c r="K30" s="230">
        <f>K28-K29</f>
        <v>0</v>
      </c>
      <c r="L30" s="182"/>
      <c r="M30" s="198"/>
    </row>
    <row r="31" spans="1:13" ht="15.75">
      <c r="A31" s="384" t="s">
        <v>112</v>
      </c>
      <c r="C31" s="560">
        <f>-8912.36</f>
        <v>-8912.36</v>
      </c>
      <c r="D31" s="39"/>
      <c r="F31" s="200" t="s">
        <v>74</v>
      </c>
      <c r="G31" s="562">
        <v>2531843</v>
      </c>
      <c r="H31" s="597">
        <v>5.4000000000000001E-4</v>
      </c>
      <c r="I31" s="196">
        <f t="shared" si="0"/>
        <v>1367.1952200000001</v>
      </c>
      <c r="J31" s="153"/>
      <c r="K31" s="7"/>
      <c r="L31" s="182"/>
      <c r="M31" s="198"/>
    </row>
    <row r="32" spans="1:13" ht="16.5" thickBot="1">
      <c r="A32" s="2" t="s">
        <v>116</v>
      </c>
      <c r="B32" s="2" t="s">
        <v>117</v>
      </c>
      <c r="C32" s="239">
        <f>C30+C31</f>
        <v>2252783.1100000003</v>
      </c>
      <c r="D32" s="40"/>
      <c r="F32" s="199" t="s">
        <v>127</v>
      </c>
      <c r="G32" s="181">
        <f>SUM(G23:G31)</f>
        <v>7316509</v>
      </c>
      <c r="H32" s="7"/>
      <c r="I32" s="197">
        <f>SUM(I23:I31)</f>
        <v>586381.35563999985</v>
      </c>
      <c r="J32" s="192"/>
      <c r="K32" s="193"/>
      <c r="L32" s="7"/>
      <c r="M32" s="190"/>
    </row>
    <row r="33" spans="1:17" ht="17.25" thickTop="1" thickBot="1">
      <c r="A33" s="384" t="s">
        <v>113</v>
      </c>
      <c r="C33" s="311">
        <f>-C5-C9-C13-C16-C19</f>
        <v>-69785.649999999994</v>
      </c>
      <c r="D33" s="36"/>
      <c r="F33" s="186"/>
      <c r="G33" s="231">
        <v>7316509</v>
      </c>
      <c r="H33" s="187" t="s">
        <v>102</v>
      </c>
      <c r="I33" s="216">
        <f>I32/G32</f>
        <v>8.0144964714729372E-2</v>
      </c>
      <c r="J33" s="192"/>
      <c r="K33" s="193"/>
      <c r="L33" s="7"/>
      <c r="M33" s="98"/>
    </row>
    <row r="34" spans="1:17" ht="16.5" thickBot="1">
      <c r="A34" s="2" t="s">
        <v>114</v>
      </c>
      <c r="C34" s="125">
        <f>SUM(C32:C33)</f>
        <v>2182997.4600000004</v>
      </c>
      <c r="D34" s="36"/>
      <c r="F34" s="153"/>
      <c r="G34" s="230">
        <f>G32-G33</f>
        <v>0</v>
      </c>
      <c r="H34" s="7"/>
      <c r="I34" s="98"/>
      <c r="J34" s="192"/>
      <c r="K34" s="191"/>
      <c r="L34" s="7"/>
      <c r="M34" s="98"/>
    </row>
    <row r="35" spans="1:17" ht="18" customHeight="1">
      <c r="A35" s="2"/>
      <c r="C35" s="101"/>
      <c r="D35" s="36"/>
      <c r="F35" s="184"/>
      <c r="G35" s="12"/>
      <c r="H35" s="12"/>
      <c r="I35" s="185"/>
      <c r="J35" s="199" t="s">
        <v>128</v>
      </c>
      <c r="K35" s="644"/>
      <c r="L35" s="644"/>
      <c r="M35" s="645"/>
    </row>
    <row r="36" spans="1:17" ht="15.75">
      <c r="A36" s="16" t="s">
        <v>94</v>
      </c>
      <c r="B36" s="2"/>
      <c r="C36" s="100"/>
      <c r="D36" s="36"/>
      <c r="F36" s="199" t="s">
        <v>128</v>
      </c>
      <c r="G36" s="7"/>
      <c r="H36" s="7"/>
      <c r="I36" s="98"/>
      <c r="J36" s="200" t="s">
        <v>37</v>
      </c>
      <c r="K36" s="582">
        <f>K23</f>
        <v>1233197</v>
      </c>
      <c r="L36" s="597">
        <v>0.23895</v>
      </c>
      <c r="M36" s="196">
        <f t="shared" ref="M36:M42" si="2">K36*L36</f>
        <v>294672.42314999999</v>
      </c>
      <c r="P36" s="273"/>
      <c r="Q36" s="273"/>
    </row>
    <row r="37" spans="1:17" ht="15.75">
      <c r="A37" s="7" t="s">
        <v>129</v>
      </c>
      <c r="B37" s="532" t="s">
        <v>115</v>
      </c>
      <c r="C37" s="560">
        <v>9114751.2899999991</v>
      </c>
      <c r="D37" s="36"/>
      <c r="F37" s="200" t="s">
        <v>37</v>
      </c>
      <c r="G37" s="582">
        <f>G23</f>
        <v>2542069</v>
      </c>
      <c r="H37" s="597">
        <v>0.23860000000000001</v>
      </c>
      <c r="I37" s="196">
        <f t="shared" ref="I37:I44" si="3">G37*H37</f>
        <v>606537.66339999996</v>
      </c>
      <c r="J37" s="200" t="s">
        <v>38</v>
      </c>
      <c r="K37" s="582">
        <f>K24</f>
        <v>1319570</v>
      </c>
      <c r="L37" s="597">
        <v>0.23895</v>
      </c>
      <c r="M37" s="196">
        <f t="shared" si="2"/>
        <v>315311.25150000001</v>
      </c>
      <c r="P37" s="273"/>
      <c r="Q37" s="273"/>
    </row>
    <row r="38" spans="1:17" ht="15.75">
      <c r="A38" s="144" t="s">
        <v>14</v>
      </c>
      <c r="B38" s="532" t="s">
        <v>115</v>
      </c>
      <c r="C38" s="560">
        <v>0</v>
      </c>
      <c r="D38" s="36"/>
      <c r="F38" s="200" t="s">
        <v>305</v>
      </c>
      <c r="G38" s="582">
        <f>G24</f>
        <v>3619</v>
      </c>
      <c r="H38" s="597">
        <v>0.23860000000000001</v>
      </c>
      <c r="I38" s="196">
        <f t="shared" si="3"/>
        <v>863.49340000000007</v>
      </c>
      <c r="J38" s="200" t="s">
        <v>39</v>
      </c>
      <c r="K38" s="582">
        <f>K25</f>
        <v>55493</v>
      </c>
      <c r="L38" s="597">
        <v>0.23895</v>
      </c>
      <c r="M38" s="196">
        <f t="shared" si="2"/>
        <v>13260.05235</v>
      </c>
      <c r="P38" s="273"/>
      <c r="Q38" s="273"/>
    </row>
    <row r="39" spans="1:17" ht="15.75">
      <c r="A39" s="7" t="s">
        <v>146</v>
      </c>
      <c r="B39" s="532" t="s">
        <v>147</v>
      </c>
      <c r="C39" s="560">
        <v>-35272.519999999997</v>
      </c>
      <c r="D39" s="36"/>
      <c r="F39" s="200" t="s">
        <v>38</v>
      </c>
      <c r="G39" s="582">
        <f t="shared" ref="G39:G44" si="4">G25</f>
        <v>1878375</v>
      </c>
      <c r="H39" s="597">
        <v>0.23860000000000001</v>
      </c>
      <c r="I39" s="196">
        <f t="shared" si="3"/>
        <v>448180.27500000002</v>
      </c>
      <c r="J39" s="200" t="s">
        <v>40</v>
      </c>
      <c r="K39" s="582">
        <f>K26</f>
        <v>0</v>
      </c>
      <c r="L39" s="597">
        <v>0.23895</v>
      </c>
      <c r="M39" s="196">
        <f t="shared" si="2"/>
        <v>0</v>
      </c>
      <c r="P39" s="273"/>
      <c r="Q39" s="273"/>
    </row>
    <row r="40" spans="1:17" ht="15.75">
      <c r="A40" s="7" t="s">
        <v>131</v>
      </c>
      <c r="B40" s="532" t="s">
        <v>132</v>
      </c>
      <c r="C40" s="560">
        <v>-296417.55</v>
      </c>
      <c r="D40" s="36"/>
      <c r="F40" s="200" t="s">
        <v>39</v>
      </c>
      <c r="G40" s="582">
        <f t="shared" si="4"/>
        <v>0</v>
      </c>
      <c r="H40" s="597">
        <v>0.23860000000000001</v>
      </c>
      <c r="I40" s="196">
        <f t="shared" si="3"/>
        <v>0</v>
      </c>
      <c r="J40" s="200" t="s">
        <v>41</v>
      </c>
      <c r="K40" s="582">
        <f>K27</f>
        <v>0</v>
      </c>
      <c r="L40" s="597">
        <v>0.23895</v>
      </c>
      <c r="M40" s="196">
        <f t="shared" si="2"/>
        <v>0</v>
      </c>
      <c r="P40" s="273"/>
      <c r="Q40" s="273"/>
    </row>
    <row r="41" spans="1:17" ht="15.75">
      <c r="A41" s="7" t="s">
        <v>153</v>
      </c>
      <c r="B41" s="6" t="s">
        <v>155</v>
      </c>
      <c r="C41" s="560">
        <v>-76044.240000000005</v>
      </c>
      <c r="D41" s="36"/>
      <c r="F41" s="200" t="s">
        <v>40</v>
      </c>
      <c r="G41" s="582">
        <f t="shared" si="4"/>
        <v>289055</v>
      </c>
      <c r="H41" s="597">
        <v>0.23860000000000001</v>
      </c>
      <c r="I41" s="196">
        <f t="shared" si="3"/>
        <v>68968.523000000001</v>
      </c>
      <c r="J41" s="200" t="s">
        <v>42</v>
      </c>
      <c r="K41" s="562">
        <v>0</v>
      </c>
      <c r="L41" s="597">
        <v>0.23895</v>
      </c>
      <c r="M41" s="196">
        <f t="shared" si="2"/>
        <v>0</v>
      </c>
      <c r="P41" s="273"/>
      <c r="Q41" s="273"/>
    </row>
    <row r="42" spans="1:17" ht="16.5" thickBot="1">
      <c r="A42" s="7" t="s">
        <v>178</v>
      </c>
      <c r="B42" s="532" t="s">
        <v>179</v>
      </c>
      <c r="C42" s="560">
        <v>978495.27</v>
      </c>
      <c r="D42" s="37"/>
      <c r="F42" s="200" t="s">
        <v>41</v>
      </c>
      <c r="G42" s="582">
        <f t="shared" si="4"/>
        <v>17666</v>
      </c>
      <c r="H42" s="597">
        <v>0.23860000000000001</v>
      </c>
      <c r="I42" s="196">
        <f t="shared" si="3"/>
        <v>4215.1076000000003</v>
      </c>
      <c r="J42" s="200" t="s">
        <v>43</v>
      </c>
      <c r="K42" s="583">
        <v>0</v>
      </c>
      <c r="L42" s="597">
        <v>0.23895</v>
      </c>
      <c r="M42" s="196">
        <f t="shared" si="2"/>
        <v>0</v>
      </c>
      <c r="P42" s="273"/>
      <c r="Q42" s="273"/>
    </row>
    <row r="43" spans="1:17" ht="16.5" thickBot="1">
      <c r="A43" s="85" t="s">
        <v>123</v>
      </c>
      <c r="B43" s="12"/>
      <c r="C43" s="125">
        <f>SUM(C37:C42)</f>
        <v>9685512.2499999981</v>
      </c>
      <c r="D43" s="36"/>
      <c r="F43" s="200" t="s">
        <v>42</v>
      </c>
      <c r="G43" s="582">
        <f t="shared" si="4"/>
        <v>0</v>
      </c>
      <c r="H43" s="597">
        <v>0.23860000000000001</v>
      </c>
      <c r="I43" s="196">
        <f t="shared" si="3"/>
        <v>0</v>
      </c>
      <c r="J43" s="199" t="s">
        <v>133</v>
      </c>
      <c r="K43" s="181">
        <f>SUM(K36:K42)</f>
        <v>2608260</v>
      </c>
      <c r="L43" s="182"/>
      <c r="M43" s="197">
        <f>SUM(M36:M42)</f>
        <v>623243.72699999996</v>
      </c>
    </row>
    <row r="44" spans="1:17" ht="16.5" thickBot="1">
      <c r="A44" s="83" t="s">
        <v>177</v>
      </c>
      <c r="B44" s="84" t="s">
        <v>120</v>
      </c>
      <c r="C44" s="560">
        <f>-4479530.18+1084985.05+10055.88</f>
        <v>-3384489.25</v>
      </c>
      <c r="D44" s="37"/>
      <c r="F44" s="200" t="s">
        <v>43</v>
      </c>
      <c r="G44" s="582">
        <f t="shared" si="4"/>
        <v>53882</v>
      </c>
      <c r="H44" s="597">
        <v>0.23860000000000001</v>
      </c>
      <c r="I44" s="196">
        <f t="shared" si="3"/>
        <v>12856.245200000001</v>
      </c>
      <c r="J44" s="194"/>
      <c r="K44" s="232">
        <v>2608260</v>
      </c>
      <c r="L44" s="189" t="s">
        <v>102</v>
      </c>
      <c r="M44" s="217">
        <f>M43/K43</f>
        <v>0.23895</v>
      </c>
    </row>
    <row r="45" spans="1:17" ht="16.5" thickBot="1">
      <c r="A45" s="211" t="s">
        <v>168</v>
      </c>
      <c r="B45" s="6" t="s">
        <v>115</v>
      </c>
      <c r="C45" s="122">
        <v>0</v>
      </c>
      <c r="D45" s="39"/>
      <c r="F45" s="199" t="s">
        <v>133</v>
      </c>
      <c r="G45" s="181">
        <f>SUM(G37:G44)</f>
        <v>4784666</v>
      </c>
      <c r="H45" s="182"/>
      <c r="I45" s="197">
        <f>SUM(I37:I44)</f>
        <v>1141621.3075999999</v>
      </c>
      <c r="J45" s="85"/>
      <c r="K45" s="231"/>
      <c r="L45" s="187"/>
      <c r="M45" s="556"/>
    </row>
    <row r="46" spans="1:17" ht="19.5" customHeight="1" thickTop="1" thickBot="1">
      <c r="A46" s="144" t="s">
        <v>169</v>
      </c>
      <c r="B46" s="6" t="s">
        <v>115</v>
      </c>
      <c r="C46" s="122">
        <v>0</v>
      </c>
      <c r="D46" s="40"/>
      <c r="F46" s="188"/>
      <c r="G46" s="232">
        <v>4784666</v>
      </c>
      <c r="H46" s="189" t="s">
        <v>102</v>
      </c>
      <c r="I46" s="215">
        <f>I45/G45</f>
        <v>0.23859999999999998</v>
      </c>
      <c r="J46" s="85"/>
      <c r="K46" s="231"/>
      <c r="L46" s="187"/>
      <c r="M46" s="556"/>
    </row>
    <row r="47" spans="1:17" ht="19.5" customHeight="1">
      <c r="A47" s="384" t="s">
        <v>137</v>
      </c>
      <c r="B47" s="6" t="s">
        <v>115</v>
      </c>
      <c r="C47" s="560">
        <v>21755.06</v>
      </c>
      <c r="D47" s="36"/>
      <c r="F47" s="385"/>
      <c r="G47" s="230">
        <f>G45-G46</f>
        <v>0</v>
      </c>
      <c r="H47" s="385"/>
      <c r="I47" s="385"/>
      <c r="J47" s="124"/>
      <c r="K47" s="230">
        <f>K43-K44</f>
        <v>0</v>
      </c>
      <c r="L47" s="385"/>
      <c r="M47" s="124"/>
    </row>
    <row r="48" spans="1:17" ht="16.5" thickBot="1">
      <c r="A48" s="144" t="s">
        <v>304</v>
      </c>
      <c r="B48" s="6" t="s">
        <v>115</v>
      </c>
      <c r="C48" s="560">
        <v>7000</v>
      </c>
      <c r="D48" s="36"/>
      <c r="F48" s="385"/>
      <c r="G48" s="385"/>
      <c r="H48" s="385"/>
      <c r="I48" s="385"/>
      <c r="J48" s="124"/>
      <c r="K48" s="114"/>
      <c r="L48" s="385"/>
      <c r="M48" s="68"/>
    </row>
    <row r="49" spans="1:21" ht="15.75">
      <c r="A49" s="7" t="s">
        <v>130</v>
      </c>
      <c r="B49" s="532" t="s">
        <v>152</v>
      </c>
      <c r="C49" s="560">
        <v>20134.36</v>
      </c>
      <c r="D49" s="36"/>
      <c r="F49" s="385"/>
      <c r="G49" s="114"/>
      <c r="H49" s="129" t="s">
        <v>35</v>
      </c>
      <c r="I49" s="13" t="s">
        <v>35</v>
      </c>
      <c r="J49" s="13" t="s">
        <v>63</v>
      </c>
      <c r="K49" s="127" t="s">
        <v>70</v>
      </c>
      <c r="L49" s="124"/>
      <c r="M49" s="385"/>
    </row>
    <row r="50" spans="1:21" ht="16.5" thickBot="1">
      <c r="A50" s="7" t="s">
        <v>222</v>
      </c>
      <c r="B50" s="532" t="s">
        <v>152</v>
      </c>
      <c r="C50" s="560">
        <v>1106.52</v>
      </c>
      <c r="D50" s="37"/>
      <c r="F50" s="50" t="s">
        <v>73</v>
      </c>
      <c r="G50" s="385"/>
      <c r="H50" s="130" t="s">
        <v>2</v>
      </c>
      <c r="I50" s="131" t="s">
        <v>3</v>
      </c>
      <c r="J50" s="131" t="s">
        <v>2</v>
      </c>
      <c r="K50" s="128" t="s">
        <v>3</v>
      </c>
      <c r="L50" s="385"/>
      <c r="M50" s="385"/>
    </row>
    <row r="51" spans="1:21" ht="15.75">
      <c r="A51" s="7" t="s">
        <v>308</v>
      </c>
      <c r="B51" s="532" t="s">
        <v>152</v>
      </c>
      <c r="C51" s="560">
        <v>6943.44</v>
      </c>
      <c r="D51" s="36"/>
      <c r="F51" s="385"/>
      <c r="G51" s="385"/>
      <c r="H51" s="151"/>
      <c r="I51" s="152"/>
      <c r="J51" s="152"/>
      <c r="K51" s="152"/>
      <c r="L51" s="126" t="s">
        <v>103</v>
      </c>
      <c r="M51" s="385"/>
    </row>
    <row r="52" spans="1:21" ht="15.75">
      <c r="A52" s="169" t="s">
        <v>118</v>
      </c>
      <c r="B52" s="604"/>
      <c r="C52" s="581">
        <f>-C33</f>
        <v>69785.649999999994</v>
      </c>
      <c r="D52" s="33"/>
      <c r="F52" s="385" t="s">
        <v>136</v>
      </c>
      <c r="G52" s="385"/>
      <c r="H52" s="212">
        <f>K12</f>
        <v>561375.81972799893</v>
      </c>
      <c r="I52" s="115">
        <f>I14</f>
        <v>1539668.1085380004</v>
      </c>
      <c r="J52" s="115">
        <f>L12</f>
        <v>299056.97027199942</v>
      </c>
      <c r="K52" s="115">
        <f>J14</f>
        <v>643329.35146200017</v>
      </c>
      <c r="L52" s="132">
        <f>SUM(H52:K52)</f>
        <v>3043430.2499999986</v>
      </c>
      <c r="M52" s="385"/>
    </row>
    <row r="53" spans="1:21" ht="16.5" thickBot="1">
      <c r="A53" s="385" t="s">
        <v>315</v>
      </c>
      <c r="B53" s="603" t="s">
        <v>316</v>
      </c>
      <c r="C53" s="560">
        <v>15372.09</v>
      </c>
      <c r="D53" s="33"/>
      <c r="F53" s="384" t="s">
        <v>109</v>
      </c>
      <c r="H53" s="212">
        <f>-I45</f>
        <v>-1141621.3075999999</v>
      </c>
      <c r="I53" s="115">
        <f>-I32</f>
        <v>-586381.35563999985</v>
      </c>
      <c r="J53" s="115">
        <f>-M43</f>
        <v>-623243.72699999996</v>
      </c>
      <c r="K53" s="115">
        <f>-M28</f>
        <v>-295541.94059999997</v>
      </c>
      <c r="L53" s="261">
        <f>SUM(H53:K53)</f>
        <v>-2646788.3308399995</v>
      </c>
    </row>
    <row r="54" spans="1:21" ht="16.5" thickBot="1">
      <c r="A54" s="382" t="s">
        <v>124</v>
      </c>
      <c r="B54" s="473" t="s">
        <v>296</v>
      </c>
      <c r="C54" s="560">
        <f>150582.75-3901605.45-1596395.18</f>
        <v>-5347417.88</v>
      </c>
      <c r="D54" s="36"/>
      <c r="F54" s="384" t="s">
        <v>86</v>
      </c>
      <c r="H54" s="234">
        <v>0</v>
      </c>
      <c r="I54" s="235">
        <v>0</v>
      </c>
      <c r="J54" s="235">
        <v>0</v>
      </c>
      <c r="K54" s="236">
        <v>0</v>
      </c>
      <c r="L54" s="214">
        <f>SUM(L52:L53)</f>
        <v>396641.91915999912</v>
      </c>
    </row>
    <row r="55" spans="1:21" ht="16.5" thickBot="1">
      <c r="A55" s="384" t="s">
        <v>312</v>
      </c>
      <c r="B55" s="6" t="s">
        <v>190</v>
      </c>
      <c r="C55" s="560">
        <v>-375000</v>
      </c>
      <c r="D55" s="36"/>
      <c r="F55" s="384" t="s">
        <v>71</v>
      </c>
      <c r="H55" s="125">
        <f>IFERROR(H52+H53+H54,0)</f>
        <v>-580245.48787200102</v>
      </c>
      <c r="I55" s="125">
        <f>I52+I53+I54</f>
        <v>953286.75289800053</v>
      </c>
      <c r="J55" s="125">
        <f>IFERROR(J52+J53+J54,0)</f>
        <v>-324186.75672800053</v>
      </c>
      <c r="K55" s="125">
        <f>K52+K53+K54</f>
        <v>347787.41086200019</v>
      </c>
      <c r="L55" s="47">
        <f>SUM(H55:K55)</f>
        <v>396641.91915999918</v>
      </c>
    </row>
    <row r="56" spans="1:21" ht="16.5" thickBot="1">
      <c r="A56" s="82" t="s">
        <v>119</v>
      </c>
      <c r="B56" s="84"/>
      <c r="C56" s="160">
        <f>SUM(C43:C55)</f>
        <v>720702.23999999836</v>
      </c>
      <c r="D56" s="36"/>
      <c r="F56" s="240" t="s">
        <v>181</v>
      </c>
      <c r="H56" s="384" t="s">
        <v>173</v>
      </c>
      <c r="I56" s="5">
        <f>SUM(H55:I55)</f>
        <v>373041.26502599951</v>
      </c>
      <c r="J56" s="15" t="s">
        <v>174</v>
      </c>
      <c r="K56" s="384">
        <f>SUM(J55:K55)</f>
        <v>23600.654133999662</v>
      </c>
      <c r="L56" s="213">
        <f>ROUND(L54-L55,3)</f>
        <v>0</v>
      </c>
      <c r="T56" s="42"/>
    </row>
    <row r="57" spans="1:21" ht="16.5" thickTop="1">
      <c r="A57" s="384" t="s">
        <v>121</v>
      </c>
      <c r="B57" s="6" t="s">
        <v>115</v>
      </c>
      <c r="C57" s="560">
        <v>94937.33</v>
      </c>
      <c r="D57" s="36"/>
      <c r="F57" s="397"/>
      <c r="H57" s="96"/>
    </row>
    <row r="58" spans="1:21" ht="16.5" thickBot="1">
      <c r="A58" s="384" t="s">
        <v>122</v>
      </c>
      <c r="B58" s="6" t="s">
        <v>115</v>
      </c>
      <c r="C58" s="560">
        <v>44793.22</v>
      </c>
      <c r="D58" s="36"/>
      <c r="F58" s="397"/>
      <c r="H58" s="157"/>
      <c r="I58" s="120"/>
      <c r="J58" s="120"/>
      <c r="K58" s="204"/>
      <c r="L58" s="120"/>
    </row>
    <row r="59" spans="1:21" ht="16.5" thickBot="1">
      <c r="A59" s="2" t="s">
        <v>125</v>
      </c>
      <c r="B59" s="2"/>
      <c r="C59" s="160">
        <f>SUM(C56:C58)</f>
        <v>860432.78999999829</v>
      </c>
      <c r="D59" s="36"/>
      <c r="F59" s="543"/>
      <c r="G59" s="544" t="str">
        <f>IF(OR(AND(I56&gt;0,K56&gt;0),AND(I56&lt;0,K56&lt;0)),"OK","ERROR")</f>
        <v>OK</v>
      </c>
      <c r="H59" s="386" t="s">
        <v>294</v>
      </c>
      <c r="I59" s="387"/>
    </row>
    <row r="60" spans="1:21" ht="17.25" thickTop="1" thickBot="1">
      <c r="A60" s="2"/>
      <c r="C60" s="101"/>
      <c r="D60" s="36"/>
      <c r="H60" s="318" t="s">
        <v>175</v>
      </c>
      <c r="I60" s="319" t="s">
        <v>176</v>
      </c>
      <c r="J60" s="5"/>
    </row>
    <row r="61" spans="1:21" ht="16.5" thickBot="1">
      <c r="A61" s="9"/>
      <c r="B61" s="9" t="s">
        <v>95</v>
      </c>
      <c r="C61" s="125">
        <f>C59+C34</f>
        <v>3043430.2499999986</v>
      </c>
      <c r="D61" s="36"/>
      <c r="H61" s="349" t="e">
        <f>SUM(#REF!,#REF!,#REF!,#REF!,#REF!,#REF!)</f>
        <v>#REF!</v>
      </c>
      <c r="I61" s="449" t="e">
        <f>SUM(#REF!,#REF!,#REF!,#REF!,#REF!,#REF!)</f>
        <v>#REF!</v>
      </c>
      <c r="J61" s="384">
        <f>H53+I53+J53+K53</f>
        <v>-2646788.3308399995</v>
      </c>
    </row>
    <row r="62" spans="1:21" ht="15.75">
      <c r="A62" s="2"/>
      <c r="B62" s="9" t="s">
        <v>160</v>
      </c>
      <c r="C62" s="559">
        <v>3043430.25</v>
      </c>
      <c r="D62" s="37"/>
      <c r="G62" s="5"/>
      <c r="I62" s="338" t="e">
        <f>H61-I61</f>
        <v>#REF!</v>
      </c>
      <c r="N62" s="5"/>
      <c r="O62" s="5"/>
      <c r="P62" s="21"/>
    </row>
    <row r="63" spans="1:21" ht="15.75">
      <c r="A63" s="9"/>
      <c r="B63" s="9" t="s">
        <v>159</v>
      </c>
      <c r="C63" s="257">
        <f>ROUND(C61-C62,2)</f>
        <v>0</v>
      </c>
      <c r="S63" s="6"/>
    </row>
    <row r="64" spans="1:21" ht="15.75">
      <c r="A64" s="44"/>
      <c r="C64" s="351"/>
      <c r="D64" s="36"/>
      <c r="N64" s="22"/>
      <c r="U64" s="2"/>
    </row>
    <row r="65" spans="1:21" ht="15.75">
      <c r="A65" s="44"/>
      <c r="C65" s="8"/>
      <c r="D65" s="43"/>
      <c r="N65" s="22"/>
      <c r="S65" s="23"/>
    </row>
    <row r="66" spans="1:21" ht="15.75">
      <c r="A66" s="2"/>
      <c r="C66" s="8"/>
      <c r="D66" s="36"/>
      <c r="N66" s="22"/>
      <c r="S66" s="24"/>
    </row>
    <row r="67" spans="1:21">
      <c r="C67" s="100"/>
      <c r="D67" s="36"/>
      <c r="N67" s="22"/>
      <c r="S67" s="25"/>
    </row>
    <row r="68" spans="1:21">
      <c r="D68" s="36"/>
      <c r="N68" s="22"/>
      <c r="S68" s="24"/>
    </row>
    <row r="69" spans="1:21">
      <c r="D69" s="36"/>
      <c r="N69" s="22"/>
    </row>
    <row r="70" spans="1:21">
      <c r="D70" s="37"/>
      <c r="N70" s="22"/>
      <c r="S70" s="26"/>
    </row>
    <row r="71" spans="1:21">
      <c r="D71" s="36"/>
    </row>
    <row r="72" spans="1:21">
      <c r="D72" s="36"/>
    </row>
    <row r="73" spans="1:21">
      <c r="D73" s="36"/>
      <c r="S73" s="27"/>
    </row>
    <row r="74" spans="1:21">
      <c r="D74" s="45"/>
      <c r="R74" s="6"/>
      <c r="S74" s="6"/>
      <c r="T74" s="6"/>
    </row>
    <row r="76" spans="1:21">
      <c r="U76" s="28"/>
    </row>
    <row r="1477" spans="3:3">
      <c r="C1477" s="384">
        <v>-2130</v>
      </c>
    </row>
    <row r="1485" spans="3:3">
      <c r="C1485" s="384">
        <f>7004298-2130</f>
        <v>7002168</v>
      </c>
    </row>
  </sheetData>
  <mergeCells count="3">
    <mergeCell ref="F18:I18"/>
    <mergeCell ref="J18:M18"/>
    <mergeCell ref="K35:M35"/>
  </mergeCells>
  <conditionalFormatting sqref="C63 L56 I62">
    <cfRule type="cellIs" dxfId="254" priority="7" stopIfTrue="1" operator="equal">
      <formula>0</formula>
    </cfRule>
    <cfRule type="cellIs" dxfId="253" priority="8" stopIfTrue="1" operator="notEqual">
      <formula>0</formula>
    </cfRule>
  </conditionalFormatting>
  <conditionalFormatting sqref="G34 G47 K30 K47">
    <cfRule type="cellIs" dxfId="252" priority="6" operator="notEqual">
      <formula>0</formula>
    </cfRule>
  </conditionalFormatting>
  <conditionalFormatting sqref="C63">
    <cfRule type="cellIs" dxfId="251" priority="4" stopIfTrue="1" operator="equal">
      <formula>0</formula>
    </cfRule>
    <cfRule type="cellIs" dxfId="250" priority="5" stopIfTrue="1" operator="notEqual">
      <formula>0</formula>
    </cfRule>
  </conditionalFormatting>
  <conditionalFormatting sqref="K30">
    <cfRule type="cellIs" dxfId="249" priority="3" operator="notEqual">
      <formula>0</formula>
    </cfRule>
  </conditionalFormatting>
  <conditionalFormatting sqref="G59">
    <cfRule type="cellIs" dxfId="248" priority="2" operator="equal">
      <formula>"ERROR"</formula>
    </cfRule>
  </conditionalFormatting>
  <conditionalFormatting sqref="G59">
    <cfRule type="cellIs" dxfId="247" priority="1" operator="equal">
      <formula>"ERROR"</formula>
    </cfRule>
  </conditionalFormatting>
  <printOptions verticalCentered="1" gridLinesSet="0"/>
  <pageMargins left="0.5" right="0" top="0.25" bottom="0.5" header="0" footer="0.25"/>
  <pageSetup scale="47" orientation="landscape" cellComments="asDisplayed" r:id="rId1"/>
  <headerFooter alignWithMargins="0">
    <oddFooter>&amp;L&amp;F&amp;C&amp;A&amp;R&amp;D&amp;T</oddFooter>
  </headerFooter>
  <customProperties>
    <customPr name="xxe4aPID" r:id="rId2"/>
  </customProperties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2">
    <tabColor rgb="FF00CC66"/>
    <pageSetUpPr fitToPage="1"/>
  </sheetPr>
  <dimension ref="A1:U1485"/>
  <sheetViews>
    <sheetView showGridLines="0" topLeftCell="A43" zoomScale="70" zoomScaleNormal="70" workbookViewId="0">
      <selection activeCell="G60" sqref="G60"/>
    </sheetView>
  </sheetViews>
  <sheetFormatPr defaultColWidth="16" defaultRowHeight="15"/>
  <cols>
    <col min="1" max="1" width="44.85546875" style="384" customWidth="1"/>
    <col min="2" max="2" width="25.5703125" style="384" customWidth="1"/>
    <col min="3" max="3" width="25.28515625" style="384" customWidth="1"/>
    <col min="4" max="4" width="2.7109375" style="30" customWidth="1"/>
    <col min="5" max="5" width="4.28515625" style="384" customWidth="1"/>
    <col min="6" max="6" width="26.7109375" style="384" customWidth="1"/>
    <col min="7" max="7" width="19" style="384" customWidth="1"/>
    <col min="8" max="8" width="22" style="384" customWidth="1"/>
    <col min="9" max="9" width="20.42578125" style="384" customWidth="1"/>
    <col min="10" max="10" width="26.28515625" style="384" customWidth="1"/>
    <col min="11" max="11" width="21.85546875" style="384" bestFit="1" customWidth="1"/>
    <col min="12" max="12" width="23.85546875" style="384" customWidth="1"/>
    <col min="13" max="13" width="20.85546875" style="384" bestFit="1" customWidth="1"/>
    <col min="14" max="15" width="16" style="384"/>
    <col min="16" max="16" width="16.28515625" style="384" bestFit="1" customWidth="1"/>
    <col min="17" max="16384" width="16" style="384"/>
  </cols>
  <sheetData>
    <row r="1" spans="1:13" ht="16.5" thickBot="1">
      <c r="A1" s="145" t="s">
        <v>64</v>
      </c>
      <c r="B1" s="29"/>
      <c r="C1" s="529">
        <f>Jun!C1+1</f>
        <v>201807</v>
      </c>
      <c r="F1" s="529">
        <f>C1</f>
        <v>201807</v>
      </c>
      <c r="G1" s="385"/>
      <c r="H1" s="162" t="s">
        <v>69</v>
      </c>
      <c r="I1" s="126" t="s">
        <v>3</v>
      </c>
      <c r="J1" s="126" t="s">
        <v>3</v>
      </c>
      <c r="K1" s="126" t="s">
        <v>66</v>
      </c>
      <c r="L1" s="126" t="s">
        <v>66</v>
      </c>
      <c r="M1" s="385"/>
    </row>
    <row r="2" spans="1:13" ht="15.75">
      <c r="C2" s="31"/>
      <c r="F2" s="385"/>
      <c r="G2" s="385"/>
      <c r="H2" s="163" t="s">
        <v>32</v>
      </c>
      <c r="I2" s="164" t="s">
        <v>65</v>
      </c>
      <c r="J2" s="164" t="s">
        <v>65</v>
      </c>
      <c r="K2" s="164" t="s">
        <v>67</v>
      </c>
      <c r="L2" s="164" t="s">
        <v>67</v>
      </c>
      <c r="M2" s="385"/>
    </row>
    <row r="3" spans="1:13" ht="16.5" thickBot="1">
      <c r="A3" s="63" t="s">
        <v>110</v>
      </c>
      <c r="C3" s="32"/>
      <c r="D3" s="33"/>
      <c r="F3" s="50" t="s">
        <v>72</v>
      </c>
      <c r="G3" s="385"/>
      <c r="H3" s="165" t="s">
        <v>68</v>
      </c>
      <c r="I3" s="165" t="s">
        <v>35</v>
      </c>
      <c r="J3" s="165" t="s">
        <v>63</v>
      </c>
      <c r="K3" s="165" t="s">
        <v>35</v>
      </c>
      <c r="L3" s="165" t="s">
        <v>63</v>
      </c>
      <c r="M3" s="385"/>
    </row>
    <row r="4" spans="1:13" ht="15.75">
      <c r="A4" s="385" t="s">
        <v>88</v>
      </c>
      <c r="C4" s="560">
        <f>4598122.63</f>
        <v>4598122.63</v>
      </c>
      <c r="D4" s="34"/>
      <c r="F4" s="385"/>
      <c r="G4" s="385"/>
      <c r="H4" s="11"/>
      <c r="I4" s="385"/>
      <c r="J4" s="385"/>
      <c r="L4" s="385"/>
      <c r="M4" s="385"/>
    </row>
    <row r="5" spans="1:13" ht="14.25" customHeight="1">
      <c r="A5" s="385" t="s">
        <v>31</v>
      </c>
      <c r="C5" s="560">
        <f>44463.08-6.51</f>
        <v>44456.57</v>
      </c>
      <c r="D5" s="34"/>
      <c r="F5" s="385"/>
      <c r="G5" s="385"/>
      <c r="H5" s="11"/>
      <c r="I5" s="594">
        <v>0.70530000000000004</v>
      </c>
      <c r="J5" s="594">
        <v>0.29470000000000002</v>
      </c>
      <c r="K5" s="445">
        <f>ROUND(G45/(G45+K43),4)</f>
        <v>0.65149999999999997</v>
      </c>
      <c r="L5" s="445">
        <f>1-K5</f>
        <v>0.34850000000000003</v>
      </c>
      <c r="M5" s="385"/>
    </row>
    <row r="6" spans="1:13" ht="16.5" thickBot="1">
      <c r="A6" s="49" t="s">
        <v>30</v>
      </c>
      <c r="C6" s="561">
        <f>-2343063.08-444850-127100-142987.5-81979.5-102391.76</f>
        <v>-3242371.84</v>
      </c>
      <c r="D6" s="34"/>
      <c r="F6" s="385"/>
      <c r="G6" s="385"/>
      <c r="H6" s="385"/>
      <c r="I6" s="385"/>
      <c r="J6" s="385"/>
      <c r="K6" s="385"/>
      <c r="L6" s="385"/>
      <c r="M6" s="385"/>
    </row>
    <row r="7" spans="1:13" ht="16.5" thickBot="1">
      <c r="A7" s="66" t="s">
        <v>140</v>
      </c>
      <c r="C7" s="100">
        <f>SUM(C4:C6)</f>
        <v>1400207.3600000003</v>
      </c>
      <c r="D7" s="35"/>
      <c r="F7" s="166" t="s">
        <v>139</v>
      </c>
      <c r="G7" s="166"/>
      <c r="H7" s="125">
        <f>C34</f>
        <v>2278810.6300000004</v>
      </c>
      <c r="I7" s="167">
        <f>H7*I5</f>
        <v>1607245.1373390004</v>
      </c>
      <c r="J7" s="167">
        <f>H7*J5</f>
        <v>671565.49266100011</v>
      </c>
      <c r="K7" s="167"/>
      <c r="L7" s="167"/>
      <c r="M7" s="385"/>
    </row>
    <row r="8" spans="1:13" ht="15.75">
      <c r="A8" s="384" t="s">
        <v>89</v>
      </c>
      <c r="C8" s="560">
        <f>191512.75</f>
        <v>191512.75</v>
      </c>
      <c r="D8" s="35"/>
      <c r="F8" s="385"/>
      <c r="G8" s="385"/>
      <c r="H8" s="168"/>
      <c r="I8" s="168"/>
      <c r="J8" s="168"/>
      <c r="K8" s="168"/>
      <c r="L8" s="168"/>
      <c r="M8" s="385"/>
    </row>
    <row r="9" spans="1:13" ht="15.75">
      <c r="A9" s="385" t="s">
        <v>90</v>
      </c>
      <c r="C9" s="560">
        <f>6176.25</f>
        <v>6176.25</v>
      </c>
      <c r="D9" s="36"/>
      <c r="F9" s="166" t="s">
        <v>119</v>
      </c>
      <c r="G9" s="385"/>
      <c r="H9" s="167">
        <f>C56</f>
        <v>-1976290.3600000013</v>
      </c>
      <c r="I9" s="167"/>
      <c r="J9" s="167"/>
      <c r="K9" s="167">
        <f>H9*K5</f>
        <v>-1287553.1695400008</v>
      </c>
      <c r="L9" s="167">
        <f>H9*L5</f>
        <v>-688737.19046000054</v>
      </c>
      <c r="M9" s="385"/>
    </row>
    <row r="10" spans="1:13" ht="15.75">
      <c r="A10" s="49" t="s">
        <v>91</v>
      </c>
      <c r="C10" s="561">
        <f>-3418.47</f>
        <v>-3418.47</v>
      </c>
      <c r="D10" s="36"/>
      <c r="F10" s="169" t="s">
        <v>44</v>
      </c>
      <c r="G10" s="385"/>
      <c r="H10" s="167">
        <f>C57</f>
        <v>1710.99</v>
      </c>
      <c r="I10" s="167"/>
      <c r="J10" s="167"/>
      <c r="K10" s="167">
        <f>H10</f>
        <v>1710.99</v>
      </c>
      <c r="L10" s="167"/>
      <c r="M10" s="385"/>
    </row>
    <row r="11" spans="1:13">
      <c r="A11" s="66" t="s">
        <v>145</v>
      </c>
      <c r="C11" s="100">
        <f>SUM(C8:C10)</f>
        <v>194270.53</v>
      </c>
      <c r="D11" s="36"/>
      <c r="F11" s="169" t="s">
        <v>45</v>
      </c>
      <c r="G11" s="385"/>
      <c r="H11" s="170">
        <f>C58</f>
        <v>465.53</v>
      </c>
      <c r="I11" s="167"/>
      <c r="J11" s="167"/>
      <c r="K11" s="170"/>
      <c r="L11" s="170">
        <f>H11</f>
        <v>465.53</v>
      </c>
      <c r="M11" s="385"/>
    </row>
    <row r="12" spans="1:13" ht="15.75">
      <c r="A12" s="384" t="s">
        <v>165</v>
      </c>
      <c r="C12" s="560">
        <f>190672.32+5805.69</f>
        <v>196478.01</v>
      </c>
      <c r="D12" s="36"/>
      <c r="F12" s="169" t="s">
        <v>138</v>
      </c>
      <c r="G12" s="385"/>
      <c r="H12" s="167">
        <f>H9+H10+H11</f>
        <v>-1974113.8400000012</v>
      </c>
      <c r="I12" s="167"/>
      <c r="J12" s="167"/>
      <c r="K12" s="167">
        <f>SUM(K9:K11)</f>
        <v>-1285842.1795400009</v>
      </c>
      <c r="L12" s="167">
        <f>SUM(L9:L11)</f>
        <v>-688271.66046000051</v>
      </c>
      <c r="M12" s="385"/>
    </row>
    <row r="13" spans="1:13" ht="16.5" thickBot="1">
      <c r="A13" s="49" t="s">
        <v>166</v>
      </c>
      <c r="C13" s="555">
        <v>0</v>
      </c>
      <c r="D13" s="36"/>
      <c r="F13" s="171"/>
      <c r="G13" s="172"/>
      <c r="H13" s="173"/>
      <c r="I13" s="174"/>
      <c r="J13" s="173"/>
      <c r="K13" s="168"/>
      <c r="L13" s="173"/>
      <c r="M13" s="385"/>
    </row>
    <row r="14" spans="1:13" ht="16.5" thickBot="1">
      <c r="A14" s="66" t="s">
        <v>92</v>
      </c>
      <c r="C14" s="100">
        <f>SUM(C12:C13)</f>
        <v>196478.01</v>
      </c>
      <c r="D14" s="37"/>
      <c r="F14" s="50" t="s">
        <v>69</v>
      </c>
      <c r="G14" s="175"/>
      <c r="H14" s="125">
        <f>H12+H7</f>
        <v>304696.78999999911</v>
      </c>
      <c r="I14" s="176">
        <f>SUM(I7:I13)</f>
        <v>1607245.1373390004</v>
      </c>
      <c r="J14" s="176">
        <f>SUM(J7:J13)</f>
        <v>671565.49266100011</v>
      </c>
      <c r="K14" s="176">
        <f>K12</f>
        <v>-1285842.1795400009</v>
      </c>
      <c r="L14" s="176">
        <f>L12</f>
        <v>-688271.66046000051</v>
      </c>
      <c r="M14" s="385"/>
    </row>
    <row r="15" spans="1:13" ht="15.75">
      <c r="A15" s="384" t="s">
        <v>183</v>
      </c>
      <c r="C15" s="560">
        <f>445538.71+13565.99</f>
        <v>459104.7</v>
      </c>
      <c r="D15" s="36"/>
      <c r="F15" s="171"/>
      <c r="G15" s="172" t="s">
        <v>102</v>
      </c>
      <c r="H15" s="173">
        <f>H14-C61</f>
        <v>0</v>
      </c>
      <c r="I15" s="177"/>
      <c r="J15" s="173">
        <f>J7+I7-H7</f>
        <v>0</v>
      </c>
      <c r="K15" s="385"/>
      <c r="L15" s="173">
        <f>H12-K14-L14</f>
        <v>0</v>
      </c>
      <c r="M15" s="385"/>
    </row>
    <row r="16" spans="1:13" ht="15.75">
      <c r="A16" s="49" t="s">
        <v>184</v>
      </c>
      <c r="C16" s="555">
        <v>0</v>
      </c>
      <c r="D16" s="36"/>
      <c r="F16" s="178"/>
      <c r="G16" s="172"/>
      <c r="H16" s="179"/>
      <c r="I16" s="180"/>
      <c r="J16" s="179"/>
      <c r="K16" s="385"/>
      <c r="L16" s="179"/>
      <c r="M16" s="385"/>
    </row>
    <row r="17" spans="1:13" ht="15.75" thickBot="1">
      <c r="A17" s="66" t="s">
        <v>185</v>
      </c>
      <c r="C17" s="100">
        <f>SUM(C15:C16)</f>
        <v>459104.7</v>
      </c>
      <c r="D17" s="37"/>
      <c r="F17" s="171"/>
      <c r="G17" s="172"/>
      <c r="H17" s="179"/>
      <c r="I17" s="180"/>
      <c r="J17" s="183"/>
      <c r="K17" s="385"/>
      <c r="L17" s="179"/>
      <c r="M17" s="385"/>
    </row>
    <row r="18" spans="1:13" ht="16.5" thickBot="1">
      <c r="A18" s="384" t="s">
        <v>163</v>
      </c>
      <c r="C18" s="560">
        <f>2285.45+64812.3+10435.1</f>
        <v>77532.850000000006</v>
      </c>
      <c r="D18" s="36"/>
      <c r="F18" s="646" t="s">
        <v>134</v>
      </c>
      <c r="G18" s="647"/>
      <c r="H18" s="647"/>
      <c r="I18" s="648"/>
      <c r="J18" s="646" t="s">
        <v>135</v>
      </c>
      <c r="K18" s="647"/>
      <c r="L18" s="647"/>
      <c r="M18" s="648"/>
    </row>
    <row r="19" spans="1:13" ht="15.75">
      <c r="A19" s="46" t="s">
        <v>164</v>
      </c>
      <c r="C19" s="561">
        <f>-7861.34</f>
        <v>-7861.34</v>
      </c>
      <c r="D19" s="36"/>
      <c r="F19" s="201" t="s">
        <v>108</v>
      </c>
      <c r="G19" s="164" t="s">
        <v>33</v>
      </c>
      <c r="H19" s="164" t="s">
        <v>33</v>
      </c>
      <c r="I19" s="164" t="s">
        <v>33</v>
      </c>
      <c r="J19" s="201" t="s">
        <v>108</v>
      </c>
      <c r="K19" s="164" t="s">
        <v>33</v>
      </c>
      <c r="L19" s="164" t="s">
        <v>33</v>
      </c>
      <c r="M19" s="185" t="s">
        <v>33</v>
      </c>
    </row>
    <row r="20" spans="1:13" ht="16.5" thickBot="1">
      <c r="A20" s="67" t="s">
        <v>93</v>
      </c>
      <c r="C20" s="100">
        <f>SUM(C18:C19)</f>
        <v>69671.510000000009</v>
      </c>
      <c r="D20" s="36"/>
      <c r="F20" s="195" t="s">
        <v>162</v>
      </c>
      <c r="G20" s="165" t="s">
        <v>101</v>
      </c>
      <c r="H20" s="165" t="s">
        <v>36</v>
      </c>
      <c r="I20" s="165" t="s">
        <v>34</v>
      </c>
      <c r="J20" s="195" t="s">
        <v>162</v>
      </c>
      <c r="K20" s="165" t="s">
        <v>101</v>
      </c>
      <c r="L20" s="165" t="s">
        <v>36</v>
      </c>
      <c r="M20" s="165" t="s">
        <v>34</v>
      </c>
    </row>
    <row r="21" spans="1:13" ht="15.75">
      <c r="A21" s="46" t="s">
        <v>149</v>
      </c>
      <c r="C21" s="561">
        <f>1850</f>
        <v>1850</v>
      </c>
      <c r="D21" s="36"/>
      <c r="F21" s="184"/>
      <c r="G21" s="12"/>
      <c r="H21" s="12"/>
      <c r="I21" s="185"/>
      <c r="J21" s="129"/>
      <c r="K21" s="13"/>
      <c r="L21" s="13"/>
      <c r="M21" s="205"/>
    </row>
    <row r="22" spans="1:13" ht="18" customHeight="1">
      <c r="A22" s="65" t="s">
        <v>149</v>
      </c>
      <c r="C22" s="100">
        <f>SUM(C21)</f>
        <v>1850</v>
      </c>
      <c r="D22" s="36"/>
      <c r="F22" s="199" t="s">
        <v>126</v>
      </c>
      <c r="G22" s="7"/>
      <c r="H22" s="7"/>
      <c r="I22" s="98"/>
      <c r="J22" s="199" t="s">
        <v>126</v>
      </c>
      <c r="K22" s="7"/>
      <c r="L22" s="7"/>
      <c r="M22" s="98"/>
    </row>
    <row r="23" spans="1:13" ht="15.75">
      <c r="A23" s="208" t="s">
        <v>180</v>
      </c>
      <c r="C23" s="100">
        <v>0</v>
      </c>
      <c r="D23" s="36"/>
      <c r="F23" s="200" t="s">
        <v>37</v>
      </c>
      <c r="G23" s="562">
        <v>2070483</v>
      </c>
      <c r="H23" s="597">
        <v>0.12678</v>
      </c>
      <c r="I23" s="196">
        <f t="shared" ref="I23:I31" si="0">G23*H23</f>
        <v>262495.83474000002</v>
      </c>
      <c r="J23" s="200" t="s">
        <v>37</v>
      </c>
      <c r="K23" s="562">
        <v>1087844</v>
      </c>
      <c r="L23" s="597">
        <v>0.11330999999999999</v>
      </c>
      <c r="M23" s="196">
        <f>K23*L23</f>
        <v>123263.60363999999</v>
      </c>
    </row>
    <row r="24" spans="1:13" ht="15.75">
      <c r="A24" s="208" t="s">
        <v>186</v>
      </c>
      <c r="C24" s="122">
        <v>0</v>
      </c>
      <c r="D24" s="36"/>
      <c r="F24" s="200" t="s">
        <v>305</v>
      </c>
      <c r="G24" s="562">
        <v>2296</v>
      </c>
      <c r="H24" s="597">
        <v>0.12678</v>
      </c>
      <c r="I24" s="196">
        <f t="shared" si="0"/>
        <v>291.08688000000001</v>
      </c>
      <c r="J24" s="200" t="s">
        <v>38</v>
      </c>
      <c r="K24" s="562">
        <v>931171</v>
      </c>
      <c r="L24" s="597">
        <v>0.11330999999999999</v>
      </c>
      <c r="M24" s="196">
        <f t="shared" ref="M24:M27" si="1">K24*L24</f>
        <v>105510.98600999999</v>
      </c>
    </row>
    <row r="25" spans="1:13" ht="15.75">
      <c r="A25" s="208" t="s">
        <v>189</v>
      </c>
      <c r="C25" s="314">
        <v>0</v>
      </c>
      <c r="D25" s="36"/>
      <c r="F25" s="200" t="s">
        <v>38</v>
      </c>
      <c r="G25" s="562">
        <v>1446879</v>
      </c>
      <c r="H25" s="597">
        <v>0.11865000000000001</v>
      </c>
      <c r="I25" s="196">
        <f t="shared" si="0"/>
        <v>171672.19335000002</v>
      </c>
      <c r="J25" s="200" t="s">
        <v>39</v>
      </c>
      <c r="K25" s="562">
        <v>70834</v>
      </c>
      <c r="L25" s="597">
        <v>0.11330999999999999</v>
      </c>
      <c r="M25" s="196">
        <f t="shared" si="1"/>
        <v>8026.2005399999998</v>
      </c>
    </row>
    <row r="26" spans="1:13" ht="15.75">
      <c r="A26" s="209" t="s">
        <v>188</v>
      </c>
      <c r="C26" s="315">
        <v>0</v>
      </c>
      <c r="D26" s="36"/>
      <c r="F26" s="200" t="s">
        <v>39</v>
      </c>
      <c r="G26" s="562">
        <v>0</v>
      </c>
      <c r="H26" s="597">
        <v>0.11865000000000001</v>
      </c>
      <c r="I26" s="196">
        <f t="shared" si="0"/>
        <v>0</v>
      </c>
      <c r="J26" s="200" t="s">
        <v>40</v>
      </c>
      <c r="K26" s="562">
        <v>0</v>
      </c>
      <c r="L26" s="597">
        <v>0.11330999999999999</v>
      </c>
      <c r="M26" s="196">
        <f t="shared" si="1"/>
        <v>0</v>
      </c>
    </row>
    <row r="27" spans="1:13" ht="15.75">
      <c r="A27" s="65" t="s">
        <v>96</v>
      </c>
      <c r="C27" s="100">
        <f>SUM(C23:C26)</f>
        <v>0</v>
      </c>
      <c r="D27" s="36"/>
      <c r="F27" s="200" t="s">
        <v>40</v>
      </c>
      <c r="G27" s="562">
        <v>274504</v>
      </c>
      <c r="H27" s="597">
        <v>0.11541</v>
      </c>
      <c r="I27" s="196">
        <f t="shared" si="0"/>
        <v>31680.50664</v>
      </c>
      <c r="J27" s="200" t="s">
        <v>41</v>
      </c>
      <c r="K27" s="562">
        <v>0</v>
      </c>
      <c r="L27" s="597">
        <v>0.11330999999999999</v>
      </c>
      <c r="M27" s="196">
        <f t="shared" si="1"/>
        <v>0</v>
      </c>
    </row>
    <row r="28" spans="1:13" ht="16.5" thickBot="1">
      <c r="A28" s="210" t="s">
        <v>150</v>
      </c>
      <c r="C28" s="312">
        <v>0</v>
      </c>
      <c r="D28" s="37"/>
      <c r="F28" s="200" t="s">
        <v>41</v>
      </c>
      <c r="G28" s="562">
        <v>44343</v>
      </c>
      <c r="H28" s="597">
        <v>0.11541</v>
      </c>
      <c r="I28" s="196">
        <f t="shared" si="0"/>
        <v>5117.6256299999995</v>
      </c>
      <c r="J28" s="199" t="s">
        <v>127</v>
      </c>
      <c r="K28" s="181">
        <f>SUM(K23:K27)</f>
        <v>2089849</v>
      </c>
      <c r="L28" s="182"/>
      <c r="M28" s="197">
        <f>SUM(M23:M27)</f>
        <v>236800.79018999997</v>
      </c>
    </row>
    <row r="29" spans="1:13" ht="17.25" thickTop="1" thickBot="1">
      <c r="A29" s="210" t="s">
        <v>167</v>
      </c>
      <c r="B29" s="385"/>
      <c r="C29" s="312">
        <v>0</v>
      </c>
      <c r="D29" s="36"/>
      <c r="F29" s="200" t="s">
        <v>42</v>
      </c>
      <c r="G29" s="562">
        <v>0</v>
      </c>
      <c r="H29" s="597">
        <v>7.4310000000000001E-2</v>
      </c>
      <c r="I29" s="196">
        <f t="shared" si="0"/>
        <v>0</v>
      </c>
      <c r="J29" s="199"/>
      <c r="K29" s="231">
        <v>2089849</v>
      </c>
      <c r="L29" s="187" t="s">
        <v>102</v>
      </c>
      <c r="M29" s="465">
        <f>M28/K28</f>
        <v>0.11330999999999998</v>
      </c>
    </row>
    <row r="30" spans="1:13" ht="16.5" thickBot="1">
      <c r="A30" s="2" t="s">
        <v>111</v>
      </c>
      <c r="C30" s="125">
        <f>C7+C11+C14+C17+C20+C22+C27+C28+C29</f>
        <v>2321582.1100000003</v>
      </c>
      <c r="D30" s="37"/>
      <c r="F30" s="200" t="s">
        <v>43</v>
      </c>
      <c r="G30" s="562">
        <v>67673</v>
      </c>
      <c r="H30" s="597">
        <v>7.4310000000000001E-2</v>
      </c>
      <c r="I30" s="196">
        <f t="shared" si="0"/>
        <v>5028.7806300000002</v>
      </c>
      <c r="J30" s="200"/>
      <c r="K30" s="230">
        <f>K28-K29</f>
        <v>0</v>
      </c>
      <c r="L30" s="182"/>
      <c r="M30" s="198"/>
    </row>
    <row r="31" spans="1:13" ht="15.75">
      <c r="A31" s="384" t="s">
        <v>112</v>
      </c>
      <c r="C31" s="560">
        <v>0</v>
      </c>
      <c r="D31" s="39"/>
      <c r="F31" s="200" t="s">
        <v>74</v>
      </c>
      <c r="G31" s="562">
        <v>2144434</v>
      </c>
      <c r="H31" s="597">
        <v>5.4000000000000001E-4</v>
      </c>
      <c r="I31" s="196">
        <f t="shared" si="0"/>
        <v>1157.9943599999999</v>
      </c>
      <c r="J31" s="153"/>
      <c r="K31" s="7"/>
      <c r="L31" s="182"/>
      <c r="M31" s="198"/>
    </row>
    <row r="32" spans="1:13" ht="16.5" thickBot="1">
      <c r="A32" s="2" t="s">
        <v>116</v>
      </c>
      <c r="B32" s="2" t="s">
        <v>117</v>
      </c>
      <c r="C32" s="567">
        <f>C30+C31</f>
        <v>2321582.1100000003</v>
      </c>
      <c r="D32" s="40"/>
      <c r="F32" s="199" t="s">
        <v>127</v>
      </c>
      <c r="G32" s="181">
        <f>SUM(G23:G31)</f>
        <v>6050612</v>
      </c>
      <c r="H32" s="7"/>
      <c r="I32" s="197">
        <f>SUM(I23:I31)</f>
        <v>477444.02223000006</v>
      </c>
      <c r="J32" s="192"/>
      <c r="K32" s="193"/>
      <c r="L32" s="7"/>
      <c r="M32" s="190"/>
    </row>
    <row r="33" spans="1:17" ht="17.25" thickTop="1" thickBot="1">
      <c r="A33" s="384" t="s">
        <v>113</v>
      </c>
      <c r="C33" s="311">
        <f>-C5-C9-C13-C16-C19</f>
        <v>-42771.479999999996</v>
      </c>
      <c r="D33" s="36"/>
      <c r="F33" s="186"/>
      <c r="G33" s="231">
        <v>6050612</v>
      </c>
      <c r="H33" s="187" t="s">
        <v>102</v>
      </c>
      <c r="I33" s="216">
        <f>I32/G32</f>
        <v>7.8908385173268439E-2</v>
      </c>
      <c r="J33" s="192"/>
      <c r="K33" s="193"/>
      <c r="L33" s="7"/>
      <c r="M33" s="98"/>
    </row>
    <row r="34" spans="1:17" ht="16.5" thickBot="1">
      <c r="A34" s="2" t="s">
        <v>114</v>
      </c>
      <c r="C34" s="125">
        <f>SUM(C32:C33)</f>
        <v>2278810.6300000004</v>
      </c>
      <c r="D34" s="36"/>
      <c r="F34" s="153"/>
      <c r="G34" s="230">
        <f>G32-G33</f>
        <v>0</v>
      </c>
      <c r="H34" s="7"/>
      <c r="I34" s="98"/>
      <c r="J34" s="192"/>
      <c r="K34" s="191"/>
      <c r="L34" s="7"/>
      <c r="M34" s="98"/>
    </row>
    <row r="35" spans="1:17" ht="18" customHeight="1">
      <c r="A35" s="2"/>
      <c r="C35" s="101"/>
      <c r="D35" s="36"/>
      <c r="F35" s="184"/>
      <c r="G35" s="12"/>
      <c r="H35" s="12"/>
      <c r="I35" s="185"/>
      <c r="J35" s="199" t="s">
        <v>128</v>
      </c>
      <c r="K35" s="644"/>
      <c r="L35" s="644"/>
      <c r="M35" s="645"/>
    </row>
    <row r="36" spans="1:17" ht="15.75">
      <c r="A36" s="16" t="s">
        <v>94</v>
      </c>
      <c r="B36" s="2"/>
      <c r="C36" s="100"/>
      <c r="D36" s="36"/>
      <c r="F36" s="199" t="s">
        <v>128</v>
      </c>
      <c r="G36" s="7"/>
      <c r="H36" s="7"/>
      <c r="I36" s="98"/>
      <c r="J36" s="200" t="s">
        <v>37</v>
      </c>
      <c r="K36" s="582">
        <f>K23</f>
        <v>1087844</v>
      </c>
      <c r="L36" s="597">
        <v>0.23895</v>
      </c>
      <c r="M36" s="196">
        <f t="shared" ref="M36:M42" si="2">K36*L36</f>
        <v>259940.32379999998</v>
      </c>
      <c r="P36" s="273"/>
      <c r="Q36" s="273"/>
    </row>
    <row r="37" spans="1:17" ht="15.75">
      <c r="A37" s="7" t="s">
        <v>129</v>
      </c>
      <c r="B37" s="532" t="s">
        <v>115</v>
      </c>
      <c r="C37" s="560">
        <v>8310205.4500000002</v>
      </c>
      <c r="D37" s="36"/>
      <c r="F37" s="200" t="s">
        <v>37</v>
      </c>
      <c r="G37" s="582">
        <f>G23</f>
        <v>2070483</v>
      </c>
      <c r="H37" s="597">
        <v>0.23860000000000001</v>
      </c>
      <c r="I37" s="196">
        <f t="shared" ref="I37:I44" si="3">G37*H37</f>
        <v>494017.2438</v>
      </c>
      <c r="J37" s="200" t="s">
        <v>38</v>
      </c>
      <c r="K37" s="582">
        <f>K24</f>
        <v>931171</v>
      </c>
      <c r="L37" s="597">
        <v>0.23895</v>
      </c>
      <c r="M37" s="196">
        <f t="shared" si="2"/>
        <v>222503.31044999999</v>
      </c>
      <c r="P37" s="273"/>
      <c r="Q37" s="273"/>
    </row>
    <row r="38" spans="1:17" ht="15.75">
      <c r="A38" s="144" t="s">
        <v>14</v>
      </c>
      <c r="B38" s="532" t="s">
        <v>115</v>
      </c>
      <c r="C38" s="122">
        <v>0</v>
      </c>
      <c r="D38" s="36"/>
      <c r="F38" s="200" t="s">
        <v>305</v>
      </c>
      <c r="G38" s="582">
        <f>G24</f>
        <v>2296</v>
      </c>
      <c r="H38" s="597">
        <v>0.23860000000000001</v>
      </c>
      <c r="I38" s="196">
        <f t="shared" si="3"/>
        <v>547.82560000000001</v>
      </c>
      <c r="J38" s="200" t="s">
        <v>39</v>
      </c>
      <c r="K38" s="582">
        <f>K25</f>
        <v>70834</v>
      </c>
      <c r="L38" s="597">
        <v>0.23895</v>
      </c>
      <c r="M38" s="196">
        <f t="shared" si="2"/>
        <v>16925.784299999999</v>
      </c>
      <c r="P38" s="273"/>
      <c r="Q38" s="273"/>
    </row>
    <row r="39" spans="1:17" ht="15.75">
      <c r="A39" s="7" t="s">
        <v>146</v>
      </c>
      <c r="B39" s="532" t="s">
        <v>147</v>
      </c>
      <c r="C39" s="560">
        <v>-1156.3399999999999</v>
      </c>
      <c r="D39" s="36"/>
      <c r="F39" s="200" t="s">
        <v>38</v>
      </c>
      <c r="G39" s="582">
        <f t="shared" ref="G39:G44" si="4">G25</f>
        <v>1446879</v>
      </c>
      <c r="H39" s="597">
        <v>0.23860000000000001</v>
      </c>
      <c r="I39" s="196">
        <f t="shared" si="3"/>
        <v>345225.32939999999</v>
      </c>
      <c r="J39" s="200" t="s">
        <v>40</v>
      </c>
      <c r="K39" s="582">
        <f>K26</f>
        <v>0</v>
      </c>
      <c r="L39" s="597">
        <v>0.23895</v>
      </c>
      <c r="M39" s="196">
        <f t="shared" si="2"/>
        <v>0</v>
      </c>
      <c r="P39" s="273"/>
      <c r="Q39" s="273"/>
    </row>
    <row r="40" spans="1:17" ht="15.75">
      <c r="A40" s="7" t="s">
        <v>131</v>
      </c>
      <c r="B40" s="532" t="s">
        <v>132</v>
      </c>
      <c r="C40" s="560">
        <v>261096.29</v>
      </c>
      <c r="D40" s="36"/>
      <c r="F40" s="200" t="s">
        <v>39</v>
      </c>
      <c r="G40" s="582">
        <f t="shared" si="4"/>
        <v>0</v>
      </c>
      <c r="H40" s="597">
        <v>0.23860000000000001</v>
      </c>
      <c r="I40" s="196">
        <f t="shared" si="3"/>
        <v>0</v>
      </c>
      <c r="J40" s="200" t="s">
        <v>41</v>
      </c>
      <c r="K40" s="582">
        <f>K27</f>
        <v>0</v>
      </c>
      <c r="L40" s="597">
        <v>0.23895</v>
      </c>
      <c r="M40" s="196">
        <f t="shared" si="2"/>
        <v>0</v>
      </c>
      <c r="P40" s="273"/>
      <c r="Q40" s="273"/>
    </row>
    <row r="41" spans="1:17" ht="15.75">
      <c r="A41" s="7" t="s">
        <v>153</v>
      </c>
      <c r="B41" s="6" t="s">
        <v>155</v>
      </c>
      <c r="C41" s="560">
        <v>21511.93</v>
      </c>
      <c r="D41" s="36"/>
      <c r="F41" s="200" t="s">
        <v>40</v>
      </c>
      <c r="G41" s="582">
        <f t="shared" si="4"/>
        <v>274504</v>
      </c>
      <c r="H41" s="597">
        <v>0.23860000000000001</v>
      </c>
      <c r="I41" s="196">
        <f t="shared" si="3"/>
        <v>65496.654399999999</v>
      </c>
      <c r="J41" s="200" t="s">
        <v>42</v>
      </c>
      <c r="K41" s="562">
        <v>0</v>
      </c>
      <c r="L41" s="597">
        <v>0.23895</v>
      </c>
      <c r="M41" s="196">
        <f t="shared" si="2"/>
        <v>0</v>
      </c>
      <c r="P41" s="273"/>
      <c r="Q41" s="273"/>
    </row>
    <row r="42" spans="1:17" ht="16.5" thickBot="1">
      <c r="A42" s="7" t="s">
        <v>178</v>
      </c>
      <c r="B42" s="532" t="s">
        <v>179</v>
      </c>
      <c r="C42" s="560">
        <v>371821.59</v>
      </c>
      <c r="D42" s="37"/>
      <c r="F42" s="200" t="s">
        <v>41</v>
      </c>
      <c r="G42" s="582">
        <f t="shared" si="4"/>
        <v>44343</v>
      </c>
      <c r="H42" s="597">
        <v>0.23860000000000001</v>
      </c>
      <c r="I42" s="196">
        <f t="shared" si="3"/>
        <v>10580.239800000001</v>
      </c>
      <c r="J42" s="200" t="s">
        <v>43</v>
      </c>
      <c r="K42" s="583">
        <v>0</v>
      </c>
      <c r="L42" s="597">
        <v>0.23895</v>
      </c>
      <c r="M42" s="196">
        <f t="shared" si="2"/>
        <v>0</v>
      </c>
      <c r="P42" s="273"/>
      <c r="Q42" s="273"/>
    </row>
    <row r="43" spans="1:17" ht="16.5" thickBot="1">
      <c r="A43" s="85" t="s">
        <v>123</v>
      </c>
      <c r="B43" s="12"/>
      <c r="C43" s="125">
        <f>SUM(C37:C42)</f>
        <v>8963478.9199999999</v>
      </c>
      <c r="D43" s="36"/>
      <c r="F43" s="200" t="s">
        <v>42</v>
      </c>
      <c r="G43" s="582">
        <f t="shared" si="4"/>
        <v>0</v>
      </c>
      <c r="H43" s="597">
        <v>0.23860000000000001</v>
      </c>
      <c r="I43" s="196">
        <f t="shared" si="3"/>
        <v>0</v>
      </c>
      <c r="J43" s="199" t="s">
        <v>133</v>
      </c>
      <c r="K43" s="181">
        <f>SUM(K36:K42)</f>
        <v>2089849</v>
      </c>
      <c r="L43" s="182"/>
      <c r="M43" s="197">
        <f>SUM(M36:M42)</f>
        <v>499369.41855</v>
      </c>
    </row>
    <row r="44" spans="1:17" ht="16.5" thickBot="1">
      <c r="A44" s="83" t="s">
        <v>177</v>
      </c>
      <c r="B44" s="84" t="s">
        <v>120</v>
      </c>
      <c r="C44" s="560">
        <f>-1579802.39+1125281.72-364.1+266.04</f>
        <v>-454618.72999999992</v>
      </c>
      <c r="D44" s="37"/>
      <c r="F44" s="200" t="s">
        <v>43</v>
      </c>
      <c r="G44" s="582">
        <f t="shared" si="4"/>
        <v>67673</v>
      </c>
      <c r="H44" s="597">
        <v>0.23860000000000001</v>
      </c>
      <c r="I44" s="196">
        <f t="shared" si="3"/>
        <v>16146.7778</v>
      </c>
      <c r="J44" s="194"/>
      <c r="K44" s="232">
        <v>2089849</v>
      </c>
      <c r="L44" s="189" t="s">
        <v>102</v>
      </c>
      <c r="M44" s="217">
        <f>M43/K43</f>
        <v>0.23895</v>
      </c>
    </row>
    <row r="45" spans="1:17" ht="16.5" thickBot="1">
      <c r="A45" s="211" t="s">
        <v>168</v>
      </c>
      <c r="B45" s="6" t="s">
        <v>115</v>
      </c>
      <c r="C45" s="122">
        <v>0</v>
      </c>
      <c r="D45" s="39"/>
      <c r="F45" s="199" t="s">
        <v>133</v>
      </c>
      <c r="G45" s="181">
        <f>SUM(G37:G44)</f>
        <v>3906178</v>
      </c>
      <c r="H45" s="182"/>
      <c r="I45" s="197">
        <f>SUM(I37:I44)</f>
        <v>932014.07079999999</v>
      </c>
      <c r="J45" s="85"/>
      <c r="K45" s="231"/>
      <c r="L45" s="187"/>
      <c r="M45" s="556"/>
    </row>
    <row r="46" spans="1:17" ht="19.5" customHeight="1" thickTop="1" thickBot="1">
      <c r="A46" s="144" t="s">
        <v>169</v>
      </c>
      <c r="B46" s="6" t="s">
        <v>115</v>
      </c>
      <c r="C46" s="122">
        <v>0</v>
      </c>
      <c r="D46" s="40"/>
      <c r="F46" s="188"/>
      <c r="G46" s="232">
        <v>3906178</v>
      </c>
      <c r="H46" s="189" t="s">
        <v>102</v>
      </c>
      <c r="I46" s="215">
        <f>I45/G45</f>
        <v>0.23860000000000001</v>
      </c>
      <c r="J46" s="85"/>
      <c r="K46" s="231"/>
      <c r="L46" s="187"/>
      <c r="M46" s="556"/>
    </row>
    <row r="47" spans="1:17" ht="19.149999999999999" customHeight="1">
      <c r="A47" s="384" t="s">
        <v>137</v>
      </c>
      <c r="B47" s="6" t="s">
        <v>115</v>
      </c>
      <c r="C47" s="560">
        <v>0</v>
      </c>
      <c r="D47" s="36"/>
      <c r="F47" s="385"/>
      <c r="G47" s="230">
        <f>G45-G46</f>
        <v>0</v>
      </c>
      <c r="H47" s="385"/>
      <c r="I47" s="385"/>
      <c r="J47" s="124"/>
      <c r="K47" s="230">
        <f>K43-K44</f>
        <v>0</v>
      </c>
      <c r="L47" s="385"/>
      <c r="M47" s="124"/>
    </row>
    <row r="48" spans="1:17" ht="16.5" thickBot="1">
      <c r="A48" s="144" t="s">
        <v>304</v>
      </c>
      <c r="B48" s="6" t="s">
        <v>115</v>
      </c>
      <c r="C48" s="560">
        <v>7000</v>
      </c>
      <c r="D48" s="36"/>
      <c r="F48" s="385"/>
      <c r="G48" s="385"/>
      <c r="H48" s="385"/>
      <c r="I48" s="385"/>
      <c r="J48" s="124"/>
      <c r="K48" s="114"/>
      <c r="L48" s="385"/>
      <c r="M48" s="68"/>
    </row>
    <row r="49" spans="1:21" ht="15.75">
      <c r="A49" s="7" t="s">
        <v>130</v>
      </c>
      <c r="B49" s="532" t="s">
        <v>152</v>
      </c>
      <c r="C49" s="560">
        <v>27365.119999999999</v>
      </c>
      <c r="D49" s="36"/>
      <c r="F49" s="385"/>
      <c r="G49" s="114"/>
      <c r="H49" s="129" t="s">
        <v>35</v>
      </c>
      <c r="I49" s="13" t="s">
        <v>35</v>
      </c>
      <c r="J49" s="13" t="s">
        <v>63</v>
      </c>
      <c r="K49" s="127" t="s">
        <v>70</v>
      </c>
      <c r="L49" s="124"/>
      <c r="M49" s="385"/>
    </row>
    <row r="50" spans="1:21" ht="16.5" thickBot="1">
      <c r="A50" s="7" t="s">
        <v>222</v>
      </c>
      <c r="B50" s="532" t="s">
        <v>152</v>
      </c>
      <c r="C50" s="560">
        <v>700.49</v>
      </c>
      <c r="D50" s="37"/>
      <c r="F50" s="50" t="s">
        <v>73</v>
      </c>
      <c r="G50" s="385"/>
      <c r="H50" s="130" t="s">
        <v>2</v>
      </c>
      <c r="I50" s="131" t="s">
        <v>3</v>
      </c>
      <c r="J50" s="131" t="s">
        <v>2</v>
      </c>
      <c r="K50" s="128" t="s">
        <v>3</v>
      </c>
      <c r="L50" s="385"/>
      <c r="M50" s="385"/>
    </row>
    <row r="51" spans="1:21" ht="15.75">
      <c r="A51" s="7" t="s">
        <v>308</v>
      </c>
      <c r="B51" s="532" t="s">
        <v>152</v>
      </c>
      <c r="C51" s="560">
        <v>4150.05</v>
      </c>
      <c r="D51" s="36"/>
      <c r="F51" s="385"/>
      <c r="G51" s="385"/>
      <c r="H51" s="151"/>
      <c r="I51" s="152"/>
      <c r="J51" s="152"/>
      <c r="K51" s="152"/>
      <c r="L51" s="126" t="s">
        <v>103</v>
      </c>
      <c r="M51" s="385"/>
    </row>
    <row r="52" spans="1:21" ht="15.75">
      <c r="A52" s="22" t="s">
        <v>118</v>
      </c>
      <c r="B52" s="6"/>
      <c r="C52" s="100">
        <f>-C33</f>
        <v>42771.479999999996</v>
      </c>
      <c r="D52" s="33"/>
      <c r="F52" s="385" t="s">
        <v>136</v>
      </c>
      <c r="G52" s="385"/>
      <c r="H52" s="212">
        <f>K12</f>
        <v>-1285842.1795400009</v>
      </c>
      <c r="I52" s="115">
        <f>I14</f>
        <v>1607245.1373390004</v>
      </c>
      <c r="J52" s="115">
        <f>L12</f>
        <v>-688271.66046000051</v>
      </c>
      <c r="K52" s="115">
        <f>J14</f>
        <v>671565.49266100011</v>
      </c>
      <c r="L52" s="132">
        <f>SUM(H52:K52)</f>
        <v>304696.78999999911</v>
      </c>
      <c r="M52" s="385"/>
    </row>
    <row r="53" spans="1:21" ht="16.5" thickBot="1">
      <c r="A53" s="385" t="s">
        <v>315</v>
      </c>
      <c r="B53" s="605" t="s">
        <v>316</v>
      </c>
      <c r="C53" s="560">
        <v>50484.03</v>
      </c>
      <c r="D53" s="36"/>
      <c r="F53" s="384" t="s">
        <v>109</v>
      </c>
      <c r="H53" s="212">
        <f>-I45</f>
        <v>-932014.07079999999</v>
      </c>
      <c r="I53" s="115">
        <f>-I32</f>
        <v>-477444.02223000006</v>
      </c>
      <c r="J53" s="115">
        <f>-M43</f>
        <v>-499369.41855</v>
      </c>
      <c r="K53" s="115">
        <f>-M28</f>
        <v>-236800.79018999997</v>
      </c>
      <c r="L53" s="261">
        <f>SUM(H53:K53)</f>
        <v>-2145628.3017700003</v>
      </c>
    </row>
    <row r="54" spans="1:21" ht="16.5" thickBot="1">
      <c r="A54" s="382" t="s">
        <v>124</v>
      </c>
      <c r="B54" s="473" t="s">
        <v>296</v>
      </c>
      <c r="C54" s="560">
        <v>-10242621.720000001</v>
      </c>
      <c r="D54" s="36"/>
      <c r="F54" s="384" t="s">
        <v>86</v>
      </c>
      <c r="H54" s="234">
        <v>0</v>
      </c>
      <c r="I54" s="235">
        <v>0</v>
      </c>
      <c r="J54" s="235">
        <v>0</v>
      </c>
      <c r="K54" s="236">
        <v>0</v>
      </c>
      <c r="L54" s="214">
        <f>SUM(L52:L53)</f>
        <v>-1840931.5117700011</v>
      </c>
    </row>
    <row r="55" spans="1:21" ht="16.5" thickBot="1">
      <c r="A55" s="384" t="s">
        <v>312</v>
      </c>
      <c r="B55" s="6" t="s">
        <v>190</v>
      </c>
      <c r="C55" s="560">
        <v>-375000</v>
      </c>
      <c r="D55" s="36"/>
      <c r="F55" s="384" t="s">
        <v>71</v>
      </c>
      <c r="H55" s="125">
        <f>IFERROR(H52+H53+H54,0)</f>
        <v>-2217856.2503400007</v>
      </c>
      <c r="I55" s="125">
        <f>I52+I53+I54</f>
        <v>1129801.1151090004</v>
      </c>
      <c r="J55" s="125">
        <f>IFERROR(J52+J53+J54,0)</f>
        <v>-1187641.0790100005</v>
      </c>
      <c r="K55" s="125">
        <f>K52+K53+K54</f>
        <v>434764.70247100014</v>
      </c>
      <c r="L55" s="47">
        <f>SUM(H55:K55)</f>
        <v>-1840931.5117700007</v>
      </c>
    </row>
    <row r="56" spans="1:21" ht="16.5" thickBot="1">
      <c r="A56" s="82" t="s">
        <v>119</v>
      </c>
      <c r="B56" s="84"/>
      <c r="C56" s="160">
        <f>SUM(C43:C55)</f>
        <v>-1976290.3600000013</v>
      </c>
      <c r="D56" s="36"/>
      <c r="F56" s="240" t="s">
        <v>181</v>
      </c>
      <c r="H56" s="384" t="s">
        <v>173</v>
      </c>
      <c r="I56" s="5">
        <f>SUM(H55:I55)</f>
        <v>-1088055.1352310004</v>
      </c>
      <c r="J56" s="15" t="s">
        <v>174</v>
      </c>
      <c r="K56" s="384">
        <f>SUM(J55:K55)</f>
        <v>-752876.37653900031</v>
      </c>
      <c r="L56" s="213">
        <f>ROUND(L54-L55,3)</f>
        <v>0</v>
      </c>
      <c r="T56" s="42"/>
    </row>
    <row r="57" spans="1:21" ht="16.5" thickTop="1">
      <c r="A57" s="384" t="s">
        <v>121</v>
      </c>
      <c r="B57" s="6" t="s">
        <v>115</v>
      </c>
      <c r="C57" s="560">
        <v>1710.99</v>
      </c>
      <c r="D57" s="36"/>
      <c r="F57" s="397" t="s">
        <v>181</v>
      </c>
      <c r="H57" s="96"/>
    </row>
    <row r="58" spans="1:21" ht="16.5" thickBot="1">
      <c r="A58" s="384" t="s">
        <v>122</v>
      </c>
      <c r="B58" s="6" t="s">
        <v>115</v>
      </c>
      <c r="C58" s="560">
        <v>465.53</v>
      </c>
      <c r="D58" s="36"/>
      <c r="F58" s="397" t="s">
        <v>182</v>
      </c>
      <c r="H58" s="157"/>
      <c r="I58" s="120"/>
      <c r="J58" s="120"/>
      <c r="K58" s="204"/>
      <c r="L58" s="120"/>
    </row>
    <row r="59" spans="1:21" ht="16.5" thickBot="1">
      <c r="A59" s="2" t="s">
        <v>125</v>
      </c>
      <c r="B59" s="2"/>
      <c r="C59" s="160">
        <f>SUM(C56:C58)</f>
        <v>-1974113.8400000012</v>
      </c>
      <c r="D59" s="36"/>
      <c r="F59" s="543" t="s">
        <v>303</v>
      </c>
      <c r="G59" s="544" t="str">
        <f>IF(OR(AND(I56&gt;0,K56&gt;0),AND(I56&lt;0,K56&lt;0)),"OK","ERROR")</f>
        <v>OK</v>
      </c>
      <c r="H59" s="386" t="s">
        <v>294</v>
      </c>
      <c r="I59" s="387"/>
    </row>
    <row r="60" spans="1:21" ht="17.25" thickTop="1" thickBot="1">
      <c r="A60" s="2"/>
      <c r="C60" s="101"/>
      <c r="D60" s="36"/>
      <c r="H60" s="318" t="s">
        <v>175</v>
      </c>
      <c r="I60" s="319" t="s">
        <v>176</v>
      </c>
      <c r="J60" s="5"/>
    </row>
    <row r="61" spans="1:21" ht="16.5" thickBot="1">
      <c r="A61" s="9"/>
      <c r="B61" s="9" t="s">
        <v>95</v>
      </c>
      <c r="C61" s="125">
        <f>C59+C34</f>
        <v>304696.78999999911</v>
      </c>
      <c r="D61" s="37"/>
      <c r="H61" s="349" t="e">
        <f>SUM(#REF!,#REF!,#REF!,#REF!,#REF!,#REF!)</f>
        <v>#REF!</v>
      </c>
      <c r="I61" s="449" t="e">
        <f>SUM(#REF!,#REF!,#REF!,#REF!,#REF!,#REF!)</f>
        <v>#REF!</v>
      </c>
      <c r="J61" s="384">
        <f>H53+I53+J53+K53</f>
        <v>-2145628.3017700003</v>
      </c>
    </row>
    <row r="62" spans="1:21" ht="15.75">
      <c r="A62" s="2"/>
      <c r="B62" s="9" t="s">
        <v>160</v>
      </c>
      <c r="C62" s="350">
        <v>304696.78999999998</v>
      </c>
      <c r="G62" s="5"/>
      <c r="I62" s="338" t="e">
        <f>H61-I61</f>
        <v>#REF!</v>
      </c>
      <c r="N62" s="5"/>
      <c r="O62" s="5"/>
      <c r="P62" s="21"/>
    </row>
    <row r="63" spans="1:21" ht="15.75">
      <c r="A63" s="9"/>
      <c r="B63" s="9" t="s">
        <v>159</v>
      </c>
      <c r="C63" s="257">
        <f>ROUND(C61-C62,2)</f>
        <v>0</v>
      </c>
      <c r="D63" s="36"/>
      <c r="S63" s="6"/>
    </row>
    <row r="64" spans="1:21" ht="15.75">
      <c r="A64" s="44"/>
      <c r="C64" s="351"/>
      <c r="D64" s="43"/>
      <c r="N64" s="22"/>
      <c r="U64" s="2"/>
    </row>
    <row r="65" spans="1:21" ht="15.75">
      <c r="A65" s="44"/>
      <c r="C65" s="8"/>
      <c r="D65" s="36"/>
      <c r="N65" s="22"/>
      <c r="S65" s="23"/>
    </row>
    <row r="66" spans="1:21" ht="15.75">
      <c r="A66" s="2"/>
      <c r="C66" s="8"/>
      <c r="D66" s="36"/>
      <c r="N66" s="22"/>
      <c r="S66" s="24"/>
    </row>
    <row r="67" spans="1:21">
      <c r="C67" s="100"/>
      <c r="D67" s="36"/>
      <c r="N67" s="22"/>
      <c r="S67" s="25"/>
    </row>
    <row r="68" spans="1:21">
      <c r="D68" s="36"/>
      <c r="N68" s="22"/>
      <c r="S68" s="24"/>
    </row>
    <row r="69" spans="1:21">
      <c r="D69" s="37"/>
      <c r="N69" s="22"/>
    </row>
    <row r="70" spans="1:21">
      <c r="D70" s="36"/>
      <c r="N70" s="22"/>
      <c r="S70" s="26"/>
    </row>
    <row r="71" spans="1:21">
      <c r="D71" s="36"/>
    </row>
    <row r="72" spans="1:21">
      <c r="D72" s="36"/>
    </row>
    <row r="73" spans="1:21">
      <c r="D73" s="45"/>
      <c r="S73" s="27"/>
    </row>
    <row r="74" spans="1:21">
      <c r="R74" s="6"/>
      <c r="S74" s="6"/>
      <c r="T74" s="6"/>
    </row>
    <row r="76" spans="1:21">
      <c r="U76" s="28"/>
    </row>
    <row r="1477" spans="3:3">
      <c r="C1477" s="384">
        <v>-2130</v>
      </c>
    </row>
    <row r="1485" spans="3:3">
      <c r="C1485" s="384">
        <f>7004298-2130</f>
        <v>7002168</v>
      </c>
    </row>
  </sheetData>
  <mergeCells count="3">
    <mergeCell ref="F18:I18"/>
    <mergeCell ref="J18:M18"/>
    <mergeCell ref="K35:M35"/>
  </mergeCells>
  <conditionalFormatting sqref="C63 L56 I62">
    <cfRule type="cellIs" dxfId="246" priority="7" stopIfTrue="1" operator="equal">
      <formula>0</formula>
    </cfRule>
    <cfRule type="cellIs" dxfId="245" priority="8" stopIfTrue="1" operator="notEqual">
      <formula>0</formula>
    </cfRule>
  </conditionalFormatting>
  <conditionalFormatting sqref="G34 G47 K30 K47">
    <cfRule type="cellIs" dxfId="244" priority="6" operator="notEqual">
      <formula>0</formula>
    </cfRule>
  </conditionalFormatting>
  <conditionalFormatting sqref="C63">
    <cfRule type="cellIs" dxfId="243" priority="4" stopIfTrue="1" operator="equal">
      <formula>0</formula>
    </cfRule>
    <cfRule type="cellIs" dxfId="242" priority="5" stopIfTrue="1" operator="notEqual">
      <formula>0</formula>
    </cfRule>
  </conditionalFormatting>
  <conditionalFormatting sqref="K30">
    <cfRule type="cellIs" dxfId="241" priority="3" operator="notEqual">
      <formula>0</formula>
    </cfRule>
  </conditionalFormatting>
  <conditionalFormatting sqref="G59">
    <cfRule type="cellIs" dxfId="240" priority="2" operator="equal">
      <formula>"ERROR"</formula>
    </cfRule>
  </conditionalFormatting>
  <conditionalFormatting sqref="G59">
    <cfRule type="cellIs" dxfId="239" priority="1" operator="equal">
      <formula>"ERROR"</formula>
    </cfRule>
  </conditionalFormatting>
  <printOptions verticalCentered="1" gridLinesSet="0"/>
  <pageMargins left="0.5" right="0" top="0.25" bottom="0.5" header="0" footer="0.25"/>
  <pageSetup scale="47" orientation="landscape" cellComments="asDisplayed" r:id="rId1"/>
  <headerFooter alignWithMargins="0">
    <oddFooter>&amp;L&amp;F&amp;C&amp;A&amp;R&amp;D&amp;T</oddFooter>
  </headerFooter>
  <customProperties>
    <customPr name="xxe4aPID" r:id="rId2"/>
  </customProperties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xxe4awand xmlns="http://www.excel4apps.com"><![CDATA[rO0ABXfZCMCtii8ABCcBAh4AAERjb20uZXhjZWw0YXBwcy53YW5kLm9yYWNsZS5n
bHdhbmQuY2FsY3VsYXRpb25zLmdldGJhbGFuY2UuR2V0QmFsYW5jZQIBAAk0MTc2
ODY0NTYCAgABMAIDAAYyMDE2MDQCBAADWVREAgUAA1VTRAIGAAVUb3RhbAIHAAFB
AggAAAIJAAMwMDECCgAGMTkxMDEwAgsAAkdEAgwAAldBAg0AAkRMAggCCAIIAggC
CAIIAggCCAIIAggCCAIIAggCCAIIAggCCAIOAgMCDnNyAg8AFGphdmEubWF0aC5C
aWdEZWNpbWFsVMcVV/mBKE8DAAJJAhAABXNjYWxlTAIRAAZpbnRWYWx0ABZMamF2
YS9tYXRoL0JpZ0ludGVnZXI7eHICEgAQamF2YS5sYW5nLk51bWJlcoaslR0LlOCL
AgAAeHAAAAACc3ICEwAUamF2YS5tYXRoLkJpZ0ludGVnZXKM/J8fqTv7HQMABkkC
FAAIYml0Q291bnRJAhUACWJpdExlbmd0aEkCFgATZmlyc3ROb256ZXJvQnl0ZU51
bUkCFwAMbG93ZXN0U2V0Qml0SQIYAAZzaWdudW1bAhkACW1hZ25pdHVkZXQAAltC
eHEAfgAC///////////////+/////v////91cgIaAAJbQqzzF/gGCFTgAgAAeHAA
AAAESHB4r3h4d00CHgACAQICAhsABjIwMTcwNQIEAgUCBgIHAggCCQIKAgsCDAIN
AggCCAIIAggCCAIIAggCCAIIAggCCAIIAggCCAIIAggCCAIOAgMCHHNxAH4AAAAA
AAJzcQB+AAT///////////////7////+/////3VxAH4ABwAAAARZ/eXyeHh3VQIeAAIBAgICHQAGMjAxNjA2AgQCBQIGAgcCCAIJAh4ABjE5MTAwMAILAgwCDQIIAggCCAIIAggCCAIIAggCCAIIAggCCAIIAggCCAIIAggCDgIDAh9zcQB+AAAAAAACc3EAfgAE///////////////+/////v////91cQB+AAcAAAAEA6uLrXh4d00CHgACAQICAiAABjIwMTcwNwIEAgUCBgIHAggCCQIeAgsCDAINAggCCAIIAggCCAIIAggCCAIIAggCCAIIAggCCAIIAggCCAIOAgMCIXNxAH4AAAAAAAJzcQB+AAT///////////////7////+/////3VxAH4ABwAAAAQCCvb0eHh3TQIeAAIBAgICIgAGMjAxNjEyAgQCBQIGAgcCCAIJAh4CCwIMAg0CCAIIAggCCAIIAggCCAIIAggCCAIIAggCCAIIAggCCAIIAg4CAwIjc3EAfgAAAAAAAnNxAH4ABP///////////////v////7/////dXEAfgAHAAAABDuLiL14eHdNAh4AAgECAgIkAAYyMDE3MTECBAIFAgYCBwIIAgkCCgILAgwCDQIIAggCCAIIAggCCAIIAggCCAIIAggCCAIIAggCCAIIAggCDgIDAiVzcQB+AAAAAAACc3EAfgAE///////////////+/////v////91cQB+AAcAAAAEMNCqs3h4d00CHgACAQICAiYABjIwMTYxMQIEAgUCBgIHAggCCQIKAgsCDAINAggCCAIIAggCCAIIAggCCAIIAggCCAIIAggCCAIIAggCCAIOAgMCJ3NxAH4AAAAAAAJzcQB+AAT///////////////7////+/////3VxAH4ABwAAAAQSVBWqeHh3TQIeAAIBAgICKAAGMjAxNzEyAgQCBQIGAgcCCAIJAgoCCwIMAg0CCAIIAggCCAIIAggCCAIIAggCCAIIAggCCAIIAggCCAIIAg4CAwIpc3EAfgAAAAAAAnNxAH4ABP///////////////v////7/////dXEAfgAHAAAABEI0vHx4eHdNAh4AAgECAgIqAAYyMDE3MDYCBAIFAgYCBwIIAgkCHgILAgwCDQIIAggCCAIIAggCCAIIAggCCAIIAggCCAIIAggCCAIIAggCDgIDAitzcQB+AAAAAAACc3EAfgAE///////////////+/////v////91cQB+AAcAAAAEA91NIHh4d1UCHgACAQICAiwABjIwMTYwMgIEAgUCBgIHAggCCQItAAYxOTEwMjUCCwIMAg0CCAIIAggCCAIIAggCCAIIAggCCAIIAggCCAIIAggCCAIIAg4CAwIuc3EAfgAAAAAAAnNxAH4ABP///////////////v////7/////dXEAfgAHAAAAAxIVy3h4d00CHgACAQICAi8ABjIwMTcxMAIEAgUCBgIHAggCCQItAgsCDAINAggCCAIIAggCCAIIAggCCAIIAggCCAIIAggCCAIIAggCCAIOAgMCMHNxAH4AAAAAAAJzcQB+AAT///////////////7////+/////3VxAH4ABwAAAAMD3Kt4eHdNAh4AAgECAgIxAAYyMDE3MDMCBAIFAgYCBwIIAgkCLQILAgwCDQIIAggCCAIIAggCCAIIAggCCAIIAggCCAIIAggCCAIIAggCDgIDAjJzcQB+AAAAAAACc3EAfgAE///////////////+/////v////91cQB+AAcAAAADBKuXeHh3RQIeAAIBAgICJgIEAgUCBgIHAggCCQIeAgsCDAINAggCCAIIAggCCAIIAggCCAIIAggCCAIIAggCCAIIAggCCAIOAgMCM3NxAH4AAAAAAAJzcQB+AAT///////////////7////+/////3VxAH4ABwAAAARMQw4VeHh3RQIeAAIBAgICKAIEAgUCBgIHAggCCQIeAgsCDAINAggCCAIIAggCCAIIAggCCAIIAggCCAIIAggCCAIIAggCCAIOAgMCNHNxAH4AAAAAAAJzcQB+AAT///////////////7////+/////3VxAH4ABwAAAAQ0Sb4jeHh3RQIeAAIBAgICLwIEAgUCBgIHAggCCQIKAgsCDAINAggCCAIIAggCCAIIAggCCAIIAggCCAIIAggCCAIIAggCCAIOAgMCNXNxAH4AAAAAAAJzcQB+AAT///////////////7////+/////3VxAH4ABwAAAASC3IjxeHh3TQIeAAIBAgICNgAGMjAxNzA0AgQCBQIGAgcCCAIJAgoCCwIMAg0CCAIIAggCCAIIAggCCAIIAggCCAIIAggCCAIIAggCCAIIAg4CAwI3c3EAfgAAAAAAAnNxAH4ABP///////////////v////7/////dXEAfgAHAAAABFpw2Xd4eHdNAh4AAgECAgI4AAYyMDE2MDUCBAIFAgYCBwIIAgkCHgILAgwCDQIIAggCCAIIAggCCAIIAggCCAIIAggCCAIIAggCCAIIAggCDgIDAjlzcQB+AAAAAAACc3EAfgAE///////////////+/////v////91cQB+AAcAAAAEBDaJ43h4d00CHgACAQICAjoABjIwMTYwOQIEAgUCBgIHAggCCQItAgsCDAINAggCCAIIAggCCAIIAggCCAIIAggCCAIIAggCCAIIAggCCAIOAgMCO3NxAH4AAAAAAAJzcQB+AAT///////////////7////+/////3VxAH4ABwAAAAMHjdR4eHdFAh4AAgECAgIbAgQCBQIGAgcCCAIJAh4CCwIMAg0CCAIIAggCCAIIAggCCAIIAggCCAIIAggCCAIIAggCCAIIAg4CAwI8c3EAfgAAAAAAAnNxAH4ABP///////////////v////7/////dXEAfgAHAAAABAYhGIV4eHdNAh4AAgECAgI9AAYyMDE2MDMCBAIFAgYCBwIIAgkCCgILAgwCDQIIAggCCAIIAggCCAIIAggCCAIIAggCCAIIAggCCAIIAggCDgIDAj5zcQB+AAAAAAACc3EAfgAE///////////////+/////v////91cQB+AAcAAAAEPftW4nh4d00CHgACAQICAj8ABjIwMTYxMAIEAgUCBgIHAggCCQIKAgsCDAINAggCCAIIAggCCAIIAggCCAIIAggCCAIIAggCCAIIAggCCAIOAgMCQHNxAH4AAAAAAAJzcQB+AAT///////////////7////+/////3VxAH4ABwAAAARijcsWeHh3TQIeAAIBAgICQQAGMjAxNzAyAgQCBQIGAgcCCAIJAi0CCwIMAg0CCAIIAggCCAIIAggCCAIIAggCCAIIAggCCAIIAggCCAIIAg4CAwJCc3EAfgAAAAAAAnNxAH4ABP///////////////v////7/////dXEAfgAHAAAAAwT7aHh4d0UCHgACAQICAj8CBAIFAgYCBwIIAgkCHgILAgwCDQIIAggCCAIIAggCCAIIAggCCAIIAggCCAIIAggCCAIIAggCDgIDAkNzcQB+AAAAAAACc3EAfgAE///////////////+/////v////91cQB+AAcAAAADvFyyeHh3RQIeAAIBAgICJAIEAgUCBgIHAggCCQIeAgsCDAINAggCCAIIAggCCAIIAggCCAIIAggCCAIIAggCCAIIAggCCAIOAgMCRHNxAH4AAAAAAAJzcQB+AAT///////////////7////+/////3VxAH4ABwAAAAREule8eHh3RQIeAAIBAgICIAIEAgUCBgIHAggCCQIKAgsCDAINAggCCAIIAggCCAIIAggCCAIIAggCCAIIAggCCAIIAggCCAIOAgMCRXNxAH4AAAAAAAJzcQB+AAT///////////////7////+/////3VxAH4ABwAAAARe1GL4eHh3RQIeAAIBAgICAwIEAgUCBgIHAggCCQIeAgsCDAINAggCCAIIAggCCAIIAggCCAIIAggCCAIIAggCCAIIAggCCAIOAgMCRnNxAH4AAAAAAAJzcQB+AAT///////////////7////+/////3VxAH4ABwAAAAQE5DAPeHh3TQIeAAIBAgICRwAGMjAxNjA4AgQCBQIGAgcCCAIJAi0CCwIMAg0CCAIIAggCCAIIAggCCAIIAggCCAIIAggCCAIIAggCCAIIAg4CAwJIc3EAfgAAAAAAAnNxAH4ABP///////////////v////7/////dXEAfgAHAAAAAwi2nHh4d0UCHgACAQICAiYCBAIFAgYCBwIIAgkCLQILAgwCDQIIAggCCAIIAggCCAIIAggCCAIIAggCCAIIAggCCAIIAggCDgIDAklzcQB+AAAAAAACc3EAfgAE///////////////+/////v////91cQB+AAcAAAADBmgreHh3TQIeAAIBAgICSgAGMjAxODAyAgQCBQIGAgcCCAIJAi0CCwIMAg0CCAIIAggCCAIIAggCCAIIAggCCAIIAggCCAIIAggCCAIIAg4CAwJLc3EAfgAAAAAAAnNxAH4ABP///////////////v////4AAAAAdXEAfgAHAAAAAHh4d0UCHgACAQICAh0CBAIFAgYCBwIIAgkCCgILAgwCDQIIAggCCAIIAggCCAIIAggCCAIIAggCCAIIAggCCAIIAggCDgIDAkxzcQB+AAAAAAACc3EAfgAE///////////////+/////v////91cQB+AAcAAAAEVIhLm3h4d5ICHgACAQICAigCBAIFAgYCBwIIAgkCLQILAgwCDQIIAggCCAIIAggCCAIIAggCCAIIAggCCAIIAggCCAIIAggCDgIDAksCHgACAQICAk0ABjIwMTgwMQIEAgUCBgIHAggCCQIeAgsCDAINAggCCAIIAggCCAIIAggCCAIIAggCCAIIAggCCAIIAggCCAIOAgMCTnNxAH4AAAAAAAJzcQB+AAT///////////////7////+/////3VxAH4ABwAAAAQmcaNXeHh3TQIeAAIBAgICTwAGMjAxNzA5AgQCBQIGAgcCCAIJAi0CCwIMAg0CCAIIAggCCAIIAggCCAIIAggCCAIIAggCCAIIAggCCAIIAg4CAwJQc3EAfgAAAAAAAnNxAH4ABP///////////////v////7/////dXEAfgAHAAAAAwQOrnh4d00CHgACAQICAlEABjIwMTcwMQIEAgUCBgIHAggCCQItAgsCDAINAggCCAIIAggCCAIIAggCCAIIAggCCAIIAggCCAIIAggCCAIOAgMCUnNxAH4AAAAAAAJzcQB+AAT///////////////7////+/////3VxAH4ABwAAAAMFZP94eHdNAh4AAgECAgJTAAYyMDE3MDgCBAIFAgYCBwIIAgkCHgILAgwCDQIIAggCCAIIAggCCAIIAggCCAIIAggCCAIIAggCCAIIAggCDgIDAlRzcQB+AAAAAAACc3EAfgAE///////////////+/////v////91cQB+AAcAAAADMpTWeHh3RQIeAAIBAgICMQIEAgUCBgIHAggCCQIeAgsCDAINAggCCAIIAggCCAIIAggCCAIIAggCCAIIAggCCAIIAggCCAIOAgMCVXNxAH4AAAAAAAJzcQB+AAT///////////////7////+/////3VxAH4ABwAAAAQQ/fIjeHh3RQIeAAIBAgICLAIEAgUCBgIHAggCCQIeAgsCDAINAggCCAIIAggCCAIIAggCCAIIAggCCAIIAggCCAIIAggCCAIOAgMCVnNxAH4AAAAAAAJzcQB+AAT///////////////7////+/////3VxAH4ABwAAAAQIJf+xeHh3TQIeAAIBAgICVwAGMjAxNjA3AgQCBQIGAgcCCAIJAh4CCwIMAg0CCAIIAggCCAIIAggCCAIIAggCCAIIAggCCAIIAggCCAIIAg4CAwJYc3EAfgAAAAAAAnNxAH4ABP///////////////v////7/////dXEAfgAHAAAABAM2kpl4eHdFAh4AAgECAgJBAgQCBQIGAgcCCAIJAgoCCwIMAg0CCAIIAggCCAIIAggCCAIIAggCCAIIAggCCAIIAggCCAIIAg4CAwJZc3EAfgAAAAAAAnNxAH4ABP///////////////v////7/////dXEAfgAHAAAABEmLU8l4eHdFAh4AAgECAgI6AgQCBQIGAgcCCAIJAgoCCwIMAg0CCAIIAggCCAIIAggCCAIIAggCCAIIAggCCAIIAggCCAIIAg4CAwJac3EAfgAAAAAAAnNxAH4ABP///////////////v////7/////dXEAfgAHAAAABGExCBR4eHdFAh4AAgECAgI9AgQCBQIGAgcCCAIJAi0CCwIMAg0CCAIIAggCCAIIAggCCAIIAggCCAIIAggCCAIIAggCCAIIAg4CAwJbc3EAfgAAAAAAAnNxAH4ABP///////////////v////7/////dXEAfgAHAAAAAw6D3Xh4d0UCHgACAQICAiICBAIFAgYCBwIIAgkCCgILAgwCDQIIAggCCAIIAggCCAIIAggCCAIIAggCCAIIAggCCAIIAggCDgIDAlxzcQB+AAAAAAACc3EAfgAE///////////////+/////v////91cQB+AAcAAAAEKKPaWXh4d0UCHgACAQICAjYCBAIFAgYCBwIIAgkCLQILAgwCDQIIAggCCAIIAggCCAIIAggCCAIIAggCCAIIAggCCAIIAggCDgIDAl1zcQB+AAAAAAACc3EAfgAE///////////////+/////v////91cQB+AAcAAAADBHSNeHh3RQIeAAIBAgICQQIEAgUCBgIHAggCCQIeAgsCDAINAggCCAIIAggCCAIIAggCCAIIAggCCAIIAggCCAIIAggCCAIOAgMCXnNxAH4AAAAAAAJzcQB+AAT///////////////7////+/////3VxAH4ABwAAAAQbRzHTeHh3RQIeAAIBAgICHQIEAgUCBgIHAggCCQItAgsCDAINAggCCAIIAggCCAIIAggCCAIIAggCCAIIAggCCAIIAggCCAIOAgMCX3NxAH4AAAAAAAJzcQB+AAT///////////////7////+/////3VxAH4ABwAAAAMKgFR4eHdFAh4AAgECAgJNAgQCBQIGAgcCCAIJAgoCCwIMAg0CCAIIAggCCAIIAggCCAIIAggCCAIIAggCCAIIAggCCAIIAg4CAwJgc3EAfgAAAAAAAnNxAH4ABP///////////////v////7/////dXEAfgAHAAAABE7u6Np4eHdFAh4AAgECAgJHAgQCBQIGAgcCCAIJAgoCCwIMAg0CCAIIAggCCAIIAggCCAIIAggCCAIIAggCCAIIAggCCAIIAg4CAwJhc3EAfgAAAAAAAnNxAH4ABP///////////////v////7/////dXEAfgAHAAAABF1XUMl4eHdFAh4AAgECAgJPAgQCBQIGAgcCCAIJAgoCCwIMAg0CCAIIAggCCAIIAggCCAIIAggCCAIIAggCCAIIAggCCAIIAg4CAwJic3EAfgAAAAAAAnNxAH4ABP///////////////v////7/////dXEAfgAHAAAABHEGWUl4eHdFAh4AAgECAgIgAgQCBQIGAgcCCAIJAi0CCwIMAg0CCAIIAggCCAIIAggCCAIIAggCCAIIAggCCAIIAggCCAIIAg4CAwJjc3EAfgAAAAAAAnNxAH4ABP///////////////v////7/////dXEAfgAHAAAAAwQ0OHh4d0UCHgACAQICAlECBAIFAgYCBwIIAgkCHgILAgwCDQIIAggCCAIIAggCCAIIAggCCAIIAggCCAIIAggCCAIIAggCDgIDAmRzcQB+AAAAAAACc3EAfgAE///////////////+/////v////91cQB+AAcAAAAEKOmGtnh4d0UCHgACAQICAjgCBAIFAgYCBwIIAgkCLQILAgwCDQIIAggCCAIIAggCCAIIAggCCAIIAggCCAIIAggCCAIIAggCDgIDAmVzcQB+AAAAAAACc3EAfgAE///////////////+/////v////91cQB+AAcAAAADC4KteHh3RQIeAAIBAgICUwIEAgUCBgIHAggCCQIKAgsCDAINAggCCAIIAggCCAIIAggCCAIIAggCCAIIAggCCAIIAggCCAIOAgMCZnNxAH4AAAAAAAJzcQB+AAT///////////////7////+/////3VxAH4ABwAAAARlMUGreHh3RQIeAAIBAgICOgIEAgUCBgIHAggCCQIeAgsCDAINAggCCAIIAggCCAIIAggCCAIIAggCCAIIAggCCAIIAggCCAIOAgMCZ3NxAH4AAAAAAAJzcQB+AAT///////////////7////+/////3VxAH4ABwAAAAQCG6dueHh3RQIeAAIBAgICIgIEAgUCBgIHAggCCQItAgsCDAINAggCCAIIAggCCAIIAggCCAIIAggCCAIIAggCCAIIAggCCAIOAgMCaHNxAH4AAAAAAAJzcQB+AAT///////////////7////+/////3VxAH4ABwAAAAMG3JN4eHdFAh4AAgECAgJXAgQCBQIGAgcCCAIJAgoCCwIMAg0CCAIIAggCCAIIAggCCAIIAggCCAIIAggCCAIIAggCCAIIAg4CAwJpc3EAfgAAAAAAAnNxAH4ABP///////////////v////7/////dXEAfgAHAAAABFovta14eHdFAh4AAgECAgIqAgQCBQIGAgcCCAIJAi0CCwIMAg0CCAIIAggCCAIIAggCCAIIAggCCAIIAggCCAIIAggCCAIIAg4CAwJqc3EAfgAAAAAAAnNxAH4ABP///////////////v////7/////dXEAfgAHAAAAAwRDenh4d4oCHgACAQICAkoCBAIFAgYCBwIIAgkCHgILAgwCDQIIAggCCAIIAggCCAIIAggCCAIIAggCCAIIAggCCAIIAggCDgIDAk4CHgACAQICAkcCBAIFAgYCBwIIAgkCHgILAgwCDQIIAggCCAIIAggCCAIIAggCCAIIAggCCAIIAggCCAIIAggCDgIDAmtzcQB+AAAAAAACc3EAfgAE///////////////+/////v////91cQB+AAcAAAAEAr0/pHh4d0UCHgACAQICAk8CBAIFAgYCBwIIAgkCHgILAgwCDQIIAggCCAIIAggCCAIIAggCCAIIAggCCAIIAggCCAIIAggCDgIDAmxzcQB+AAAAAAACc3EAfgAE///////////////+/////gAAAAF1cQB+AAcAAAAEAo6woHh4d4oCHgACAQICAk0CBAIFAgYCBwIIAgkCLQILAgwCDQIIAggCCAIIAggCCAIIAggCCAIIAggCCAIIAggCCAIIAggCDgIDAksCHgACAQICAgMCBAIFAgYCBwIIAgkCLQILAgwCDQIIAggCCAIIAggCCAIIAggCCAIIAggCCAIIAggCCAIIAggCDgIDAm1zcQB+AAAAAAACc3EAfgAE///////////////+/////v////91cQB+AAcAAAADDMb+eHh3RQIeAAIBAgICPwIEAgUCBgIHAggCCQItAgsCDAINAggCCAIIAggCCAIIAggCCAIIAggCCAIIAggCCAIIAggCCAIOAgMCbnNxAH4AAAAAAAJzcQB+AAT///////////////7////+/////3VxAH4ABwAAAAMFP694eHdFAh4AAgECAgIxAgQCBQIGAgcCCAIJAgoCCwIMAg0CCAIIAggCCAIIAggCCAIIAggCCAIIAggCCAIIAggCCAIIAg4CAwJvc3EAfgAAAAAAAnNxAH4ABP///////////////v////7/////dXEAfgAHAAAABFNjmyZ4eHdFAh4AAgECAgI9AgQCBQIGAgcCCAIJAh4CCwIMAg0CCAIIAggCCAIIAggCCAIIAggCCAIIAggCCAIIAggCCAIIAg4CAwJwc3EAfgAAAAAAAnNxAH4ABP///////////////v////7/////dXEAfgAHAAAABAXojm54eHdFAh4AAgECAgI2AgQCBQIGAgcCCAIJAh4CCwIMAg0CCAIIAggCCAIIAggCCAIIAggCCAIIAggCCAIIAggCCAIIAg4CAwJxc3EAfgAAAAAAAnNxAH4ABP///////////////v////7/////dXEAfgAHAAAABAnwakZ4eHdFAh4AAgECAgIsAgQCBQIGAgcCCAIJAgoCCwIMAg0CCAIIAggCCAIIAggCCAIIAggCCAIIAggCCAIIAggCCAIIAg4CAwJyc3EAfgAAAAAAAnNxAH4ABP///////////////v////7/////dXEAfgAHAAAABDc49U94eHdFAh4AAgECAgIbAgQCBQIGAgcCCAIJAi0CCwIMAg0CCAIIAggCCAIIAggCCAIIAggCCAIIAggCCAIIAggCCAIIAg4CAwJzc3EAfgAAAAAAAnNxAH4ABP///////////////v////7/////dXEAfgAHAAAAAwRWK3h4d0UCHgACAQICAjgCBAIFAgYCBwIIAgkCCgILAgwCDQIIAggCCAIIAggCCAIIAggCCAIIAggCCAIIAggCCAIIAggCDgIDAnRzcQB+AAAAAAACc3EAfgAE///////////////+/////v////91cQB+AAcAAAAETCsLgHh4d0UCHgACAQICAioCBAIFAgYCBwIIAgkCCgILAgwCDQIIAggCCAIIAggCCAIIAggCCAIIAggCCAIIAggCCAIIAggCDgIDAnVzcQB+AAAAAAACc3EAfgAE///////////////+/////v////91cQB+AAcAAAAEWAsHLHh4d0UCHgACAQICAlcCBAIFAgYCBwIIAgkCLQILAgwCDQIIAggCCAIIAggCCAIIAggCCAIIAggCCAIIAggCCAIIAggCDgIDAnZzcQB+AAAAAAACc3EAfgAE///////////////+/////v////91cQB+AAcAAAADCZ5/eHh3RQIeAAIBAgICLwIEAgUCBgIHAggCCQIeAgsCDAINAggCCAIIAggCCAIIAggCCAIIAggCCAIIAggCCAIIAggCCAIOAgMCd3NxAH4AAAAAAAJzcQB+AAT///////////////7////+AAAAAXVxAH4ABwAAAAQJDRX9eHh3RQIeAAIBAgICUQIEAgUCBgIHAggCCQIKAgsCDAINAggCCAIIAggCCAIIAggCCAIIAggCCAIIAggCCAIIAggCCAIOAgMCeHNxAH4AAAAAAAJzcQB+AAT///////////////7////+/////3VxAH4ABwAAAAQ9FTt2eHh3zwIeAAIBAgICSgIEAgUCBgIHAggCCQIKAgsCDAINAggCCAIIAggCCAIIAggCCAIIAggCCAIIAggCCAIIAggCCAIOAgMCYAIeAAIBAgICJAIEAgUCBgIHAggCCQItAgsCDAINAggCCAIIAggCCAIIAggCCAIIAggCCAIIAggCCAIIAggCCAIOAgMCSwIeAAIBAgICUwIEAgUCBgIHAggCCQItAgsCDAINAggCCAIIAggCCAIIAggCCAIIAggCCAIIAggCCAIIAggCCAIOAgMCeXNxAH4AAAAAAAJzcQB+AAT///////////////7////+/////3VxAH4ABwAAAAMEJQl4eHdcAh4AAnoACTQ4MTU1MDU4NAICAjECBAIFAgYCBwIIAgkCewAGMTkxMDE1AgsCfAACSUQCDQIIAggCCAIIAggCCAIIAggCCAIIAggCCAIIAggCCAIIAggCDwIDAn1zcQB+AAAAAAACc3EAfgAE///////////////+/////v////91cQB+AAcAAAADEorfeHh3RQIeAAJ6AgICLAIEAgUCBgIHAggCCQJ7AgsCfAINAggCCAIIAggCCAIIAggCCAIIAggCCAIIAggCCAIIAggCCAIPAgMCfnNxAH4AAAAAAAJzcQB+AAT///////////////7////+/////3VxAH4ABwAAAAMSV794eHdFAh4AAnoCAgImAgQCBQIGAgcCCAIJAh4CCwJ8Ag0CCAIIAggCCAIIAggCCAIIAggCCAIIAggCCAIIAggCCAIIAg8CAwJ/c3EAfgAAAAAAAnNxAH4ABP///////////////v////7/////dXEAfgAHAAAABCWQ0ft4eHdFAh4AAnoCAgIvAgQCBQIGAgcCCAIJAgoCCwJ8Ag0CCAIIAggCCAIIAggCCAIIAggCCAIIAggCCAIIAggCCAIIAg8CAwKAc3EAfgAAAAAAAnNxAH4ABP///////////////v////7/////dXEAfgAHAAAABENETeB4eHdFAh4AAnoCAgI9AgQCBQIGAgcCCAIJAgoCCwJ8Ag0CCAIIAggCCAIIAggCCAIIAggCCAIIAggCCAIIAggCCAIIAg8CAwKBc3EAfgAAAAAAAnNxAH4ABP///////////////v////7/////dXEAfgAHAAAABB6uCU94eHdFAh4AAnoCAgIxAgQCBQIGAgcCCAIJAgoCCwJ8Ag0CCAIIAggCCAIIAggCCAIIAggCCAIIAggCCAIIAggCCAIIAg8CAwKCc3EAfgAAAAAAAnNxAH4ABP///////////////v////7/////dXEAfgAHAAAABCZ4H3F4eHdFAh4AAnoCAgIvAgQCBQIGAgcCCAIJAnsCCwJ8Ag0CCAIIAggCCAIIAggCCAIIAggCCAIIAggCCAIIAggCCAIIAg8CAwKDc3EAfgAAAAAAAnNxAH4ABP///////////////v////7/////dXEAfgAHAAAAAxKmonh4d0UCHgACegICAgMCBAIFAgYCBwIIAgkCHgILAnwCDQIIAggCCAIIAggCCAIIAggCCAIIAggCCAIIAggCCAIIAggCDwIDAoRzcQB+AAAAAAACc3EAfgAE///////////////+/////v////91cQB+AAcAAAAEAlAe6Xh4d0UCHgACegICAhsCBAIFAgYCBwIIAgkCHgILAnwCDQIIAggCCAIIAggCCAIIAggCCAIIAggCCAIIAggCCAIIAggCDwIDAoVzcQB+AAAAAAACc3EAfgAE///////////////+/////v////91cQB+AAcAAAAEAtdnVHh4d0UCHgACegICAigCBAIFAgYCBwIIAgkCHgILAnwCDQIIAggCCAIIAggCCAIIAggCCAIIAggCCAIIAggCCAIIAggCDwIDAoZzcQB+AAAAAAACc3EAfgAE///////////////+/////v////91cQB+AAcAAAAEFreoonh4d0UCHgACegICAkECBAIFAgYCBwIIAgkCewILAnwCDQIIAggCCAIIAggCCAIIAggCCAIIAggCCAIIAggCCAIIAggCDwIDAodzcQB+AAAAAAACc3EAfgAE///////////////+/////v////91cQB+AAcAAAADEobreHh3RQIeAAJ6AgICPwIEAgUCBgIHAggCCQIeAgsCfAINAggCCAIIAggCCAIIAggCCAIIAggCCAIIAggCCAIIAggCCAIPAgMCiHNxAH4AAAAAAAJzcQB+AAT///////////////7////+AAAAAXVxAH4ABwAAAAO5cnx4eHdFAh4AAnoCAgIsAgQCBQIGAgcCCAIJAgoCCwJ8Ag0CCAIIAggCCAIIAggCCAIIAggCCAIIAggCCAIIAggCCAIIAg8CAwKJc3EAfgAAAAAAAnNxAH4ABP///////////////v////7/////dXEAfgAHAAAABBuzHlx4eHdFAh4AAnoCAgJBAgQCBQIGAgcCCAIJAgoCCwJ8Ag0CCAIIAggCCAIIAggCCAIIAggCCAIIAggCCAIIAggCCAIIAg8CAwKKc3EAfgAAAAAAAnNxAH4ABP///////////////v////7/////dXEAfgAHAAAABCIKrDF4eHdFAh4AAnoCAgIkAgQCBQIGAgcCCAIJAh4CCwJ8Ag0CCAIIAggCCAIIAggCCAIIAggCCAIIAggCCAIIAggCCAIIAg8CAwKLc3EAfgAAAAAAAnNxAH4ABP///////////////v////7/////dXEAfgAHAAAABB7AdGx4eHdFAh4AAnoCAgI9AgQCBQIGAgcCCAIJAh4CCwJ8Ag0CCAIIAggCCAIIAggCCAIIAggCCAIIAggCCAIIAggCCAIIAg8CAwKMc3EAfgAAAAAAAnNxAH4ABP///////////////v////7/////dXEAfgAHAAAABAL7S4t4eHdFAh4AAnoCAgI2AgQCBQIGAgcCCAIJAh4CCwJ8Ag0CCAIIAggCCAIIAggCCAIIAggCCAIIAggCCAIIAggCCAIIAg8CAwKNc3EAfgAAAAAAAnNxAH4ABP///////////////v////7/////dXEAfgAHAAAABAUEo0F4eHdFAh4AAnoCAgIqAgQCBQIGAgcCCAIJAgoCCwJ8Ag0CCAIIAggCCAIIAggCCAIIAggCCAIIAggCCAIIAggCCAIIAg8CAwKOc3EAfgAAAAAAAnNxAH4ABP///////////////v////7/////dXEAfgAHAAAABCoLRiF4eHdFAh4AAnoCAgJRAgQCBQIGAgcCCAIJAnsCCwJ8Ag0CCAIIAggCCAIIAggCCAIIAggCCAIIAggCCAIIAggCCAIIAg8CAwKPc3EAfgAAAAAAAnNxAH4ABP///////////////v////7/////dXEAfgAHAAAAAxKC+Hh4d4oCHgACegICAigCBAIFAgYCBwIIAgkCewILAnwCDQIIAggCCAIIAggCCAIIAggCCAIIAggCCAIIAggCCAIIAggCDwIDAksCHgACegICAiYCBAIFAgYCBwIIAgkCewILAnwCDQIIAggCCAIIAggCCAIIAggCCAIIAggCCAIIAggCCAIIAggCDwIDApBzcQB+AAAAAAACc3EAfgAE///////////////+/////v////91cQB+AAcAAAADEnsVeHh3RQIeAAJ6AgICOAIEAgUCBgIHAggCCQIKAgsCfAINAggCCAIIAggCCAIIAggCCAIIAggCCAIIAggCCAIIAggCCAIPAgMCkXNxAH4AAAAAAAJzcQB+AAT///////////////7////+/////3VxAH4ABwAAAAQmLzLCeHh3RQIeAAJ6AgICJgIEAgUCBgIHAggCCQIKAgsCfAINAggCCAIIAggCCAIIAggCCAIIAggCCAIIAggCCAIIAggCCAIPAgMCknNxAH4AAAAAAAJzcQB+AAT///////////////7////+/////3VxAH4ABwAAAAQL0RJ0eHh3RQIeAAJ6AgICHQIEAgUCBgIHAggCCQIeAgsCfAINAggCCAIIAggCCAIIAggCCAIIAggCCAIIAggCCAIIAggCCAIPAgMCk3NxAH4AAAAAAAJzcQB+AAT///////////////7////+/////3VxAH4ABwAAAAQBZMryeHh3RQIeAAJ6AgICKAIEAgUCBgIHAggCCQIKAgsCfAINAggCCAIIAggCCAIIAggCCAIIAggCCAIIAggCCAIIAggCCAIPAgMClHNxAH4AAAAAAAJzcQB+AAT///////////////7////+/////3VxAH4ABwAAAAQkNG30eHh3RQIeAAJ6AgICSgIEAgUCBgIHAggCCQIKAgsCfAINAggCCAIIAggCCAIIAggCCAIIAggCCAIIAggCCAIIAggCCAIPAgMClXNxAH4AAAAAAAJzcQB+AAT///////////////7////+/////3VxAH4ABwAAAAQpII+FeHh3RQIeAAJ6AgICUQIEAgUCBgIHAggCCQIKAgsCfAINAggCCAIIAggCCAIIAggCCAIIAggCCAIIAggCCAIIAggCCAIPAgMClnNxAH4AAAAAAAJzcQB+AAT///////////////7////+/////3VxAH4ABwAAAAQdsfpMeHh3igIeAAJ6AgICSgIEAgUCBgIHAggCCQJ7AgsCfAINAggCCAIIAggCCAIIAggCCAIIAggCCAIIAggCCAIIAggCCAIPAgMCSwIeAAJ6AgICIAIEAgUCBgIHAggCCQIeAgsCfAINAggCCAIIAggCCAIIAggCCAIIAggCCAIIAggCCAIIAggCCAIPAgMCl3NxAH4AAAAAAAJzcQB+AAT///////////////7////+/////3VxAH4ABwAAAANOuAp4eHdFAh4AAnoCAgIvAgQCBQIGAgcCCAIJAh4CCwJ8Ag0CCAIIAggCCAIIAggCCAIIAggCCAIIAggCCAIIAggCCAIIAg8CAwKYc3EAfgAAAAAAAnNxAH4ABP///////////////v////4AAAABdXEAfgAHAAAABAYbWmp4eHdFAh4AAnoCAgJBAgQCBQIGAgcCCAIJAh4CCwJ8Ag0CCAIIAggCCAIIAggCCAIIAggCCAIIAggCCAIIAggCCAIIAg8CAwKZc3EAfgAAAAAAAnNxAH4ABP///////////////v////7/////dXEAfgAHAAAABA4LHEp4eHdFAh4AAnoCAgI2AgQCBQIGAgcCCAIJAnsCCwJ8Ag0CCAIIAggCCAIIAggCCAIIAggCCAIIAggCCAIIAggCCAIIAg8CAwKac3EAfgAAAAAAAnNxAH4ABP///////////////v////7/////dXEAfgAHAAAAAxKO1Hh4d0UCHgACegICAiICBAIFAgYCBwIIAgkCHgILAnwCDQIIAggCCAIIAggCCAIIAggCCAIIAggCCAIIAggCCAIIAggCDwIDAptzcQB+AAAAAAACc3EAfgAE///////////////+/////v////91cQB+AAcAAAAEHRCpdHh4d0UCHgACegICAk8CBAIFAgYCBwIIAgkCewILAnwCDQIIAggCCAIIAggCCAIIAggCCAIIAggCCAIIAggCCAIIAggCDwIDApxzcQB+AAAAAAACc3EAfgAE///////////////+/////v////91cQB+AAcAAAADEqKoeHh3RQIeAAJ6AgICRwIEAgUCBgIHAggCCQJ7AgsCfAINAggCCAIIAggCCAIIAggCCAIIAggCCAIIAggCCAIIAggCCAIPAgMCnXNxAH4AAAAAAAJzcQB+AAT///////////////7////+/////3VxAH4ABwAAAAMSb0Z4eHdFAh4AAnoCAgI9AgQCBQIGAgcCCAIJAnsCCwJ8Ag0CCAIIAggCCAIIAggCCAIIAggCCAIIAggCCAIIAggCCAIIAg8CAwKec3EAfgAAAAAAAnNxAH4ABP///////////////v////7/////dXEAfgAHAAAAAxJbqXh4d0UCHgACegICAkcCBAIFAgYCBwIIAgkCCgILAnwCDQIIAggCCAIIAggCCAIIAggCCAIIAggCCAIIAggCCAIIAggCDwIDAp9zcQB+AAAAAAACc3EAfgAE///////////////+/////v////91cQB+AAcAAAAEMe+1GXh4d0UCHgACegICAjYCBAIFAgYCBwIIAgkCCgILAnwCDQIIAggCCAIIAggCCAIIAggCCAIIAggCCAIIAggCCAIIAggCDwIDAqBzcQB+AAAAAAACc3EAfgAE///////////////+/////v////91cQB+AAcAAAAEKeDlE3h4d0UCHgACegICAjoCBAIFAgYCBwIIAgkCHgILAnwCDQIIAggCCAIIAggCCAIIAggCCAIIAggCCAIIAggCCAIIAggCDwIDAqFzcQB+AAAAAAACc3EAfgAE///////////////+/////v////91cQB+AAcAAAADMvcReHh3RQIeAAJ6AgICUwIEAgUCBgIHAggCCQIKAgsCfAINAggCCAIIAggCCAIIAggCCAIIAggCCAIIAggCCAIIAggCCAIPAgMConNxAH4AAAAAAAJzcQB+AAT///////////////7////+/////3VxAH4ABwAAAAQ0OVToeHh3RQIeAAJ6AgICSgIEAgUCBgIHAggCCQIeAgsCfAINAggCCAIIAggCCAIIAggCCAIIAggCCAIIAggCCAIIAggCCAIPAgMCo3NxAH4AAAAAAAJzcQB+AAT///////////////7////+/////3VxAH4ABwAAAAQQposkeHh3RQIeAAJ6AgICVwIEAgUCBgIHAggCCQJ7AgsCfAINAggCCAIIAggCCAIIAggCCAIIAggCCAIIAggCCAIIAggCCAIPAgMCpHNxAH4AAAAAAAJzcQB+AAT///////////////7////+/////3VxAH4ABwAAAAMSa1h4eHdFAh4AAnoCAgJXAgQCBQIGAgcCCAIJAgoCCwJ8Ag0CCAIIAggCCAIIAggCCAIIAggCCAIIAggCCAIIAggCCAIIAg8CAwKlc3EAfgAAAAAAAnNxAH4ABP///////////////v////7/////dXEAfgAHAAAABC794JJ4eHdFAh4AAnoCAgIgAgQCBQIGAgcCCAIJAnsCCwJ8Ag0CCAIIAggCCAIIAggCCAIIAggCCAIIAggCCAIIAggCCAIIAg8CAwKmc3EAfgAAAAAAAnNxAH4ABP///////////////v////7/////dXEAfgAHAAAAAxKat3h4d0UCHgACegICAk8CBAIFAgYCBwIIAgkCCgILAnwCDQIIAggCCAIIAggCCAIIAggCCAIIAggCCAIIAggCCAIIAggCDwIDAqdzcQB+AAAAAAACc3EAfgAE///////////////+/////v////91cQB+AAcAAAAEOUUu/nh4d0UCHgACegICAlECBAIFAgYCBwIIAgkCHgILAnwCDQIIAggCCAIIAggCCAIIAggCCAIIAggCCAIIAggCCAIIAggCDwIDAqhzcQB+AAAAAAACc3EAfgAE///////////////+/////v////91cQB+AAcAAAAEFDr3g3h4d0UCHgACegICAk8CBAIFAgYCBwIIAgkCHgILAnwCDQIIAggCCAIIAggCCAIIAggCCAIIAggCCAIIAggCCAIIAggCDwIDAqlzcQB+AAAAAAACc3EAfgAE///////////////+/////gAAAAF1cQB+AAcAAAAEAloS0nh4d0UCHgACegICAiACBAIFAgYCBwIIAgkCCgILAnwCDQIIAggCCAIIAggCCAIIAggCCAIIAggCCAIIAggCCAIIAggCDwIDAqpzcQB+AAAAAAACc3EAfgAE///////////////+/////v////91cQB+AAcAAAAELpGFK3h4d0UCHgACegICAiICBAIFAgYCBwIIAgkCewILAnwCDQIIAggCCAIIAggCCAIIAggCCAIIAggCCAIIAggCCAIIAggCDwIDAqtzcQB+AAAAAAACc3EAfgAE///////////////+/////v////91cQB+AAcAAAADEn8GeHh3RQIeAAJ6AgICRwIEAgUCBgIHAggCCQIeAgsCfAINAggCCAIIAggCCAIIAggCCAIIAggCCAIIAggCCAIIAggCCAIPAgMCrHNxAH4AAAAAAAJzcQB+AAT///////////////7////+/////3VxAH4ABwAAAAOesqp4eHeKAh4AAnoCAgJNAgQCBQIGAgcCCAIJAh4CCwJ8Ag0CCAIIAggCCAIIAggCCAIIAggCCAIIAggCCAIIAggCCAIIAg8CAwKjAh4AAnoCAgI4AgQCBQIGAgcCCAIJAnsCCwJ8Ag0CCAIIAggCCAIIAggCCAIIAggCCAIIAggCCAIIAggCCAIIAg8CAwKtc3EAfgAAAAAAAnNxAH4ABP///////////////v////7/////dXEAfgAHAAAAAxJjf3h4d0UCHgACegICAh0CBAIFAgYCBwIIAgkCCgILAnwCDQIIAggCCAIIAggCCAIIAggCCAIIAggCCAIIAggCCAIIAggCDwIDAq5zcQB+AAAAAAACc3EAfgAE///////////////+/////v////91cQB+AAcAAAAEKxALUXh4d0UCHgACegICAiICBAIFAgYCBwIIAgkCCgILAnwCDQIIAggCCAIIAggCCAIIAggCCAIIAggCCAIIAggCCAIIAggCDwIDAq9zcQB+AAAAAAACc3EAfgAE///////////////+/////v////91cQB+AAcAAAAEFay1n3h4d0UCHgACegICAh0CBAIFAgYCBwIIAgkCewILAnwCDQIIAggCCAIIAggCCAIIAggCCAIIAggCCAIIAggCCAIIAggCDwIDArBzcQB+AAAAAAACc3EAfgAE///////////////+/////v////91cQB+AAcAAAADEmdreHh3RQIeAAJ6AgICKgIEAgUCBgIHAggCCQJ7AgsCfAINAggCCAIIAggCCAIIAggCCAIIAggCCAIIAggCCAIIAggCCAIPAgMCsXNxAH4AAAAAAAJzcQB+AAT///////////////7////+/////3VxAH4ABwAAAAMSlsB4eHdFAh4AAnoCAgJXAgQCBQIGAgcCCAIJAh4CCwJ8Ag0CCAIIAggCCAIIAggCCAIIAggCCAIIAggCCAIIAggCCAIIAg8CAwKyc3EAfgAAAAAAAnNxAH4ABP///////////////v////7/////dXEAfgAHAAAABAEGlGB4eHdFAh4AAnoCAgJTAgQCBQIGAgcCCAIJAh4CCwJ8Ag0CCAIIAggCCAIIAggCCAIIAggCCAIIAggCCAIIAggCCAIIAg8CAwKzc3EAfgAAAAAAAnNxAH4ABP///////////////v////4AAAABdXEAfgAHAAAAA/+JXnh4d0UCHgACegICAjoCBAIFAgYCBwIIAgkCewILAnwCDQIIAggCCAIIAggCCAIIAggCCAIIAggCCAIIAggCCAIIAggCDwIDArRzcQB+AAAAAAACc3EAfgAE///////////////+/////v////91cQB+AAcAAAADEnM1eHh3RQIeAAJ6AgICMQIEAgUCBgIHAggCCQIeAgsCfAINAggCCAIIAggCCAIIAggCCAIIAggCCAIIAggCCAIIAggCCAIPAgMCtXNxAH4AAAAAAAJzcQB+AAT///////////////7////+/////3VxAH4ABwAAAAQIvUgheHh3RQIeAAJ6AgICLAIEAgUCBgIHAggCCQIeAgsCfAINAggCCAIIAggCCAIIAggCCAIIAggCCAIIAggCCAIIAggCCAIPAgMCtnNxAH4AAAAAAAJzcQB+AAT///////////////7////+/////3VxAH4ABwAAAAQEW5IQeHh3RQIeAAJ6AgICGwIEAgUCBgIHAggCCQJ7AgsCfAINAggCCAIIAggCCAIIAggCCAIIAggCCAIIAggCCAIIAggCCAIPAgMCt3NxAH4AAAAAAAJzcQB+AAT///////////////7////+/////3VxAH4ABwAAAAMSksp4eHdFAh4AAnoCAgIDAgQCBQIGAgcCCAIJAnsCCwJ8Ag0CCAIIAggCCAIIAggCCAIIAggCCAIIAggCCAIIAggCCAIIAg8CAwK4c3EAfgAAAAAAAnNxAH4ABP///////////////v////7/////dXEAfgAHAAAAAxJflHh4d0UCHgACegICAjoCBAIFAgYCBwIIAgkCCgILAnwCDQIIAggCCAIIAggCCAIIAggCCAIIAggCCAIIAggCCAIIAggCDwIDArlzcQB+AAAAAAACc3EAfgAE///////////////+/////v////91cQB+AAcAAAAEM7yWknh4d0UCHgACegICAhsCBAIFAgYCBwIIAgkCCgILAnwCDQIIAggCCAIIAggCCAIIAggCCAIIAggCCAIIAggCCAIIAggCDwIDArpzcQB+AAAAAAACc3EAfgAE///////////////+/////v////91cQB+AAcAAAAEKiZPC3h4d0UCHgACegICAiQCBAIFAgYCBwIIAgkCCgILAnwCDQIIAggCCAIIAggCCAIIAggCCAIIAggCCAIIAggCCAIIAggCDwIDArtzcQB+AAAAAAACc3EAfgAE///////////////+/////v////91cQB+AAcAAAAEHCN8kHh4d4oCHgACegICAiQCBAIFAgYCBwIIAgkCewILAnwCDQIIAggCCAIIAggCCAIIAggCCAIIAggCCAIIAggCCAIIAggCDwIDAksCHgACegICAj8CBAIFAgYCBwIIAgkCewILAnwCDQIIAggCCAIIAggCCAIIAggCCAIIAggCCAIIAggCCAIIAggCDwIDArxzcQB+AAAAAAACc3EAfgAE///////////////+/////v////91cQB+AAcAAAADEncleHh3RQIeAAJ6AgICPwIEAgUCBgIHAggCCQIKAgsCfAINAggCCAIIAggCCAIIAggCCAIIAggCCAIIAggCCAIIAggCCAIPAgMCvXNxAH4AAAAAAAJzcQB+AAT///////////////7////+/////3VxAH4ABwAAAAQ0mEcjeHh3RQIeAAJ6AgICAwIEAgUCBgIHAggCCQIKAgsCfAINAggCCAIIAggCCAIIAggCCAIIAggCCAIIAggCCAIIAggCCAIPAgMCvnNxAH4AAAAAAAJzcQB+AAT///////////////7////+/////3VxAH4ABwAAAAQjxnj9eHh3RQIeAAJ6AgICOAIEAgUCBgIHAggCCQIeAgsCfAINAggCCAIIAggCCAIIAggCCAIIAggCCAIIAggCCAIIAggCCAIPAgMCv3NxAH4AAAAAAAJzcQB+AAT///////////////7////+/////3VxAH4ABwAAAAQBzUp3eHh3RQIeAAJ6AgICKgIEAgUCBgIHAggCCQIeAgsCfAINAggCCAIIAggCCAIIAggCCAIIAggCCAIIAggCCAIIAggCCAIPAgMCwHNxAH4AAAAAAAJzcQB+AAT///////////////7////+/////3VxAH4ABwAAAAQBbUrSeHh3RQIeAAJ6AgICUwIEAgUCBgIHAggCCQJ7AgsCfAINAggCCAIIAggCCAIIAggCCAIIAggCCAIIAggCCAIIAggCCAIPAgMCwXNxAH4AAAAAAAJzcQB+AAT///////////////7////+/////3VxAH4ABwAAAAMSnq94eHoAAAQAAh4AAnoCAgJNAgQCBQIGAgcCCAIJAnsCCwJ8Ag0CCAIIAggCCAIIAggCCAIIAggCCAIIAggCCAIIAggCCAIIAg8CAwJLAh4AAnoCAgJNAgQCBQIGAgcCCAIJAgoCCwJ8Ag0CCAIIAggCCAIIAggCCAIIAggCCAIIAggCCAIIAggCCAIIAg8CAwKVAh4AAsIACTQ4MTU1MjkwNAICAk0CBAIFAgYCBwIIAgkCHgILAnwCDQIIAggCCAIIAggCCAIIAggCCAIIAggCCAIIAggCCAIIAggCAQIDAqMCHgACwgICAkcCBAIFAgYCBwIIAgkCHgILAnwCDQIIAggCCAIIAggCCAIIAggCCAIIAggCCAIIAggCCAIIAggCAQIDAqwCHgACwgICAiACBAIFAgYCBwIIAgkCewILAnwCDQIIAggCCAIIAggCCAIIAggCCAIIAggCCAIIAggCCAIIAggCAQIDAqYCHgACwgICAh0CBAIFAgYCBwIIAgkCewILAnwCDQIIAggCCAIIAggCCAIIAggCCAIIAggCCAIIAggCCAIIAggCAQIDArACHgACwgICAiICBAIFAgYCBwIIAgkCewILAnwCDQIIAggCCAIIAggCCAIIAggCCAIIAggCCAIIAggCCAIIAggCAQIDAqsCHgACwgICAh0CBAIFAgYCBwIIAgkCCgILAnwCDQIIAggCCAIIAggCCAIIAggCCAIIAggCCAIIAggCCAIIAggCAQIDAq4CHgACwgICAiACBAIFAgYCBwIIAgkCCgILAnwCDQIIAggCCAIIAggCCAIIAggCCAIIAggCCAIIAggCCAIIAggCAQIDAqoCHgACwgICAk8CBAIFAgYCBwIIAgkCHgILAnwCDQIIAggCCAIIAggCCAIIAggCCAIIAggCCAIIAggCCAIIAggCAQIDAqkCHgACwgICAlECBAIFAgYCBwIIAgkCHgILAnwCDQIIAggCCAIIAggCCAIIAggCCAIIAggCCAIIAggCCAIIAggCAQIDAqgCHgACwgICAigCBAIFAgYCBwIIAgkCewILAnwCDQIIAggCCAIIAggCCAIIAggCCAIIAggCCAIIAggCCAIIAggCAQIDAksCHgACwgICAiYCBAIFAgYCBwIIAgkCewILAnwCDQIIAggCCAIIAggCCAIIAggCCAIIAggCCAIIAggCCAIIAggCAQIDApACHgACwgICAlcCBAIFAgYCBwIIAgkCewILAnwCDQIIAggCCAIIAggCCAIIAggCCAIIAggCCAIIAggCCAIIAggCAQIDAqQCHgACwgICAlMCBAIFAgYCBwIIAgkCewILAnwCDQIIAggCCAIIAggCCAIIAggCCHoAAAQAAggCCAIIAggCCAIIAggCCAIBAgMCwQIeAALCAgICVwIEAgUCBgIHAggCCQIKAgsCfAINAggCCAIIAggCCAIIAggCCAIIAggCCAIIAggCCAIIAggCCAIBAgMCpQIeAALCAgICRwIEAgUCBgIHAggCCQIKAgsCfAINAggCCAIIAggCCAIIAggCCAIIAggCCAIIAggCCAIIAggCCAIBAgMCnwIeAALCAgICAwIEAgUCBgIHAggCCQJ7AgsCfAINAggCCAIIAggCCAIIAggCCAIIAggCCAIIAggCCAIIAggCCAIBAgMCuAIeAALCAgICUwIEAgUCBgIHAggCCQIKAgsCfAINAggCCAIIAggCCAIIAggCCAIIAggCCAIIAggCCAIIAggCCAIBAgMCogIeAALCAgICOgIEAgUCBgIHAggCCQIeAgsCfAINAggCCAIIAggCCAIIAggCCAIIAggCCAIIAggCCAIIAggCCAIBAgMCoQIeAALCAgICQQIEAgUCBgIHAggCCQIeAgsCfAINAggCCAIIAggCCAIIAggCCAIIAggCCAIIAggCCAIIAggCCAIBAgMCmQIeAALCAgICTQIEAgUCBgIHAggCCQIKAgsCfAINAggCCAIIAggCCAIIAggCCAIIAggCCAIIAggCCAIIAggCCAIBAgMClQIeAALCAgICTwIEAgUCBgIHAggCCQJ7AgsCfAINAggCCAIIAggCCAIIAggCCAIIAggCCAIIAggCCAIIAggCCAIBAgMCnAIeAALCAgICJAIEAgUCBgIHAggCCQJ7AgsCfAINAggCCAIIAggCCAIIAggCCAIIAggCCAIIAggCCAIIAggCCAIBAgMCSwIeAALCAgICPwIEAgUCBgIHAggCCQJ7AgsCfAINAggCCAIIAggCCAIIAggCCAIIAggCCAIIAggCCAIIAggCCAIBAgMCvAIeAALCAgICRwIEAgUCBgIHAggCCQJ7AgsCfAINAggCCAIIAggCCAIIAggCCAIIAggCCAIIAggCCAIIAggCCAIBAgMCnQIeAALCAgICHQIEAgUCBgIHAggCCQIeAgsCfAINAggCCAIIAggCCAIIAggCCAIIAggCCAIIAggCCAIIAggCCAIBAgMCkwIeAALCAgICJgIEAgUCBgIHAggCCQIKAgsCfAINAggCCAIIAggCCAIIAggCCAIIAggCCAIIAggCCAIIAggCCAIBAgMCkgIeAALCAgICPwIEAgUCBgIHAggCCQIKAgsCfAINAggCCAIIAggCCAIIAggCCAIIAggCCAIIAggCCAIIAggCCAIBAgMCvQIeAALCAgICUQIEAgUCBgIHAggCCQIKAgsCfAINAggCCAIIAnoAAAQACAIIAggCCAIIAggCCAIIAggCCAIIAggCCAIIAgECAwKWAh4AAsICAgIoAgQCBQIGAgcCCAIJAgoCCwJ8Ag0CCAIIAggCCAIIAggCCAIIAggCCAIIAggCCAIIAggCCAIIAgECAwKUAh4AAsICAgJPAgQCBQIGAgcCCAIJAgoCCwJ8Ag0CCAIIAggCCAIIAggCCAIIAggCCAIIAggCCAIIAggCCAIIAgECAwKnAh4AAsICAgIgAgQCBQIGAgcCCAIJAh4CCwJ8Ag0CCAIIAggCCAIIAggCCAIIAggCCAIIAggCCAIIAggCCAIIAgECAwKXAh4AAsICAgImAgQCBQIGAgcCCAIJAh4CCwJ8Ag0CCAIIAggCCAIIAggCCAIIAggCCAIIAggCCAIIAggCCAIIAgECAwJ/Ah4AAsICAgIqAgQCBQIGAgcCCAIJAgoCCwJ8Ag0CCAIIAggCCAIIAggCCAIIAggCCAIIAggCCAIIAggCCAIIAgECAwKOAh4AAsICAgIxAgQCBQIGAgcCCAIJAnsCCwJ8Ag0CCAIIAggCCAIIAggCCAIIAggCCAIIAggCCAIIAggCCAIIAgECAwJ9Ah4AAsICAgI4AgQCBQIGAgcCCAIJAnsCCwJ8Ag0CCAIIAggCCAIIAggCCAIIAggCCAIIAggCCAIIAggCCAIIAgECAwKtAh4AAsICAgIsAgQCBQIGAgcCCAIJAnsCCwJ8Ag0CCAIIAggCCAIIAggCCAIIAggCCAIIAggCCAIIAggCCAIIAgECAwJ+Ah4AAsICAgI4AgQCBQIGAgcCCAIJAgoCCwJ8Ag0CCAIIAggCCAIIAggCCAIIAggCCAIIAggCCAIIAggCCAIIAgECAwKRAh4AAsICAgI9AgQCBQIGAgcCCAIJAh4CCwJ8Ag0CCAIIAggCCAIIAggCCAIIAggCCAIIAggCCAIIAggCCAIIAgECAwKMAh4AAsICAgI2AgQCBQIGAgcCCAIJAh4CCwJ8Ag0CCAIIAggCCAIIAggCCAIIAggCCAIIAggCCAIIAggCCAIIAgECAwKNAh4AAsICAgIqAgQCBQIGAgcCCAIJAnsCCwJ8Ag0CCAIIAggCCAIIAggCCAIIAggCCAIIAggCCAIIAggCCAIIAgECAwKxAh4AAsICAgJBAgQCBQIGAgcCCAIJAnsCCwJ8Ag0CCAIIAggCCAIIAggCCAIIAggCCAIIAggCCAIIAggCCAIIAgECAwKHAh4AAsICAgI/AgQCBQIGAgcCCAIJAh4CCwJ8Ag0CCAIIAggCCAIIAggCCAIIAggCCAIIAggCCAIIAggCCAIIAgECAwKIAh4AAsICAgIsAgQCBQIGAgcCCAIJAgoCC3oAAAQAAnwCDQIIAggCCAIIAggCCAIIAggCCAIIAggCCAIIAggCCAIIAggCAQIDAokCHgACwgICAgMCBAIFAgYCBwIIAgkCHgILAnwCDQIIAggCCAIIAggCCAIIAggCCAIIAggCCAIIAggCCAIIAggCAQIDAoQCHgACwgICAi8CBAIFAgYCBwIIAgkCCgILAnwCDQIIAggCCAIIAggCCAIIAggCCAIIAggCCAIIAggCCAIIAggCAQIDAoACHgACwgICAjECBAIFAgYCBwIIAgkCCgILAnwCDQIIAggCCAIIAggCCAIIAggCCAIIAggCCAIIAggCCAIIAggCAQIDAoICHgACwgICAhsCBAIFAgYCBwIIAgkCHgILAnwCDQIIAggCCAIIAggCCAIIAggCCAIIAggCCAIIAggCCAIIAggCAQIDAoUCHgACwgICAi8CBAIFAgYCBwIIAgkCHgILAnwCDQIIAggCCAIIAggCCAIIAggCCAIIAggCCAIIAggCCAIIAggCAQIDApgCHgACwgICAigCBAIFAgYCBwIIAgkCHgILAnwCDQIIAggCCAIIAggCCAIIAggCCAIIAggCCAIIAggCCAIIAggCAQIDAoYCHgACwgICAlECBAIFAgYCBwIIAgkCewILAnwCDQIIAggCCAIIAggCCAIIAggCCAIIAggCCAIIAggCCAIIAggCAQIDAo8CHgACwgICAjYCBAIFAgYCBwIIAgkCCgILAnwCDQIIAggCCAIIAggCCAIIAggCCAIIAggCCAIIAggCCAIIAggCAQIDAqACHgACwgICAj0CBAIFAgYCBwIIAgkCCgILAnwCDQIIAggCCAIIAggCCAIIAggCCAIIAggCCAIIAggCCAIIAggCAQIDAoECHgACwgICAjYCBAIFAgYCBwIIAgkCewILAnwCDQIIAggCCAIIAggCCAIIAggCCAIIAggCCAIIAggCCAIIAggCAQIDApoCHgACwgICAiICBAIFAgYCBwIIAgkCHgILAnwCDQIIAggCCAIIAggCCAIIAggCCAIIAggCCAIIAggCCAIIAggCAQIDApsCHgACwgICAiQCBAIFAgYCBwIIAgkCCgILAnwCDQIIAggCCAIIAggCCAIIAggCCAIIAggCCAIIAggCCAIIAggCAQIDArsCHgACwgICAjgCBAIFAgYCBwIIAgkCHgILAnwCDQIIAggCCAIIAggCCAIIAggCCAIIAggCCAIIAggCCAIIAggCAQIDAr8CHgACwgICAioCBAIFAgYCBwIIAgkCHgILAnwCDQIIAggCCAIIAggCCAIIAggCCAIIAggCCAIIAggCCAIIAggCAQIDAsACHgACwgICAk0CBAIFAnoAAAQABgIHAggCCQJ7AgsCfAINAggCCAIIAggCCAIIAggCCAIIAggCCAIIAggCCAIIAggCCAIBAgMCSwIeAALCAgICGwIEAgUCBgIHAggCCQIKAgsCfAINAggCCAIIAggCCAIIAggCCAIIAggCCAIIAggCCAIIAggCCAIBAgMCugIeAALCAgICOgIEAgUCBgIHAggCCQIKAgsCfAINAggCCAIIAggCCAIIAggCCAIIAggCCAIIAggCCAIIAggCCAIBAgMCuQIeAALCAgICAwIEAgUCBgIHAggCCQIKAgsCfAINAggCCAIIAggCCAIIAggCCAIIAggCCAIIAggCCAIIAggCCAIBAgMCvgIeAALCAgICGwIEAgUCBgIHAggCCQJ7AgsCfAINAggCCAIIAggCCAIIAggCCAIIAggCCAIIAggCCAIIAggCCAIBAgMCtwIeAALCAgICPQIEAgUCBgIHAggCCQJ7AgsCfAINAggCCAIIAggCCAIIAggCCAIIAggCCAIIAggCCAIIAggCCAIBAgMCngIeAALCAgICLAIEAgUCBgIHAggCCQIeAgsCfAINAggCCAIIAggCCAIIAggCCAIIAggCCAIIAggCCAIIAggCCAIBAgMCtgIeAALCAgICMQIEAgUCBgIHAggCCQIeAgsCfAINAggCCAIIAggCCAIIAggCCAIIAggCCAIIAggCCAIIAggCCAIBAgMCtQIeAALCAgICVwIEAgUCBgIHAggCCQIeAgsCfAINAggCCAIIAggCCAIIAggCCAIIAggCCAIIAggCCAIIAggCCAIBAgMCsgIeAALCAgICUwIEAgUCBgIHAggCCQIeAgsCfAINAggCCAIIAggCCAIIAggCCAIIAggCCAIIAggCCAIIAggCCAIBAgMCswIeAALCAgICIgIEAgUCBgIHAggCCQIKAgsCfAINAggCCAIIAggCCAIIAggCCAIIAggCCAIIAggCCAIIAggCCAIBAgMCrwIeAALCAgICOgIEAgUCBgIHAggCCQJ7AgsCfAINAggCCAIIAggCCAIIAggCCAIIAggCCAIIAggCCAIIAggCCAIBAgMCtAIeAALCAgICLwIEAgUCBgIHAggCCQJ7AgsCfAINAggCCAIIAggCCAIIAggCCAIIAggCCAIIAggCCAIIAggCCAIBAgMCgwIeAALCAgICQQIEAgUCBgIHAggCCQIKAgsCfAINAggCCAIIAggCCAIIAggCCAIIAggCCAIIAggCCAIIAggCCAIBAgMCigIeAALCAgICJAIEAgUCBgIHAggCCQIeAgsCfAINAggCCAIIAggCCAIIAggCCAIIAggCCAIIAggCCAIIAggCCAIBAgMCiwIeAHdVAsMACTYxODU4MDIyNAICAsQABjIwMTMxMgIEAgUCBgIHAggCCQItAgsCDAINAggCCAIIAggCCAIIAggCCAIIAggCCAIIAggCCAIIAggCCAIWAgMCxXNxAH4AAAAAAAJzcQB+AAT///////////////7////+/////3VxAH4ABwAAAAMU5eR4eHoAAAQAAh4AAsYACTQ4MTU1MTc0NAICAioCBAIFAgYCBwIIAgkCLQILAgwCDQIIAggCCAIIAggCCAIIAggCCAIIAggCCAIIAggCCAIIAggAAgMCagIeAALGAgICIgIEAgUCBgIHAggCCQItAgsCDAINAggCCAIIAggCCAIIAggCCAIIAggCCAIIAggCCAIIAggCCAACAwJoAh4AAsYCAgI4AgQCBQIGAgcCCAIJAi0CCwIMAg0CCAIIAggCCAIIAggCCAIIAggCCAIIAggCCAIIAggCCAIIAAIDAmUCHgACxgICAlECBAIFAgYCBwIIAgkCHgILAgwCDQIIAggCCAIIAggCCAIIAggCCAIIAggCCAIIAggCCAIIAggAAgMCZAIeAALGAgICTwIEAgUCBgIHAggCCQIKAgsCDAINAggCCAIIAggCCAIIAggCCAIIAggCCAIIAggCCAIIAggCCAACAwJiAh4AAsYCAgIoAgQCBQIGAgcCCAIJAi0CCwIMAg0CCAIIAggCCAIIAggCCAIIAggCCAIIAggCCAIIAggCCAIIAAIDAksCHgACxgICAiACBAIFAgYCBwIIAgkCLQILAgwCDQIIAggCCAIIAggCCAIIAggCCAIIAggCCAIIAggCCAIIAggAAgMCYwIeAALGAgICRwIEAgUCBgIHAggCCQIKAgsCDAINAggCCAIIAggCCAIIAggCCAIIAggCCAIIAggCCAIIAggCCAACAwJhAh4AAsYCAgJPAgQCBQIGAgcCCAIJAh4CCwIMAg0CCAIIAggCCAIIAggCCAIIAggCCAIIAggCCAIIAggCCAIIAAIDAmwCHgACxgICAkECBAIFAgYCBwIIAgkCHgILAgwCDQIIAggCCAIIAggCCAIIAggCCAIIAggCCAIIAggCCAIIAggAAgMCXgIeAALGAgICHQIEAgUCBgIHAggCCQItAgsCDAINAggCCAIIAggCCAIIAggCCAIIAggCCAIIAggCCAIIAggCCAACAwJfAh4AAsYCAgJNAgQCBQIGAgcCCAIJAgoCCwIMAg0CCAIIAggCCAIIAggCCAIIAggCCAIIAggCCAIIAggCCAIIAAIDAmACHgACxgICAlcCBAIFAgYCBwIIAgkCCgILAgwCDQIIAggCCAIIAggCCAIIAggCCAIIAggCCAIIAggCCAIIAggAAgMCaQIeAALGAgICUwIEAgUCBgIHAggCCQIKAgsCDAINAggCCAIIAggCCAIIAggCCAIIAggCCAIIAggCCAIIAggCCAACAwJmAh4AAsYCAgI6AgQCBQIGAgcCCAIJAh4CCwIMAg0CCAIIAggCCAIIAggCCAIIAggCCAIIAggCCAIIAggCCHoAAAQAAggAAgMCZwIeAALGAgICLwIEAgUCBgIHAggCCQIeAgsCDAINAggCCAIIAggCCAIIAggCCAIIAggCCAIIAggCCAIIAggCCAACAwJ3Ah4AAsYCAgI2AgQCBQIGAgcCCAIJAh4CCwIMAg0CCAIIAggCCAIIAggCCAIIAggCCAIIAggCCAIIAggCCAIIAAIDAnECHgACxgICAlcCBAIFAgYCBwIIAgkCLQILAgwCDQIIAggCCAIIAggCCAIIAggCCAIIAggCCAIIAggCCAIIAggAAgMCdgIeAALGAgICPwIEAgUCBgIHAggCCQItAgsCDAINAggCCAIIAggCCAIIAggCCAIIAggCCAIIAggCCAIIAggCCAACAwJuAh4AAsYCAgJRAgQCBQIGAgcCCAIJAgoCCwIMAg0CCAIIAggCCAIIAggCCAIIAggCCAIIAggCCAIIAggCCAIIAAIDAngCHgACxgICAkcCBAIFAgYCBwIIAgkCHgILAgwCDQIIAggCCAIIAggCCAIIAggCCAIIAggCCAIIAggCCAIIAggAAgMCawIeAALGAgICMQIEAgUCBgIHAggCCQItAgsCDAINAggCCAIIAggCCAIIAggCCAIIAggCCAIIAggCCAIIAggCCAACAwIyAh4AAsYCAgImAgQCBQIGAgcCCAIJAgoCCwIMAg0CCAIIAggCCAIIAggCCAIIAggCCAIIAggCCAIIAggCCAIIAAIDAicCHgACxgICAigCBAIFAgYCBwIIAgkCCgILAgwCDQIIAggCCAIIAggCCAIIAggCCAIIAggCCAIIAggCCAIIAggAAgMCKQIeAALGAgICHQIEAgUCBgIHAggCCQIeAgsCDAINAggCCAIIAggCCAIIAggCCAIIAggCCAIIAggCCAIIAggCCAACAwIfAh4AAsYCAgIbAgQCBQIGAgcCCAIJAi0CCwIMAg0CCAIIAggCCAIIAggCCAIIAggCCAIIAggCCAIIAggCCAIIAAIDAnMCHgACxgICAiACBAIFAgYCBwIIAgkCHgILAgwCDQIIAggCCAIIAggCCAIIAggCCAIIAggCCAIIAggCCAIIAggAAgMCIQIeAALGAgICAwIEAgUCBgIHAggCCQItAgsCDAINAggCCAIIAggCCAIIAggCCAIIAggCCAIIAggCCAIIAggCCAACAwJtAh4AAsYCAgI9AgQCBQIGAgcCCAIJAh4CCwIMAg0CCAIIAggCCAIIAggCCAIIAggCCAIIAggCCAIIAggCCAIIAAIDAnACHgACxgICAlMCBAIFAgYCBwIIAgkCLQILAgwCDQIIAggCCAIIAggCCAIIAggCCAIIAggCCAIIAggCCAIIAggAAnoAAAQAAwJ5Ah4AAsYCAgIkAgQCBQIGAgcCCAIJAi0CCwIMAg0CCAIIAggCCAIIAggCCAIIAggCCAIIAggCCAIIAggCCAIIAAIDAksCHgACxgICAjgCBAIFAgYCBwIIAgkCCgILAgwCDQIIAggCCAIIAggCCAIIAggCCAIIAggCCAIIAggCCAIIAggAAgMCdAIeAALGAgICKgIEAgUCBgIHAggCCQIKAgsCDAINAggCCAIIAggCCAIIAggCCAIIAggCCAIIAggCCAIIAggCCAACAwJ1Ah4AAsYCAgJNAgQCBQIGAgcCCAIJAi0CCwIMAg0CCAIIAggCCAIIAggCCAIIAggCCAIIAggCCAIIAggCCAIIAAIDAksCHgACxgICAj0CBAIFAgYCBwIIAgkCCgILAgwCDQIIAggCCAIIAggCCAIIAggCCAIIAggCCAIIAggCCAIIAggAAgMCPgIeAALGAgICNgIEAgUCBgIHAggCCQIKAgsCDAINAggCCAIIAggCCAIIAggCCAIIAggCCAIIAggCCAIIAggCCAACAwI3Ah4AAsYCAgI4AgQCBQIGAgcCCAIJAh4CCwIMAg0CCAIIAggCCAIIAggCCAIIAggCCAIIAggCCAIIAggCCAIIAAIDAjkCHgACxgICAigCBAIFAgYCBwIIAgkCHgILAgwCDQIIAggCCAIIAggCCAIIAggCCAIIAggCCAIIAggCCAIIAggAAgMCNAIeAALGAgICKgIEAgUCBgIHAggCCQIeAgsCDAINAggCCAIIAggCCAIIAggCCAIIAggCCAIIAggCCAIIAggCCAACAwIrAh4AAsYCAgJRAgQCBQIGAgcCCAIJAi0CCwIMAg0CCAIIAggCCAIIAggCCAIIAggCCAIIAggCCAIIAggCCAIIAAIDAlICHgACxgICAi8CBAIFAgYCBwIIAgkCCgILAgwCDQIIAggCCAIIAggCCAIIAggCCAIIAggCCAIIAggCCAIIAggAAgMCNQIeAALGAgICJgIEAgUCBgIHAggCCQIeAgsCDAINAggCCAIIAggCCAIIAggCCAIIAggCCAIIAggCCAIIAggCCAACAwIzAh4AAsYCAgIDAgQCBQIGAgcCCAIJAh4CCwIMAg0CCAIIAggCCAIIAggCCAIIAggCCAIIAggCCAIIAggCCAIIAAIDAkYCHgACxgICAiwCBAIFAgYCBwIIAgkCCgILAgwCDQIIAggCCAIIAggCCAIIAggCCAIIAggCCAIIAggCCAIIAggAAgMCcgIeAALGAgICAwIEAgUCBgIHAggCCQIKAgsCDAINAggCCAIIAggCCAIIAggCCAIIAggCCAIIAggCCAIIAggCCAACAwIOAnoAAAQAHgACxgICAjECBAIFAgYCBwIIAgkCCgILAgwCDQIIAggCCAIIAggCCAIIAggCCAIIAggCCAIIAggCCAIIAggAAgMCbwIeAALGAgICLAIEAgUCBgIHAggCCQItAgsCDAINAggCCAIIAggCCAIIAggCCAIIAggCCAIIAggCCAIIAggCCAACAwIuAh4AAsYCAgI6AgQCBQIGAgcCCAIJAi0CCwIMAg0CCAIIAggCCAIIAggCCAIIAggCCAIIAggCCAIIAggCCAIIAAIDAjsCHgACxgICAhsCBAIFAgYCBwIIAgkCHgILAgwCDQIIAggCCAIIAggCCAIIAggCCAIIAggCCAIIAggCCAIIAggAAgMCPAIeAALGAgICPwIEAgUCBgIHAggCCQIKAgsCDAINAggCCAIIAggCCAIIAggCCAIIAggCCAIIAggCCAIIAggCCAACAwJAAh4AAsYCAgIkAgQCBQIGAgcCCAIJAgoCCwIMAg0CCAIIAggCCAIIAggCCAIIAggCCAIIAggCCAIIAggCCAIIAAIDAiUCHgACxgICAiICBAIFAgYCBwIIAgkCHgILAgwCDQIIAggCCAIIAggCCAIIAggCCAIIAggCCAIIAggCCAIIAggAAgMCIwIeAALGAgICQQIEAgUCBgIHAggCCQItAgsCDAINAggCCAIIAggCCAIIAggCCAIIAggCCAIIAggCCAIIAggCCAACAwJCAh4AAsYCAgJXAgQCBQIGAgcCCAIJAh4CCwIMAg0CCAIIAggCCAIIAggCCAIIAggCCAIIAggCCAIIAggCCAIIAAIDAlgCHgACxgICAjYCBAIFAgYCBwIIAgkCLQILAgwCDQIIAggCCAIIAggCCAIIAggCCAIIAggCCAIIAggCCAIIAggAAgMCXQIeAALGAgICMQIEAgUCBgIHAggCCQIeAgsCDAINAggCCAIIAggCCAIIAggCCAIIAggCCAIIAggCCAIIAggCCAACAwJVAh4AAsYCAgJHAgQCBQIGAgcCCAIJAi0CCwIMAg0CCAIIAggCCAIIAggCCAIIAggCCAIIAggCCAIIAggCCAIIAAIDAkgCHgACxgICAj0CBAIFAgYCBwIIAgkCLQILAgwCDQIIAggCCAIIAggCCAIIAggCCAIIAggCCAIIAggCCAIIAggAAgMCWwIeAALGAgICUwIEAgUCBgIHAggCCQIeAgsCDAINAggCCAIIAggCCAIIAggCCAIIAggCCAIIAggCCAIIAggCCAACAwJUAh4AAsYCAgIgAgQCBQIGAgcCCAIJAgoCCwIMAg0CCAIIAggCCAIIAggCCAIIAggCCAIIAggCCAIIAggCCAIIAAIDAkUCHgACxnoAAAMrAgICTwIEAgUCBgIHAggCCQItAgsCDAINAggCCAIIAggCCAIIAggCCAIIAggCCAIIAggCCAIIAggCCAACAwJQAh4AAsYCAgIsAgQCBQIGAgcCCAIJAh4CCwIMAg0CCAIIAggCCAIIAggCCAIIAggCCAIIAggCCAIIAggCCAIIAAIDAlYCHgACxgICAi8CBAIFAgYCBwIIAgkCLQILAgwCDQIIAggCCAIIAggCCAIIAggCCAIIAggCCAIIAggCCAIIAggAAgMCMAIeAALGAgICHQIEAgUCBgIHAggCCQIKAgsCDAINAggCCAIIAggCCAIIAggCCAIIAggCCAIIAggCCAIIAggCCAACAwJMAh4AAsYCAgI/AgQCBQIGAgcCCAIJAh4CCwIMAg0CCAIIAggCCAIIAggCCAIIAggCCAIIAggCCAIIAggCCAIIAAIDAkMCHgACxgICAhsCBAIFAgYCBwIIAgkCCgILAgwCDQIIAggCCAIIAggCCAIIAggCCAIIAggCCAIIAggCCAIIAggAAgMCHAIeAALGAgICTQIEAgUCBgIHAggCCQIeAgsCDAINAggCCAIIAggCCAIIAggCCAIIAggCCAIIAggCCAIIAggCCAACAwJOAh4AAsYCAgIkAgQCBQIGAgcCCAIJAh4CCwIMAg0CCAIIAggCCAIIAggCCAIIAggCCAIIAggCCAIIAggCCAIIAAIDAkQCHgACxgICAiYCBAIFAgYCBwIIAgkCLQILAgwCDQIIAggCCAIIAggCCAIIAggCCAIIAggCCAIIAggCCAIIAggAAgMCSQIeAALGAgICOgIEAgUCBgIHAggCCQIKAgsCDAINAggCCAIIAggCCAIIAggCCAIIAggCCAIIAggCCAIIAggCCAACAwJaAh4AAsYCAgJBAgQCBQIGAgcCCAIJAgoCCwIMAg0CCAIIAggCCAIIAggCCAIIAggCCAIIAggCCAIIAggCCAIIAAIDAlkCHgACxgICAiICBAIFAgYCBwIIAgkCCgILAgwCDQIIAggCCAIIAggCCAIIAggCCAIIAggCCAIIAggCCAIIAggAAgMCXA==]]></xxe4awand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Document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2017-08-31T07:00:00+00:00</OpenedDate>
    <SignificantOrder xmlns="dc463f71-b30c-4ab2-9473-d307f9d35888">false</SignificantOrder>
    <Date1 xmlns="dc463f71-b30c-4ab2-9473-d307f9d35888">2018-03-21T07:00:00+00:00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170932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2BCD095027324CAE9E5703D430B589" ma:contentTypeVersion="104" ma:contentTypeDescription="" ma:contentTypeScope="" ma:versionID="9f0d0700f2f050768a889fad1b856c8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2359B4-E142-477B-BB6A-04A778AA217B}">
  <ds:schemaRefs>
    <ds:schemaRef ds:uri="http://www.excel4apps.com"/>
  </ds:schemaRefs>
</ds:datastoreItem>
</file>

<file path=customXml/itemProps2.xml><?xml version="1.0" encoding="utf-8"?>
<ds:datastoreItem xmlns:ds="http://schemas.openxmlformats.org/officeDocument/2006/customXml" ds:itemID="{22204C84-C0B5-4251-A3EE-3426B7512502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6a7bd91e-004b-490a-8704-e368d63d59a0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334D0E5-A236-485E-9161-5A54601DA00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1431C43-D632-414C-9996-53C9D5A845A4}"/>
</file>

<file path=customXml/itemProps5.xml><?xml version="1.0" encoding="utf-8"?>
<ds:datastoreItem xmlns:ds="http://schemas.openxmlformats.org/officeDocument/2006/customXml" ds:itemID="{183E0920-26AE-478B-88D7-03570E4E3F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39</vt:i4>
      </vt:variant>
    </vt:vector>
  </HeadingPairs>
  <TitlesOfParts>
    <vt:vector size="63" baseType="lpstr">
      <vt:lpstr>PGA Graphs 2012-13</vt:lpstr>
      <vt:lpstr>JE</vt:lpstr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WA - Def-Amtz (current)</vt:lpstr>
      <vt:lpstr>WA - Def-Amtz (Jan)</vt:lpstr>
      <vt:lpstr>PGA Graphs 2013-14</vt:lpstr>
      <vt:lpstr>ID Amort 191015</vt:lpstr>
      <vt:lpstr>ID Amort 191000</vt:lpstr>
      <vt:lpstr>WA Def 191010</vt:lpstr>
      <vt:lpstr>ID Def 191010</vt:lpstr>
      <vt:lpstr>ID Holdback 191015</vt:lpstr>
      <vt:lpstr>Amortization of JP Deferral</vt:lpstr>
      <vt:lpstr>WA Amort 191000</vt:lpstr>
      <vt:lpstr>'Amortization of JP Deferral'!Print_Area</vt:lpstr>
      <vt:lpstr>Apr!Print_Area</vt:lpstr>
      <vt:lpstr>Aug!Print_Area</vt:lpstr>
      <vt:lpstr>Dec!Print_Area</vt:lpstr>
      <vt:lpstr>Feb!Print_Area</vt:lpstr>
      <vt:lpstr>'ID Amort 191000'!Print_Area</vt:lpstr>
      <vt:lpstr>'ID Amort 191015'!Print_Area</vt:lpstr>
      <vt:lpstr>'ID Def 191010'!Print_Area</vt:lpstr>
      <vt:lpstr>'ID Holdback 191015'!Print_Area</vt:lpstr>
      <vt:lpstr>Jan!Print_Area</vt:lpstr>
      <vt:lpstr>JE!Print_Area</vt:lpstr>
      <vt:lpstr>Jul!Print_Area</vt:lpstr>
      <vt:lpstr>Jun!Print_Area</vt:lpstr>
      <vt:lpstr>Mar!Print_Area</vt:lpstr>
      <vt:lpstr>May!Print_Area</vt:lpstr>
      <vt:lpstr>Nov!Print_Area</vt:lpstr>
      <vt:lpstr>Oct!Print_Area</vt:lpstr>
      <vt:lpstr>'PGA Graphs 2012-13'!Print_Area</vt:lpstr>
      <vt:lpstr>'PGA Graphs 2013-14'!Print_Area</vt:lpstr>
      <vt:lpstr>Sep!Print_Area</vt:lpstr>
      <vt:lpstr>'WA - Def-Amtz (current)'!Print_Area</vt:lpstr>
      <vt:lpstr>'WA - Def-Amtz (Jan)'!Print_Area</vt:lpstr>
      <vt:lpstr>'WA Amort 191000'!Print_Area</vt:lpstr>
      <vt:lpstr>'WA Def 191010'!Print_Area</vt:lpstr>
      <vt:lpstr>Apr!Print_Titles</vt:lpstr>
      <vt:lpstr>Aug!Print_Titles</vt:lpstr>
      <vt:lpstr>Dec!Print_Titles</vt:lpstr>
      <vt:lpstr>Feb!Print_Titles</vt:lpstr>
      <vt:lpstr>'ID Def 191010'!Print_Titles</vt:lpstr>
      <vt:lpstr>'ID Holdback 191015'!Print_Titles</vt:lpstr>
      <vt:lpstr>Jan!Print_Titles</vt:lpstr>
      <vt:lpstr>Jul!Print_Titles</vt:lpstr>
      <vt:lpstr>Jun!Print_Titles</vt:lpstr>
      <vt:lpstr>Mar!Print_Titles</vt:lpstr>
      <vt:lpstr>May!Print_Titles</vt:lpstr>
      <vt:lpstr>Nov!Print_Titles</vt:lpstr>
      <vt:lpstr>Oct!Print_Titles</vt:lpstr>
      <vt:lpstr>Sep!Print_Titles</vt:lpstr>
      <vt:lpstr>'WA Def 191010'!Print_Titles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Huey, Lorilyn (UTC)</cp:lastModifiedBy>
  <cp:lastPrinted>2018-03-06T23:22:58Z</cp:lastPrinted>
  <dcterms:created xsi:type="dcterms:W3CDTF">2003-05-01T14:02:57Z</dcterms:created>
  <dcterms:modified xsi:type="dcterms:W3CDTF">2018-03-21T20:55:31Z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0x0101006E56B4D1795A2E4DB2F0B01679ED314A00A02BCD095027324CAE9E5703D430B589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