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Capital Progress Reports - Wildfire and EIM\2022 July 15 - EIM\"/>
    </mc:Choice>
  </mc:AlternateContent>
  <xr:revisionPtr revIDLastSave="0" documentId="13_ncr:1_{F2174A5A-678B-4898-AD86-80C148663111}" xr6:coauthVersionLast="46" xr6:coauthVersionMax="46" xr10:uidLastSave="{00000000-0000-0000-0000-000000000000}"/>
  <bookViews>
    <workbookView xWindow="28680" yWindow="-120" windowWidth="29040" windowHeight="15840" tabRatio="820" xr2:uid="{00000000-000D-0000-FFFF-FFFF01000000}"/>
  </bookViews>
  <sheets>
    <sheet name="RR Model-Refund Calc pg 1" sheetId="28" r:id="rId1"/>
    <sheet name="ADJ-E - PF pg 2" sheetId="14" r:id="rId2"/>
    <sheet name="Sum Cost -Act vs Auth pg 3" sheetId="26" r:id="rId3"/>
    <sheet name="Summary-Cost-E - PF.PV pg 4" sheetId="9" r:id="rId4"/>
    <sheet name="EIM - 2020 WA E Detail - Actual" sheetId="20" r:id="rId5"/>
    <sheet name="EIM - 2021 WA E Detail - Auth" sheetId="21" r:id="rId6"/>
    <sheet name="EIM - 2021 WA E Detail - Actual" sheetId="25" r:id="rId7"/>
    <sheet name="EIM - 2022 WA E Detail - Auth" sheetId="24" r:id="rId8"/>
    <sheet name="EIM - 2022 WA E Detail - Actual" sheetId="2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4" hidden="1">'EIM - 2020 WA E Detail - Actual'!$A$3:$AG$6</definedName>
    <definedName name="_xlnm._FilterDatabase" localSheetId="6" hidden="1">'EIM - 2021 WA E Detail - Actual'!$A$3:$AG$3</definedName>
    <definedName name="_xlnm._FilterDatabase" localSheetId="5" hidden="1">'EIM - 2021 WA E Detail - Auth'!$A$3:$R$6</definedName>
    <definedName name="_xlnm._FilterDatabase" localSheetId="7" hidden="1">'EIM - 2022 WA E Detail - Auth'!$A$3:$R$5</definedName>
    <definedName name="a">#REF!,#REF!</definedName>
    <definedName name="Allocation_Categories" localSheetId="4">OFFSET('[1]Allocation Factors'!$A$4,0,0,COUNTA('[1]Allocation Factors'!$A:$A)-COUNTA('[1]Allocation Factors'!$A$1:$A$3),1)</definedName>
    <definedName name="Allocation_Categories" localSheetId="5">OFFSET('[1]Allocation Factors'!$A$4,0,0,COUNTA('[1]Allocation Factors'!$A:$A)-COUNTA('[1]Allocation Factors'!$A$1:$A$3),1)</definedName>
    <definedName name="Allocation_Categories" localSheetId="7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Allocators">'[3]OR-ALL'!$C$8:$J$97</definedName>
    <definedName name="_xlnm.Auto_Open" localSheetId="4">#REF!</definedName>
    <definedName name="_xlnm.Auto_Open" localSheetId="5">#REF!</definedName>
    <definedName name="_xlnm.Auto_Open" localSheetId="7">#REF!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[4]!_xlnm.Database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'[5]DEBT CALC'!#REF!</definedName>
    <definedName name="Macro1" localSheetId="4">#REF!</definedName>
    <definedName name="Macro1" localSheetId="5">#REF!</definedName>
    <definedName name="Macro1" localSheetId="7">#REF!</definedName>
    <definedName name="Macro1">#REF!</definedName>
    <definedName name="Macro10" localSheetId="4">#REF!</definedName>
    <definedName name="Macro10" localSheetId="5">#REF!</definedName>
    <definedName name="Macro10" localSheetId="7">#REF!</definedName>
    <definedName name="Macro10">#REF!</definedName>
    <definedName name="Macro11" localSheetId="4">#REF!</definedName>
    <definedName name="Macro11" localSheetId="5">#REF!</definedName>
    <definedName name="Macro11" localSheetId="7">#REF!</definedName>
    <definedName name="Macro11">#REF!</definedName>
    <definedName name="Macro12" localSheetId="4">#REF!</definedName>
    <definedName name="Macro12" localSheetId="5">#REF!</definedName>
    <definedName name="Macro12" localSheetId="7">#REF!</definedName>
    <definedName name="Macro12">#REF!</definedName>
    <definedName name="Macro2" localSheetId="4">#REF!</definedName>
    <definedName name="Macro2" localSheetId="5">#REF!</definedName>
    <definedName name="Macro2" localSheetId="7">#REF!</definedName>
    <definedName name="Macro2">#REF!</definedName>
    <definedName name="Macro3" localSheetId="4">#REF!</definedName>
    <definedName name="Macro3" localSheetId="5">#REF!</definedName>
    <definedName name="Macro3" localSheetId="7">#REF!</definedName>
    <definedName name="Macro3">#REF!</definedName>
    <definedName name="Macro4" localSheetId="4">#REF!</definedName>
    <definedName name="Macro4" localSheetId="5">#REF!</definedName>
    <definedName name="Macro4" localSheetId="7">#REF!</definedName>
    <definedName name="Macro4">#REF!</definedName>
    <definedName name="Macro5" localSheetId="4">#REF!</definedName>
    <definedName name="Macro5" localSheetId="5">#REF!</definedName>
    <definedName name="Macro5" localSheetId="7">#REF!</definedName>
    <definedName name="Macro5">#REF!</definedName>
    <definedName name="Macro6" localSheetId="4">#REF!</definedName>
    <definedName name="Macro6" localSheetId="5">#REF!</definedName>
    <definedName name="Macro6" localSheetId="7">#REF!</definedName>
    <definedName name="Macro6">#REF!</definedName>
    <definedName name="Macro7" localSheetId="4">#REF!</definedName>
    <definedName name="Macro7" localSheetId="5">#REF!</definedName>
    <definedName name="Macro7" localSheetId="7">#REF!</definedName>
    <definedName name="Macro7">#REF!</definedName>
    <definedName name="Macro8" localSheetId="4">#REF!</definedName>
    <definedName name="Macro8" localSheetId="5">#REF!</definedName>
    <definedName name="Macro8" localSheetId="7">#REF!</definedName>
    <definedName name="Macro8">#REF!</definedName>
    <definedName name="Macro9" localSheetId="4">#REF!</definedName>
    <definedName name="Macro9" localSheetId="5">#REF!</definedName>
    <definedName name="Macro9" localSheetId="7">#REF!</definedName>
    <definedName name="Macro9">#REF!</definedName>
    <definedName name="months">[3]DATA!$H$2</definedName>
    <definedName name="_xlnm.Print_Area" localSheetId="4">'EIM - 2020 WA E Detail - Actual'!$A$1:$AG$18</definedName>
    <definedName name="_xlnm.Print_Area" localSheetId="5">'EIM - 2021 WA E Detail - Auth'!$A$1:$AG$17</definedName>
    <definedName name="_xlnm.Print_Area" localSheetId="7">'EIM - 2022 WA E Detail - Auth'!$A$1:$AG$8</definedName>
    <definedName name="_xlnm.Print_Area" localSheetId="0">'RR Model-Refund Calc pg 1'!$A$1:$S$93</definedName>
    <definedName name="_xlnm.Print_Area" localSheetId="3">'Summary-Cost-E - PF.PV pg 4'!$A$3:$AL$116</definedName>
    <definedName name="Print_for_Checking">'[5]ADJ SUMMARY'!#REF!:'[5]ADJ SUMMARY'!#REF!</definedName>
    <definedName name="_xlnm.Print_Titles" localSheetId="3">'Summary-Cost-E - PF.PV pg 4'!$A:$C</definedName>
    <definedName name="rbcalc">[3]DATA!$H$3</definedName>
    <definedName name="rbcalc_heading">[3]DATA!$H$5</definedName>
    <definedName name="Recover" localSheetId="4">#REF!</definedName>
    <definedName name="Recover" localSheetId="5">#REF!</definedName>
    <definedName name="Recover" localSheetId="7">#REF!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[3]DATA!$H$4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'[5]DEBT CALC'!#REF!</definedName>
    <definedName name="wrn.All._.Sheets." localSheetId="0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4" l="1"/>
  <c r="K13" i="27"/>
  <c r="AR43" i="26"/>
  <c r="AR44" i="26" s="1"/>
  <c r="K17" i="27"/>
  <c r="AG7" i="26"/>
  <c r="AH7" i="26"/>
  <c r="AI7" i="26"/>
  <c r="AJ7" i="26"/>
  <c r="AK7" i="26"/>
  <c r="AL7" i="26"/>
  <c r="AM7" i="26"/>
  <c r="AN7" i="26"/>
  <c r="AO7" i="26"/>
  <c r="AP7" i="26"/>
  <c r="AQ7" i="26"/>
  <c r="AG8" i="26"/>
  <c r="AH8" i="26"/>
  <c r="AI8" i="26"/>
  <c r="AJ8" i="26"/>
  <c r="AK8" i="26"/>
  <c r="AL8" i="26"/>
  <c r="AM8" i="26"/>
  <c r="AN8" i="26"/>
  <c r="AO8" i="26"/>
  <c r="AP8" i="26"/>
  <c r="AQ8" i="26"/>
  <c r="AG9" i="26"/>
  <c r="AH9" i="26"/>
  <c r="AI9" i="26"/>
  <c r="AJ9" i="26"/>
  <c r="AK9" i="26"/>
  <c r="AL9" i="26"/>
  <c r="AM9" i="26"/>
  <c r="AN9" i="26"/>
  <c r="AO9" i="26"/>
  <c r="AP9" i="26"/>
  <c r="AQ9" i="26"/>
  <c r="AG10" i="26"/>
  <c r="AH10" i="26"/>
  <c r="AI10" i="26"/>
  <c r="AJ10" i="26"/>
  <c r="AK10" i="26"/>
  <c r="AL10" i="26"/>
  <c r="AM10" i="26"/>
  <c r="AN10" i="26"/>
  <c r="AO10" i="26"/>
  <c r="AP10" i="26"/>
  <c r="AQ10" i="26"/>
  <c r="AG11" i="26"/>
  <c r="AH11" i="26"/>
  <c r="AI11" i="26"/>
  <c r="AJ11" i="26"/>
  <c r="AK11" i="26"/>
  <c r="AL11" i="26"/>
  <c r="AM11" i="26"/>
  <c r="AN11" i="26"/>
  <c r="AO11" i="26"/>
  <c r="AP11" i="26"/>
  <c r="AQ11" i="26"/>
  <c r="AG12" i="26"/>
  <c r="AH12" i="26"/>
  <c r="AI12" i="26"/>
  <c r="AJ12" i="26"/>
  <c r="AK12" i="26"/>
  <c r="AL12" i="26"/>
  <c r="AM12" i="26"/>
  <c r="AN12" i="26"/>
  <c r="AO12" i="26"/>
  <c r="AP12" i="26"/>
  <c r="AQ12" i="26"/>
  <c r="AG13" i="26"/>
  <c r="AH13" i="26"/>
  <c r="AI13" i="26"/>
  <c r="AJ13" i="26"/>
  <c r="AK13" i="26"/>
  <c r="AL13" i="26"/>
  <c r="AM13" i="26"/>
  <c r="AN13" i="26"/>
  <c r="AO13" i="26"/>
  <c r="AP13" i="26"/>
  <c r="AQ13" i="26"/>
  <c r="AF13" i="26"/>
  <c r="AF12" i="26"/>
  <c r="AF11" i="26"/>
  <c r="AF10" i="26"/>
  <c r="AF9" i="26"/>
  <c r="AF8" i="26"/>
  <c r="AF7" i="26"/>
  <c r="T7" i="26"/>
  <c r="U7" i="26"/>
  <c r="V7" i="26"/>
  <c r="W7" i="26"/>
  <c r="X7" i="26"/>
  <c r="Y7" i="26"/>
  <c r="Z7" i="26"/>
  <c r="AA7" i="26"/>
  <c r="AB7" i="26"/>
  <c r="AC7" i="26"/>
  <c r="AD7" i="26"/>
  <c r="T8" i="26"/>
  <c r="U8" i="26"/>
  <c r="V8" i="26"/>
  <c r="W8" i="26"/>
  <c r="X8" i="26"/>
  <c r="Y8" i="26"/>
  <c r="Z8" i="26"/>
  <c r="AA8" i="26"/>
  <c r="AB8" i="26"/>
  <c r="AC8" i="26"/>
  <c r="AD8" i="26"/>
  <c r="T9" i="26"/>
  <c r="U9" i="26"/>
  <c r="V9" i="26"/>
  <c r="W9" i="26"/>
  <c r="X9" i="26"/>
  <c r="Y9" i="26"/>
  <c r="Z9" i="26"/>
  <c r="AA9" i="26"/>
  <c r="AB9" i="26"/>
  <c r="AC9" i="26"/>
  <c r="AD9" i="26"/>
  <c r="T10" i="26"/>
  <c r="U10" i="26"/>
  <c r="V10" i="26"/>
  <c r="W10" i="26"/>
  <c r="X10" i="26"/>
  <c r="Y10" i="26"/>
  <c r="Z10" i="26"/>
  <c r="AA10" i="26"/>
  <c r="AB10" i="26"/>
  <c r="AC10" i="26"/>
  <c r="AD10" i="26"/>
  <c r="T11" i="26"/>
  <c r="U11" i="26"/>
  <c r="V11" i="26"/>
  <c r="W11" i="26"/>
  <c r="X11" i="26"/>
  <c r="Y11" i="26"/>
  <c r="Z11" i="26"/>
  <c r="AA11" i="26"/>
  <c r="AB11" i="26"/>
  <c r="AC11" i="26"/>
  <c r="AD11" i="26"/>
  <c r="T12" i="26"/>
  <c r="U12" i="26"/>
  <c r="V12" i="26"/>
  <c r="W12" i="26"/>
  <c r="X12" i="26"/>
  <c r="Y12" i="26"/>
  <c r="Z12" i="26"/>
  <c r="AA12" i="26"/>
  <c r="AB12" i="26"/>
  <c r="AC12" i="26"/>
  <c r="AD12" i="26"/>
  <c r="T13" i="26"/>
  <c r="U13" i="26"/>
  <c r="V13" i="26"/>
  <c r="W13" i="26"/>
  <c r="X13" i="26"/>
  <c r="Y13" i="26"/>
  <c r="Z13" i="26"/>
  <c r="AA13" i="26"/>
  <c r="AB13" i="26"/>
  <c r="AC13" i="26"/>
  <c r="AD13" i="26"/>
  <c r="S13" i="26"/>
  <c r="S12" i="26"/>
  <c r="S11" i="26"/>
  <c r="S10" i="26"/>
  <c r="S9" i="26"/>
  <c r="S8" i="26"/>
  <c r="S7" i="26"/>
  <c r="AM19" i="26"/>
  <c r="AM32" i="26" s="1"/>
  <c r="AN19" i="26"/>
  <c r="AO19" i="26"/>
  <c r="AP19" i="26"/>
  <c r="AQ19" i="26"/>
  <c r="AM20" i="26"/>
  <c r="AM33" i="26" s="1"/>
  <c r="AN20" i="26"/>
  <c r="AN33" i="26" s="1"/>
  <c r="AO20" i="26"/>
  <c r="AP20" i="26"/>
  <c r="AQ20" i="26"/>
  <c r="AL21" i="26"/>
  <c r="AL34" i="26" s="1"/>
  <c r="AM21" i="26"/>
  <c r="AM34" i="26" s="1"/>
  <c r="AN21" i="26"/>
  <c r="AO21" i="26"/>
  <c r="AP21" i="26"/>
  <c r="AQ21" i="26"/>
  <c r="AL22" i="26"/>
  <c r="AM22" i="26"/>
  <c r="AN22" i="26"/>
  <c r="AO22" i="26"/>
  <c r="AP22" i="26"/>
  <c r="AQ22" i="26"/>
  <c r="AN23" i="26"/>
  <c r="AN36" i="26" s="1"/>
  <c r="AO23" i="26"/>
  <c r="AP23" i="26"/>
  <c r="AQ23" i="26"/>
  <c r="AN24" i="26"/>
  <c r="AO24" i="26"/>
  <c r="AP24" i="26"/>
  <c r="AQ24" i="26"/>
  <c r="AN25" i="26"/>
  <c r="AN38" i="26" s="1"/>
  <c r="AO25" i="26"/>
  <c r="AP25" i="26"/>
  <c r="AQ25" i="26"/>
  <c r="L23" i="28"/>
  <c r="AS43" i="26"/>
  <c r="AG6" i="24"/>
  <c r="V13" i="27"/>
  <c r="W13" i="27"/>
  <c r="X13" i="27"/>
  <c r="Y13" i="27"/>
  <c r="AC13" i="27"/>
  <c r="AD13" i="27"/>
  <c r="AE13" i="27"/>
  <c r="AF13" i="27"/>
  <c r="U13" i="27"/>
  <c r="L55" i="28"/>
  <c r="L54" i="28"/>
  <c r="AA26" i="9"/>
  <c r="AE19" i="9"/>
  <c r="AF19" i="9"/>
  <c r="AL19" i="9"/>
  <c r="AD19" i="9"/>
  <c r="R19" i="9"/>
  <c r="AD20" i="9"/>
  <c r="AE15" i="9"/>
  <c r="AF15" i="9"/>
  <c r="AG15" i="9"/>
  <c r="AH15" i="9"/>
  <c r="AI15" i="9"/>
  <c r="AK15" i="9"/>
  <c r="AL15" i="9"/>
  <c r="AE16" i="9"/>
  <c r="AF16" i="9"/>
  <c r="AH16" i="9"/>
  <c r="AI16" i="9"/>
  <c r="AK16" i="9"/>
  <c r="AL16" i="9"/>
  <c r="AE17" i="9"/>
  <c r="AF17" i="9"/>
  <c r="AG17" i="9"/>
  <c r="AH17" i="9"/>
  <c r="AI17" i="9"/>
  <c r="AJ17" i="9"/>
  <c r="AK17" i="9"/>
  <c r="AL17" i="9"/>
  <c r="AE18" i="9"/>
  <c r="AF18" i="9"/>
  <c r="AG18" i="9"/>
  <c r="AH18" i="9"/>
  <c r="AI18" i="9"/>
  <c r="AJ18" i="9"/>
  <c r="AK18" i="9"/>
  <c r="AL18" i="9"/>
  <c r="AE20" i="9"/>
  <c r="AF20" i="9"/>
  <c r="AL20" i="9"/>
  <c r="AE21" i="9"/>
  <c r="AF21" i="9"/>
  <c r="AL21" i="9"/>
  <c r="AD21" i="9"/>
  <c r="AD18" i="9"/>
  <c r="AD17" i="9"/>
  <c r="AD16" i="9"/>
  <c r="AD15" i="9"/>
  <c r="S15" i="9"/>
  <c r="T15" i="9"/>
  <c r="U15" i="9"/>
  <c r="V15" i="9"/>
  <c r="W15" i="9"/>
  <c r="X15" i="9"/>
  <c r="Y15" i="9"/>
  <c r="Z15" i="9"/>
  <c r="AA15" i="9"/>
  <c r="AB15" i="9"/>
  <c r="AC15" i="9"/>
  <c r="S16" i="9"/>
  <c r="T16" i="9"/>
  <c r="U16" i="9"/>
  <c r="V16" i="9"/>
  <c r="W16" i="9"/>
  <c r="X16" i="9"/>
  <c r="Y16" i="9"/>
  <c r="Z16" i="9"/>
  <c r="AA16" i="9"/>
  <c r="AB16" i="9"/>
  <c r="AC16" i="9"/>
  <c r="S17" i="9"/>
  <c r="T17" i="9"/>
  <c r="U17" i="9"/>
  <c r="V17" i="9"/>
  <c r="W17" i="9"/>
  <c r="X17" i="9"/>
  <c r="Y17" i="9"/>
  <c r="Z17" i="9"/>
  <c r="AA17" i="9"/>
  <c r="AB17" i="9"/>
  <c r="AC17" i="9"/>
  <c r="S18" i="9"/>
  <c r="T18" i="9"/>
  <c r="U18" i="9"/>
  <c r="V18" i="9"/>
  <c r="W18" i="9"/>
  <c r="X18" i="9"/>
  <c r="Y18" i="9"/>
  <c r="Z18" i="9"/>
  <c r="AA18" i="9"/>
  <c r="AB18" i="9"/>
  <c r="AC18" i="9"/>
  <c r="S19" i="9"/>
  <c r="T19" i="9"/>
  <c r="U19" i="9"/>
  <c r="V19" i="9"/>
  <c r="W19" i="9"/>
  <c r="X19" i="9"/>
  <c r="Y19" i="9"/>
  <c r="Z19" i="9"/>
  <c r="AA19" i="9"/>
  <c r="AB19" i="9"/>
  <c r="AC19" i="9"/>
  <c r="S20" i="9"/>
  <c r="T20" i="9"/>
  <c r="U20" i="9"/>
  <c r="V20" i="9"/>
  <c r="W20" i="9"/>
  <c r="X20" i="9"/>
  <c r="Y20" i="9"/>
  <c r="Z20" i="9"/>
  <c r="AA20" i="9"/>
  <c r="AB20" i="9"/>
  <c r="AC20" i="9"/>
  <c r="S21" i="9"/>
  <c r="T21" i="9"/>
  <c r="U21" i="9"/>
  <c r="V21" i="9"/>
  <c r="W21" i="9"/>
  <c r="X21" i="9"/>
  <c r="Y21" i="9"/>
  <c r="Z21" i="9"/>
  <c r="AA21" i="9"/>
  <c r="AB21" i="9"/>
  <c r="AC21" i="9"/>
  <c r="R21" i="9"/>
  <c r="R20" i="9"/>
  <c r="R18" i="9"/>
  <c r="R15" i="9"/>
  <c r="R17" i="9"/>
  <c r="R16" i="9"/>
  <c r="AI19" i="26"/>
  <c r="AJ19" i="26"/>
  <c r="AK19" i="26"/>
  <c r="AJ20" i="26"/>
  <c r="AK20" i="26"/>
  <c r="AI21" i="26"/>
  <c r="AJ21" i="26"/>
  <c r="AK21" i="26"/>
  <c r="AI22" i="26"/>
  <c r="AJ22" i="26"/>
  <c r="AK22" i="26"/>
  <c r="L4" i="27" l="1"/>
  <c r="M4" i="27" s="1"/>
  <c r="L9" i="27"/>
  <c r="M9" i="27" s="1"/>
  <c r="L10" i="27"/>
  <c r="M10" i="27" s="1"/>
  <c r="L11" i="27"/>
  <c r="M11" i="27" s="1"/>
  <c r="L5" i="27"/>
  <c r="M5" i="27" s="1"/>
  <c r="L6" i="27"/>
  <c r="M6" i="27" s="1"/>
  <c r="AN37" i="26"/>
  <c r="AN35" i="26"/>
  <c r="AL35" i="26"/>
  <c r="AN34" i="26"/>
  <c r="AM35" i="26"/>
  <c r="AN32" i="26"/>
  <c r="AI34" i="26"/>
  <c r="AK33" i="26"/>
  <c r="AK35" i="26"/>
  <c r="AK32" i="26"/>
  <c r="AK34" i="26"/>
  <c r="AI35" i="26"/>
  <c r="AJ33" i="26"/>
  <c r="AI32" i="26"/>
  <c r="AJ35" i="26"/>
  <c r="AJ34" i="26"/>
  <c r="AJ32" i="26"/>
  <c r="R7" i="27"/>
  <c r="R8" i="27"/>
  <c r="R11" i="27"/>
  <c r="W6" i="24"/>
  <c r="R9" i="27" l="1"/>
  <c r="R10" i="27"/>
  <c r="R6" i="27"/>
  <c r="AG19" i="26"/>
  <c r="AH19" i="26"/>
  <c r="AF19" i="26"/>
  <c r="AG8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AF9" i="27"/>
  <c r="AE9" i="27"/>
  <c r="AD9" i="27"/>
  <c r="AC9" i="27"/>
  <c r="AB9" i="27"/>
  <c r="AA9" i="27"/>
  <c r="Z9" i="27"/>
  <c r="Y9" i="27"/>
  <c r="X9" i="27"/>
  <c r="W9" i="27"/>
  <c r="V9" i="27"/>
  <c r="U9" i="27"/>
  <c r="AF8" i="27"/>
  <c r="AE8" i="27"/>
  <c r="AD8" i="27"/>
  <c r="AC8" i="27"/>
  <c r="AB8" i="27"/>
  <c r="AA8" i="27"/>
  <c r="Z8" i="27"/>
  <c r="Y8" i="27"/>
  <c r="X8" i="27"/>
  <c r="W8" i="27"/>
  <c r="V8" i="27"/>
  <c r="U8" i="27"/>
  <c r="AF7" i="27"/>
  <c r="AE7" i="27"/>
  <c r="AD7" i="27"/>
  <c r="AC7" i="27"/>
  <c r="AB7" i="27"/>
  <c r="AA7" i="27"/>
  <c r="Z7" i="27"/>
  <c r="Y7" i="27"/>
  <c r="X7" i="27"/>
  <c r="AG7" i="27" s="1"/>
  <c r="W7" i="27"/>
  <c r="V7" i="27"/>
  <c r="U7" i="27"/>
  <c r="AF6" i="27"/>
  <c r="AE6" i="27"/>
  <c r="AD6" i="27"/>
  <c r="AC6" i="27"/>
  <c r="AB6" i="27"/>
  <c r="AA6" i="27"/>
  <c r="Z6" i="27"/>
  <c r="Y6" i="27"/>
  <c r="X6" i="27"/>
  <c r="W6" i="27"/>
  <c r="V6" i="27"/>
  <c r="U6" i="27"/>
  <c r="AF5" i="27"/>
  <c r="AE5" i="27"/>
  <c r="AD5" i="27"/>
  <c r="AC5" i="27"/>
  <c r="AB5" i="27"/>
  <c r="AM25" i="26" s="1"/>
  <c r="AM38" i="26" s="1"/>
  <c r="AA5" i="27"/>
  <c r="AL25" i="26" s="1"/>
  <c r="AL38" i="26" s="1"/>
  <c r="Y5" i="27"/>
  <c r="X5" i="27"/>
  <c r="W5" i="27"/>
  <c r="V5" i="27"/>
  <c r="U5" i="27"/>
  <c r="AL20" i="26" l="1"/>
  <c r="AL33" i="26" s="1"/>
  <c r="AJ16" i="9"/>
  <c r="AL19" i="26"/>
  <c r="AL32" i="26" s="1"/>
  <c r="AJ15" i="9"/>
  <c r="AG6" i="27"/>
  <c r="AG11" i="27"/>
  <c r="AK20" i="9"/>
  <c r="AM24" i="26"/>
  <c r="AM37" i="26" s="1"/>
  <c r="AJ20" i="9"/>
  <c r="AL24" i="26"/>
  <c r="AL37" i="26" s="1"/>
  <c r="AG9" i="27"/>
  <c r="AG10" i="27"/>
  <c r="AK24" i="26"/>
  <c r="AK37" i="26" s="1"/>
  <c r="AI20" i="9"/>
  <c r="AK21" i="9"/>
  <c r="AJ21" i="9"/>
  <c r="AG16" i="9"/>
  <c r="AI20" i="26"/>
  <c r="AG20" i="9"/>
  <c r="AI24" i="26"/>
  <c r="AH20" i="9"/>
  <c r="AJ24" i="26"/>
  <c r="AJ37" i="26" s="1"/>
  <c r="AJ25" i="26"/>
  <c r="AH21" i="9"/>
  <c r="AI25" i="26"/>
  <c r="AG21" i="9"/>
  <c r="AR19" i="26"/>
  <c r="H79" i="28"/>
  <c r="J79" i="28" s="1"/>
  <c r="L79" i="28" s="1"/>
  <c r="H78" i="28"/>
  <c r="J78" i="28" s="1"/>
  <c r="L78" i="28" s="1"/>
  <c r="G76" i="28"/>
  <c r="H76" i="28" s="1"/>
  <c r="G73" i="28"/>
  <c r="F73" i="28"/>
  <c r="H72" i="28"/>
  <c r="H71" i="28"/>
  <c r="H70" i="28"/>
  <c r="H69" i="28"/>
  <c r="H68" i="28"/>
  <c r="G68" i="28"/>
  <c r="F66" i="28"/>
  <c r="F74" i="28" s="1"/>
  <c r="F77" i="28" s="1"/>
  <c r="F81" i="28" s="1"/>
  <c r="H65" i="28"/>
  <c r="H64" i="28"/>
  <c r="H63" i="28"/>
  <c r="H62" i="28"/>
  <c r="G61" i="28"/>
  <c r="H61" i="28" s="1"/>
  <c r="F46" i="28"/>
  <c r="H45" i="28"/>
  <c r="L45" i="28" s="1"/>
  <c r="H44" i="28"/>
  <c r="L44" i="28" s="1"/>
  <c r="G43" i="28"/>
  <c r="G46" i="28" s="1"/>
  <c r="H42" i="28"/>
  <c r="L42" i="28" s="1"/>
  <c r="H39" i="28"/>
  <c r="L39" i="28" s="1"/>
  <c r="H38" i="28"/>
  <c r="L38" i="28" s="1"/>
  <c r="H37" i="28"/>
  <c r="L37" i="28" s="1"/>
  <c r="F35" i="28"/>
  <c r="H34" i="28"/>
  <c r="L34" i="28" s="1"/>
  <c r="H33" i="28"/>
  <c r="L33" i="28" s="1"/>
  <c r="G32" i="28"/>
  <c r="G35" i="28" s="1"/>
  <c r="H31" i="28"/>
  <c r="L31" i="28" s="1"/>
  <c r="F28" i="28"/>
  <c r="H27" i="28"/>
  <c r="L27" i="28" s="1"/>
  <c r="H26" i="28"/>
  <c r="L26" i="28" s="1"/>
  <c r="G25" i="28"/>
  <c r="G28" i="28" s="1"/>
  <c r="H24" i="28"/>
  <c r="L24" i="28" s="1"/>
  <c r="H19" i="28"/>
  <c r="J19" i="28" s="1"/>
  <c r="L19" i="28" s="1"/>
  <c r="H18" i="28"/>
  <c r="J18" i="28" s="1"/>
  <c r="L18" i="28" s="1"/>
  <c r="H17" i="28"/>
  <c r="J17" i="28" s="1"/>
  <c r="L17" i="28" s="1"/>
  <c r="H16" i="28"/>
  <c r="J16" i="28" s="1"/>
  <c r="L16" i="28" s="1"/>
  <c r="H15" i="28"/>
  <c r="J15" i="28" s="1"/>
  <c r="L15" i="28" s="1"/>
  <c r="H14" i="28"/>
  <c r="J14" i="28" s="1"/>
  <c r="L14" i="28" s="1"/>
  <c r="H73" i="28" l="1"/>
  <c r="H66" i="28"/>
  <c r="H74" i="28" s="1"/>
  <c r="H77" i="28" s="1"/>
  <c r="H81" i="28" s="1"/>
  <c r="G66" i="28"/>
  <c r="G74" i="28" s="1"/>
  <c r="G77" i="28" s="1"/>
  <c r="G81" i="28" s="1"/>
  <c r="G53" i="28" s="1"/>
  <c r="F47" i="28"/>
  <c r="F49" i="28" s="1"/>
  <c r="F52" i="28" s="1"/>
  <c r="F57" i="28" s="1"/>
  <c r="F88" i="28" s="1"/>
  <c r="F89" i="28" s="1"/>
  <c r="F83" i="28" s="1"/>
  <c r="AI38" i="26"/>
  <c r="AI33" i="26"/>
  <c r="AI37" i="26"/>
  <c r="AJ38" i="26"/>
  <c r="G47" i="28"/>
  <c r="G49" i="28" s="1"/>
  <c r="F53" i="28"/>
  <c r="H53" i="28"/>
  <c r="H43" i="28"/>
  <c r="H46" i="28" s="1"/>
  <c r="H25" i="28"/>
  <c r="H28" i="28" s="1"/>
  <c r="H32" i="28"/>
  <c r="H35" i="28" s="1"/>
  <c r="H47" i="28" l="1"/>
  <c r="H49" i="28" s="1"/>
  <c r="G52" i="28"/>
  <c r="G57" i="28" s="1"/>
  <c r="G88" i="28" l="1"/>
  <c r="G89" i="28" s="1"/>
  <c r="G83" i="28" s="1"/>
  <c r="H52" i="28"/>
  <c r="H57" i="28" s="1"/>
  <c r="H88" i="28" s="1"/>
  <c r="H89" i="28" s="1"/>
  <c r="H83" i="28" s="1"/>
  <c r="U4" i="25" l="1"/>
  <c r="AO14" i="26" l="1"/>
  <c r="AP14" i="26"/>
  <c r="AQ14" i="26"/>
  <c r="AG20" i="26"/>
  <c r="AH20" i="26"/>
  <c r="AG21" i="26"/>
  <c r="AH21" i="26"/>
  <c r="AG22" i="26"/>
  <c r="AH22" i="26"/>
  <c r="AG24" i="26"/>
  <c r="AH24" i="26"/>
  <c r="AF24" i="26"/>
  <c r="AF22" i="26"/>
  <c r="AF21" i="26"/>
  <c r="AF20" i="26"/>
  <c r="R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U7" i="25"/>
  <c r="V7" i="25"/>
  <c r="W7" i="25"/>
  <c r="X7" i="25"/>
  <c r="Y7" i="25"/>
  <c r="Z7" i="25"/>
  <c r="AA7" i="25"/>
  <c r="AB7" i="25"/>
  <c r="AC7" i="25"/>
  <c r="AD7" i="25"/>
  <c r="AE7" i="25"/>
  <c r="AF7" i="25"/>
  <c r="U8" i="25"/>
  <c r="V8" i="25"/>
  <c r="W8" i="25"/>
  <c r="X8" i="25"/>
  <c r="Y8" i="25"/>
  <c r="Z8" i="25"/>
  <c r="AA8" i="25"/>
  <c r="AB8" i="25"/>
  <c r="AC8" i="25"/>
  <c r="AD8" i="25"/>
  <c r="AE8" i="25"/>
  <c r="AF8" i="25"/>
  <c r="U9" i="25"/>
  <c r="V9" i="25"/>
  <c r="W9" i="25"/>
  <c r="X9" i="25"/>
  <c r="Y9" i="25"/>
  <c r="Z9" i="25"/>
  <c r="AA9" i="25"/>
  <c r="AB9" i="25"/>
  <c r="AC9" i="25"/>
  <c r="AD9" i="25"/>
  <c r="AE9" i="25"/>
  <c r="AF9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R20" i="26" l="1"/>
  <c r="AR21" i="26"/>
  <c r="AR22" i="26"/>
  <c r="AR24" i="26"/>
  <c r="AG9" i="25"/>
  <c r="AG13" i="25"/>
  <c r="AG17" i="25"/>
  <c r="AG7" i="25"/>
  <c r="AG19" i="25"/>
  <c r="AG22" i="25"/>
  <c r="AG21" i="25"/>
  <c r="AG8" i="25"/>
  <c r="AG12" i="25"/>
  <c r="AG23" i="25"/>
  <c r="AG20" i="25"/>
  <c r="AG18" i="25"/>
  <c r="AG15" i="25"/>
  <c r="AG11" i="25"/>
  <c r="AG24" i="25"/>
  <c r="AG16" i="25"/>
  <c r="AG14" i="25"/>
  <c r="AG10" i="25"/>
  <c r="AG14" i="27" l="1"/>
  <c r="AF4" i="27"/>
  <c r="AE4" i="27"/>
  <c r="AD4" i="27"/>
  <c r="AC4" i="27"/>
  <c r="AB4" i="27"/>
  <c r="AA4" i="27"/>
  <c r="AL23" i="26" s="1"/>
  <c r="AL36" i="26" s="1"/>
  <c r="Z4" i="27"/>
  <c r="Y4" i="27"/>
  <c r="X4" i="27"/>
  <c r="W4" i="27"/>
  <c r="AH23" i="26" s="1"/>
  <c r="V4" i="27"/>
  <c r="AG23" i="26" s="1"/>
  <c r="U4" i="27"/>
  <c r="AF23" i="26" s="1"/>
  <c r="R4" i="27"/>
  <c r="Z19" i="26"/>
  <c r="T21" i="26"/>
  <c r="AB21" i="26"/>
  <c r="T22" i="26"/>
  <c r="U22" i="26"/>
  <c r="V22" i="26"/>
  <c r="W22" i="26"/>
  <c r="X22" i="26"/>
  <c r="Y22" i="26"/>
  <c r="Z22" i="26"/>
  <c r="AA22" i="26"/>
  <c r="AB22" i="26"/>
  <c r="AC22" i="26"/>
  <c r="AD22" i="26"/>
  <c r="X25" i="26"/>
  <c r="S22" i="26"/>
  <c r="S19" i="26"/>
  <c r="AG32" i="26"/>
  <c r="AH32" i="26"/>
  <c r="AG33" i="26"/>
  <c r="AH33" i="26"/>
  <c r="AG34" i="26"/>
  <c r="AH34" i="26"/>
  <c r="AG37" i="26"/>
  <c r="AH37" i="26"/>
  <c r="E6" i="26"/>
  <c r="F6" i="26"/>
  <c r="G6" i="26"/>
  <c r="H6" i="26"/>
  <c r="I6" i="26"/>
  <c r="J6" i="26"/>
  <c r="K6" i="26"/>
  <c r="L6" i="26"/>
  <c r="M6" i="26"/>
  <c r="N6" i="26"/>
  <c r="O6" i="26"/>
  <c r="P6" i="26"/>
  <c r="AN6" i="26"/>
  <c r="AO6" i="26" s="1"/>
  <c r="AP6" i="26" s="1"/>
  <c r="AQ6" i="26" s="1"/>
  <c r="T6" i="26"/>
  <c r="U6" i="26"/>
  <c r="V6" i="26"/>
  <c r="W6" i="26"/>
  <c r="X6" i="26"/>
  <c r="Y6" i="26"/>
  <c r="Z6" i="26"/>
  <c r="AA6" i="26"/>
  <c r="AB6" i="26"/>
  <c r="AC6" i="26"/>
  <c r="AD6" i="26"/>
  <c r="AF6" i="26"/>
  <c r="AG6" i="26"/>
  <c r="AH6" i="26"/>
  <c r="AI6" i="26"/>
  <c r="AJ6" i="26"/>
  <c r="AK6" i="26"/>
  <c r="AL6" i="26"/>
  <c r="AM6" i="26"/>
  <c r="S6" i="26"/>
  <c r="AG31" i="25"/>
  <c r="AG29" i="25"/>
  <c r="AD25" i="26"/>
  <c r="AC25" i="26"/>
  <c r="AB25" i="26"/>
  <c r="AA25" i="26"/>
  <c r="Z25" i="26"/>
  <c r="Y25" i="26"/>
  <c r="W25" i="26"/>
  <c r="V25" i="26"/>
  <c r="U25" i="26"/>
  <c r="T25" i="26"/>
  <c r="S25" i="26"/>
  <c r="AF27" i="25"/>
  <c r="AE27" i="25"/>
  <c r="AD27" i="25"/>
  <c r="AC27" i="25"/>
  <c r="AB27" i="25"/>
  <c r="AA27" i="25"/>
  <c r="Z27" i="25"/>
  <c r="Y27" i="25"/>
  <c r="W20" i="26" s="1"/>
  <c r="X27" i="25"/>
  <c r="W27" i="25"/>
  <c r="V27" i="25"/>
  <c r="U27" i="25"/>
  <c r="S20" i="26" s="1"/>
  <c r="AF26" i="25"/>
  <c r="AD21" i="26" s="1"/>
  <c r="AE26" i="25"/>
  <c r="AC21" i="26" s="1"/>
  <c r="AD26" i="25"/>
  <c r="AC26" i="25"/>
  <c r="AA21" i="26" s="1"/>
  <c r="AB26" i="25"/>
  <c r="Z21" i="26" s="1"/>
  <c r="AA26" i="25"/>
  <c r="Y21" i="26" s="1"/>
  <c r="Z26" i="25"/>
  <c r="X21" i="26" s="1"/>
  <c r="Y26" i="25"/>
  <c r="W21" i="26" s="1"/>
  <c r="X26" i="25"/>
  <c r="V21" i="26" s="1"/>
  <c r="W26" i="25"/>
  <c r="U21" i="26" s="1"/>
  <c r="V26" i="25"/>
  <c r="U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AF6" i="25"/>
  <c r="AE6" i="25"/>
  <c r="AD6" i="25"/>
  <c r="AC6" i="25"/>
  <c r="AB6" i="25"/>
  <c r="AA6" i="25"/>
  <c r="Z6" i="25"/>
  <c r="Y6" i="25"/>
  <c r="X6" i="25"/>
  <c r="W6" i="25"/>
  <c r="V6" i="25"/>
  <c r="U6" i="25"/>
  <c r="AF5" i="25"/>
  <c r="AD20" i="26" s="1"/>
  <c r="AE5" i="25"/>
  <c r="AC20" i="26" s="1"/>
  <c r="AD5" i="25"/>
  <c r="AB20" i="26" s="1"/>
  <c r="AC5" i="25"/>
  <c r="AA20" i="26" s="1"/>
  <c r="AB5" i="25"/>
  <c r="Z20" i="26" s="1"/>
  <c r="AA5" i="25"/>
  <c r="Y20" i="26" s="1"/>
  <c r="Z5" i="25"/>
  <c r="X20" i="26" s="1"/>
  <c r="Y5" i="25"/>
  <c r="X5" i="25"/>
  <c r="V20" i="26" s="1"/>
  <c r="W5" i="25"/>
  <c r="U20" i="26" s="1"/>
  <c r="V5" i="25"/>
  <c r="T20" i="26" s="1"/>
  <c r="U5" i="25"/>
  <c r="AF4" i="25"/>
  <c r="AE4" i="25"/>
  <c r="AD4" i="25"/>
  <c r="AC4" i="25"/>
  <c r="AB4" i="25"/>
  <c r="AA4" i="25"/>
  <c r="Z4" i="25"/>
  <c r="Y4" i="25"/>
  <c r="X4" i="25"/>
  <c r="V24" i="26" s="1"/>
  <c r="W4" i="25"/>
  <c r="U19" i="26" s="1"/>
  <c r="V4" i="25"/>
  <c r="T24" i="26" s="1"/>
  <c r="S24" i="26"/>
  <c r="R4" i="25"/>
  <c r="AK19" i="9" l="1"/>
  <c r="AM23" i="26"/>
  <c r="AM36" i="26" s="1"/>
  <c r="AB13" i="27"/>
  <c r="AJ19" i="9"/>
  <c r="AA13" i="27"/>
  <c r="AI19" i="9"/>
  <c r="AK23" i="26"/>
  <c r="AK36" i="26" s="1"/>
  <c r="AI23" i="26"/>
  <c r="AI26" i="26" s="1"/>
  <c r="AG19" i="9"/>
  <c r="AG4" i="27"/>
  <c r="AJ23" i="26"/>
  <c r="AH19" i="9"/>
  <c r="AF35" i="26"/>
  <c r="AF37" i="26"/>
  <c r="AR37" i="26" s="1"/>
  <c r="AR12" i="26"/>
  <c r="AF34" i="26"/>
  <c r="AR34" i="26" s="1"/>
  <c r="AR9" i="26"/>
  <c r="AF33" i="26"/>
  <c r="AR8" i="26"/>
  <c r="AF32" i="26"/>
  <c r="AR32" i="26" s="1"/>
  <c r="AR7" i="26"/>
  <c r="AH36" i="26"/>
  <c r="AG36" i="26"/>
  <c r="AF36" i="26"/>
  <c r="AB19" i="26"/>
  <c r="AD30" i="25"/>
  <c r="AA19" i="26"/>
  <c r="AC30" i="25"/>
  <c r="AN26" i="26"/>
  <c r="AG25" i="26"/>
  <c r="AG26" i="26" s="1"/>
  <c r="AH25" i="26"/>
  <c r="AH26" i="26" s="1"/>
  <c r="AC19" i="26"/>
  <c r="AE30" i="25"/>
  <c r="AD19" i="26"/>
  <c r="AF30" i="25"/>
  <c r="AF25" i="26"/>
  <c r="U30" i="25"/>
  <c r="X24" i="26"/>
  <c r="Z30" i="25"/>
  <c r="Y19" i="26"/>
  <c r="AA30" i="25"/>
  <c r="Z24" i="26"/>
  <c r="AB30" i="25"/>
  <c r="AE20" i="26"/>
  <c r="AE25" i="26"/>
  <c r="AE22" i="26"/>
  <c r="W23" i="26"/>
  <c r="Y30" i="25"/>
  <c r="S23" i="26"/>
  <c r="T23" i="26"/>
  <c r="AB23" i="26"/>
  <c r="AC24" i="26"/>
  <c r="Y24" i="26"/>
  <c r="AD23" i="26"/>
  <c r="Y23" i="26"/>
  <c r="AB24" i="26"/>
  <c r="R30" i="25"/>
  <c r="AG26" i="25"/>
  <c r="AC23" i="26"/>
  <c r="AD24" i="26"/>
  <c r="AA23" i="26"/>
  <c r="W24" i="26"/>
  <c r="Z23" i="26"/>
  <c r="U24" i="26"/>
  <c r="X23" i="26"/>
  <c r="AA24" i="26"/>
  <c r="V23" i="26"/>
  <c r="U23" i="26"/>
  <c r="X30" i="25"/>
  <c r="AG6" i="25"/>
  <c r="AG25" i="25"/>
  <c r="S21" i="26"/>
  <c r="AG5" i="25"/>
  <c r="X19" i="26"/>
  <c r="W30" i="25"/>
  <c r="W19" i="26"/>
  <c r="V19" i="26"/>
  <c r="AG4" i="25"/>
  <c r="V30" i="25"/>
  <c r="AG27" i="25"/>
  <c r="T19" i="26"/>
  <c r="AM26" i="26" l="1"/>
  <c r="AM27" i="26" s="1"/>
  <c r="AL26" i="26"/>
  <c r="AL27" i="26" s="1"/>
  <c r="AI36" i="26"/>
  <c r="AR23" i="26"/>
  <c r="AJ26" i="26"/>
  <c r="AJ27" i="26" s="1"/>
  <c r="AJ36" i="26"/>
  <c r="AR11" i="26"/>
  <c r="AF26" i="26"/>
  <c r="AF27" i="26" s="1"/>
  <c r="AR33" i="26"/>
  <c r="AI27" i="26"/>
  <c r="AO39" i="26"/>
  <c r="AO26" i="26"/>
  <c r="AH27" i="26"/>
  <c r="AG30" i="25"/>
  <c r="AG27" i="26"/>
  <c r="AQ39" i="26"/>
  <c r="AQ26" i="26"/>
  <c r="AP39" i="26"/>
  <c r="AP26" i="26"/>
  <c r="AN27" i="26"/>
  <c r="AE19" i="26"/>
  <c r="AE21" i="26"/>
  <c r="AE24" i="26"/>
  <c r="Z26" i="26"/>
  <c r="Z27" i="26" s="1"/>
  <c r="AE23" i="26"/>
  <c r="S26" i="26"/>
  <c r="S27" i="26" s="1"/>
  <c r="AB26" i="26"/>
  <c r="AB27" i="26" s="1"/>
  <c r="AC26" i="26"/>
  <c r="AC27" i="26" s="1"/>
  <c r="AA26" i="26"/>
  <c r="AA27" i="26" s="1"/>
  <c r="V26" i="26"/>
  <c r="V27" i="26" s="1"/>
  <c r="W26" i="26"/>
  <c r="W27" i="26" s="1"/>
  <c r="Y26" i="26"/>
  <c r="Y27" i="26" s="1"/>
  <c r="AD26" i="26"/>
  <c r="AD27" i="26" s="1"/>
  <c r="T26" i="26"/>
  <c r="T27" i="26" s="1"/>
  <c r="U26" i="26"/>
  <c r="U27" i="26" s="1"/>
  <c r="X26" i="26"/>
  <c r="X27" i="26" s="1"/>
  <c r="AR36" i="26" l="1"/>
  <c r="AE26" i="26"/>
  <c r="Q59" i="9" l="1"/>
  <c r="Q60" i="9"/>
  <c r="Q61" i="9"/>
  <c r="Q62" i="9"/>
  <c r="Q63" i="9"/>
  <c r="Q64" i="9"/>
  <c r="T35" i="26"/>
  <c r="U35" i="26"/>
  <c r="V35" i="26"/>
  <c r="W35" i="26"/>
  <c r="X35" i="26"/>
  <c r="Y35" i="26"/>
  <c r="Z35" i="26"/>
  <c r="AA35" i="26"/>
  <c r="AB35" i="26"/>
  <c r="AC35" i="26"/>
  <c r="AD35" i="26"/>
  <c r="T37" i="26"/>
  <c r="U37" i="26"/>
  <c r="V37" i="26"/>
  <c r="W37" i="26"/>
  <c r="X37" i="26"/>
  <c r="Y37" i="26"/>
  <c r="Z37" i="26"/>
  <c r="AA37" i="26"/>
  <c r="AB37" i="26"/>
  <c r="AC37" i="26"/>
  <c r="AD37" i="26"/>
  <c r="AR10" i="26" l="1"/>
  <c r="S37" i="26"/>
  <c r="AE37" i="26" s="1"/>
  <c r="AE12" i="26"/>
  <c r="AH35" i="26"/>
  <c r="AE10" i="26"/>
  <c r="S35" i="26"/>
  <c r="AE35" i="26" s="1"/>
  <c r="AG35" i="26"/>
  <c r="V4" i="24"/>
  <c r="AG38" i="26" s="1"/>
  <c r="W4" i="24"/>
  <c r="AH38" i="26" s="1"/>
  <c r="X4" i="24"/>
  <c r="Y4" i="24"/>
  <c r="Z4" i="24"/>
  <c r="AA4" i="24"/>
  <c r="AB4" i="24"/>
  <c r="AC4" i="24"/>
  <c r="AD4" i="24"/>
  <c r="AE4" i="24"/>
  <c r="AF4" i="24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V10" i="21"/>
  <c r="W10" i="21"/>
  <c r="X10" i="21"/>
  <c r="Y10" i="21"/>
  <c r="Z10" i="21"/>
  <c r="AA10" i="21"/>
  <c r="AB10" i="21"/>
  <c r="AC10" i="21"/>
  <c r="AD10" i="21"/>
  <c r="AE10" i="21"/>
  <c r="AF10" i="21"/>
  <c r="V11" i="21"/>
  <c r="W11" i="21"/>
  <c r="X11" i="21"/>
  <c r="Y11" i="21"/>
  <c r="Z11" i="21"/>
  <c r="AA11" i="21"/>
  <c r="AB11" i="21"/>
  <c r="AC11" i="21"/>
  <c r="AD11" i="21"/>
  <c r="AE11" i="21"/>
  <c r="AF11" i="21"/>
  <c r="V12" i="21"/>
  <c r="W12" i="21"/>
  <c r="X12" i="21"/>
  <c r="Y12" i="21"/>
  <c r="Z12" i="21"/>
  <c r="AA12" i="21"/>
  <c r="AB12" i="21"/>
  <c r="AC12" i="21"/>
  <c r="AD12" i="21"/>
  <c r="AE12" i="21"/>
  <c r="AF12" i="21"/>
  <c r="U5" i="21"/>
  <c r="U6" i="21"/>
  <c r="U7" i="21"/>
  <c r="U8" i="21"/>
  <c r="U9" i="21"/>
  <c r="U10" i="21"/>
  <c r="U11" i="21"/>
  <c r="U12" i="21"/>
  <c r="U4" i="21"/>
  <c r="R5" i="20"/>
  <c r="R6" i="20"/>
  <c r="R7" i="20"/>
  <c r="R8" i="20"/>
  <c r="R9" i="20"/>
  <c r="R10" i="20"/>
  <c r="R11" i="20"/>
  <c r="R12" i="20"/>
  <c r="R13" i="20"/>
  <c r="R14" i="20"/>
  <c r="R15" i="20"/>
  <c r="R4" i="20"/>
  <c r="U14" i="20"/>
  <c r="E19" i="26" s="1"/>
  <c r="V14" i="20"/>
  <c r="F19" i="26" s="1"/>
  <c r="W14" i="20"/>
  <c r="G19" i="26" s="1"/>
  <c r="X14" i="20"/>
  <c r="H19" i="26" s="1"/>
  <c r="Y14" i="20"/>
  <c r="I19" i="26" s="1"/>
  <c r="Z14" i="20"/>
  <c r="J19" i="26" s="1"/>
  <c r="AA14" i="20"/>
  <c r="K19" i="26" s="1"/>
  <c r="AB14" i="20"/>
  <c r="L19" i="26" s="1"/>
  <c r="AC14" i="20"/>
  <c r="M19" i="26" s="1"/>
  <c r="AD14" i="20"/>
  <c r="N19" i="26" s="1"/>
  <c r="AE14" i="20"/>
  <c r="O19" i="26" s="1"/>
  <c r="AF14" i="20"/>
  <c r="P19" i="26" s="1"/>
  <c r="U5" i="20"/>
  <c r="V5" i="20"/>
  <c r="W5" i="20"/>
  <c r="X5" i="20"/>
  <c r="Y5" i="20"/>
  <c r="Z5" i="20"/>
  <c r="AA5" i="20"/>
  <c r="AB5" i="20"/>
  <c r="AC5" i="20"/>
  <c r="AD5" i="20"/>
  <c r="AE5" i="20"/>
  <c r="AF5" i="20"/>
  <c r="U6" i="20"/>
  <c r="V6" i="20"/>
  <c r="W6" i="20"/>
  <c r="X6" i="20"/>
  <c r="Y6" i="20"/>
  <c r="Z6" i="20"/>
  <c r="AA6" i="20"/>
  <c r="AB6" i="20"/>
  <c r="AC6" i="20"/>
  <c r="AD6" i="20"/>
  <c r="AE6" i="20"/>
  <c r="AF6" i="20"/>
  <c r="U7" i="20"/>
  <c r="V7" i="20"/>
  <c r="W7" i="20"/>
  <c r="X7" i="20"/>
  <c r="Y7" i="20"/>
  <c r="Z7" i="20"/>
  <c r="AA7" i="20"/>
  <c r="AB7" i="20"/>
  <c r="AC7" i="20"/>
  <c r="AD7" i="20"/>
  <c r="AE7" i="20"/>
  <c r="AF7" i="20"/>
  <c r="U8" i="20"/>
  <c r="E25" i="26" s="1"/>
  <c r="V8" i="20"/>
  <c r="F25" i="26" s="1"/>
  <c r="W8" i="20"/>
  <c r="G25" i="26" s="1"/>
  <c r="X8" i="20"/>
  <c r="Y8" i="20"/>
  <c r="Z8" i="20"/>
  <c r="AA8" i="20"/>
  <c r="AB8" i="20"/>
  <c r="L25" i="26" s="1"/>
  <c r="AC8" i="20"/>
  <c r="M25" i="26" s="1"/>
  <c r="AD8" i="20"/>
  <c r="N25" i="26" s="1"/>
  <c r="AE8" i="20"/>
  <c r="O25" i="26" s="1"/>
  <c r="AF8" i="20"/>
  <c r="U9" i="20"/>
  <c r="V9" i="20"/>
  <c r="W9" i="20"/>
  <c r="X9" i="20"/>
  <c r="Y9" i="20"/>
  <c r="Z9" i="20"/>
  <c r="AA9" i="20"/>
  <c r="AB9" i="20"/>
  <c r="AC9" i="20"/>
  <c r="AD9" i="20"/>
  <c r="AE9" i="20"/>
  <c r="AF9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U15" i="20"/>
  <c r="E20" i="26" s="1"/>
  <c r="V15" i="20"/>
  <c r="F20" i="26" s="1"/>
  <c r="W15" i="20"/>
  <c r="G20" i="26" s="1"/>
  <c r="X15" i="20"/>
  <c r="H20" i="26" s="1"/>
  <c r="Y15" i="20"/>
  <c r="I20" i="26" s="1"/>
  <c r="Z15" i="20"/>
  <c r="J20" i="26" s="1"/>
  <c r="AA15" i="20"/>
  <c r="K20" i="26" s="1"/>
  <c r="AB15" i="20"/>
  <c r="L20" i="26" s="1"/>
  <c r="AC15" i="20"/>
  <c r="M20" i="26" s="1"/>
  <c r="AD15" i="20"/>
  <c r="N20" i="26" s="1"/>
  <c r="AE15" i="20"/>
  <c r="O20" i="26" s="1"/>
  <c r="AF15" i="20"/>
  <c r="P20" i="26" s="1"/>
  <c r="V4" i="20"/>
  <c r="W4" i="20"/>
  <c r="X4" i="20"/>
  <c r="Y4" i="20"/>
  <c r="Z4" i="20"/>
  <c r="AA4" i="20"/>
  <c r="AB4" i="20"/>
  <c r="AC4" i="20"/>
  <c r="AD4" i="20"/>
  <c r="AE4" i="20"/>
  <c r="AF4" i="20"/>
  <c r="U4" i="20"/>
  <c r="AR35" i="26" l="1"/>
  <c r="AG14" i="26"/>
  <c r="AT37" i="26"/>
  <c r="Q20" i="26"/>
  <c r="R20" i="26" s="1"/>
  <c r="M20" i="9"/>
  <c r="M12" i="26" s="1"/>
  <c r="M24" i="26"/>
  <c r="E20" i="9"/>
  <c r="E12" i="26" s="1"/>
  <c r="E24" i="26"/>
  <c r="E21" i="26"/>
  <c r="Q19" i="26"/>
  <c r="R19" i="26" s="1"/>
  <c r="AD15" i="21"/>
  <c r="V15" i="21"/>
  <c r="AJ14" i="26"/>
  <c r="E19" i="9"/>
  <c r="E23" i="26"/>
  <c r="U16" i="20"/>
  <c r="I19" i="9"/>
  <c r="I11" i="26" s="1"/>
  <c r="Y16" i="20"/>
  <c r="I23" i="26"/>
  <c r="P18" i="9"/>
  <c r="P10" i="26" s="1"/>
  <c r="P22" i="26"/>
  <c r="H18" i="9"/>
  <c r="H10" i="26" s="1"/>
  <c r="H22" i="26"/>
  <c r="L20" i="9"/>
  <c r="L12" i="26" s="1"/>
  <c r="L24" i="26"/>
  <c r="L21" i="26"/>
  <c r="AC15" i="21"/>
  <c r="AT35" i="26"/>
  <c r="AJ39" i="26"/>
  <c r="AB16" i="20"/>
  <c r="L23" i="26"/>
  <c r="G21" i="26"/>
  <c r="M21" i="26"/>
  <c r="AF16" i="20"/>
  <c r="P23" i="26"/>
  <c r="H23" i="26"/>
  <c r="X16" i="20"/>
  <c r="O18" i="9"/>
  <c r="O10" i="26" s="1"/>
  <c r="O22" i="26"/>
  <c r="K25" i="26"/>
  <c r="AH14" i="26"/>
  <c r="N18" i="9"/>
  <c r="N10" i="26" s="1"/>
  <c r="N22" i="26"/>
  <c r="F18" i="9"/>
  <c r="F10" i="26" s="1"/>
  <c r="F22" i="26"/>
  <c r="J20" i="9"/>
  <c r="J12" i="26" s="1"/>
  <c r="J24" i="26"/>
  <c r="J21" i="26"/>
  <c r="AA15" i="21"/>
  <c r="AH39" i="26"/>
  <c r="N19" i="9"/>
  <c r="N11" i="26" s="1"/>
  <c r="AD16" i="20"/>
  <c r="N23" i="26"/>
  <c r="F19" i="9"/>
  <c r="F11" i="26" s="1"/>
  <c r="V16" i="20"/>
  <c r="F23" i="26"/>
  <c r="M18" i="9"/>
  <c r="M10" i="26" s="1"/>
  <c r="M22" i="26"/>
  <c r="E18" i="9"/>
  <c r="E10" i="26" s="1"/>
  <c r="E22" i="26"/>
  <c r="I20" i="9"/>
  <c r="I12" i="26" s="1"/>
  <c r="I24" i="26"/>
  <c r="I25" i="26"/>
  <c r="I21" i="26"/>
  <c r="Z15" i="21"/>
  <c r="AI14" i="26"/>
  <c r="K18" i="9"/>
  <c r="K10" i="26" s="1"/>
  <c r="K22" i="26"/>
  <c r="AF15" i="21"/>
  <c r="J19" i="9"/>
  <c r="J11" i="26" s="1"/>
  <c r="Z16" i="20"/>
  <c r="J23" i="26"/>
  <c r="I18" i="9"/>
  <c r="I10" i="26" s="1"/>
  <c r="I22" i="26"/>
  <c r="G18" i="9"/>
  <c r="G10" i="26" s="1"/>
  <c r="G22" i="26"/>
  <c r="K20" i="9"/>
  <c r="K12" i="26" s="1"/>
  <c r="K24" i="26"/>
  <c r="K21" i="26"/>
  <c r="AB15" i="21"/>
  <c r="O19" i="9"/>
  <c r="O11" i="26" s="1"/>
  <c r="AE16" i="20"/>
  <c r="O23" i="26"/>
  <c r="G19" i="9"/>
  <c r="G11" i="26" s="1"/>
  <c r="W16" i="20"/>
  <c r="G23" i="26"/>
  <c r="J25" i="26"/>
  <c r="M19" i="9"/>
  <c r="M11" i="26" s="1"/>
  <c r="AC16" i="20"/>
  <c r="M23" i="26"/>
  <c r="L18" i="9"/>
  <c r="L10" i="26" s="1"/>
  <c r="L22" i="26"/>
  <c r="P20" i="9"/>
  <c r="P12" i="26" s="1"/>
  <c r="P24" i="26"/>
  <c r="H20" i="9"/>
  <c r="H12" i="26" s="1"/>
  <c r="H24" i="26"/>
  <c r="P25" i="26"/>
  <c r="H25" i="26"/>
  <c r="P21" i="26"/>
  <c r="H21" i="26"/>
  <c r="U15" i="21"/>
  <c r="Y15" i="21"/>
  <c r="AI39" i="26"/>
  <c r="O20" i="9"/>
  <c r="O12" i="26" s="1"/>
  <c r="O24" i="26"/>
  <c r="G20" i="9"/>
  <c r="G12" i="26" s="1"/>
  <c r="G24" i="26"/>
  <c r="O21" i="26"/>
  <c r="X15" i="21"/>
  <c r="K19" i="9"/>
  <c r="K11" i="26" s="1"/>
  <c r="AA16" i="20"/>
  <c r="K23" i="26"/>
  <c r="J18" i="9"/>
  <c r="J10" i="26" s="1"/>
  <c r="J22" i="26"/>
  <c r="N20" i="9"/>
  <c r="N12" i="26" s="1"/>
  <c r="N24" i="26"/>
  <c r="F20" i="9"/>
  <c r="F12" i="26" s="1"/>
  <c r="F24" i="26"/>
  <c r="N21" i="26"/>
  <c r="F21" i="26"/>
  <c r="F26" i="26" s="1"/>
  <c r="F27" i="26" s="1"/>
  <c r="AE15" i="21"/>
  <c r="W15" i="21"/>
  <c r="AG39" i="26"/>
  <c r="E30" i="9"/>
  <c r="E11" i="26"/>
  <c r="P19" i="9"/>
  <c r="P11" i="26" s="1"/>
  <c r="L19" i="9"/>
  <c r="L11" i="26" s="1"/>
  <c r="L36" i="26" s="1"/>
  <c r="H19" i="9"/>
  <c r="H11" i="26" s="1"/>
  <c r="E29" i="9"/>
  <c r="E7" i="9"/>
  <c r="F29" i="9" s="1"/>
  <c r="E9" i="9"/>
  <c r="F31" i="9" s="1"/>
  <c r="E31" i="9"/>
  <c r="R17" i="20"/>
  <c r="AG14" i="20"/>
  <c r="AS19" i="26" l="1"/>
  <c r="AS20" i="26"/>
  <c r="G26" i="26"/>
  <c r="G27" i="26" s="1"/>
  <c r="L26" i="26"/>
  <c r="L27" i="26" s="1"/>
  <c r="P36" i="26"/>
  <c r="M26" i="26"/>
  <c r="M27" i="26" s="1"/>
  <c r="E36" i="26"/>
  <c r="H26" i="26"/>
  <c r="H27" i="26" s="1"/>
  <c r="P26" i="26"/>
  <c r="P27" i="26" s="1"/>
  <c r="H37" i="26"/>
  <c r="K26" i="26"/>
  <c r="K27" i="26" s="1"/>
  <c r="N26" i="26"/>
  <c r="N27" i="26" s="1"/>
  <c r="O26" i="26"/>
  <c r="O27" i="26" s="1"/>
  <c r="J26" i="26"/>
  <c r="J27" i="26" s="1"/>
  <c r="Q25" i="26"/>
  <c r="R25" i="26" s="1"/>
  <c r="J36" i="26"/>
  <c r="I26" i="26"/>
  <c r="I27" i="26" s="1"/>
  <c r="Q21" i="26"/>
  <c r="R21" i="26" s="1"/>
  <c r="G37" i="26"/>
  <c r="P37" i="26"/>
  <c r="K37" i="26"/>
  <c r="O37" i="26"/>
  <c r="Q24" i="26"/>
  <c r="R24" i="26" s="1"/>
  <c r="Q18" i="9"/>
  <c r="G36" i="26"/>
  <c r="Q12" i="26"/>
  <c r="R12" i="26" s="1"/>
  <c r="K36" i="26"/>
  <c r="G35" i="26"/>
  <c r="F36" i="26"/>
  <c r="E37" i="26"/>
  <c r="F37" i="26"/>
  <c r="M37" i="26"/>
  <c r="J35" i="26"/>
  <c r="L35" i="26"/>
  <c r="I36" i="26"/>
  <c r="H36" i="26"/>
  <c r="I37" i="26"/>
  <c r="J37" i="26"/>
  <c r="L37" i="26"/>
  <c r="E26" i="26"/>
  <c r="E27" i="26" s="1"/>
  <c r="F9" i="9"/>
  <c r="G31" i="9" s="1"/>
  <c r="Q10" i="26"/>
  <c r="R10" i="26" s="1"/>
  <c r="O36" i="26"/>
  <c r="I35" i="26"/>
  <c r="K35" i="26"/>
  <c r="Q22" i="26"/>
  <c r="R22" i="26" s="1"/>
  <c r="O35" i="26"/>
  <c r="Q23" i="26"/>
  <c r="R23" i="26" s="1"/>
  <c r="Q20" i="9"/>
  <c r="F7" i="9"/>
  <c r="G29" i="9" s="1"/>
  <c r="N37" i="26"/>
  <c r="M36" i="26"/>
  <c r="E35" i="26"/>
  <c r="N36" i="26"/>
  <c r="F35" i="26"/>
  <c r="H35" i="26"/>
  <c r="M35" i="26"/>
  <c r="N35" i="26"/>
  <c r="P35" i="26"/>
  <c r="Q11" i="26"/>
  <c r="R11" i="26" s="1"/>
  <c r="E40" i="9"/>
  <c r="F40" i="9" s="1"/>
  <c r="E42" i="9"/>
  <c r="F42" i="9" s="1"/>
  <c r="G7" i="9"/>
  <c r="AS12" i="26" l="1"/>
  <c r="AS23" i="26"/>
  <c r="AS24" i="26"/>
  <c r="AS21" i="26"/>
  <c r="AS22" i="26"/>
  <c r="AS10" i="26"/>
  <c r="Q36" i="26"/>
  <c r="R36" i="26" s="1"/>
  <c r="Q37" i="26"/>
  <c r="R37" i="26" s="1"/>
  <c r="R26" i="26"/>
  <c r="G9" i="9"/>
  <c r="G40" i="9"/>
  <c r="Q35" i="26"/>
  <c r="R35" i="26" s="1"/>
  <c r="G42" i="9"/>
  <c r="Q26" i="26"/>
  <c r="H29" i="9"/>
  <c r="H7" i="9"/>
  <c r="H31" i="9"/>
  <c r="H9" i="9"/>
  <c r="H40" i="9" l="1"/>
  <c r="AS37" i="26"/>
  <c r="I29" i="9"/>
  <c r="I7" i="9"/>
  <c r="I31" i="9"/>
  <c r="I9" i="9"/>
  <c r="H42" i="9"/>
  <c r="I40" i="9" l="1"/>
  <c r="AS35" i="26"/>
  <c r="I42" i="9"/>
  <c r="J31" i="9"/>
  <c r="J9" i="9"/>
  <c r="J29" i="9"/>
  <c r="J7" i="9"/>
  <c r="J42" i="9" l="1"/>
  <c r="K29" i="9"/>
  <c r="K7" i="9"/>
  <c r="J40" i="9"/>
  <c r="K31" i="9"/>
  <c r="K9" i="9"/>
  <c r="F66" i="9"/>
  <c r="G66" i="9"/>
  <c r="H66" i="9"/>
  <c r="I66" i="9"/>
  <c r="J66" i="9"/>
  <c r="K66" i="9"/>
  <c r="L66" i="9"/>
  <c r="M66" i="9"/>
  <c r="N66" i="9"/>
  <c r="O66" i="9"/>
  <c r="P66" i="9"/>
  <c r="E66" i="9"/>
  <c r="F76" i="9"/>
  <c r="G76" i="9"/>
  <c r="H76" i="9"/>
  <c r="I76" i="9"/>
  <c r="J76" i="9"/>
  <c r="K76" i="9"/>
  <c r="L76" i="9"/>
  <c r="M76" i="9"/>
  <c r="N76" i="9"/>
  <c r="O76" i="9"/>
  <c r="P76" i="9"/>
  <c r="E76" i="9"/>
  <c r="S76" i="9"/>
  <c r="T76" i="9"/>
  <c r="U76" i="9"/>
  <c r="V76" i="9"/>
  <c r="W76" i="9"/>
  <c r="X76" i="9"/>
  <c r="Y76" i="9"/>
  <c r="Z76" i="9"/>
  <c r="AA76" i="9"/>
  <c r="AB76" i="9"/>
  <c r="AC76" i="9"/>
  <c r="R76" i="9"/>
  <c r="Q68" i="9"/>
  <c r="Q58" i="9"/>
  <c r="K42" i="9" l="1"/>
  <c r="K40" i="9"/>
  <c r="L29" i="9"/>
  <c r="L7" i="9"/>
  <c r="L31" i="9"/>
  <c r="L9" i="9"/>
  <c r="E8" i="9"/>
  <c r="F30" i="9" s="1"/>
  <c r="E41" i="9"/>
  <c r="E11" i="9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F15" i="9"/>
  <c r="F7" i="26" s="1"/>
  <c r="F32" i="26" s="1"/>
  <c r="G15" i="9"/>
  <c r="G7" i="26" s="1"/>
  <c r="G32" i="26" s="1"/>
  <c r="H15" i="9"/>
  <c r="H7" i="26" s="1"/>
  <c r="H32" i="26" s="1"/>
  <c r="I15" i="9"/>
  <c r="I7" i="26" s="1"/>
  <c r="I32" i="26" s="1"/>
  <c r="J15" i="9"/>
  <c r="J7" i="26" s="1"/>
  <c r="J32" i="26" s="1"/>
  <c r="K15" i="9"/>
  <c r="K7" i="26" s="1"/>
  <c r="K32" i="26" s="1"/>
  <c r="L15" i="9"/>
  <c r="L7" i="26" s="1"/>
  <c r="L32" i="26" s="1"/>
  <c r="M15" i="9"/>
  <c r="M7" i="26" s="1"/>
  <c r="M32" i="26" s="1"/>
  <c r="N15" i="9"/>
  <c r="N7" i="26" s="1"/>
  <c r="N32" i="26" s="1"/>
  <c r="O15" i="9"/>
  <c r="O7" i="26" s="1"/>
  <c r="O32" i="26" s="1"/>
  <c r="P15" i="9"/>
  <c r="P7" i="26" s="1"/>
  <c r="P32" i="26" s="1"/>
  <c r="AG10" i="20"/>
  <c r="AG4" i="20"/>
  <c r="L40" i="9" l="1"/>
  <c r="L42" i="9"/>
  <c r="M29" i="9"/>
  <c r="M40" i="9" s="1"/>
  <c r="M7" i="9"/>
  <c r="M31" i="9"/>
  <c r="M9" i="9"/>
  <c r="AG11" i="20"/>
  <c r="AG12" i="20"/>
  <c r="AG15" i="20"/>
  <c r="AG13" i="20"/>
  <c r="E15" i="9"/>
  <c r="F8" i="9"/>
  <c r="G8" i="9" s="1"/>
  <c r="N16" i="9"/>
  <c r="N8" i="26" s="1"/>
  <c r="N33" i="26" s="1"/>
  <c r="J16" i="9"/>
  <c r="J8" i="26" s="1"/>
  <c r="J33" i="26" s="1"/>
  <c r="F16" i="9"/>
  <c r="F8" i="26" s="1"/>
  <c r="F33" i="26" s="1"/>
  <c r="M21" i="9"/>
  <c r="M13" i="26" s="1"/>
  <c r="M38" i="26" s="1"/>
  <c r="I21" i="9"/>
  <c r="I13" i="26" s="1"/>
  <c r="I38" i="26" s="1"/>
  <c r="O17" i="9"/>
  <c r="O9" i="26" s="1"/>
  <c r="O34" i="26" s="1"/>
  <c r="K17" i="9"/>
  <c r="K9" i="26" s="1"/>
  <c r="K34" i="26" s="1"/>
  <c r="G17" i="9"/>
  <c r="G9" i="26" s="1"/>
  <c r="G34" i="26" s="1"/>
  <c r="E16" i="9"/>
  <c r="E8" i="26" s="1"/>
  <c r="M16" i="9"/>
  <c r="M8" i="26" s="1"/>
  <c r="M33" i="26" s="1"/>
  <c r="I16" i="9"/>
  <c r="I8" i="26" s="1"/>
  <c r="I33" i="26" s="1"/>
  <c r="P21" i="9"/>
  <c r="P13" i="26" s="1"/>
  <c r="P38" i="26" s="1"/>
  <c r="L21" i="9"/>
  <c r="L13" i="26" s="1"/>
  <c r="L38" i="26" s="1"/>
  <c r="H21" i="9"/>
  <c r="H13" i="26" s="1"/>
  <c r="H38" i="26" s="1"/>
  <c r="N17" i="9"/>
  <c r="N9" i="26" s="1"/>
  <c r="N34" i="26" s="1"/>
  <c r="J17" i="9"/>
  <c r="J9" i="26" s="1"/>
  <c r="J34" i="26" s="1"/>
  <c r="F17" i="9"/>
  <c r="F9" i="26" s="1"/>
  <c r="F34" i="26" s="1"/>
  <c r="P16" i="9"/>
  <c r="P8" i="26" s="1"/>
  <c r="P33" i="26" s="1"/>
  <c r="L16" i="9"/>
  <c r="L8" i="26" s="1"/>
  <c r="L33" i="26" s="1"/>
  <c r="H16" i="9"/>
  <c r="H8" i="26" s="1"/>
  <c r="H33" i="26" s="1"/>
  <c r="O21" i="9"/>
  <c r="O13" i="26" s="1"/>
  <c r="O38" i="26" s="1"/>
  <c r="K21" i="9"/>
  <c r="K13" i="26" s="1"/>
  <c r="K38" i="26" s="1"/>
  <c r="G21" i="9"/>
  <c r="G13" i="26" s="1"/>
  <c r="G38" i="26" s="1"/>
  <c r="M17" i="9"/>
  <c r="M9" i="26" s="1"/>
  <c r="M34" i="26" s="1"/>
  <c r="I17" i="9"/>
  <c r="I9" i="26" s="1"/>
  <c r="I34" i="26" s="1"/>
  <c r="AG8" i="20"/>
  <c r="O16" i="9"/>
  <c r="O8" i="26" s="1"/>
  <c r="O33" i="26" s="1"/>
  <c r="K16" i="9"/>
  <c r="K8" i="26" s="1"/>
  <c r="G16" i="9"/>
  <c r="G8" i="26" s="1"/>
  <c r="N21" i="9"/>
  <c r="N13" i="26" s="1"/>
  <c r="N38" i="26" s="1"/>
  <c r="J21" i="9"/>
  <c r="J13" i="26" s="1"/>
  <c r="J38" i="26" s="1"/>
  <c r="F21" i="9"/>
  <c r="F13" i="26" s="1"/>
  <c r="F38" i="26" s="1"/>
  <c r="AG9" i="20"/>
  <c r="P17" i="9"/>
  <c r="P9" i="26" s="1"/>
  <c r="P34" i="26" s="1"/>
  <c r="L17" i="9"/>
  <c r="L9" i="26" s="1"/>
  <c r="L34" i="26" s="1"/>
  <c r="H17" i="9"/>
  <c r="H9" i="26" s="1"/>
  <c r="H34" i="26" s="1"/>
  <c r="F41" i="9"/>
  <c r="Q19" i="9"/>
  <c r="M42" i="9" l="1"/>
  <c r="E33" i="26"/>
  <c r="H39" i="26"/>
  <c r="I39" i="26"/>
  <c r="J39" i="26"/>
  <c r="O39" i="26"/>
  <c r="L39" i="26"/>
  <c r="P39" i="26"/>
  <c r="K14" i="26"/>
  <c r="K33" i="26"/>
  <c r="K39" i="26" s="1"/>
  <c r="F39" i="26"/>
  <c r="M39" i="26"/>
  <c r="G14" i="26"/>
  <c r="G33" i="26"/>
  <c r="G39" i="26" s="1"/>
  <c r="N39" i="26"/>
  <c r="Q8" i="26"/>
  <c r="R8" i="26" s="1"/>
  <c r="M14" i="26"/>
  <c r="H14" i="26"/>
  <c r="L14" i="26"/>
  <c r="I14" i="26"/>
  <c r="J14" i="26"/>
  <c r="N14" i="26"/>
  <c r="O14" i="26"/>
  <c r="P14" i="26"/>
  <c r="F14" i="26"/>
  <c r="E26" i="9"/>
  <c r="E37" i="9" s="1"/>
  <c r="E7" i="26"/>
  <c r="N29" i="9"/>
  <c r="N40" i="9" s="1"/>
  <c r="N7" i="9"/>
  <c r="N31" i="9"/>
  <c r="N9" i="9"/>
  <c r="E27" i="9"/>
  <c r="E38" i="9" s="1"/>
  <c r="G30" i="9"/>
  <c r="G41" i="9" s="1"/>
  <c r="E4" i="9"/>
  <c r="Q15" i="9"/>
  <c r="H8" i="9"/>
  <c r="H30" i="9"/>
  <c r="R5" i="21"/>
  <c r="R6" i="21"/>
  <c r="R7" i="21"/>
  <c r="R8" i="21"/>
  <c r="R9" i="21"/>
  <c r="R10" i="21"/>
  <c r="R11" i="21"/>
  <c r="R12" i="21"/>
  <c r="AG14" i="21"/>
  <c r="N42" i="9" l="1"/>
  <c r="E32" i="26"/>
  <c r="Q33" i="26"/>
  <c r="R33" i="26" s="1"/>
  <c r="Q7" i="26"/>
  <c r="O29" i="9"/>
  <c r="O40" i="9" s="1"/>
  <c r="O7" i="9"/>
  <c r="O31" i="9"/>
  <c r="O42" i="9" s="1"/>
  <c r="O9" i="9"/>
  <c r="F26" i="9"/>
  <c r="F37" i="9" s="1"/>
  <c r="F4" i="9"/>
  <c r="AG12" i="21"/>
  <c r="H41" i="9"/>
  <c r="I8" i="9"/>
  <c r="I30" i="9"/>
  <c r="R4" i="21"/>
  <c r="AG16" i="21"/>
  <c r="Q32" i="26" l="1"/>
  <c r="R32" i="26" s="1"/>
  <c r="S32" i="26"/>
  <c r="R7" i="26"/>
  <c r="P29" i="9"/>
  <c r="Q29" i="9" s="1"/>
  <c r="P7" i="9"/>
  <c r="P31" i="9"/>
  <c r="Q31" i="9" s="1"/>
  <c r="P9" i="9"/>
  <c r="G26" i="9"/>
  <c r="G37" i="9" s="1"/>
  <c r="G4" i="9"/>
  <c r="J8" i="9"/>
  <c r="J30" i="9"/>
  <c r="I41" i="9"/>
  <c r="AG7" i="24"/>
  <c r="R29" i="9" l="1"/>
  <c r="AF71" i="9"/>
  <c r="AJ71" i="9"/>
  <c r="AH71" i="9"/>
  <c r="AI71" i="9"/>
  <c r="AG71" i="9"/>
  <c r="AK71" i="9"/>
  <c r="AD71" i="9"/>
  <c r="AL71" i="9"/>
  <c r="AE71" i="9"/>
  <c r="Q7" i="9"/>
  <c r="R7" i="9" s="1"/>
  <c r="L51" i="9"/>
  <c r="L81" i="9" s="1"/>
  <c r="AA61" i="9"/>
  <c r="Y61" i="9"/>
  <c r="AB61" i="9"/>
  <c r="AC61" i="9"/>
  <c r="J51" i="9"/>
  <c r="J81" i="9" s="1"/>
  <c r="V61" i="9"/>
  <c r="P51" i="9"/>
  <c r="P81" i="9" s="1"/>
  <c r="I51" i="9"/>
  <c r="I81" i="9" s="1"/>
  <c r="R61" i="9"/>
  <c r="N51" i="9"/>
  <c r="N81" i="9" s="1"/>
  <c r="G51" i="9"/>
  <c r="G81" i="9" s="1"/>
  <c r="Z61" i="9"/>
  <c r="S61" i="9"/>
  <c r="M51" i="9"/>
  <c r="M81" i="9" s="1"/>
  <c r="K51" i="9"/>
  <c r="K81" i="9" s="1"/>
  <c r="E51" i="9"/>
  <c r="O51" i="9"/>
  <c r="O81" i="9" s="1"/>
  <c r="W61" i="9"/>
  <c r="F51" i="9"/>
  <c r="F81" i="9" s="1"/>
  <c r="H51" i="9"/>
  <c r="H81" i="9" s="1"/>
  <c r="T61" i="9"/>
  <c r="U61" i="9"/>
  <c r="X61" i="9"/>
  <c r="R31" i="9"/>
  <c r="AF73" i="9"/>
  <c r="AJ73" i="9"/>
  <c r="AD73" i="9"/>
  <c r="AH73" i="9"/>
  <c r="AI73" i="9"/>
  <c r="AG73" i="9"/>
  <c r="AK73" i="9"/>
  <c r="AL73" i="9"/>
  <c r="AE73" i="9"/>
  <c r="X63" i="9"/>
  <c r="F53" i="9"/>
  <c r="F83" i="9" s="1"/>
  <c r="J53" i="9"/>
  <c r="J83" i="9" s="1"/>
  <c r="AA63" i="9"/>
  <c r="O53" i="9"/>
  <c r="O83" i="9" s="1"/>
  <c r="H53" i="9"/>
  <c r="H83" i="9" s="1"/>
  <c r="U63" i="9"/>
  <c r="N53" i="9"/>
  <c r="N83" i="9" s="1"/>
  <c r="L53" i="9"/>
  <c r="L83" i="9" s="1"/>
  <c r="Z63" i="9"/>
  <c r="P53" i="9"/>
  <c r="P83" i="9" s="1"/>
  <c r="I53" i="9"/>
  <c r="I83" i="9" s="1"/>
  <c r="Y63" i="9"/>
  <c r="E53" i="9"/>
  <c r="R63" i="9"/>
  <c r="T63" i="9"/>
  <c r="S63" i="9"/>
  <c r="W63" i="9"/>
  <c r="AB63" i="9"/>
  <c r="Q9" i="9"/>
  <c r="V63" i="9"/>
  <c r="K53" i="9"/>
  <c r="K83" i="9" s="1"/>
  <c r="M53" i="9"/>
  <c r="M83" i="9" s="1"/>
  <c r="AC63" i="9"/>
  <c r="G53" i="9"/>
  <c r="G83" i="9" s="1"/>
  <c r="P40" i="9"/>
  <c r="Q40" i="9" s="1"/>
  <c r="P42" i="9"/>
  <c r="Q42" i="9" s="1"/>
  <c r="H4" i="9"/>
  <c r="H26" i="9"/>
  <c r="H37" i="9" s="1"/>
  <c r="K8" i="9"/>
  <c r="K30" i="9"/>
  <c r="J41" i="9"/>
  <c r="R42" i="9" l="1"/>
  <c r="R40" i="9"/>
  <c r="S29" i="9"/>
  <c r="S7" i="9"/>
  <c r="E83" i="9"/>
  <c r="Q53" i="9"/>
  <c r="E81" i="9"/>
  <c r="Q51" i="9"/>
  <c r="R9" i="9"/>
  <c r="S31" i="9"/>
  <c r="I26" i="9"/>
  <c r="I37" i="9" s="1"/>
  <c r="I4" i="9"/>
  <c r="L8" i="9"/>
  <c r="L30" i="9"/>
  <c r="K41" i="9"/>
  <c r="S42" i="9" l="1"/>
  <c r="S40" i="9"/>
  <c r="E93" i="9"/>
  <c r="Q83" i="9"/>
  <c r="E91" i="9"/>
  <c r="Q81" i="9"/>
  <c r="T29" i="9"/>
  <c r="T7" i="9"/>
  <c r="T31" i="9"/>
  <c r="S9" i="9"/>
  <c r="J4" i="9"/>
  <c r="J26" i="9"/>
  <c r="J37" i="9" s="1"/>
  <c r="M8" i="9"/>
  <c r="M30" i="9"/>
  <c r="L41" i="9"/>
  <c r="T42" i="9" l="1"/>
  <c r="T40" i="9"/>
  <c r="U31" i="9"/>
  <c r="T9" i="9"/>
  <c r="F93" i="9"/>
  <c r="E103" i="9"/>
  <c r="U29" i="9"/>
  <c r="U7" i="9"/>
  <c r="E101" i="9"/>
  <c r="F91" i="9"/>
  <c r="K26" i="9"/>
  <c r="K37" i="9" s="1"/>
  <c r="K4" i="9"/>
  <c r="N8" i="9"/>
  <c r="N30" i="9"/>
  <c r="M41" i="9"/>
  <c r="U42" i="9" l="1"/>
  <c r="U40" i="9"/>
  <c r="F101" i="9"/>
  <c r="F110" i="9" s="1"/>
  <c r="G91" i="9"/>
  <c r="E110" i="9"/>
  <c r="E112" i="9"/>
  <c r="V31" i="9"/>
  <c r="U9" i="9"/>
  <c r="V29" i="9"/>
  <c r="V7" i="9"/>
  <c r="G93" i="9"/>
  <c r="F103" i="9"/>
  <c r="F112" i="9" s="1"/>
  <c r="L4" i="9"/>
  <c r="L26" i="9"/>
  <c r="L37" i="9" s="1"/>
  <c r="O8" i="9"/>
  <c r="O30" i="9"/>
  <c r="N41" i="9"/>
  <c r="V42" i="9" l="1"/>
  <c r="V40" i="9"/>
  <c r="W29" i="9"/>
  <c r="W40" i="9" s="1"/>
  <c r="W7" i="9"/>
  <c r="H91" i="9"/>
  <c r="G101" i="9"/>
  <c r="G110" i="9" s="1"/>
  <c r="W31" i="9"/>
  <c r="W42" i="9" s="1"/>
  <c r="V9" i="9"/>
  <c r="G103" i="9"/>
  <c r="H93" i="9"/>
  <c r="M26" i="9"/>
  <c r="M37" i="9" s="1"/>
  <c r="M4" i="9"/>
  <c r="O41" i="9"/>
  <c r="P8" i="9"/>
  <c r="P30" i="9"/>
  <c r="Q30" i="9" s="1"/>
  <c r="P41" i="9" l="1"/>
  <c r="Q41" i="9" s="1"/>
  <c r="X29" i="9"/>
  <c r="X40" i="9" s="1"/>
  <c r="X7" i="9"/>
  <c r="G112" i="9"/>
  <c r="I93" i="9"/>
  <c r="H103" i="9"/>
  <c r="H112" i="9" s="1"/>
  <c r="AF72" i="9"/>
  <c r="AJ72" i="9"/>
  <c r="AH72" i="9"/>
  <c r="AD72" i="9"/>
  <c r="AI72" i="9"/>
  <c r="AG72" i="9"/>
  <c r="AK72" i="9"/>
  <c r="AL72" i="9"/>
  <c r="AE72" i="9"/>
  <c r="X31" i="9"/>
  <c r="X42" i="9" s="1"/>
  <c r="W9" i="9"/>
  <c r="H101" i="9"/>
  <c r="I91" i="9"/>
  <c r="S62" i="9"/>
  <c r="W62" i="9"/>
  <c r="AA62" i="9"/>
  <c r="T62" i="9"/>
  <c r="X62" i="9"/>
  <c r="AB62" i="9"/>
  <c r="V62" i="9"/>
  <c r="Y62" i="9"/>
  <c r="Z62" i="9"/>
  <c r="U62" i="9"/>
  <c r="AC62" i="9"/>
  <c r="N26" i="9"/>
  <c r="N37" i="9" s="1"/>
  <c r="N4" i="9"/>
  <c r="R62" i="9"/>
  <c r="F52" i="9"/>
  <c r="F82" i="9" s="1"/>
  <c r="J52" i="9"/>
  <c r="J82" i="9" s="1"/>
  <c r="N52" i="9"/>
  <c r="N82" i="9" s="1"/>
  <c r="G52" i="9"/>
  <c r="G82" i="9" s="1"/>
  <c r="K52" i="9"/>
  <c r="K82" i="9" s="1"/>
  <c r="O52" i="9"/>
  <c r="O82" i="9" s="1"/>
  <c r="H52" i="9"/>
  <c r="H82" i="9" s="1"/>
  <c r="L52" i="9"/>
  <c r="L82" i="9" s="1"/>
  <c r="P52" i="9"/>
  <c r="P82" i="9" s="1"/>
  <c r="I52" i="9"/>
  <c r="I82" i="9" s="1"/>
  <c r="M52" i="9"/>
  <c r="M82" i="9" s="1"/>
  <c r="E52" i="9"/>
  <c r="E82" i="9" s="1"/>
  <c r="E92" i="9" s="1"/>
  <c r="Q8" i="9"/>
  <c r="E102" i="9" l="1"/>
  <c r="E111" i="9" s="1"/>
  <c r="F92" i="9"/>
  <c r="J93" i="9"/>
  <c r="I103" i="9"/>
  <c r="I112" i="9" s="1"/>
  <c r="Y29" i="9"/>
  <c r="Y40" i="9" s="1"/>
  <c r="Y7" i="9"/>
  <c r="I101" i="9"/>
  <c r="I110" i="9" s="1"/>
  <c r="J91" i="9"/>
  <c r="Y31" i="9"/>
  <c r="Y42" i="9" s="1"/>
  <c r="X9" i="9"/>
  <c r="Q82" i="9"/>
  <c r="H110" i="9"/>
  <c r="O4" i="9"/>
  <c r="O26" i="9"/>
  <c r="O37" i="9" s="1"/>
  <c r="Q52" i="9"/>
  <c r="Z31" i="9" l="1"/>
  <c r="Z42" i="9" s="1"/>
  <c r="Y9" i="9"/>
  <c r="J101" i="9"/>
  <c r="K91" i="9"/>
  <c r="K93" i="9"/>
  <c r="J103" i="9"/>
  <c r="J112" i="9" s="1"/>
  <c r="Z29" i="9"/>
  <c r="Z40" i="9" s="1"/>
  <c r="Z7" i="9"/>
  <c r="F102" i="9"/>
  <c r="F111" i="9" s="1"/>
  <c r="G92" i="9"/>
  <c r="P4" i="9"/>
  <c r="P26" i="9"/>
  <c r="Q26" i="9" s="1"/>
  <c r="B16" i="14" l="1"/>
  <c r="B18" i="14"/>
  <c r="AF68" i="9"/>
  <c r="AJ68" i="9"/>
  <c r="AH68" i="9"/>
  <c r="AI68" i="9"/>
  <c r="AG68" i="9"/>
  <c r="AK68" i="9"/>
  <c r="AL68" i="9"/>
  <c r="AE68" i="9"/>
  <c r="AA31" i="9"/>
  <c r="C30" i="14" s="1"/>
  <c r="Z9" i="9"/>
  <c r="H92" i="9"/>
  <c r="G102" i="9"/>
  <c r="G111" i="9" s="1"/>
  <c r="P37" i="9"/>
  <c r="L91" i="9"/>
  <c r="K101" i="9"/>
  <c r="K110" i="9" s="1"/>
  <c r="J110" i="9"/>
  <c r="B7" i="14"/>
  <c r="AA29" i="9"/>
  <c r="C28" i="14" s="1"/>
  <c r="AA7" i="9"/>
  <c r="L93" i="9"/>
  <c r="K103" i="9"/>
  <c r="AD68" i="9"/>
  <c r="S58" i="9"/>
  <c r="W58" i="9"/>
  <c r="AA58" i="9"/>
  <c r="T58" i="9"/>
  <c r="X58" i="9"/>
  <c r="AB58" i="9"/>
  <c r="Z58" i="9"/>
  <c r="U58" i="9"/>
  <c r="AC58" i="9"/>
  <c r="V58" i="9"/>
  <c r="Y58" i="9"/>
  <c r="R58" i="9"/>
  <c r="R26" i="9"/>
  <c r="G48" i="9"/>
  <c r="G78" i="9" s="1"/>
  <c r="J48" i="9"/>
  <c r="J78" i="9" s="1"/>
  <c r="F48" i="9"/>
  <c r="F78" i="9" s="1"/>
  <c r="Q4" i="9"/>
  <c r="R4" i="9" s="1"/>
  <c r="L48" i="9"/>
  <c r="L78" i="9" s="1"/>
  <c r="H48" i="9"/>
  <c r="H78" i="9" s="1"/>
  <c r="I48" i="9"/>
  <c r="I78" i="9" s="1"/>
  <c r="E48" i="9"/>
  <c r="P48" i="9"/>
  <c r="P78" i="9" s="1"/>
  <c r="K48" i="9"/>
  <c r="K78" i="9" s="1"/>
  <c r="O48" i="9"/>
  <c r="O78" i="9" s="1"/>
  <c r="N48" i="9"/>
  <c r="N78" i="9" s="1"/>
  <c r="M48" i="9"/>
  <c r="M78" i="9" s="1"/>
  <c r="AA42" i="9" l="1"/>
  <c r="C18" i="14" s="1"/>
  <c r="C85" i="14" s="1"/>
  <c r="I92" i="9"/>
  <c r="H102" i="9"/>
  <c r="H111" i="9" s="1"/>
  <c r="B85" i="14"/>
  <c r="C7" i="14"/>
  <c r="C74" i="14" s="1"/>
  <c r="AB29" i="9"/>
  <c r="D28" i="14" s="1"/>
  <c r="D94" i="14" s="1"/>
  <c r="AB7" i="9"/>
  <c r="AB31" i="9"/>
  <c r="D30" i="14" s="1"/>
  <c r="D96" i="14" s="1"/>
  <c r="B9" i="14"/>
  <c r="AA9" i="9"/>
  <c r="AA40" i="9"/>
  <c r="C94" i="14"/>
  <c r="C96" i="14"/>
  <c r="B83" i="14"/>
  <c r="M93" i="9"/>
  <c r="L103" i="9"/>
  <c r="L112" i="9" s="1"/>
  <c r="L101" i="9"/>
  <c r="M91" i="9"/>
  <c r="K112" i="9"/>
  <c r="B74" i="14"/>
  <c r="E78" i="9"/>
  <c r="Q48" i="9"/>
  <c r="AB42" i="9" l="1"/>
  <c r="D18" i="14" s="1"/>
  <c r="D85" i="14" s="1"/>
  <c r="L110" i="9"/>
  <c r="B76" i="14"/>
  <c r="J92" i="9"/>
  <c r="I102" i="9"/>
  <c r="I111" i="9" s="1"/>
  <c r="N91" i="9"/>
  <c r="M101" i="9"/>
  <c r="M110" i="9" s="1"/>
  <c r="C9" i="14"/>
  <c r="C76" i="14" s="1"/>
  <c r="AC31" i="9"/>
  <c r="E30" i="14" s="1"/>
  <c r="AB9" i="9"/>
  <c r="N93" i="9"/>
  <c r="M103" i="9"/>
  <c r="M112" i="9" s="1"/>
  <c r="C16" i="14"/>
  <c r="C83" i="14" s="1"/>
  <c r="AB40" i="9"/>
  <c r="AC29" i="9"/>
  <c r="E28" i="14" s="1"/>
  <c r="E94" i="14" s="1"/>
  <c r="D7" i="14"/>
  <c r="D74" i="14" s="1"/>
  <c r="AC7" i="9"/>
  <c r="AC42" i="9" l="1"/>
  <c r="E18" i="14" s="1"/>
  <c r="E85" i="14" s="1"/>
  <c r="E7" i="14"/>
  <c r="E74" i="14" s="1"/>
  <c r="AD29" i="9"/>
  <c r="F28" i="14" s="1"/>
  <c r="AD7" i="9"/>
  <c r="T51" i="9"/>
  <c r="T81" i="9" s="1"/>
  <c r="AE61" i="9"/>
  <c r="AC51" i="9"/>
  <c r="AC81" i="9" s="1"/>
  <c r="AF61" i="9"/>
  <c r="W51" i="9"/>
  <c r="W81" i="9" s="1"/>
  <c r="AA51" i="9"/>
  <c r="AA81" i="9" s="1"/>
  <c r="AH61" i="9"/>
  <c r="X51" i="9"/>
  <c r="X81" i="9" s="1"/>
  <c r="AI61" i="9"/>
  <c r="AK61" i="9"/>
  <c r="V51" i="9"/>
  <c r="V81" i="9" s="1"/>
  <c r="AJ61" i="9"/>
  <c r="AL61" i="9"/>
  <c r="AB51" i="9"/>
  <c r="AB81" i="9" s="1"/>
  <c r="U51" i="9"/>
  <c r="U81" i="9" s="1"/>
  <c r="S51" i="9"/>
  <c r="S81" i="9" s="1"/>
  <c r="R51" i="9"/>
  <c r="R81" i="9" s="1"/>
  <c r="Z51" i="9"/>
  <c r="Z81" i="9" s="1"/>
  <c r="AD61" i="9"/>
  <c r="Y51" i="9"/>
  <c r="Y81" i="9" s="1"/>
  <c r="AG61" i="9"/>
  <c r="D9" i="14"/>
  <c r="D76" i="14" s="1"/>
  <c r="AD31" i="9"/>
  <c r="F30" i="14" s="1"/>
  <c r="F96" i="14" s="1"/>
  <c r="AC9" i="9"/>
  <c r="E96" i="14"/>
  <c r="K92" i="9"/>
  <c r="J102" i="9"/>
  <c r="J111" i="9" s="1"/>
  <c r="D16" i="14"/>
  <c r="D83" i="14" s="1"/>
  <c r="AC40" i="9"/>
  <c r="O93" i="9"/>
  <c r="N103" i="9"/>
  <c r="N112" i="9" s="1"/>
  <c r="N101" i="9"/>
  <c r="N110" i="9" s="1"/>
  <c r="O91" i="9"/>
  <c r="U4" i="24"/>
  <c r="R4" i="24"/>
  <c r="W33" i="26"/>
  <c r="Z33" i="26"/>
  <c r="AA33" i="26"/>
  <c r="AD33" i="26"/>
  <c r="T36" i="26"/>
  <c r="U36" i="26"/>
  <c r="V36" i="26"/>
  <c r="X36" i="26"/>
  <c r="Y36" i="26"/>
  <c r="Z36" i="26"/>
  <c r="AA36" i="26"/>
  <c r="AB36" i="26"/>
  <c r="AC36" i="26"/>
  <c r="AD36" i="26"/>
  <c r="AG9" i="21"/>
  <c r="Z38" i="26"/>
  <c r="AG7" i="20"/>
  <c r="W36" i="26" l="1"/>
  <c r="V33" i="26"/>
  <c r="AG4" i="24"/>
  <c r="AN39" i="26"/>
  <c r="AN14" i="26"/>
  <c r="AA32" i="26"/>
  <c r="Z32" i="26"/>
  <c r="Y32" i="26"/>
  <c r="AD32" i="26"/>
  <c r="AL39" i="26"/>
  <c r="AL14" i="26"/>
  <c r="AB32" i="26"/>
  <c r="AC32" i="26"/>
  <c r="AM39" i="26"/>
  <c r="AM14" i="26"/>
  <c r="E9" i="14"/>
  <c r="E76" i="14" s="1"/>
  <c r="AE31" i="9"/>
  <c r="G30" i="14" s="1"/>
  <c r="AH63" i="9"/>
  <c r="R53" i="9"/>
  <c r="R83" i="9" s="1"/>
  <c r="W53" i="9"/>
  <c r="W83" i="9" s="1"/>
  <c r="AC53" i="9"/>
  <c r="AC83" i="9" s="1"/>
  <c r="AJ63" i="9"/>
  <c r="AD9" i="9"/>
  <c r="X53" i="9"/>
  <c r="X83" i="9" s="1"/>
  <c r="AL63" i="9"/>
  <c r="AE63" i="9"/>
  <c r="AA53" i="9"/>
  <c r="AA83" i="9" s="1"/>
  <c r="AF63" i="9"/>
  <c r="T53" i="9"/>
  <c r="T83" i="9" s="1"/>
  <c r="AB53" i="9"/>
  <c r="AB83" i="9" s="1"/>
  <c r="AG63" i="9"/>
  <c r="U53" i="9"/>
  <c r="U83" i="9" s="1"/>
  <c r="V53" i="9"/>
  <c r="V83" i="9" s="1"/>
  <c r="AI63" i="9"/>
  <c r="AK63" i="9"/>
  <c r="AD63" i="9"/>
  <c r="Z53" i="9"/>
  <c r="Z83" i="9" s="1"/>
  <c r="S53" i="9"/>
  <c r="S83" i="9" s="1"/>
  <c r="Y53" i="9"/>
  <c r="Y83" i="9" s="1"/>
  <c r="F94" i="14"/>
  <c r="P93" i="9"/>
  <c r="O103" i="9"/>
  <c r="O112" i="9" s="1"/>
  <c r="AD42" i="9"/>
  <c r="F7" i="14"/>
  <c r="F74" i="14" s="1"/>
  <c r="AE29" i="9"/>
  <c r="G28" i="14" s="1"/>
  <c r="G94" i="14" s="1"/>
  <c r="AE7" i="9"/>
  <c r="O101" i="9"/>
  <c r="O110" i="9" s="1"/>
  <c r="P91" i="9"/>
  <c r="R91" i="9" s="1"/>
  <c r="E16" i="14"/>
  <c r="E83" i="14" s="1"/>
  <c r="AD40" i="9"/>
  <c r="L92" i="9"/>
  <c r="K102" i="9"/>
  <c r="K111" i="9" s="1"/>
  <c r="U34" i="26"/>
  <c r="AG7" i="21"/>
  <c r="AC33" i="26"/>
  <c r="Y33" i="26"/>
  <c r="U33" i="26"/>
  <c r="AG4" i="21"/>
  <c r="AG5" i="21"/>
  <c r="AD34" i="26"/>
  <c r="V32" i="26"/>
  <c r="AG8" i="21"/>
  <c r="AG6" i="21"/>
  <c r="AB33" i="26"/>
  <c r="X33" i="26"/>
  <c r="T33" i="26"/>
  <c r="W32" i="26"/>
  <c r="R6" i="24"/>
  <c r="W38" i="26"/>
  <c r="AB34" i="26"/>
  <c r="Z34" i="26"/>
  <c r="T34" i="26"/>
  <c r="Y38" i="26"/>
  <c r="X38" i="26"/>
  <c r="AA34" i="26"/>
  <c r="AD38" i="26"/>
  <c r="V38" i="26"/>
  <c r="Y34" i="26"/>
  <c r="AB38" i="26"/>
  <c r="T38" i="26"/>
  <c r="W34" i="26"/>
  <c r="U38" i="26"/>
  <c r="AA38" i="26"/>
  <c r="V34" i="26"/>
  <c r="AC38" i="26"/>
  <c r="AC34" i="26"/>
  <c r="W39" i="26" l="1"/>
  <c r="Z14" i="26"/>
  <c r="AB14" i="26"/>
  <c r="Y14" i="26"/>
  <c r="Y39" i="26"/>
  <c r="Z39" i="26"/>
  <c r="AB39" i="26"/>
  <c r="AC39" i="26"/>
  <c r="S33" i="26"/>
  <c r="AE8" i="26"/>
  <c r="AS8" i="26" s="1"/>
  <c r="AE11" i="26"/>
  <c r="AS11" i="26" s="1"/>
  <c r="S36" i="26"/>
  <c r="AA39" i="26"/>
  <c r="AA14" i="26"/>
  <c r="W14" i="26"/>
  <c r="V14" i="26"/>
  <c r="AD39" i="26"/>
  <c r="AF38" i="26"/>
  <c r="AF14" i="26"/>
  <c r="S38" i="26"/>
  <c r="AE38" i="26" s="1"/>
  <c r="AE13" i="26"/>
  <c r="T14" i="26"/>
  <c r="T32" i="26"/>
  <c r="AE7" i="26"/>
  <c r="AS7" i="26" s="1"/>
  <c r="AD14" i="26"/>
  <c r="V39" i="26"/>
  <c r="U32" i="26"/>
  <c r="U39" i="26" s="1"/>
  <c r="U14" i="26"/>
  <c r="X32" i="26"/>
  <c r="AC14" i="26"/>
  <c r="P103" i="9"/>
  <c r="Q93" i="9"/>
  <c r="R93" i="9"/>
  <c r="M92" i="9"/>
  <c r="L102" i="9"/>
  <c r="L111" i="9" s="1"/>
  <c r="F18" i="14"/>
  <c r="F85" i="14" s="1"/>
  <c r="AE42" i="9"/>
  <c r="G96" i="14"/>
  <c r="R101" i="9"/>
  <c r="R110" i="9" s="1"/>
  <c r="S91" i="9"/>
  <c r="F9" i="14"/>
  <c r="F76" i="14" s="1"/>
  <c r="AF31" i="9"/>
  <c r="H30" i="14" s="1"/>
  <c r="H96" i="14" s="1"/>
  <c r="AE9" i="9"/>
  <c r="P101" i="9"/>
  <c r="Q91" i="9"/>
  <c r="F16" i="14"/>
  <c r="F83" i="14" s="1"/>
  <c r="AE40" i="9"/>
  <c r="AF29" i="9"/>
  <c r="H28" i="14" s="1"/>
  <c r="H94" i="14" s="1"/>
  <c r="G7" i="14"/>
  <c r="G74" i="14" s="1"/>
  <c r="AF7" i="9"/>
  <c r="AG10" i="21"/>
  <c r="S26" i="9"/>
  <c r="S4" i="9"/>
  <c r="X34" i="26"/>
  <c r="AG11" i="21"/>
  <c r="R30" i="9"/>
  <c r="R41" i="9" s="1"/>
  <c r="R8" i="9"/>
  <c r="AE33" i="26" l="1"/>
  <c r="AT33" i="26" s="1"/>
  <c r="R23" i="9"/>
  <c r="R24" i="9" s="1"/>
  <c r="AE36" i="26"/>
  <c r="AT36" i="26" s="1"/>
  <c r="AT38" i="26"/>
  <c r="AG15" i="21"/>
  <c r="AF39" i="26"/>
  <c r="X39" i="26"/>
  <c r="T39" i="26"/>
  <c r="AE32" i="26"/>
  <c r="AT32" i="26" s="1"/>
  <c r="X14" i="26"/>
  <c r="S93" i="9"/>
  <c r="R103" i="9"/>
  <c r="R112" i="9" s="1"/>
  <c r="AG29" i="9"/>
  <c r="I28" i="14" s="1"/>
  <c r="I94" i="14" s="1"/>
  <c r="H7" i="14"/>
  <c r="H74" i="14" s="1"/>
  <c r="AG7" i="9"/>
  <c r="P110" i="9"/>
  <c r="Q110" i="9" s="1"/>
  <c r="Q101" i="9"/>
  <c r="S101" i="9"/>
  <c r="S110" i="9" s="1"/>
  <c r="T91" i="9"/>
  <c r="P112" i="9"/>
  <c r="Q112" i="9" s="1"/>
  <c r="Q103" i="9"/>
  <c r="G16" i="14"/>
  <c r="G83" i="14" s="1"/>
  <c r="AF40" i="9"/>
  <c r="G9" i="14"/>
  <c r="G76" i="14" s="1"/>
  <c r="AG31" i="9"/>
  <c r="I30" i="14" s="1"/>
  <c r="I96" i="14" s="1"/>
  <c r="AF9" i="9"/>
  <c r="G18" i="14"/>
  <c r="G85" i="14" s="1"/>
  <c r="AF42" i="9"/>
  <c r="N92" i="9"/>
  <c r="M102" i="9"/>
  <c r="M111" i="9" s="1"/>
  <c r="AG6" i="20"/>
  <c r="E17" i="9"/>
  <c r="T26" i="9"/>
  <c r="T4" i="9"/>
  <c r="S30" i="9"/>
  <c r="S41" i="9" s="1"/>
  <c r="S8" i="9"/>
  <c r="AG5" i="20"/>
  <c r="E21" i="9"/>
  <c r="AS32" i="26" l="1"/>
  <c r="AE9" i="26"/>
  <c r="S34" i="26"/>
  <c r="S14" i="26"/>
  <c r="S15" i="26" s="1"/>
  <c r="AG17" i="20"/>
  <c r="E28" i="9"/>
  <c r="E39" i="9" s="1"/>
  <c r="E9" i="26"/>
  <c r="E32" i="9"/>
  <c r="E13" i="26"/>
  <c r="H16" i="14"/>
  <c r="H83" i="14" s="1"/>
  <c r="AG40" i="9"/>
  <c r="H9" i="14"/>
  <c r="H76" i="14" s="1"/>
  <c r="AH31" i="9"/>
  <c r="J30" i="14" s="1"/>
  <c r="J96" i="14" s="1"/>
  <c r="AG9" i="9"/>
  <c r="U91" i="9"/>
  <c r="T101" i="9"/>
  <c r="T110" i="9" s="1"/>
  <c r="AH29" i="9"/>
  <c r="J28" i="14" s="1"/>
  <c r="J94" i="14" s="1"/>
  <c r="I7" i="14"/>
  <c r="I74" i="14" s="1"/>
  <c r="AH7" i="9"/>
  <c r="O92" i="9"/>
  <c r="N102" i="9"/>
  <c r="N111" i="9" s="1"/>
  <c r="S103" i="9"/>
  <c r="S112" i="9" s="1"/>
  <c r="T93" i="9"/>
  <c r="H18" i="14"/>
  <c r="H85" i="14" s="1"/>
  <c r="AG42" i="9"/>
  <c r="E6" i="9"/>
  <c r="Q17" i="9"/>
  <c r="U26" i="9"/>
  <c r="U4" i="9"/>
  <c r="T8" i="9"/>
  <c r="T30" i="9"/>
  <c r="T41" i="9" s="1"/>
  <c r="Q21" i="9"/>
  <c r="E10" i="9"/>
  <c r="AS36" i="26" l="1"/>
  <c r="E38" i="26"/>
  <c r="Q38" i="26" s="1"/>
  <c r="R38" i="26" s="1"/>
  <c r="E34" i="26"/>
  <c r="AS33" i="26"/>
  <c r="AE34" i="26"/>
  <c r="AE39" i="26" s="1"/>
  <c r="S39" i="26"/>
  <c r="AE14" i="26"/>
  <c r="Q13" i="26"/>
  <c r="Q9" i="26"/>
  <c r="E14" i="26"/>
  <c r="P92" i="9"/>
  <c r="O102" i="9"/>
  <c r="O111" i="9" s="1"/>
  <c r="U93" i="9"/>
  <c r="T103" i="9"/>
  <c r="T112" i="9" s="1"/>
  <c r="J7" i="14"/>
  <c r="J74" i="14" s="1"/>
  <c r="AI29" i="9"/>
  <c r="K28" i="14" s="1"/>
  <c r="K94" i="14" s="1"/>
  <c r="AI7" i="9"/>
  <c r="V91" i="9"/>
  <c r="U101" i="9"/>
  <c r="U110" i="9" s="1"/>
  <c r="I16" i="14"/>
  <c r="I83" i="14" s="1"/>
  <c r="AH40" i="9"/>
  <c r="I18" i="14"/>
  <c r="I85" i="14" s="1"/>
  <c r="AH42" i="9"/>
  <c r="AI31" i="9"/>
  <c r="K30" i="14" s="1"/>
  <c r="K96" i="14" s="1"/>
  <c r="I9" i="14"/>
  <c r="I76" i="14" s="1"/>
  <c r="AH9" i="9"/>
  <c r="F6" i="9"/>
  <c r="F28" i="9"/>
  <c r="F39" i="9" s="1"/>
  <c r="U8" i="9"/>
  <c r="U30" i="9"/>
  <c r="U41" i="9" s="1"/>
  <c r="V4" i="9"/>
  <c r="V26" i="9"/>
  <c r="F10" i="9"/>
  <c r="F32" i="9"/>
  <c r="E43" i="9"/>
  <c r="E45" i="9" s="1"/>
  <c r="E34" i="9"/>
  <c r="E39" i="26" l="1"/>
  <c r="Q34" i="26"/>
  <c r="Q39" i="26" s="1"/>
  <c r="AT34" i="26"/>
  <c r="Q14" i="26"/>
  <c r="R13" i="26"/>
  <c r="R9" i="26"/>
  <c r="AS9" i="26" s="1"/>
  <c r="U103" i="9"/>
  <c r="U112" i="9" s="1"/>
  <c r="V93" i="9"/>
  <c r="K7" i="14"/>
  <c r="K74" i="14" s="1"/>
  <c r="AJ29" i="9"/>
  <c r="L28" i="14" s="1"/>
  <c r="L94" i="14" s="1"/>
  <c r="AJ7" i="9"/>
  <c r="J18" i="14"/>
  <c r="J85" i="14" s="1"/>
  <c r="AI42" i="9"/>
  <c r="J16" i="14"/>
  <c r="J83" i="14" s="1"/>
  <c r="AI40" i="9"/>
  <c r="J9" i="14"/>
  <c r="J76" i="14" s="1"/>
  <c r="AJ31" i="9"/>
  <c r="L30" i="14" s="1"/>
  <c r="L96" i="14" s="1"/>
  <c r="AI9" i="9"/>
  <c r="W91" i="9"/>
  <c r="V101" i="9"/>
  <c r="V110" i="9" s="1"/>
  <c r="P102" i="9"/>
  <c r="Q92" i="9"/>
  <c r="G6" i="9"/>
  <c r="G28" i="9"/>
  <c r="G39" i="9" s="1"/>
  <c r="W26" i="9"/>
  <c r="W4" i="9"/>
  <c r="V8" i="9"/>
  <c r="V30" i="9"/>
  <c r="V41" i="9" s="1"/>
  <c r="F43" i="9"/>
  <c r="G10" i="9"/>
  <c r="G32" i="9"/>
  <c r="R34" i="26" l="1"/>
  <c r="R39" i="26" s="1"/>
  <c r="R14" i="26"/>
  <c r="Q102" i="9"/>
  <c r="P111" i="9"/>
  <c r="Q111" i="9" s="1"/>
  <c r="K18" i="14"/>
  <c r="K85" i="14" s="1"/>
  <c r="AJ42" i="9"/>
  <c r="X91" i="9"/>
  <c r="W101" i="9"/>
  <c r="W110" i="9" s="1"/>
  <c r="W93" i="9"/>
  <c r="V103" i="9"/>
  <c r="V112" i="9" s="1"/>
  <c r="K9" i="14"/>
  <c r="K76" i="14" s="1"/>
  <c r="AK31" i="9"/>
  <c r="M30" i="14" s="1"/>
  <c r="M96" i="14" s="1"/>
  <c r="AJ9" i="9"/>
  <c r="K16" i="14"/>
  <c r="K83" i="14" s="1"/>
  <c r="AJ40" i="9"/>
  <c r="AK29" i="9"/>
  <c r="M28" i="14" s="1"/>
  <c r="M94" i="14" s="1"/>
  <c r="L7" i="14"/>
  <c r="L74" i="14" s="1"/>
  <c r="AK7" i="9"/>
  <c r="H28" i="9"/>
  <c r="H39" i="9" s="1"/>
  <c r="H6" i="9"/>
  <c r="W8" i="9"/>
  <c r="W30" i="9"/>
  <c r="W41" i="9" s="1"/>
  <c r="X4" i="9"/>
  <c r="X26" i="9"/>
  <c r="H10" i="9"/>
  <c r="H32" i="9"/>
  <c r="G43" i="9"/>
  <c r="X93" i="9" l="1"/>
  <c r="W103" i="9"/>
  <c r="W112" i="9" s="1"/>
  <c r="L9" i="14"/>
  <c r="L76" i="14" s="1"/>
  <c r="AL31" i="9"/>
  <c r="N30" i="14" s="1"/>
  <c r="AK9" i="9"/>
  <c r="L16" i="14"/>
  <c r="L83" i="14" s="1"/>
  <c r="AK40" i="9"/>
  <c r="Y91" i="9"/>
  <c r="X101" i="9"/>
  <c r="X110" i="9" s="1"/>
  <c r="L18" i="14"/>
  <c r="L85" i="14" s="1"/>
  <c r="AK42" i="9"/>
  <c r="M7" i="14"/>
  <c r="M74" i="14" s="1"/>
  <c r="AL29" i="9"/>
  <c r="N28" i="14" s="1"/>
  <c r="AL7" i="9"/>
  <c r="I28" i="9"/>
  <c r="I39" i="9" s="1"/>
  <c r="I6" i="9"/>
  <c r="H43" i="9"/>
  <c r="Y4" i="9"/>
  <c r="Y26" i="9"/>
  <c r="X8" i="9"/>
  <c r="X30" i="9"/>
  <c r="X41" i="9" s="1"/>
  <c r="I10" i="9"/>
  <c r="I32" i="9"/>
  <c r="R15" i="21"/>
  <c r="AS34" i="26" l="1"/>
  <c r="M18" i="14"/>
  <c r="M85" i="14" s="1"/>
  <c r="AL42" i="9"/>
  <c r="N18" i="14" s="1"/>
  <c r="Z91" i="9"/>
  <c r="Y101" i="9"/>
  <c r="Y110" i="9" s="1"/>
  <c r="N94" i="14"/>
  <c r="O94" i="14" s="1"/>
  <c r="O28" i="14"/>
  <c r="N96" i="14"/>
  <c r="O96" i="14" s="1"/>
  <c r="O30" i="14"/>
  <c r="N7" i="14"/>
  <c r="AK51" i="9"/>
  <c r="AK81" i="9" s="1"/>
  <c r="AL51" i="9"/>
  <c r="AL81" i="9" s="1"/>
  <c r="AJ51" i="9"/>
  <c r="AJ81" i="9" s="1"/>
  <c r="AH51" i="9"/>
  <c r="AH81" i="9" s="1"/>
  <c r="AD51" i="9"/>
  <c r="AD81" i="9" s="1"/>
  <c r="AF51" i="9"/>
  <c r="AF81" i="9" s="1"/>
  <c r="AE51" i="9"/>
  <c r="AE81" i="9" s="1"/>
  <c r="AI51" i="9"/>
  <c r="AI81" i="9" s="1"/>
  <c r="AG51" i="9"/>
  <c r="AG81" i="9" s="1"/>
  <c r="M16" i="14"/>
  <c r="M83" i="14" s="1"/>
  <c r="AL40" i="9"/>
  <c r="N16" i="14" s="1"/>
  <c r="M9" i="14"/>
  <c r="M76" i="14" s="1"/>
  <c r="AL9" i="9"/>
  <c r="Y93" i="9"/>
  <c r="X103" i="9"/>
  <c r="X112" i="9" s="1"/>
  <c r="I43" i="9"/>
  <c r="J28" i="9"/>
  <c r="J39" i="9" s="1"/>
  <c r="J6" i="9"/>
  <c r="Z4" i="9"/>
  <c r="Z26" i="9"/>
  <c r="Y30" i="9"/>
  <c r="Y41" i="9" s="1"/>
  <c r="Y8" i="9"/>
  <c r="J32" i="9"/>
  <c r="J10" i="9"/>
  <c r="Q74" i="9"/>
  <c r="Q69" i="9"/>
  <c r="Q70" i="9"/>
  <c r="Z101" i="9" l="1"/>
  <c r="Z110" i="9" s="1"/>
  <c r="AA91" i="9"/>
  <c r="N74" i="14"/>
  <c r="O74" i="14" s="1"/>
  <c r="O7" i="14"/>
  <c r="N85" i="14"/>
  <c r="O85" i="14" s="1"/>
  <c r="O18" i="14"/>
  <c r="Z93" i="9"/>
  <c r="Y103" i="9"/>
  <c r="Y112" i="9" s="1"/>
  <c r="N9" i="14"/>
  <c r="AF53" i="9"/>
  <c r="AF83" i="9" s="1"/>
  <c r="AK53" i="9"/>
  <c r="AK83" i="9" s="1"/>
  <c r="AI53" i="9"/>
  <c r="AI83" i="9" s="1"/>
  <c r="AH53" i="9"/>
  <c r="AH83" i="9" s="1"/>
  <c r="AG53" i="9"/>
  <c r="AG83" i="9" s="1"/>
  <c r="AL53" i="9"/>
  <c r="AL83" i="9" s="1"/>
  <c r="AJ53" i="9"/>
  <c r="AJ83" i="9" s="1"/>
  <c r="AE53" i="9"/>
  <c r="AE83" i="9" s="1"/>
  <c r="AD53" i="9"/>
  <c r="AD83" i="9" s="1"/>
  <c r="N83" i="14"/>
  <c r="O83" i="14" s="1"/>
  <c r="O16" i="14"/>
  <c r="Q66" i="9"/>
  <c r="Q76" i="9"/>
  <c r="J43" i="9"/>
  <c r="K28" i="9"/>
  <c r="K39" i="9" s="1"/>
  <c r="K6" i="9"/>
  <c r="Z30" i="9"/>
  <c r="Z41" i="9" s="1"/>
  <c r="Z8" i="9"/>
  <c r="B8" i="14" s="1"/>
  <c r="AA4" i="9"/>
  <c r="C4" i="14" s="1"/>
  <c r="K10" i="9"/>
  <c r="K32" i="9"/>
  <c r="B75" i="14" l="1"/>
  <c r="AA93" i="9"/>
  <c r="Z103" i="9"/>
  <c r="Z112" i="9" s="1"/>
  <c r="C71" i="14"/>
  <c r="N76" i="14"/>
  <c r="O76" i="14" s="1"/>
  <c r="O9" i="14"/>
  <c r="AA101" i="9"/>
  <c r="AA110" i="9" s="1"/>
  <c r="AB91" i="9"/>
  <c r="B17" i="14"/>
  <c r="K43" i="9"/>
  <c r="L6" i="9"/>
  <c r="L28" i="9"/>
  <c r="L39" i="9" s="1"/>
  <c r="AB26" i="9"/>
  <c r="D25" i="14" s="1"/>
  <c r="D91" i="14" s="1"/>
  <c r="AB4" i="9"/>
  <c r="D4" i="14" s="1"/>
  <c r="AA8" i="9"/>
  <c r="C8" i="14" s="1"/>
  <c r="C75" i="14" s="1"/>
  <c r="AA30" i="9"/>
  <c r="C29" i="14" s="1"/>
  <c r="L10" i="9"/>
  <c r="L32" i="9"/>
  <c r="C95" i="14" l="1"/>
  <c r="AB93" i="9"/>
  <c r="AA103" i="9"/>
  <c r="AA112" i="9" s="1"/>
  <c r="B84" i="14"/>
  <c r="AB101" i="9"/>
  <c r="AB110" i="9" s="1"/>
  <c r="AC91" i="9"/>
  <c r="D71" i="14"/>
  <c r="L43" i="9"/>
  <c r="M6" i="9"/>
  <c r="M28" i="9"/>
  <c r="M39" i="9" s="1"/>
  <c r="AB8" i="9"/>
  <c r="D8" i="14" s="1"/>
  <c r="D75" i="14" s="1"/>
  <c r="AB30" i="9"/>
  <c r="D29" i="14" s="1"/>
  <c r="D95" i="14" s="1"/>
  <c r="AA41" i="9"/>
  <c r="AC4" i="9"/>
  <c r="E4" i="14" s="1"/>
  <c r="AC26" i="9"/>
  <c r="E25" i="14" s="1"/>
  <c r="E91" i="14" s="1"/>
  <c r="M10" i="9"/>
  <c r="M32" i="9"/>
  <c r="AC93" i="9" l="1"/>
  <c r="AB103" i="9"/>
  <c r="AB112" i="9" s="1"/>
  <c r="AD91" i="9"/>
  <c r="AC101" i="9"/>
  <c r="AC110" i="9" s="1"/>
  <c r="E71" i="14"/>
  <c r="C17" i="14"/>
  <c r="C84" i="14" s="1"/>
  <c r="AH58" i="9"/>
  <c r="AL58" i="9"/>
  <c r="AF58" i="9"/>
  <c r="AE58" i="9"/>
  <c r="AI58" i="9"/>
  <c r="AK58" i="9"/>
  <c r="AD58" i="9"/>
  <c r="AG58" i="9"/>
  <c r="AJ58" i="9"/>
  <c r="M43" i="9"/>
  <c r="N28" i="9"/>
  <c r="N39" i="9" s="1"/>
  <c r="N6" i="9"/>
  <c r="AC30" i="9"/>
  <c r="E29" i="14" s="1"/>
  <c r="E95" i="14" s="1"/>
  <c r="AC8" i="9"/>
  <c r="E8" i="14" s="1"/>
  <c r="E75" i="14" s="1"/>
  <c r="S48" i="9"/>
  <c r="S78" i="9" s="1"/>
  <c r="U48" i="9"/>
  <c r="U78" i="9" s="1"/>
  <c r="W48" i="9"/>
  <c r="W78" i="9" s="1"/>
  <c r="AD26" i="9"/>
  <c r="F25" i="14" s="1"/>
  <c r="F91" i="14" s="1"/>
  <c r="Y48" i="9"/>
  <c r="Y78" i="9" s="1"/>
  <c r="AD4" i="9"/>
  <c r="F4" i="14" s="1"/>
  <c r="AA48" i="9"/>
  <c r="AA78" i="9" s="1"/>
  <c r="AC48" i="9"/>
  <c r="AC78" i="9" s="1"/>
  <c r="X48" i="9"/>
  <c r="X78" i="9" s="1"/>
  <c r="T48" i="9"/>
  <c r="T78" i="9" s="1"/>
  <c r="AB48" i="9"/>
  <c r="AB78" i="9" s="1"/>
  <c r="Z48" i="9"/>
  <c r="Z78" i="9" s="1"/>
  <c r="V48" i="9"/>
  <c r="V78" i="9" s="1"/>
  <c r="R48" i="9"/>
  <c r="R78" i="9" s="1"/>
  <c r="AB41" i="9"/>
  <c r="N32" i="9"/>
  <c r="N10" i="9"/>
  <c r="N43" i="9" l="1"/>
  <c r="AD101" i="9"/>
  <c r="AD110" i="9" s="1"/>
  <c r="AE91" i="9"/>
  <c r="D17" i="14"/>
  <c r="D84" i="14" s="1"/>
  <c r="F71" i="14"/>
  <c r="AC103" i="9"/>
  <c r="AC112" i="9" s="1"/>
  <c r="AD93" i="9"/>
  <c r="AH62" i="9"/>
  <c r="AL62" i="9"/>
  <c r="AE62" i="9"/>
  <c r="AI62" i="9"/>
  <c r="AK62" i="9"/>
  <c r="AF62" i="9"/>
  <c r="AG62" i="9"/>
  <c r="AD62" i="9"/>
  <c r="AJ62" i="9"/>
  <c r="O28" i="9"/>
  <c r="O39" i="9" s="1"/>
  <c r="O6" i="9"/>
  <c r="AE4" i="9"/>
  <c r="G4" i="14" s="1"/>
  <c r="G71" i="14" s="1"/>
  <c r="AE26" i="9"/>
  <c r="G25" i="14" s="1"/>
  <c r="G91" i="14" s="1"/>
  <c r="AC41" i="9"/>
  <c r="U52" i="9"/>
  <c r="U82" i="9" s="1"/>
  <c r="S52" i="9"/>
  <c r="S82" i="9" s="1"/>
  <c r="R52" i="9"/>
  <c r="R82" i="9" s="1"/>
  <c r="R92" i="9" s="1"/>
  <c r="AD30" i="9"/>
  <c r="F29" i="14" s="1"/>
  <c r="F95" i="14" s="1"/>
  <c r="AB52" i="9"/>
  <c r="AB82" i="9" s="1"/>
  <c r="Z52" i="9"/>
  <c r="Z82" i="9" s="1"/>
  <c r="AD8" i="9"/>
  <c r="F8" i="14" s="1"/>
  <c r="F75" i="14" s="1"/>
  <c r="T52" i="9"/>
  <c r="T82" i="9" s="1"/>
  <c r="Y52" i="9"/>
  <c r="Y82" i="9" s="1"/>
  <c r="W52" i="9"/>
  <c r="W82" i="9" s="1"/>
  <c r="AA52" i="9"/>
  <c r="AA82" i="9" s="1"/>
  <c r="X52" i="9"/>
  <c r="X82" i="9" s="1"/>
  <c r="AC52" i="9"/>
  <c r="AC82" i="9" s="1"/>
  <c r="V52" i="9"/>
  <c r="V82" i="9" s="1"/>
  <c r="O32" i="9"/>
  <c r="O10" i="9"/>
  <c r="O43" i="9" l="1"/>
  <c r="S92" i="9"/>
  <c r="R102" i="9"/>
  <c r="R111" i="9" s="1"/>
  <c r="E17" i="14"/>
  <c r="E84" i="14" s="1"/>
  <c r="AE93" i="9"/>
  <c r="AD103" i="9"/>
  <c r="AD112" i="9" s="1"/>
  <c r="AE101" i="9"/>
  <c r="AE110" i="9" s="1"/>
  <c r="AF91" i="9"/>
  <c r="P28" i="9"/>
  <c r="Q28" i="9" s="1"/>
  <c r="P6" i="9"/>
  <c r="AE8" i="9"/>
  <c r="G8" i="14" s="1"/>
  <c r="G75" i="14" s="1"/>
  <c r="AE30" i="9"/>
  <c r="G29" i="14" s="1"/>
  <c r="G95" i="14" s="1"/>
  <c r="AD41" i="9"/>
  <c r="AF4" i="9"/>
  <c r="H4" i="14" s="1"/>
  <c r="AF26" i="9"/>
  <c r="H25" i="14" s="1"/>
  <c r="H91" i="14" s="1"/>
  <c r="P32" i="9"/>
  <c r="Q32" i="9" s="1"/>
  <c r="P10" i="9"/>
  <c r="AF74" i="9" l="1"/>
  <c r="AJ74" i="9"/>
  <c r="AH74" i="9"/>
  <c r="AI74" i="9"/>
  <c r="AG74" i="9"/>
  <c r="AK74" i="9"/>
  <c r="AL74" i="9"/>
  <c r="AE74" i="9"/>
  <c r="AD74" i="9"/>
  <c r="AF101" i="9"/>
  <c r="AF110" i="9" s="1"/>
  <c r="AG91" i="9"/>
  <c r="AF93" i="9"/>
  <c r="AE103" i="9"/>
  <c r="AE112" i="9" s="1"/>
  <c r="H71" i="14"/>
  <c r="AF70" i="9"/>
  <c r="AJ70" i="9"/>
  <c r="AH70" i="9"/>
  <c r="AI70" i="9"/>
  <c r="AG70" i="9"/>
  <c r="AK70" i="9"/>
  <c r="AL70" i="9"/>
  <c r="AE70" i="9"/>
  <c r="P39" i="9"/>
  <c r="Q39" i="9" s="1"/>
  <c r="P43" i="9"/>
  <c r="Q43" i="9" s="1"/>
  <c r="T92" i="9"/>
  <c r="S102" i="9"/>
  <c r="S111" i="9" s="1"/>
  <c r="F17" i="14"/>
  <c r="F84" i="14" s="1"/>
  <c r="AD70" i="9"/>
  <c r="U60" i="9"/>
  <c r="Y60" i="9"/>
  <c r="AC60" i="9"/>
  <c r="V60" i="9"/>
  <c r="Z60" i="9"/>
  <c r="T60" i="9"/>
  <c r="AB60" i="9"/>
  <c r="W60" i="9"/>
  <c r="AA60" i="9"/>
  <c r="X60" i="9"/>
  <c r="S60" i="9"/>
  <c r="U64" i="9"/>
  <c r="Y64" i="9"/>
  <c r="AC64" i="9"/>
  <c r="V64" i="9"/>
  <c r="Z64" i="9"/>
  <c r="R64" i="9"/>
  <c r="X64" i="9"/>
  <c r="S64" i="9"/>
  <c r="AA64" i="9"/>
  <c r="T64" i="9"/>
  <c r="AB64" i="9"/>
  <c r="W64" i="9"/>
  <c r="I50" i="9"/>
  <c r="I80" i="9" s="1"/>
  <c r="L50" i="9"/>
  <c r="L80" i="9" s="1"/>
  <c r="F50" i="9"/>
  <c r="F80" i="9" s="1"/>
  <c r="J50" i="9"/>
  <c r="J80" i="9" s="1"/>
  <c r="G50" i="9"/>
  <c r="G80" i="9" s="1"/>
  <c r="M50" i="9"/>
  <c r="M80" i="9" s="1"/>
  <c r="R60" i="9"/>
  <c r="N50" i="9"/>
  <c r="N80" i="9" s="1"/>
  <c r="O50" i="9"/>
  <c r="O80" i="9" s="1"/>
  <c r="E50" i="9"/>
  <c r="E80" i="9" s="1"/>
  <c r="E90" i="9" s="1"/>
  <c r="Q6" i="9"/>
  <c r="R6" i="9" s="1"/>
  <c r="P50" i="9"/>
  <c r="P80" i="9" s="1"/>
  <c r="H50" i="9"/>
  <c r="H80" i="9" s="1"/>
  <c r="K50" i="9"/>
  <c r="K80" i="9" s="1"/>
  <c r="R28" i="9"/>
  <c r="AG4" i="9"/>
  <c r="I4" i="14" s="1"/>
  <c r="AG26" i="9"/>
  <c r="I25" i="14" s="1"/>
  <c r="I91" i="14" s="1"/>
  <c r="AF8" i="9"/>
  <c r="H8" i="14" s="1"/>
  <c r="H75" i="14" s="1"/>
  <c r="AF30" i="9"/>
  <c r="H29" i="14" s="1"/>
  <c r="H95" i="14" s="1"/>
  <c r="AE41" i="9"/>
  <c r="J54" i="9"/>
  <c r="J84" i="9" s="1"/>
  <c r="I54" i="9"/>
  <c r="I84" i="9" s="1"/>
  <c r="M54" i="9"/>
  <c r="M84" i="9" s="1"/>
  <c r="H54" i="9"/>
  <c r="H84" i="9" s="1"/>
  <c r="L54" i="9"/>
  <c r="L84" i="9" s="1"/>
  <c r="F54" i="9"/>
  <c r="F84" i="9" s="1"/>
  <c r="Q10" i="9"/>
  <c r="R10" i="9" s="1"/>
  <c r="O54" i="9"/>
  <c r="O84" i="9" s="1"/>
  <c r="G54" i="9"/>
  <c r="G84" i="9" s="1"/>
  <c r="P54" i="9"/>
  <c r="P84" i="9" s="1"/>
  <c r="E54" i="9"/>
  <c r="E84" i="9" s="1"/>
  <c r="E94" i="9" s="1"/>
  <c r="R32" i="9"/>
  <c r="K54" i="9"/>
  <c r="K84" i="9" s="1"/>
  <c r="N54" i="9"/>
  <c r="N84" i="9" s="1"/>
  <c r="AG101" i="9" l="1"/>
  <c r="AG110" i="9" s="1"/>
  <c r="AH91" i="9"/>
  <c r="AG93" i="9"/>
  <c r="AF103" i="9"/>
  <c r="AF112" i="9" s="1"/>
  <c r="E104" i="9"/>
  <c r="F94" i="9"/>
  <c r="G17" i="14"/>
  <c r="G84" i="14" s="1"/>
  <c r="Q84" i="9"/>
  <c r="U92" i="9"/>
  <c r="T102" i="9"/>
  <c r="T111" i="9" s="1"/>
  <c r="I71" i="14"/>
  <c r="Q80" i="9"/>
  <c r="F90" i="9"/>
  <c r="E100" i="9"/>
  <c r="R39" i="9"/>
  <c r="R43" i="9"/>
  <c r="S28" i="9"/>
  <c r="S6" i="9"/>
  <c r="AF41" i="9"/>
  <c r="AH4" i="9"/>
  <c r="J4" i="14" s="1"/>
  <c r="AH26" i="9"/>
  <c r="J25" i="14" s="1"/>
  <c r="J91" i="14" s="1"/>
  <c r="AG8" i="9"/>
  <c r="I8" i="14" s="1"/>
  <c r="I75" i="14" s="1"/>
  <c r="AG30" i="9"/>
  <c r="I29" i="14" s="1"/>
  <c r="I95" i="14" s="1"/>
  <c r="S32" i="9"/>
  <c r="S10" i="9"/>
  <c r="Q54" i="9"/>
  <c r="J71" i="14" l="1"/>
  <c r="V92" i="9"/>
  <c r="U102" i="9"/>
  <c r="U111" i="9" s="1"/>
  <c r="F104" i="9"/>
  <c r="F113" i="9" s="1"/>
  <c r="G94" i="9"/>
  <c r="AH93" i="9"/>
  <c r="AG103" i="9"/>
  <c r="AG112" i="9" s="1"/>
  <c r="H17" i="14"/>
  <c r="H84" i="14" s="1"/>
  <c r="AH101" i="9"/>
  <c r="AH110" i="9" s="1"/>
  <c r="AI91" i="9"/>
  <c r="E113" i="9"/>
  <c r="E109" i="9"/>
  <c r="F100" i="9"/>
  <c r="F109" i="9" s="1"/>
  <c r="G90" i="9"/>
  <c r="S39" i="9"/>
  <c r="S43" i="9"/>
  <c r="T6" i="9"/>
  <c r="T28" i="9"/>
  <c r="AH8" i="9"/>
  <c r="J8" i="14" s="1"/>
  <c r="J75" i="14" s="1"/>
  <c r="AH30" i="9"/>
  <c r="J29" i="14" s="1"/>
  <c r="J95" i="14" s="1"/>
  <c r="AI26" i="9"/>
  <c r="K25" i="14" s="1"/>
  <c r="K91" i="14" s="1"/>
  <c r="AI4" i="9"/>
  <c r="K4" i="14" s="1"/>
  <c r="AG41" i="9"/>
  <c r="T10" i="9"/>
  <c r="T32" i="9"/>
  <c r="T43" i="9" l="1"/>
  <c r="T39" i="9"/>
  <c r="AI93" i="9"/>
  <c r="AH103" i="9"/>
  <c r="AH112" i="9" s="1"/>
  <c r="W92" i="9"/>
  <c r="V102" i="9"/>
  <c r="V111" i="9" s="1"/>
  <c r="AI101" i="9"/>
  <c r="AI110" i="9" s="1"/>
  <c r="AJ91" i="9"/>
  <c r="H94" i="9"/>
  <c r="G104" i="9"/>
  <c r="I17" i="14"/>
  <c r="I84" i="14" s="1"/>
  <c r="K71" i="14"/>
  <c r="H90" i="9"/>
  <c r="G100" i="9"/>
  <c r="U28" i="9"/>
  <c r="U6" i="9"/>
  <c r="AH41" i="9"/>
  <c r="AJ26" i="9"/>
  <c r="L25" i="14" s="1"/>
  <c r="L91" i="14" s="1"/>
  <c r="AJ4" i="9"/>
  <c r="L4" i="14" s="1"/>
  <c r="AI8" i="9"/>
  <c r="K8" i="14" s="1"/>
  <c r="K75" i="14" s="1"/>
  <c r="AI30" i="9"/>
  <c r="K29" i="14" s="1"/>
  <c r="K95" i="14" s="1"/>
  <c r="U32" i="9"/>
  <c r="U10" i="9"/>
  <c r="U39" i="9" l="1"/>
  <c r="U43" i="9"/>
  <c r="L71" i="14"/>
  <c r="G113" i="9"/>
  <c r="AJ93" i="9"/>
  <c r="AI103" i="9"/>
  <c r="AI112" i="9" s="1"/>
  <c r="I94" i="9"/>
  <c r="H104" i="9"/>
  <c r="H113" i="9" s="1"/>
  <c r="J17" i="14"/>
  <c r="J84" i="14" s="1"/>
  <c r="AJ101" i="9"/>
  <c r="AJ110" i="9" s="1"/>
  <c r="AK91" i="9"/>
  <c r="X92" i="9"/>
  <c r="W102" i="9"/>
  <c r="W111" i="9" s="1"/>
  <c r="G109" i="9"/>
  <c r="I90" i="9"/>
  <c r="H100" i="9"/>
  <c r="H109" i="9" s="1"/>
  <c r="V6" i="9"/>
  <c r="V28" i="9"/>
  <c r="V39" i="9" s="1"/>
  <c r="AJ30" i="9"/>
  <c r="L29" i="14" s="1"/>
  <c r="L95" i="14" s="1"/>
  <c r="AJ8" i="9"/>
  <c r="L8" i="14" s="1"/>
  <c r="L75" i="14" s="1"/>
  <c r="AK4" i="9"/>
  <c r="M4" i="14" s="1"/>
  <c r="AK26" i="9"/>
  <c r="M25" i="14" s="1"/>
  <c r="M91" i="14" s="1"/>
  <c r="AI41" i="9"/>
  <c r="V32" i="9"/>
  <c r="V10" i="9"/>
  <c r="V43" i="9" l="1"/>
  <c r="J94" i="9"/>
  <c r="I104" i="9"/>
  <c r="Y92" i="9"/>
  <c r="X102" i="9"/>
  <c r="X111" i="9" s="1"/>
  <c r="K17" i="14"/>
  <c r="K84" i="14" s="1"/>
  <c r="AK101" i="9"/>
  <c r="AK110" i="9" s="1"/>
  <c r="AL91" i="9"/>
  <c r="AL101" i="9" s="1"/>
  <c r="AL110" i="9" s="1"/>
  <c r="M71" i="14"/>
  <c r="AK93" i="9"/>
  <c r="AJ103" i="9"/>
  <c r="AJ112" i="9" s="1"/>
  <c r="J90" i="9"/>
  <c r="I100" i="9"/>
  <c r="I109" i="9" s="1"/>
  <c r="W6" i="9"/>
  <c r="W28" i="9"/>
  <c r="W39" i="9" s="1"/>
  <c r="AJ41" i="9"/>
  <c r="AL4" i="9"/>
  <c r="N4" i="14" s="1"/>
  <c r="AL26" i="9"/>
  <c r="N25" i="14" s="1"/>
  <c r="N91" i="14" s="1"/>
  <c r="AK8" i="9"/>
  <c r="M8" i="14" s="1"/>
  <c r="M75" i="14" s="1"/>
  <c r="AK30" i="9"/>
  <c r="M29" i="14" s="1"/>
  <c r="M95" i="14" s="1"/>
  <c r="W10" i="9"/>
  <c r="W32" i="9"/>
  <c r="W43" i="9" l="1"/>
  <c r="I113" i="9"/>
  <c r="Z92" i="9"/>
  <c r="Y102" i="9"/>
  <c r="Y111" i="9" s="1"/>
  <c r="AL93" i="9"/>
  <c r="AL103" i="9" s="1"/>
  <c r="AL112" i="9" s="1"/>
  <c r="AK103" i="9"/>
  <c r="AK112" i="9" s="1"/>
  <c r="K94" i="9"/>
  <c r="J104" i="9"/>
  <c r="J113" i="9" s="1"/>
  <c r="L17" i="14"/>
  <c r="L84" i="14" s="1"/>
  <c r="N71" i="14"/>
  <c r="K90" i="9"/>
  <c r="J100" i="9"/>
  <c r="AF48" i="9"/>
  <c r="AF78" i="9" s="1"/>
  <c r="AJ48" i="9"/>
  <c r="AJ78" i="9" s="1"/>
  <c r="AG48" i="9"/>
  <c r="AG78" i="9" s="1"/>
  <c r="AK48" i="9"/>
  <c r="AK78" i="9" s="1"/>
  <c r="AE48" i="9"/>
  <c r="AE78" i="9" s="1"/>
  <c r="AH48" i="9"/>
  <c r="AH78" i="9" s="1"/>
  <c r="AI48" i="9"/>
  <c r="AI78" i="9" s="1"/>
  <c r="AL48" i="9"/>
  <c r="AL78" i="9" s="1"/>
  <c r="X28" i="9"/>
  <c r="X39" i="9" s="1"/>
  <c r="X6" i="9"/>
  <c r="AD48" i="9"/>
  <c r="AL8" i="9"/>
  <c r="N8" i="14" s="1"/>
  <c r="AL30" i="9"/>
  <c r="N29" i="14" s="1"/>
  <c r="AK41" i="9"/>
  <c r="X32" i="9"/>
  <c r="X43" i="9" s="1"/>
  <c r="X10" i="9"/>
  <c r="N75" i="14" l="1"/>
  <c r="O75" i="14" s="1"/>
  <c r="O8" i="14"/>
  <c r="J65" i="28" s="1"/>
  <c r="L65" i="28" s="1"/>
  <c r="M17" i="14"/>
  <c r="M84" i="14" s="1"/>
  <c r="L94" i="9"/>
  <c r="K104" i="9"/>
  <c r="N95" i="14"/>
  <c r="O95" i="14" s="1"/>
  <c r="O29" i="14"/>
  <c r="AA92" i="9"/>
  <c r="Z102" i="9"/>
  <c r="Z111" i="9" s="1"/>
  <c r="J109" i="9"/>
  <c r="L90" i="9"/>
  <c r="K100" i="9"/>
  <c r="K109" i="9" s="1"/>
  <c r="AD78" i="9"/>
  <c r="AF52" i="9"/>
  <c r="AF82" i="9" s="1"/>
  <c r="AJ52" i="9"/>
  <c r="AJ82" i="9" s="1"/>
  <c r="AG52" i="9"/>
  <c r="AG82" i="9" s="1"/>
  <c r="AK52" i="9"/>
  <c r="AK82" i="9" s="1"/>
  <c r="AD52" i="9"/>
  <c r="AD82" i="9" s="1"/>
  <c r="AE52" i="9"/>
  <c r="AE82" i="9" s="1"/>
  <c r="AH52" i="9"/>
  <c r="AH82" i="9" s="1"/>
  <c r="AI52" i="9"/>
  <c r="AI82" i="9" s="1"/>
  <c r="AL52" i="9"/>
  <c r="AL82" i="9" s="1"/>
  <c r="Y6" i="9"/>
  <c r="Y28" i="9"/>
  <c r="Y39" i="9" s="1"/>
  <c r="AL41" i="9"/>
  <c r="N17" i="14" s="1"/>
  <c r="Y32" i="9"/>
  <c r="Y43" i="9" s="1"/>
  <c r="Y10" i="9"/>
  <c r="AB92" i="9" l="1"/>
  <c r="AA102" i="9"/>
  <c r="AA111" i="9" s="1"/>
  <c r="K113" i="9"/>
  <c r="N84" i="14"/>
  <c r="O84" i="14" s="1"/>
  <c r="O17" i="14"/>
  <c r="J72" i="28" s="1"/>
  <c r="L72" i="28" s="1"/>
  <c r="M94" i="9"/>
  <c r="L104" i="9"/>
  <c r="L113" i="9" s="1"/>
  <c r="M90" i="9"/>
  <c r="L100" i="9"/>
  <c r="L109" i="9" s="1"/>
  <c r="Z28" i="9"/>
  <c r="Z39" i="9" s="1"/>
  <c r="B15" i="14" s="1"/>
  <c r="Z6" i="9"/>
  <c r="B6" i="14" s="1"/>
  <c r="Z32" i="9"/>
  <c r="Z43" i="9" s="1"/>
  <c r="Z10" i="9"/>
  <c r="B10" i="14" s="1"/>
  <c r="B82" i="14" l="1"/>
  <c r="AC92" i="9"/>
  <c r="AB102" i="9"/>
  <c r="AB111" i="9" s="1"/>
  <c r="B73" i="14"/>
  <c r="B77" i="14"/>
  <c r="B19" i="14"/>
  <c r="N94" i="9"/>
  <c r="M104" i="9"/>
  <c r="M113" i="9" s="1"/>
  <c r="N90" i="9"/>
  <c r="M100" i="9"/>
  <c r="M109" i="9" s="1"/>
  <c r="AA6" i="9"/>
  <c r="C6" i="14" s="1"/>
  <c r="C73" i="14" s="1"/>
  <c r="AA28" i="9"/>
  <c r="C27" i="14" s="1"/>
  <c r="AA32" i="9"/>
  <c r="C31" i="14" s="1"/>
  <c r="AA10" i="9"/>
  <c r="C10" i="14" s="1"/>
  <c r="C77" i="14" s="1"/>
  <c r="AD92" i="9" l="1"/>
  <c r="AC102" i="9"/>
  <c r="AC111" i="9" s="1"/>
  <c r="C97" i="14"/>
  <c r="O94" i="9"/>
  <c r="N104" i="9"/>
  <c r="N113" i="9" s="1"/>
  <c r="C93" i="14"/>
  <c r="B86" i="14"/>
  <c r="O90" i="9"/>
  <c r="N100" i="9"/>
  <c r="N109" i="9" s="1"/>
  <c r="AA39" i="9"/>
  <c r="C15" i="14" s="1"/>
  <c r="C82" i="14" s="1"/>
  <c r="AB6" i="9"/>
  <c r="D6" i="14" s="1"/>
  <c r="D73" i="14" s="1"/>
  <c r="AB28" i="9"/>
  <c r="D27" i="14" s="1"/>
  <c r="D93" i="14" s="1"/>
  <c r="AB32" i="9"/>
  <c r="D31" i="14" s="1"/>
  <c r="D97" i="14" s="1"/>
  <c r="AB10" i="9"/>
  <c r="D10" i="14" s="1"/>
  <c r="D77" i="14" s="1"/>
  <c r="AA43" i="9"/>
  <c r="P94" i="9" l="1"/>
  <c r="O104" i="9"/>
  <c r="O113" i="9" s="1"/>
  <c r="AE92" i="9"/>
  <c r="AD102" i="9"/>
  <c r="AD111" i="9" s="1"/>
  <c r="C19" i="14"/>
  <c r="C86" i="14" s="1"/>
  <c r="P90" i="9"/>
  <c r="O100" i="9"/>
  <c r="O109" i="9" s="1"/>
  <c r="AB39" i="9"/>
  <c r="D15" i="14" s="1"/>
  <c r="D82" i="14" s="1"/>
  <c r="AC28" i="9"/>
  <c r="E27" i="14" s="1"/>
  <c r="E93" i="14" s="1"/>
  <c r="AC6" i="9"/>
  <c r="E6" i="14" s="1"/>
  <c r="E73" i="14" s="1"/>
  <c r="AB43" i="9"/>
  <c r="AC10" i="9"/>
  <c r="E10" i="14" s="1"/>
  <c r="E77" i="14" s="1"/>
  <c r="AC32" i="9"/>
  <c r="E31" i="14" s="1"/>
  <c r="E97" i="14" s="1"/>
  <c r="AF92" i="9" l="1"/>
  <c r="AE102" i="9"/>
  <c r="AE111" i="9" s="1"/>
  <c r="D19" i="14"/>
  <c r="D86" i="14" s="1"/>
  <c r="P104" i="9"/>
  <c r="Q94" i="9"/>
  <c r="P100" i="9"/>
  <c r="Q90" i="9"/>
  <c r="AH64" i="9"/>
  <c r="AL64" i="9"/>
  <c r="AE64" i="9"/>
  <c r="AI64" i="9"/>
  <c r="AD64" i="9"/>
  <c r="AK64" i="9"/>
  <c r="AF64" i="9"/>
  <c r="AG64" i="9"/>
  <c r="AJ64" i="9"/>
  <c r="AH60" i="9"/>
  <c r="AL60" i="9"/>
  <c r="AE60" i="9"/>
  <c r="AI60" i="9"/>
  <c r="AD60" i="9"/>
  <c r="AK60" i="9"/>
  <c r="AF60" i="9"/>
  <c r="AG60" i="9"/>
  <c r="AJ60" i="9"/>
  <c r="AB50" i="9"/>
  <c r="AB80" i="9" s="1"/>
  <c r="AC50" i="9"/>
  <c r="AC80" i="9" s="1"/>
  <c r="W50" i="9"/>
  <c r="W80" i="9" s="1"/>
  <c r="Z50" i="9"/>
  <c r="Z80" i="9" s="1"/>
  <c r="Y50" i="9"/>
  <c r="Y80" i="9" s="1"/>
  <c r="S50" i="9"/>
  <c r="S80" i="9" s="1"/>
  <c r="X50" i="9"/>
  <c r="X80" i="9" s="1"/>
  <c r="AD28" i="9"/>
  <c r="F27" i="14" s="1"/>
  <c r="F93" i="14" s="1"/>
  <c r="R50" i="9"/>
  <c r="R80" i="9" s="1"/>
  <c r="R90" i="9" s="1"/>
  <c r="V50" i="9"/>
  <c r="V80" i="9" s="1"/>
  <c r="AA50" i="9"/>
  <c r="AA80" i="9" s="1"/>
  <c r="AD6" i="9"/>
  <c r="F6" i="14" s="1"/>
  <c r="F73" i="14" s="1"/>
  <c r="U50" i="9"/>
  <c r="U80" i="9" s="1"/>
  <c r="T50" i="9"/>
  <c r="T80" i="9" s="1"/>
  <c r="AC39" i="9"/>
  <c r="E15" i="14" s="1"/>
  <c r="E82" i="14" s="1"/>
  <c r="AD10" i="9"/>
  <c r="F10" i="14" s="1"/>
  <c r="F77" i="14" s="1"/>
  <c r="AB54" i="9"/>
  <c r="AB84" i="9" s="1"/>
  <c r="Y54" i="9"/>
  <c r="Y84" i="9" s="1"/>
  <c r="AC54" i="9"/>
  <c r="AC84" i="9" s="1"/>
  <c r="T54" i="9"/>
  <c r="T84" i="9" s="1"/>
  <c r="AA54" i="9"/>
  <c r="AA84" i="9" s="1"/>
  <c r="U54" i="9"/>
  <c r="U84" i="9" s="1"/>
  <c r="V54" i="9"/>
  <c r="V84" i="9" s="1"/>
  <c r="R54" i="9"/>
  <c r="R84" i="9" s="1"/>
  <c r="R94" i="9" s="1"/>
  <c r="S54" i="9"/>
  <c r="S84" i="9" s="1"/>
  <c r="AD32" i="9"/>
  <c r="F31" i="14" s="1"/>
  <c r="F97" i="14" s="1"/>
  <c r="X54" i="9"/>
  <c r="X84" i="9" s="1"/>
  <c r="Z54" i="9"/>
  <c r="Z84" i="9" s="1"/>
  <c r="W54" i="9"/>
  <c r="W84" i="9" s="1"/>
  <c r="AC43" i="9"/>
  <c r="S94" i="9" l="1"/>
  <c r="R104" i="9"/>
  <c r="R113" i="9" s="1"/>
  <c r="AG92" i="9"/>
  <c r="AF102" i="9"/>
  <c r="AF111" i="9" s="1"/>
  <c r="P113" i="9"/>
  <c r="Q113" i="9" s="1"/>
  <c r="Q104" i="9"/>
  <c r="E19" i="14"/>
  <c r="E86" i="14" s="1"/>
  <c r="R100" i="9"/>
  <c r="R109" i="9" s="1"/>
  <c r="S90" i="9"/>
  <c r="P109" i="9"/>
  <c r="Q109" i="9" s="1"/>
  <c r="Q100" i="9"/>
  <c r="AD39" i="9"/>
  <c r="F15" i="14" s="1"/>
  <c r="F82" i="14" s="1"/>
  <c r="AE6" i="9"/>
  <c r="G6" i="14" s="1"/>
  <c r="G73" i="14" s="1"/>
  <c r="AE28" i="9"/>
  <c r="G27" i="14" s="1"/>
  <c r="AE10" i="9"/>
  <c r="G10" i="14" s="1"/>
  <c r="AE32" i="9"/>
  <c r="G31" i="14" s="1"/>
  <c r="G97" i="14" s="1"/>
  <c r="AD43" i="9"/>
  <c r="G77" i="14" l="1"/>
  <c r="G93" i="14"/>
  <c r="AH92" i="9"/>
  <c r="AG102" i="9"/>
  <c r="AG111" i="9" s="1"/>
  <c r="T94" i="9"/>
  <c r="S104" i="9"/>
  <c r="S113" i="9" s="1"/>
  <c r="F19" i="14"/>
  <c r="F86" i="14" s="1"/>
  <c r="T90" i="9"/>
  <c r="S100" i="9"/>
  <c r="S109" i="9" s="1"/>
  <c r="AF6" i="9"/>
  <c r="H6" i="14" s="1"/>
  <c r="H73" i="14" s="1"/>
  <c r="AF28" i="9"/>
  <c r="H27" i="14" s="1"/>
  <c r="H93" i="14" s="1"/>
  <c r="AE39" i="9"/>
  <c r="G15" i="14" s="1"/>
  <c r="G82" i="14" s="1"/>
  <c r="AE43" i="9"/>
  <c r="AF32" i="9"/>
  <c r="H31" i="14" s="1"/>
  <c r="H97" i="14" s="1"/>
  <c r="AF10" i="9"/>
  <c r="H10" i="14" s="1"/>
  <c r="H77" i="14" s="1"/>
  <c r="U94" i="9" l="1"/>
  <c r="T104" i="9"/>
  <c r="T113" i="9" s="1"/>
  <c r="G19" i="14"/>
  <c r="G86" i="14" s="1"/>
  <c r="AI92" i="9"/>
  <c r="AH102" i="9"/>
  <c r="AH111" i="9" s="1"/>
  <c r="T100" i="9"/>
  <c r="T109" i="9" s="1"/>
  <c r="U90" i="9"/>
  <c r="AF39" i="9"/>
  <c r="H15" i="14" s="1"/>
  <c r="H82" i="14" s="1"/>
  <c r="AG6" i="9"/>
  <c r="I6" i="14" s="1"/>
  <c r="I73" i="14" s="1"/>
  <c r="AG28" i="9"/>
  <c r="I27" i="14" s="1"/>
  <c r="I93" i="14" s="1"/>
  <c r="AG10" i="9"/>
  <c r="I10" i="14" s="1"/>
  <c r="I77" i="14" s="1"/>
  <c r="AG32" i="9"/>
  <c r="I31" i="14" s="1"/>
  <c r="I97" i="14" s="1"/>
  <c r="AF43" i="9"/>
  <c r="H19" i="14" l="1"/>
  <c r="H86" i="14" s="1"/>
  <c r="AJ92" i="9"/>
  <c r="AI102" i="9"/>
  <c r="AI111" i="9" s="1"/>
  <c r="V94" i="9"/>
  <c r="U104" i="9"/>
  <c r="U113" i="9" s="1"/>
  <c r="V90" i="9"/>
  <c r="U100" i="9"/>
  <c r="U109" i="9" s="1"/>
  <c r="AH28" i="9"/>
  <c r="J27" i="14" s="1"/>
  <c r="J93" i="14" s="1"/>
  <c r="AH6" i="9"/>
  <c r="J6" i="14" s="1"/>
  <c r="J73" i="14" s="1"/>
  <c r="AG39" i="9"/>
  <c r="I15" i="14" s="1"/>
  <c r="I82" i="14" s="1"/>
  <c r="AH10" i="9"/>
  <c r="J10" i="14" s="1"/>
  <c r="J77" i="14" s="1"/>
  <c r="AH32" i="9"/>
  <c r="J31" i="14" s="1"/>
  <c r="J97" i="14" s="1"/>
  <c r="AG43" i="9"/>
  <c r="AK92" i="9" l="1"/>
  <c r="AJ102" i="9"/>
  <c r="AJ111" i="9" s="1"/>
  <c r="I19" i="14"/>
  <c r="I86" i="14" s="1"/>
  <c r="W94" i="9"/>
  <c r="V104" i="9"/>
  <c r="V113" i="9" s="1"/>
  <c r="W90" i="9"/>
  <c r="V100" i="9"/>
  <c r="V109" i="9" s="1"/>
  <c r="AI6" i="9"/>
  <c r="K6" i="14" s="1"/>
  <c r="K73" i="14" s="1"/>
  <c r="AI28" i="9"/>
  <c r="K27" i="14" s="1"/>
  <c r="K93" i="14" s="1"/>
  <c r="AH39" i="9"/>
  <c r="J15" i="14" s="1"/>
  <c r="J82" i="14" s="1"/>
  <c r="AH43" i="9"/>
  <c r="J19" i="14" l="1"/>
  <c r="J86" i="14" s="1"/>
  <c r="X94" i="9"/>
  <c r="W104" i="9"/>
  <c r="W113" i="9" s="1"/>
  <c r="AL92" i="9"/>
  <c r="AL102" i="9" s="1"/>
  <c r="AL111" i="9" s="1"/>
  <c r="AK102" i="9"/>
  <c r="AK111" i="9" s="1"/>
  <c r="X90" i="9"/>
  <c r="W100" i="9"/>
  <c r="W109" i="9" s="1"/>
  <c r="AJ6" i="9"/>
  <c r="L6" i="14" s="1"/>
  <c r="L73" i="14" s="1"/>
  <c r="AJ28" i="9"/>
  <c r="L27" i="14" s="1"/>
  <c r="L93" i="14" s="1"/>
  <c r="AI39" i="9"/>
  <c r="K15" i="14" s="1"/>
  <c r="K82" i="14" s="1"/>
  <c r="Z23" i="9"/>
  <c r="E5" i="9"/>
  <c r="F27" i="9" s="1"/>
  <c r="F34" i="9" s="1"/>
  <c r="AA15" i="26" l="1"/>
  <c r="Z24" i="9"/>
  <c r="Y94" i="9"/>
  <c r="X104" i="9"/>
  <c r="X113" i="9" s="1"/>
  <c r="Y90" i="9"/>
  <c r="X100" i="9"/>
  <c r="X109" i="9" s="1"/>
  <c r="AJ39" i="9"/>
  <c r="L15" i="14" s="1"/>
  <c r="L82" i="14" s="1"/>
  <c r="AK6" i="9"/>
  <c r="M6" i="14" s="1"/>
  <c r="M73" i="14" s="1"/>
  <c r="AK28" i="9"/>
  <c r="M27" i="14" s="1"/>
  <c r="M93" i="14" s="1"/>
  <c r="F38" i="9"/>
  <c r="F5" i="9"/>
  <c r="G27" i="9" s="1"/>
  <c r="Q16" i="9"/>
  <c r="Q23" i="9" s="1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Z94" i="9" l="1"/>
  <c r="Y104" i="9"/>
  <c r="Y113" i="9" s="1"/>
  <c r="Z90" i="9"/>
  <c r="Y100" i="9"/>
  <c r="Y109" i="9" s="1"/>
  <c r="AL28" i="9"/>
  <c r="N27" i="14" s="1"/>
  <c r="AL6" i="9"/>
  <c r="N6" i="14" s="1"/>
  <c r="AK39" i="9"/>
  <c r="M15" i="14" s="1"/>
  <c r="M82" i="14" s="1"/>
  <c r="G38" i="9"/>
  <c r="G5" i="9"/>
  <c r="N73" i="14" l="1"/>
  <c r="O73" i="14" s="1"/>
  <c r="O6" i="14"/>
  <c r="J62" i="28" s="1"/>
  <c r="L62" i="28" s="1"/>
  <c r="N93" i="14"/>
  <c r="O93" i="14" s="1"/>
  <c r="O27" i="14"/>
  <c r="AA94" i="9"/>
  <c r="Z104" i="9"/>
  <c r="Z113" i="9" s="1"/>
  <c r="AA90" i="9"/>
  <c r="Z100" i="9"/>
  <c r="Z109" i="9" s="1"/>
  <c r="AF50" i="9"/>
  <c r="AF80" i="9" s="1"/>
  <c r="AJ50" i="9"/>
  <c r="AJ80" i="9" s="1"/>
  <c r="AG50" i="9"/>
  <c r="AG80" i="9" s="1"/>
  <c r="AK50" i="9"/>
  <c r="AK80" i="9" s="1"/>
  <c r="AE50" i="9"/>
  <c r="AE80" i="9" s="1"/>
  <c r="AH50" i="9"/>
  <c r="AH80" i="9" s="1"/>
  <c r="AI50" i="9"/>
  <c r="AI80" i="9" s="1"/>
  <c r="AD50" i="9"/>
  <c r="AD80" i="9" s="1"/>
  <c r="AL50" i="9"/>
  <c r="AL80" i="9" s="1"/>
  <c r="AL39" i="9"/>
  <c r="N15" i="14" s="1"/>
  <c r="H5" i="9"/>
  <c r="H27" i="9"/>
  <c r="AB94" i="9" l="1"/>
  <c r="AA104" i="9"/>
  <c r="AA113" i="9" s="1"/>
  <c r="N82" i="14"/>
  <c r="O82" i="14" s="1"/>
  <c r="O15" i="14"/>
  <c r="J69" i="28" s="1"/>
  <c r="L69" i="28" s="1"/>
  <c r="AB90" i="9"/>
  <c r="AA100" i="9"/>
  <c r="AA109" i="9" s="1"/>
  <c r="H38" i="9"/>
  <c r="I5" i="9"/>
  <c r="I27" i="9"/>
  <c r="AC94" i="9" l="1"/>
  <c r="AB104" i="9"/>
  <c r="AB113" i="9" s="1"/>
  <c r="AC90" i="9"/>
  <c r="AB100" i="9"/>
  <c r="AB109" i="9" s="1"/>
  <c r="I38" i="9"/>
  <c r="J5" i="9"/>
  <c r="J27" i="9"/>
  <c r="AC104" i="9" l="1"/>
  <c r="AC113" i="9" s="1"/>
  <c r="AD90" i="9"/>
  <c r="AC100" i="9"/>
  <c r="AC109" i="9" s="1"/>
  <c r="K5" i="9"/>
  <c r="K27" i="9"/>
  <c r="J38" i="9"/>
  <c r="AE90" i="9" l="1"/>
  <c r="AD100" i="9"/>
  <c r="AD109" i="9" s="1"/>
  <c r="K38" i="9"/>
  <c r="L5" i="9"/>
  <c r="L27" i="9"/>
  <c r="AF90" i="9" l="1"/>
  <c r="AE100" i="9"/>
  <c r="AE109" i="9" s="1"/>
  <c r="L38" i="9"/>
  <c r="M5" i="9"/>
  <c r="M27" i="9"/>
  <c r="AG90" i="9" l="1"/>
  <c r="AF100" i="9"/>
  <c r="AF109" i="9" s="1"/>
  <c r="M38" i="9"/>
  <c r="N5" i="9"/>
  <c r="N27" i="9"/>
  <c r="AH90" i="9" l="1"/>
  <c r="AG100" i="9"/>
  <c r="AG109" i="9" s="1"/>
  <c r="N38" i="9"/>
  <c r="O5" i="9"/>
  <c r="O27" i="9"/>
  <c r="AI90" i="9" l="1"/>
  <c r="AH100" i="9"/>
  <c r="AH109" i="9" s="1"/>
  <c r="O38" i="9"/>
  <c r="P5" i="9"/>
  <c r="P27" i="9"/>
  <c r="Q27" i="9" s="1"/>
  <c r="Q34" i="9" s="1"/>
  <c r="AF69" i="9" l="1"/>
  <c r="AF76" i="9" s="1"/>
  <c r="AJ69" i="9"/>
  <c r="AJ76" i="9" s="1"/>
  <c r="AH69" i="9"/>
  <c r="AH76" i="9" s="1"/>
  <c r="AI69" i="9"/>
  <c r="AI76" i="9" s="1"/>
  <c r="AG69" i="9"/>
  <c r="AG76" i="9" s="1"/>
  <c r="AK69" i="9"/>
  <c r="AK76" i="9" s="1"/>
  <c r="AL69" i="9"/>
  <c r="AL76" i="9" s="1"/>
  <c r="AE69" i="9"/>
  <c r="AE76" i="9" s="1"/>
  <c r="P38" i="9"/>
  <c r="AJ90" i="9"/>
  <c r="AI100" i="9"/>
  <c r="AI109" i="9" s="1"/>
  <c r="T59" i="9"/>
  <c r="T66" i="9" s="1"/>
  <c r="X59" i="9"/>
  <c r="X66" i="9" s="1"/>
  <c r="AB59" i="9"/>
  <c r="AB66" i="9" s="1"/>
  <c r="AD69" i="9"/>
  <c r="AD76" i="9" s="1"/>
  <c r="U59" i="9"/>
  <c r="U66" i="9" s="1"/>
  <c r="Y59" i="9"/>
  <c r="Y66" i="9" s="1"/>
  <c r="AC59" i="9"/>
  <c r="AC66" i="9" s="1"/>
  <c r="W59" i="9"/>
  <c r="W66" i="9" s="1"/>
  <c r="Z59" i="9"/>
  <c r="Z66" i="9" s="1"/>
  <c r="S59" i="9"/>
  <c r="S66" i="9" s="1"/>
  <c r="AA59" i="9"/>
  <c r="AA66" i="9" s="1"/>
  <c r="V59" i="9"/>
  <c r="V66" i="9" s="1"/>
  <c r="R59" i="9"/>
  <c r="R66" i="9" s="1"/>
  <c r="R27" i="9"/>
  <c r="R34" i="9" s="1"/>
  <c r="O49" i="9"/>
  <c r="O79" i="9" s="1"/>
  <c r="M49" i="9"/>
  <c r="M79" i="9" s="1"/>
  <c r="P49" i="9"/>
  <c r="P79" i="9" s="1"/>
  <c r="G49" i="9"/>
  <c r="G79" i="9" s="1"/>
  <c r="K49" i="9"/>
  <c r="K79" i="9" s="1"/>
  <c r="J49" i="9"/>
  <c r="J79" i="9" s="1"/>
  <c r="F49" i="9"/>
  <c r="F79" i="9" s="1"/>
  <c r="H49" i="9"/>
  <c r="H79" i="9" s="1"/>
  <c r="N49" i="9"/>
  <c r="N79" i="9" s="1"/>
  <c r="E49" i="9"/>
  <c r="E79" i="9" s="1"/>
  <c r="E89" i="9" s="1"/>
  <c r="I49" i="9"/>
  <c r="I79" i="9" s="1"/>
  <c r="L49" i="9"/>
  <c r="L79" i="9" s="1"/>
  <c r="Q5" i="9"/>
  <c r="E99" i="9" l="1"/>
  <c r="F89" i="9"/>
  <c r="Q79" i="9"/>
  <c r="AK90" i="9"/>
  <c r="AJ100" i="9"/>
  <c r="AJ109" i="9" s="1"/>
  <c r="N56" i="9"/>
  <c r="M56" i="9"/>
  <c r="J56" i="9"/>
  <c r="L56" i="9"/>
  <c r="H56" i="9"/>
  <c r="K56" i="9"/>
  <c r="O56" i="9"/>
  <c r="I56" i="9"/>
  <c r="G56" i="9"/>
  <c r="F56" i="9"/>
  <c r="P56" i="9"/>
  <c r="E56" i="9"/>
  <c r="Q49" i="9"/>
  <c r="R5" i="9"/>
  <c r="S27" i="9" s="1"/>
  <c r="Q38" i="9"/>
  <c r="R38" i="9" s="1"/>
  <c r="G89" i="9" l="1"/>
  <c r="F99" i="9"/>
  <c r="F108" i="9" s="1"/>
  <c r="E108" i="9"/>
  <c r="AL90" i="9"/>
  <c r="AL100" i="9" s="1"/>
  <c r="AL109" i="9" s="1"/>
  <c r="AK100" i="9"/>
  <c r="AK109" i="9" s="1"/>
  <c r="E88" i="9"/>
  <c r="Q78" i="9"/>
  <c r="S38" i="9"/>
  <c r="R12" i="9"/>
  <c r="S5" i="9"/>
  <c r="T27" i="9" s="1"/>
  <c r="H89" i="9" l="1"/>
  <c r="G99" i="9"/>
  <c r="F88" i="9"/>
  <c r="E98" i="9"/>
  <c r="E107" i="9" s="1"/>
  <c r="T38" i="9"/>
  <c r="T5" i="9"/>
  <c r="U27" i="9" s="1"/>
  <c r="G88" i="9" l="1"/>
  <c r="F98" i="9"/>
  <c r="G108" i="9"/>
  <c r="I89" i="9"/>
  <c r="H99" i="9"/>
  <c r="H108" i="9" s="1"/>
  <c r="U5" i="9"/>
  <c r="V27" i="9" s="1"/>
  <c r="U38" i="9"/>
  <c r="J89" i="9" l="1"/>
  <c r="I99" i="9"/>
  <c r="H88" i="9"/>
  <c r="G98" i="9"/>
  <c r="F107" i="9"/>
  <c r="V38" i="9"/>
  <c r="V5" i="9"/>
  <c r="W27" i="9" s="1"/>
  <c r="AH33" i="9"/>
  <c r="I88" i="9" l="1"/>
  <c r="H98" i="9"/>
  <c r="I108" i="9"/>
  <c r="K89" i="9"/>
  <c r="J99" i="9"/>
  <c r="J108" i="9" s="1"/>
  <c r="G107" i="9"/>
  <c r="W38" i="9"/>
  <c r="W5" i="9"/>
  <c r="X27" i="9" s="1"/>
  <c r="AI33" i="9"/>
  <c r="L89" i="9" l="1"/>
  <c r="K99" i="9"/>
  <c r="J88" i="9"/>
  <c r="I98" i="9"/>
  <c r="X38" i="9"/>
  <c r="H107" i="9"/>
  <c r="X5" i="9"/>
  <c r="Y27" i="9" s="1"/>
  <c r="AJ33" i="9"/>
  <c r="K88" i="9" l="1"/>
  <c r="J98" i="9"/>
  <c r="K108" i="9"/>
  <c r="M89" i="9"/>
  <c r="L99" i="9"/>
  <c r="L108" i="9" s="1"/>
  <c r="Y38" i="9"/>
  <c r="I107" i="9"/>
  <c r="Y5" i="9"/>
  <c r="Z27" i="9" s="1"/>
  <c r="AK33" i="9"/>
  <c r="Z38" i="9" l="1"/>
  <c r="B14" i="14" s="1"/>
  <c r="N89" i="9"/>
  <c r="M99" i="9"/>
  <c r="L88" i="9"/>
  <c r="K98" i="9"/>
  <c r="J107" i="9"/>
  <c r="Z5" i="9"/>
  <c r="AL33" i="9"/>
  <c r="AA27" i="9" l="1"/>
  <c r="B5" i="14"/>
  <c r="B81" i="14"/>
  <c r="M108" i="9"/>
  <c r="O89" i="9"/>
  <c r="N99" i="9"/>
  <c r="N108" i="9" s="1"/>
  <c r="M88" i="9"/>
  <c r="L98" i="9"/>
  <c r="AA5" i="9"/>
  <c r="K107" i="9"/>
  <c r="AB5" i="9" l="1"/>
  <c r="D5" i="14" s="1"/>
  <c r="C5" i="14"/>
  <c r="B72" i="14"/>
  <c r="AA38" i="9"/>
  <c r="C14" i="14" s="1"/>
  <c r="C81" i="14" s="1"/>
  <c r="C26" i="14"/>
  <c r="P89" i="9"/>
  <c r="O99" i="9"/>
  <c r="O108" i="9" s="1"/>
  <c r="N88" i="9"/>
  <c r="M98" i="9"/>
  <c r="AB27" i="9"/>
  <c r="D26" i="14" s="1"/>
  <c r="D92" i="14" s="1"/>
  <c r="L107" i="9"/>
  <c r="AC27" i="9" l="1"/>
  <c r="E26" i="14" s="1"/>
  <c r="E92" i="14" s="1"/>
  <c r="AC5" i="9"/>
  <c r="E5" i="14" s="1"/>
  <c r="C92" i="14"/>
  <c r="C72" i="14"/>
  <c r="C11" i="14"/>
  <c r="C78" i="14" s="1"/>
  <c r="D72" i="14"/>
  <c r="D11" i="14"/>
  <c r="D78" i="14" s="1"/>
  <c r="O88" i="9"/>
  <c r="N98" i="9"/>
  <c r="P99" i="9"/>
  <c r="Q89" i="9"/>
  <c r="R49" i="9"/>
  <c r="R79" i="9" s="1"/>
  <c r="R89" i="9" s="1"/>
  <c r="AH59" i="9"/>
  <c r="AL59" i="9"/>
  <c r="AE59" i="9"/>
  <c r="AI59" i="9"/>
  <c r="AG59" i="9"/>
  <c r="AD59" i="9"/>
  <c r="AD27" i="9"/>
  <c r="F26" i="14" s="1"/>
  <c r="F92" i="14" s="1"/>
  <c r="AB38" i="9"/>
  <c r="D14" i="14" s="1"/>
  <c r="D81" i="14" s="1"/>
  <c r="M107" i="9"/>
  <c r="AC49" i="9"/>
  <c r="AC79" i="9" s="1"/>
  <c r="Y49" i="9"/>
  <c r="Y79" i="9" s="1"/>
  <c r="U49" i="9"/>
  <c r="U79" i="9" s="1"/>
  <c r="Z49" i="9"/>
  <c r="Z79" i="9" s="1"/>
  <c r="AB49" i="9"/>
  <c r="AB79" i="9" s="1"/>
  <c r="X49" i="9"/>
  <c r="X79" i="9" s="1"/>
  <c r="T49" i="9"/>
  <c r="T79" i="9" s="1"/>
  <c r="V49" i="9"/>
  <c r="V79" i="9" s="1"/>
  <c r="AA49" i="9"/>
  <c r="AA79" i="9" s="1"/>
  <c r="W49" i="9"/>
  <c r="W79" i="9" s="1"/>
  <c r="S49" i="9"/>
  <c r="S79" i="9" s="1"/>
  <c r="AD5" i="9"/>
  <c r="F5" i="14" s="1"/>
  <c r="AJ59" i="9" l="1"/>
  <c r="AF59" i="9"/>
  <c r="AK59" i="9"/>
  <c r="F72" i="14"/>
  <c r="F11" i="14"/>
  <c r="F78" i="14" s="1"/>
  <c r="E72" i="14"/>
  <c r="E11" i="14"/>
  <c r="E78" i="14" s="1"/>
  <c r="P108" i="9"/>
  <c r="Q108" i="9" s="1"/>
  <c r="Q99" i="9"/>
  <c r="R99" i="9"/>
  <c r="R108" i="9" s="1"/>
  <c r="S89" i="9"/>
  <c r="P88" i="9"/>
  <c r="P98" i="9" s="1"/>
  <c r="O98" i="9"/>
  <c r="AC38" i="9"/>
  <c r="E14" i="14" s="1"/>
  <c r="E81" i="14" s="1"/>
  <c r="AE27" i="9"/>
  <c r="G26" i="14" s="1"/>
  <c r="G92" i="14" s="1"/>
  <c r="N107" i="9"/>
  <c r="AE5" i="9"/>
  <c r="G5" i="14" s="1"/>
  <c r="G72" i="14" l="1"/>
  <c r="G11" i="14"/>
  <c r="G78" i="14" s="1"/>
  <c r="T89" i="9"/>
  <c r="S99" i="9"/>
  <c r="S108" i="9" s="1"/>
  <c r="AD38" i="9"/>
  <c r="F14" i="14" s="1"/>
  <c r="F81" i="14" s="1"/>
  <c r="AF27" i="9"/>
  <c r="H26" i="14" s="1"/>
  <c r="H92" i="14" s="1"/>
  <c r="R88" i="9"/>
  <c r="S88" i="9" s="1"/>
  <c r="Q88" i="9"/>
  <c r="O107" i="9"/>
  <c r="AF5" i="9"/>
  <c r="H5" i="14" s="1"/>
  <c r="H72" i="14" l="1"/>
  <c r="H11" i="14"/>
  <c r="H78" i="14" s="1"/>
  <c r="T88" i="9"/>
  <c r="U89" i="9"/>
  <c r="T99" i="9"/>
  <c r="T108" i="9" s="1"/>
  <c r="AE38" i="9"/>
  <c r="G14" i="14" s="1"/>
  <c r="G81" i="14" s="1"/>
  <c r="AG27" i="9"/>
  <c r="I26" i="14" s="1"/>
  <c r="P107" i="9"/>
  <c r="Q107" i="9" s="1"/>
  <c r="Q98" i="9"/>
  <c r="AG5" i="9"/>
  <c r="I5" i="14" s="1"/>
  <c r="I92" i="14" l="1"/>
  <c r="I72" i="14"/>
  <c r="I11" i="14"/>
  <c r="I78" i="14" s="1"/>
  <c r="U88" i="9"/>
  <c r="V89" i="9"/>
  <c r="U99" i="9"/>
  <c r="U108" i="9" s="1"/>
  <c r="AF38" i="9"/>
  <c r="H14" i="14" s="1"/>
  <c r="H81" i="14" s="1"/>
  <c r="AH27" i="9"/>
  <c r="J26" i="14" s="1"/>
  <c r="AH5" i="9"/>
  <c r="J5" i="14" s="1"/>
  <c r="J92" i="14" l="1"/>
  <c r="J72" i="14"/>
  <c r="J11" i="14"/>
  <c r="J78" i="14" s="1"/>
  <c r="V88" i="9"/>
  <c r="W89" i="9"/>
  <c r="V99" i="9"/>
  <c r="V108" i="9" s="1"/>
  <c r="AG38" i="9"/>
  <c r="I14" i="14" s="1"/>
  <c r="I81" i="14" s="1"/>
  <c r="AI27" i="9"/>
  <c r="K26" i="14" s="1"/>
  <c r="K92" i="14" s="1"/>
  <c r="AI5" i="9"/>
  <c r="K5" i="14" s="1"/>
  <c r="K72" i="14" l="1"/>
  <c r="X89" i="9"/>
  <c r="W99" i="9"/>
  <c r="W108" i="9" s="1"/>
  <c r="W88" i="9"/>
  <c r="AH38" i="9"/>
  <c r="J14" i="14" s="1"/>
  <c r="J81" i="14" s="1"/>
  <c r="AJ27" i="9"/>
  <c r="L26" i="14" s="1"/>
  <c r="L92" i="14" s="1"/>
  <c r="AJ5" i="9"/>
  <c r="L5" i="14" s="1"/>
  <c r="L72" i="14" l="1"/>
  <c r="X88" i="9"/>
  <c r="Y89" i="9"/>
  <c r="X99" i="9"/>
  <c r="X108" i="9" s="1"/>
  <c r="AI38" i="9"/>
  <c r="K14" i="14" s="1"/>
  <c r="K81" i="14" s="1"/>
  <c r="AK27" i="9"/>
  <c r="M26" i="14" s="1"/>
  <c r="M92" i="14" s="1"/>
  <c r="AK5" i="9"/>
  <c r="M5" i="14" s="1"/>
  <c r="M72" i="14" l="1"/>
  <c r="Z89" i="9"/>
  <c r="Y99" i="9"/>
  <c r="Y108" i="9" s="1"/>
  <c r="Y88" i="9"/>
  <c r="AJ38" i="9"/>
  <c r="L14" i="14" s="1"/>
  <c r="L81" i="14" s="1"/>
  <c r="AL27" i="9"/>
  <c r="N26" i="14" s="1"/>
  <c r="O26" i="14" s="1"/>
  <c r="J25" i="28" s="1"/>
  <c r="L25" i="28" s="1"/>
  <c r="AL5" i="9"/>
  <c r="N5" i="14" s="1"/>
  <c r="J28" i="28" l="1"/>
  <c r="L28" i="28"/>
  <c r="N92" i="14"/>
  <c r="O92" i="14" s="1"/>
  <c r="N72" i="14"/>
  <c r="O72" i="14" s="1"/>
  <c r="O5" i="14"/>
  <c r="J63" i="28" s="1"/>
  <c r="Z88" i="9"/>
  <c r="AA89" i="9"/>
  <c r="Z99" i="9"/>
  <c r="Z108" i="9" s="1"/>
  <c r="AF49" i="9"/>
  <c r="AF79" i="9" s="1"/>
  <c r="AJ49" i="9"/>
  <c r="AJ79" i="9" s="1"/>
  <c r="AD49" i="9"/>
  <c r="AG49" i="9"/>
  <c r="AG79" i="9" s="1"/>
  <c r="AK49" i="9"/>
  <c r="AK79" i="9" s="1"/>
  <c r="AE49" i="9"/>
  <c r="AE79" i="9" s="1"/>
  <c r="AH49" i="9"/>
  <c r="AH79" i="9" s="1"/>
  <c r="AL49" i="9"/>
  <c r="AL79" i="9" s="1"/>
  <c r="AI49" i="9"/>
  <c r="AI79" i="9" s="1"/>
  <c r="AK38" i="9"/>
  <c r="M14" i="14" s="1"/>
  <c r="M81" i="14" s="1"/>
  <c r="L63" i="28" l="1"/>
  <c r="AD79" i="9"/>
  <c r="AB89" i="9"/>
  <c r="AA99" i="9"/>
  <c r="AA108" i="9" s="1"/>
  <c r="AA88" i="9"/>
  <c r="AL38" i="9"/>
  <c r="N14" i="14" s="1"/>
  <c r="W23" i="9"/>
  <c r="X23" i="9"/>
  <c r="Y23" i="9"/>
  <c r="AA23" i="9"/>
  <c r="AB23" i="9"/>
  <c r="AC23" i="9"/>
  <c r="AD23" i="9"/>
  <c r="AE23" i="9"/>
  <c r="AF23" i="9"/>
  <c r="AG23" i="9"/>
  <c r="AG24" i="9" s="1"/>
  <c r="AH23" i="9"/>
  <c r="AJ23" i="9"/>
  <c r="AK23" i="9"/>
  <c r="AL23" i="9"/>
  <c r="AH15" i="26" l="1"/>
  <c r="AF24" i="9"/>
  <c r="AG15" i="26"/>
  <c r="AE24" i="9"/>
  <c r="AM15" i="26"/>
  <c r="AK24" i="9"/>
  <c r="AI15" i="26"/>
  <c r="AN15" i="26"/>
  <c r="AL24" i="9"/>
  <c r="AL15" i="26"/>
  <c r="AJ24" i="9"/>
  <c r="AJ15" i="26"/>
  <c r="AH24" i="9"/>
  <c r="AF15" i="26"/>
  <c r="AD24" i="9"/>
  <c r="Y15" i="26"/>
  <c r="X24" i="9"/>
  <c r="AD15" i="26"/>
  <c r="AC24" i="9"/>
  <c r="X15" i="26"/>
  <c r="W24" i="9"/>
  <c r="AC15" i="26"/>
  <c r="AB24" i="9"/>
  <c r="AB15" i="26"/>
  <c r="AA24" i="9"/>
  <c r="Z15" i="26"/>
  <c r="Y24" i="9"/>
  <c r="N81" i="14"/>
  <c r="O81" i="14" s="1"/>
  <c r="O14" i="14"/>
  <c r="J70" i="28" s="1"/>
  <c r="AC89" i="9"/>
  <c r="AB99" i="9"/>
  <c r="AB108" i="9" s="1"/>
  <c r="AB88" i="9"/>
  <c r="S23" i="9"/>
  <c r="T23" i="9"/>
  <c r="U23" i="9"/>
  <c r="V23" i="9"/>
  <c r="L70" i="28" l="1"/>
  <c r="V15" i="26"/>
  <c r="U24" i="9"/>
  <c r="U15" i="26"/>
  <c r="T24" i="9"/>
  <c r="T15" i="26"/>
  <c r="S24" i="9"/>
  <c r="W15" i="26"/>
  <c r="V24" i="9"/>
  <c r="AC88" i="9"/>
  <c r="AD89" i="9"/>
  <c r="AC99" i="9"/>
  <c r="AC108" i="9" s="1"/>
  <c r="AE89" i="9" l="1"/>
  <c r="AD99" i="9"/>
  <c r="AD108" i="9" s="1"/>
  <c r="AD88" i="9"/>
  <c r="AE88" i="9" l="1"/>
  <c r="AF89" i="9"/>
  <c r="AE99" i="9"/>
  <c r="AE108" i="9" s="1"/>
  <c r="AG89" i="9" l="1"/>
  <c r="AF99" i="9"/>
  <c r="AF108" i="9" s="1"/>
  <c r="AF88" i="9"/>
  <c r="AH89" i="9" l="1"/>
  <c r="AG99" i="9"/>
  <c r="AG108" i="9" s="1"/>
  <c r="AG88" i="9"/>
  <c r="AH88" i="9" l="1"/>
  <c r="AI89" i="9"/>
  <c r="AH99" i="9"/>
  <c r="AH108" i="9" s="1"/>
  <c r="AJ89" i="9" l="1"/>
  <c r="AI99" i="9"/>
  <c r="AI108" i="9" s="1"/>
  <c r="AI88" i="9"/>
  <c r="AJ88" i="9" l="1"/>
  <c r="AK89" i="9"/>
  <c r="AJ99" i="9"/>
  <c r="AJ108" i="9" s="1"/>
  <c r="AL89" i="9" l="1"/>
  <c r="AL99" i="9" s="1"/>
  <c r="AL108" i="9" s="1"/>
  <c r="AK99" i="9"/>
  <c r="AK108" i="9" s="1"/>
  <c r="AK88" i="9"/>
  <c r="AL88" i="9" l="1"/>
  <c r="I23" i="9" l="1"/>
  <c r="I15" i="26" s="1"/>
  <c r="H23" i="9"/>
  <c r="H15" i="26" s="1"/>
  <c r="G23" i="9"/>
  <c r="G15" i="26" s="1"/>
  <c r="N23" i="9"/>
  <c r="N15" i="26" s="1"/>
  <c r="O23" i="9"/>
  <c r="O15" i="26" s="1"/>
  <c r="M23" i="9"/>
  <c r="M15" i="26" s="1"/>
  <c r="K23" i="9"/>
  <c r="K15" i="26" s="1"/>
  <c r="P23" i="9"/>
  <c r="P15" i="26" s="1"/>
  <c r="F23" i="9"/>
  <c r="F15" i="26" s="1"/>
  <c r="E23" i="9"/>
  <c r="E15" i="26" s="1"/>
  <c r="L23" i="9"/>
  <c r="L15" i="26" s="1"/>
  <c r="J23" i="9"/>
  <c r="J15" i="26" s="1"/>
  <c r="F12" i="9" l="1"/>
  <c r="E12" i="9"/>
  <c r="H34" i="9" l="1"/>
  <c r="G34" i="9"/>
  <c r="G12" i="9" l="1"/>
  <c r="F45" i="9"/>
  <c r="H12" i="9"/>
  <c r="I34" i="9"/>
  <c r="I12" i="9" l="1"/>
  <c r="G45" i="9"/>
  <c r="K34" i="9" l="1"/>
  <c r="J12" i="9"/>
  <c r="J34" i="9"/>
  <c r="H45" i="9"/>
  <c r="K12" i="9" l="1"/>
  <c r="I45" i="9"/>
  <c r="L12" i="9" l="1"/>
  <c r="M34" i="9"/>
  <c r="J45" i="9"/>
  <c r="L34" i="9"/>
  <c r="M12" i="9" l="1"/>
  <c r="K45" i="9"/>
  <c r="N12" i="9" l="1"/>
  <c r="O34" i="9"/>
  <c r="L45" i="9"/>
  <c r="N34" i="9"/>
  <c r="M45" i="9" l="1"/>
  <c r="O12" i="9"/>
  <c r="P34" i="9" l="1"/>
  <c r="N45" i="9"/>
  <c r="P12" i="9"/>
  <c r="E85" i="9" l="1"/>
  <c r="Q12" i="9"/>
  <c r="G85" i="9"/>
  <c r="K85" i="9"/>
  <c r="F85" i="9"/>
  <c r="H85" i="9"/>
  <c r="J85" i="9"/>
  <c r="Q50" i="9"/>
  <c r="Q56" i="9" s="1"/>
  <c r="P85" i="9"/>
  <c r="M85" i="9"/>
  <c r="O85" i="9"/>
  <c r="N85" i="9"/>
  <c r="L85" i="9"/>
  <c r="I85" i="9"/>
  <c r="O45" i="9"/>
  <c r="E105" i="9" l="1"/>
  <c r="E95" i="9"/>
  <c r="Q85" i="9"/>
  <c r="S34" i="9"/>
  <c r="Q37" i="9"/>
  <c r="P45" i="9"/>
  <c r="R37" i="9" l="1"/>
  <c r="S37" i="9" s="1"/>
  <c r="S98" i="9" s="1"/>
  <c r="Q45" i="9"/>
  <c r="E114" i="9"/>
  <c r="S12" i="9"/>
  <c r="T34" i="9"/>
  <c r="T37" i="9" l="1"/>
  <c r="T98" i="9" s="1"/>
  <c r="S107" i="9"/>
  <c r="R45" i="9"/>
  <c r="R98" i="9"/>
  <c r="R107" i="9" s="1"/>
  <c r="F105" i="9"/>
  <c r="F95" i="9"/>
  <c r="S45" i="9"/>
  <c r="T12" i="9"/>
  <c r="U34" i="9"/>
  <c r="U37" i="9" l="1"/>
  <c r="U98" i="9" s="1"/>
  <c r="T107" i="9"/>
  <c r="G105" i="9"/>
  <c r="G95" i="9"/>
  <c r="F114" i="9"/>
  <c r="V34" i="9"/>
  <c r="U12" i="9"/>
  <c r="V37" i="9" l="1"/>
  <c r="V98" i="9" s="1"/>
  <c r="U107" i="9"/>
  <c r="H105" i="9"/>
  <c r="H95" i="9"/>
  <c r="G114" i="9"/>
  <c r="T45" i="9"/>
  <c r="V12" i="9"/>
  <c r="W34" i="9"/>
  <c r="W37" i="9" l="1"/>
  <c r="W98" i="9" s="1"/>
  <c r="V107" i="9"/>
  <c r="I105" i="9"/>
  <c r="I95" i="9"/>
  <c r="H114" i="9"/>
  <c r="X34" i="9"/>
  <c r="W12" i="9"/>
  <c r="U45" i="9"/>
  <c r="X37" i="9" l="1"/>
  <c r="X98" i="9" s="1"/>
  <c r="W107" i="9"/>
  <c r="J105" i="9"/>
  <c r="J95" i="9"/>
  <c r="I114" i="9"/>
  <c r="V45" i="9"/>
  <c r="Y34" i="9"/>
  <c r="X12" i="9"/>
  <c r="Y37" i="9" l="1"/>
  <c r="Y98" i="9" s="1"/>
  <c r="X107" i="9"/>
  <c r="K105" i="9"/>
  <c r="K95" i="9"/>
  <c r="J114" i="9"/>
  <c r="Z34" i="9"/>
  <c r="Y12" i="9"/>
  <c r="W45" i="9"/>
  <c r="Z37" i="9" l="1"/>
  <c r="Z98" i="9" s="1"/>
  <c r="Y107" i="9"/>
  <c r="L105" i="9"/>
  <c r="L95" i="9"/>
  <c r="K114" i="9"/>
  <c r="Z12" i="9"/>
  <c r="B4" i="14"/>
  <c r="X45" i="9"/>
  <c r="B11" i="14" l="1"/>
  <c r="B78" i="14" s="1"/>
  <c r="B71" i="14"/>
  <c r="O71" i="14" s="1"/>
  <c r="AA37" i="9"/>
  <c r="Z107" i="9"/>
  <c r="M105" i="9"/>
  <c r="M95" i="9"/>
  <c r="L114" i="9"/>
  <c r="B13" i="14"/>
  <c r="B20" i="14" s="1"/>
  <c r="B87" i="14" s="1"/>
  <c r="Y45" i="9"/>
  <c r="AA34" i="9"/>
  <c r="C25" i="14"/>
  <c r="AA12" i="9"/>
  <c r="AA98" i="9" l="1"/>
  <c r="AA107" i="9" s="1"/>
  <c r="C13" i="14"/>
  <c r="C80" i="14" s="1"/>
  <c r="AB37" i="9"/>
  <c r="N105" i="9"/>
  <c r="N95" i="9"/>
  <c r="C91" i="14"/>
  <c r="O91" i="14" s="1"/>
  <c r="C32" i="14"/>
  <c r="C98" i="14" s="1"/>
  <c r="M114" i="9"/>
  <c r="B80" i="14"/>
  <c r="Z45" i="9"/>
  <c r="AB12" i="9"/>
  <c r="D32" i="14"/>
  <c r="AB34" i="9"/>
  <c r="AB98" i="9" l="1"/>
  <c r="AB107" i="9" s="1"/>
  <c r="D13" i="14"/>
  <c r="D80" i="14" s="1"/>
  <c r="AC37" i="9"/>
  <c r="O105" i="9"/>
  <c r="O95" i="9"/>
  <c r="D98" i="14"/>
  <c r="AD66" i="9"/>
  <c r="AK66" i="9"/>
  <c r="AG66" i="9"/>
  <c r="AL66" i="9"/>
  <c r="AJ66" i="9"/>
  <c r="AF66" i="9"/>
  <c r="AC56" i="9"/>
  <c r="AI66" i="9"/>
  <c r="AE66" i="9"/>
  <c r="AH66" i="9"/>
  <c r="N114" i="9"/>
  <c r="AC12" i="9"/>
  <c r="E32" i="14"/>
  <c r="AC34" i="9"/>
  <c r="C20" i="14"/>
  <c r="C87" i="14" s="1"/>
  <c r="AA45" i="9"/>
  <c r="AC98" i="9" l="1"/>
  <c r="AC107" i="9" s="1"/>
  <c r="E13" i="14"/>
  <c r="E80" i="14" s="1"/>
  <c r="AD37" i="9"/>
  <c r="S85" i="9"/>
  <c r="S56" i="9"/>
  <c r="W85" i="9"/>
  <c r="W56" i="9"/>
  <c r="AA85" i="9"/>
  <c r="AA56" i="9"/>
  <c r="Z85" i="9"/>
  <c r="Z56" i="9"/>
  <c r="T85" i="9"/>
  <c r="T56" i="9"/>
  <c r="AB85" i="9"/>
  <c r="AB56" i="9"/>
  <c r="U85" i="9"/>
  <c r="U56" i="9"/>
  <c r="V85" i="9"/>
  <c r="V56" i="9"/>
  <c r="Y85" i="9"/>
  <c r="Y56" i="9"/>
  <c r="P95" i="9"/>
  <c r="X85" i="9"/>
  <c r="X56" i="9"/>
  <c r="R56" i="9"/>
  <c r="AC85" i="9"/>
  <c r="E98" i="14"/>
  <c r="Q95" i="9"/>
  <c r="O114" i="9"/>
  <c r="AD12" i="9"/>
  <c r="AD34" i="9"/>
  <c r="AB45" i="9"/>
  <c r="D20" i="14"/>
  <c r="D87" i="14" s="1"/>
  <c r="AD98" i="9" l="1"/>
  <c r="AD107" i="9" s="1"/>
  <c r="F13" i="14"/>
  <c r="F80" i="14" s="1"/>
  <c r="AE37" i="9"/>
  <c r="R95" i="9"/>
  <c r="R85" i="9"/>
  <c r="P114" i="9"/>
  <c r="P105" i="9"/>
  <c r="F32" i="14"/>
  <c r="F98" i="14" s="1"/>
  <c r="Q105" i="9"/>
  <c r="AC45" i="9"/>
  <c r="E20" i="14"/>
  <c r="E87" i="14" s="1"/>
  <c r="G32" i="14"/>
  <c r="AE34" i="9"/>
  <c r="AE12" i="9"/>
  <c r="AE98" i="9" l="1"/>
  <c r="AE107" i="9" s="1"/>
  <c r="G13" i="14"/>
  <c r="G80" i="14" s="1"/>
  <c r="AF37" i="9"/>
  <c r="S95" i="9"/>
  <c r="G98" i="14"/>
  <c r="Q114" i="9"/>
  <c r="AD45" i="9"/>
  <c r="F20" i="14"/>
  <c r="F87" i="14" s="1"/>
  <c r="H32" i="14"/>
  <c r="AF34" i="9"/>
  <c r="AF12" i="9"/>
  <c r="AF98" i="9" l="1"/>
  <c r="AF107" i="9" s="1"/>
  <c r="H13" i="14"/>
  <c r="H80" i="14" s="1"/>
  <c r="AG37" i="9"/>
  <c r="T95" i="9"/>
  <c r="R105" i="9"/>
  <c r="R114" i="9"/>
  <c r="H98" i="14"/>
  <c r="AE45" i="9"/>
  <c r="G20" i="14"/>
  <c r="G87" i="14" s="1"/>
  <c r="AG12" i="9"/>
  <c r="I32" i="14"/>
  <c r="AG34" i="9"/>
  <c r="AG98" i="9" l="1"/>
  <c r="AG107" i="9" s="1"/>
  <c r="I13" i="14"/>
  <c r="I80" i="14" s="1"/>
  <c r="AH37" i="9"/>
  <c r="U95" i="9"/>
  <c r="S114" i="9"/>
  <c r="S105" i="9"/>
  <c r="I98" i="14"/>
  <c r="J32" i="14"/>
  <c r="AH34" i="9"/>
  <c r="AF45" i="9"/>
  <c r="H20" i="14"/>
  <c r="H87" i="14" s="1"/>
  <c r="AH12" i="9"/>
  <c r="AH98" i="9" l="1"/>
  <c r="AH107" i="9" s="1"/>
  <c r="J13" i="14"/>
  <c r="J80" i="14" s="1"/>
  <c r="T114" i="9"/>
  <c r="T105" i="9"/>
  <c r="AI37" i="9"/>
  <c r="V95" i="9"/>
  <c r="J98" i="14"/>
  <c r="AG45" i="9"/>
  <c r="I20" i="14"/>
  <c r="I87" i="14" s="1"/>
  <c r="AI98" i="9" l="1"/>
  <c r="AI107" i="9" s="1"/>
  <c r="K13" i="14"/>
  <c r="K80" i="14" s="1"/>
  <c r="AJ37" i="9"/>
  <c r="V114" i="9"/>
  <c r="W95" i="9"/>
  <c r="U114" i="9"/>
  <c r="U105" i="9"/>
  <c r="J20" i="14"/>
  <c r="J87" i="14" s="1"/>
  <c r="AH45" i="9"/>
  <c r="AJ98" i="9" l="1"/>
  <c r="AJ107" i="9" s="1"/>
  <c r="L13" i="14"/>
  <c r="L80" i="14" s="1"/>
  <c r="V105" i="9"/>
  <c r="AK37" i="9"/>
  <c r="AK98" i="9" l="1"/>
  <c r="AK107" i="9" s="1"/>
  <c r="M13" i="14"/>
  <c r="M80" i="14" s="1"/>
  <c r="AL37" i="9"/>
  <c r="W114" i="9"/>
  <c r="X114" i="9"/>
  <c r="Y95" i="9"/>
  <c r="X95" i="9"/>
  <c r="W105" i="9"/>
  <c r="AL98" i="9" l="1"/>
  <c r="AL107" i="9" s="1"/>
  <c r="N13" i="14"/>
  <c r="N80" i="14" s="1"/>
  <c r="O80" i="14" s="1"/>
  <c r="X105" i="9"/>
  <c r="O4" i="14"/>
  <c r="O25" i="14"/>
  <c r="J32" i="28" s="1"/>
  <c r="J64" i="28" l="1"/>
  <c r="L32" i="28"/>
  <c r="L35" i="28" s="1"/>
  <c r="J35" i="28"/>
  <c r="Y114" i="9"/>
  <c r="Z114" i="9"/>
  <c r="AA95" i="9"/>
  <c r="Z95" i="9"/>
  <c r="Y105" i="9"/>
  <c r="L64" i="28" l="1"/>
  <c r="Z105" i="9"/>
  <c r="AB95" i="9"/>
  <c r="B22" i="14"/>
  <c r="B89" i="14" s="1"/>
  <c r="O13" i="14"/>
  <c r="J71" i="28" s="1"/>
  <c r="L71" i="28" l="1"/>
  <c r="AA114" i="9"/>
  <c r="C22" i="14" s="1"/>
  <c r="C89" i="14" s="1"/>
  <c r="AB114" i="9"/>
  <c r="D22" i="14" s="1"/>
  <c r="D89" i="14" s="1"/>
  <c r="AA105" i="9"/>
  <c r="AC114" i="9" l="1"/>
  <c r="E22" i="14" s="1"/>
  <c r="E89" i="14" s="1"/>
  <c r="AC95" i="9"/>
  <c r="AB105" i="9"/>
  <c r="AC105" i="9" l="1"/>
  <c r="Z5" i="27" l="1"/>
  <c r="Z13" i="27" s="1"/>
  <c r="R5" i="27"/>
  <c r="R13" i="27" s="1"/>
  <c r="AK25" i="26" l="1"/>
  <c r="AR25" i="26" s="1"/>
  <c r="AR26" i="26" s="1"/>
  <c r="AI21" i="9"/>
  <c r="AI32" i="9" s="1"/>
  <c r="AI34" i="9" s="1"/>
  <c r="AG5" i="27"/>
  <c r="AG13" i="27" s="1"/>
  <c r="AI23" i="9" l="1"/>
  <c r="AI24" i="9" s="1"/>
  <c r="AI43" i="9"/>
  <c r="K19" i="14" s="1"/>
  <c r="AI10" i="9"/>
  <c r="AJ10" i="9" s="1"/>
  <c r="K31" i="14"/>
  <c r="K32" i="14" s="1"/>
  <c r="K98" i="14" s="1"/>
  <c r="AK26" i="26"/>
  <c r="AK27" i="26" s="1"/>
  <c r="AK38" i="26"/>
  <c r="AK39" i="26" s="1"/>
  <c r="AS25" i="26"/>
  <c r="AS26" i="26" s="1"/>
  <c r="AR38" i="26"/>
  <c r="AR39" i="26" s="1"/>
  <c r="AI45" i="9"/>
  <c r="AR13" i="26"/>
  <c r="AR14" i="26" s="1"/>
  <c r="AK14" i="26"/>
  <c r="AK15" i="26" s="1"/>
  <c r="AJ32" i="9" l="1"/>
  <c r="L31" i="14" s="1"/>
  <c r="K97" i="14"/>
  <c r="AI12" i="9"/>
  <c r="K10" i="14"/>
  <c r="K77" i="14" s="1"/>
  <c r="AS13" i="26"/>
  <c r="AS14" i="26" s="1"/>
  <c r="AJ12" i="9"/>
  <c r="AK10" i="9"/>
  <c r="AK32" i="9"/>
  <c r="L10" i="14"/>
  <c r="K20" i="14"/>
  <c r="K87" i="14" s="1"/>
  <c r="K86" i="14"/>
  <c r="AS38" i="26"/>
  <c r="AS39" i="26" s="1"/>
  <c r="K11" i="14" l="1"/>
  <c r="K78" i="14" s="1"/>
  <c r="AJ43" i="9"/>
  <c r="AJ45" i="9" s="1"/>
  <c r="AJ34" i="9"/>
  <c r="L77" i="14"/>
  <c r="L11" i="14"/>
  <c r="L78" i="14" s="1"/>
  <c r="M31" i="14"/>
  <c r="AK34" i="9"/>
  <c r="AL10" i="9"/>
  <c r="M10" i="14"/>
  <c r="AK12" i="9"/>
  <c r="AL32" i="9"/>
  <c r="L97" i="14"/>
  <c r="L32" i="14"/>
  <c r="L98" i="14" s="1"/>
  <c r="L19" i="14" l="1"/>
  <c r="L86" i="14" s="1"/>
  <c r="AK43" i="9"/>
  <c r="AL43" i="9" s="1"/>
  <c r="AG54" i="9"/>
  <c r="AE54" i="9"/>
  <c r="AH54" i="9"/>
  <c r="AL12" i="9"/>
  <c r="AL54" i="9"/>
  <c r="AF54" i="9"/>
  <c r="AJ54" i="9"/>
  <c r="AD54" i="9"/>
  <c r="AK54" i="9"/>
  <c r="AI54" i="9"/>
  <c r="N10" i="14"/>
  <c r="M97" i="14"/>
  <c r="M32" i="14"/>
  <c r="M98" i="14" s="1"/>
  <c r="N31" i="14"/>
  <c r="AL34" i="9"/>
  <c r="M11" i="14"/>
  <c r="M78" i="14" s="1"/>
  <c r="M77" i="14"/>
  <c r="AK45" i="9" l="1"/>
  <c r="L20" i="14"/>
  <c r="L87" i="14" s="1"/>
  <c r="M19" i="14"/>
  <c r="AH56" i="9"/>
  <c r="AH84" i="9"/>
  <c r="AH85" i="9" s="1"/>
  <c r="N11" i="14"/>
  <c r="N78" i="14" s="1"/>
  <c r="N77" i="14"/>
  <c r="O77" i="14" s="1"/>
  <c r="O78" i="14" s="1"/>
  <c r="O10" i="14"/>
  <c r="AG84" i="9"/>
  <c r="AG85" i="9" s="1"/>
  <c r="AG56" i="9"/>
  <c r="M20" i="14"/>
  <c r="M87" i="14" s="1"/>
  <c r="M86" i="14"/>
  <c r="AL84" i="9"/>
  <c r="AL85" i="9" s="1"/>
  <c r="AL56" i="9"/>
  <c r="AE56" i="9"/>
  <c r="AE84" i="9"/>
  <c r="AE85" i="9" s="1"/>
  <c r="N19" i="14"/>
  <c r="AL45" i="9"/>
  <c r="AJ56" i="9"/>
  <c r="AJ84" i="9"/>
  <c r="AJ85" i="9" s="1"/>
  <c r="AI56" i="9"/>
  <c r="AI84" i="9"/>
  <c r="AI85" i="9" s="1"/>
  <c r="AK84" i="9"/>
  <c r="AK85" i="9" s="1"/>
  <c r="AK56" i="9"/>
  <c r="AD84" i="9"/>
  <c r="AD56" i="9"/>
  <c r="N97" i="14"/>
  <c r="O97" i="14" s="1"/>
  <c r="O98" i="14" s="1"/>
  <c r="N32" i="14"/>
  <c r="N98" i="14" s="1"/>
  <c r="O31" i="14"/>
  <c r="AF84" i="9"/>
  <c r="AF85" i="9" s="1"/>
  <c r="AF56" i="9"/>
  <c r="AD94" i="9" l="1"/>
  <c r="AD85" i="9"/>
  <c r="J61" i="28"/>
  <c r="O11" i="14"/>
  <c r="J43" i="28"/>
  <c r="O32" i="14"/>
  <c r="N20" i="14"/>
  <c r="N87" i="14" s="1"/>
  <c r="N86" i="14"/>
  <c r="O86" i="14" s="1"/>
  <c r="O87" i="14" s="1"/>
  <c r="O19" i="14"/>
  <c r="J46" i="28" l="1"/>
  <c r="J47" i="28" s="1"/>
  <c r="J49" i="28" s="1"/>
  <c r="L43" i="28"/>
  <c r="L46" i="28" s="1"/>
  <c r="L47" i="28" s="1"/>
  <c r="L49" i="28" s="1"/>
  <c r="L61" i="28"/>
  <c r="L66" i="28" s="1"/>
  <c r="J66" i="28"/>
  <c r="O20" i="14"/>
  <c r="J68" i="28"/>
  <c r="AE94" i="9"/>
  <c r="AD104" i="9"/>
  <c r="AD95" i="9"/>
  <c r="AD105" i="9" l="1"/>
  <c r="AD113" i="9"/>
  <c r="AD114" i="9" s="1"/>
  <c r="F22" i="14" s="1"/>
  <c r="F89" i="14" s="1"/>
  <c r="AE95" i="9"/>
  <c r="AE104" i="9"/>
  <c r="AF94" i="9"/>
  <c r="J73" i="28"/>
  <c r="J74" i="28" s="1"/>
  <c r="L68" i="28"/>
  <c r="L73" i="28" s="1"/>
  <c r="L74" i="28" s="1"/>
  <c r="J52" i="28"/>
  <c r="L52" i="28" s="1"/>
  <c r="AE105" i="9" l="1"/>
  <c r="AE113" i="9"/>
  <c r="AE114" i="9" s="1"/>
  <c r="G22" i="14" s="1"/>
  <c r="G89" i="14" s="1"/>
  <c r="AF104" i="9"/>
  <c r="AG94" i="9"/>
  <c r="AF95" i="9"/>
  <c r="AH94" i="9" l="1"/>
  <c r="AG95" i="9"/>
  <c r="AG104" i="9"/>
  <c r="AF105" i="9"/>
  <c r="AF113" i="9"/>
  <c r="AF114" i="9" s="1"/>
  <c r="H22" i="14" s="1"/>
  <c r="H89" i="14" s="1"/>
  <c r="AG113" i="9" l="1"/>
  <c r="AG114" i="9" s="1"/>
  <c r="I22" i="14" s="1"/>
  <c r="I89" i="14" s="1"/>
  <c r="AG105" i="9"/>
  <c r="AI94" i="9"/>
  <c r="AH95" i="9"/>
  <c r="AH104" i="9"/>
  <c r="AH105" i="9" l="1"/>
  <c r="AH113" i="9"/>
  <c r="AH114" i="9" s="1"/>
  <c r="J22" i="14" s="1"/>
  <c r="J89" i="14" s="1"/>
  <c r="AI95" i="9"/>
  <c r="AI104" i="9"/>
  <c r="AJ94" i="9"/>
  <c r="AJ104" i="9" l="1"/>
  <c r="AK94" i="9"/>
  <c r="AJ95" i="9"/>
  <c r="AI113" i="9"/>
  <c r="AI114" i="9" s="1"/>
  <c r="K22" i="14" s="1"/>
  <c r="K89" i="14" s="1"/>
  <c r="AI105" i="9"/>
  <c r="AL94" i="9" l="1"/>
  <c r="AK95" i="9"/>
  <c r="AK104" i="9"/>
  <c r="AJ105" i="9"/>
  <c r="AJ113" i="9"/>
  <c r="AJ114" i="9" s="1"/>
  <c r="L22" i="14" s="1"/>
  <c r="L89" i="14" s="1"/>
  <c r="AK113" i="9" l="1"/>
  <c r="AK114" i="9" s="1"/>
  <c r="M22" i="14" s="1"/>
  <c r="M89" i="14" s="1"/>
  <c r="AK105" i="9"/>
  <c r="AL104" i="9"/>
  <c r="AL95" i="9"/>
  <c r="AL105" i="9" l="1"/>
  <c r="AL113" i="9"/>
  <c r="AL114" i="9" s="1"/>
  <c r="N22" i="14" s="1"/>
  <c r="N89" i="14" l="1"/>
  <c r="O89" i="14" s="1"/>
  <c r="O22" i="14"/>
  <c r="J76" i="28" s="1"/>
  <c r="L76" i="28" l="1"/>
  <c r="L77" i="28" s="1"/>
  <c r="L81" i="28" s="1"/>
  <c r="J77" i="28"/>
  <c r="J81" i="28" s="1"/>
  <c r="J53" i="28" l="1"/>
  <c r="L53" i="28" l="1"/>
  <c r="L57" i="28" s="1"/>
  <c r="L88" i="28" s="1"/>
  <c r="L89" i="28" s="1"/>
  <c r="J57" i="28"/>
  <c r="J88" i="28" s="1"/>
  <c r="J89" i="28" s="1"/>
  <c r="J83" i="28" s="1"/>
  <c r="L83" i="28" l="1"/>
  <c r="L9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tc={F4FC4474-6B4F-461A-B40C-A49B973D5039}</author>
  </authors>
  <commentList>
    <comment ref="D53" authorId="0" shapeId="0" xr:uid="{F4FC4474-6B4F-461A-B40C-A49B973D5039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<sst xmlns="http://schemas.openxmlformats.org/spreadsheetml/2006/main" count="929" uniqueCount="203">
  <si>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</si>
  <si>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</si>
  <si>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</si>
  <si>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</si>
  <si>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</si>
  <si>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</si>
  <si>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</si>
  <si>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</si>
  <si>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</si>
  <si>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</si>
  <si>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</si>
  <si>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</si>
  <si>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</si>
  <si>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</si>
  <si>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</si>
  <si>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</si>
  <si>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</si>
  <si>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</si>
  <si>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</si>
  <si>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</si>
  <si>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</si>
  <si>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</si>
  <si>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</si>
  <si>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</si>
  <si>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</si>
  <si>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</si>
  <si>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</si>
  <si>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</si>
  <si>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</si>
  <si>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</si>
  <si>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</si>
  <si>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</si>
  <si>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</si>
  <si>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</si>
  <si>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</si>
  <si>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</si>
  <si>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</si>
  <si>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</si>
  <si>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</si>
  <si>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</si>
  <si>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</si>
  <si>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</si>
  <si>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</si>
  <si>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</si>
  <si>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</si>
  <si>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</si>
  <si>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</si>
  <si>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</si>
  <si>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</si>
  <si>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</si>
  <si>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</si>
  <si>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</si>
  <si>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</si>
  <si>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</si>
  <si>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</si>
  <si>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</si>
  <si>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</si>
  <si>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</si>
  <si>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</si>
  <si>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</si>
  <si>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</si>
  <si>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</si>
  <si>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</si>
  <si>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</si>
  <si>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</si>
  <si>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</si>
  <si>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</si>
  <si>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</si>
  <si>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</si>
  <si>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</si>
  <si>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</si>
  <si>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</si>
  <si>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</si>
  <si>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</si>
  <si>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</si>
  <si>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</si>
  <si>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</si>
  <si>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</si>
  <si>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</si>
  <si>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</si>
  <si>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</si>
  <si>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</si>
  <si>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</si>
  <si>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</si>
  <si>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</si>
  <si>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</si>
  <si>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</si>
  <si>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</si>
  <si>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</si>
  <si>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</si>
  <si>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</si>
  <si>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</si>
  <si>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</si>
  <si>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</si>
  <si>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</si>
  <si>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</si>
  <si>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</si>
  <si>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</si>
  <si>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</si>
  <si>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</si>
  <si>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</si>
  <si>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</si>
  <si>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 xml:space="preserve">Revenue Conversion Factor </t>
  </si>
  <si>
    <t>NOI Requirement</t>
  </si>
  <si>
    <t xml:space="preserve">Revenue Requirement </t>
  </si>
  <si>
    <t>As Filed</t>
  </si>
  <si>
    <t>Depreciation Category</t>
  </si>
  <si>
    <t>BI_BI Desc</t>
  </si>
  <si>
    <t>Jurisdiction</t>
  </si>
  <si>
    <t>ID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</si>
  <si>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</si>
  <si>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</si>
  <si>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</si>
  <si>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</si>
  <si>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</si>
  <si>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</si>
  <si>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</si>
  <si>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</si>
  <si>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 xml:space="preserve">System Total </t>
  </si>
  <si>
    <t>Forecast (including Residual CWIP)</t>
  </si>
  <si>
    <t>Software 303</t>
  </si>
  <si>
    <t xml:space="preserve">Washington Electric 2020 Energy Imbalance Market (EIM) Additions </t>
  </si>
  <si>
    <t>EIM 2022 PF</t>
  </si>
  <si>
    <t>BI_XS907 - Trans SS BI Substation Metering - EIM</t>
  </si>
  <si>
    <t>BI_XS909 - Trans SS BI High Side Metering - EIM</t>
  </si>
  <si>
    <t>BI_19H07 - EIM Transmission Facilities Upgrade</t>
  </si>
  <si>
    <t>BI_AG019 - EIM Low Side Metering Upgrades - Generation</t>
  </si>
  <si>
    <t>BI_AG020 - EIM High Side Metering Upgrades - Generation</t>
  </si>
  <si>
    <t>BI_20N09 - ET BI Hardware/Software - EIM</t>
  </si>
  <si>
    <t>BI_19N09 - ET BI Network - EIM</t>
  </si>
  <si>
    <t>Facilities 390-391</t>
  </si>
  <si>
    <t>Hydro 331-336</t>
  </si>
  <si>
    <t>CD</t>
  </si>
  <si>
    <t>BI_YS908 - System Ops Scada Upgrades - EIM</t>
  </si>
  <si>
    <t>BI_AG021 - EIM Control Upgrades - Generation</t>
  </si>
  <si>
    <t>EIM 2021 PF</t>
  </si>
  <si>
    <t>Jur</t>
  </si>
  <si>
    <t>General</t>
  </si>
  <si>
    <t>AA</t>
  </si>
  <si>
    <t>Production - Hydro</t>
  </si>
  <si>
    <t>EIM</t>
  </si>
  <si>
    <t>Expenditures</t>
  </si>
  <si>
    <t>E-PEIM</t>
  </si>
  <si>
    <t>General 389 / 393-395 / 397-398</t>
  </si>
  <si>
    <t>Other Elec Production / Turbines 340-346</t>
  </si>
  <si>
    <t>General - Hardware</t>
  </si>
  <si>
    <t>Hardware</t>
  </si>
  <si>
    <t xml:space="preserve">System </t>
  </si>
  <si>
    <t xml:space="preserve"> WA  EIM 2020 PF</t>
  </si>
  <si>
    <t>WA Share</t>
  </si>
  <si>
    <t>P</t>
  </si>
  <si>
    <t>Actual</t>
  </si>
  <si>
    <t>Provisional</t>
  </si>
  <si>
    <t>Plant Additions</t>
  </si>
  <si>
    <t>Pro Forma/Provisional</t>
  </si>
  <si>
    <t>* 2020 values were actual in filing</t>
  </si>
  <si>
    <t>WA</t>
  </si>
  <si>
    <t>Annual Additions</t>
  </si>
  <si>
    <t>Total Additions</t>
  </si>
  <si>
    <t>Variance from Pro Forma/Provisional</t>
  </si>
  <si>
    <t>LTD</t>
  </si>
  <si>
    <t>Check</t>
  </si>
  <si>
    <t xml:space="preserve">Authorized </t>
  </si>
  <si>
    <t>Authorized</t>
  </si>
  <si>
    <t>EIM Total</t>
  </si>
  <si>
    <t>3.18PF</t>
  </si>
  <si>
    <t>3.18PV</t>
  </si>
  <si>
    <t>Attachment A</t>
  </si>
  <si>
    <t>BI_YS908 -  EIMCAISO Dispatch Integration</t>
  </si>
  <si>
    <t>April 08, 2022 EIM Capital Report</t>
  </si>
  <si>
    <t>System Spend to date at 12.31.2021</t>
  </si>
  <si>
    <t>System (AA/AN - WA &amp; ID Electric)</t>
  </si>
  <si>
    <t>EIM Q1 2022 PF</t>
  </si>
  <si>
    <t>Expected</t>
  </si>
  <si>
    <t>Total</t>
  </si>
  <si>
    <t>Difference</t>
  </si>
  <si>
    <t>Revised Actual</t>
  </si>
  <si>
    <t xml:space="preserve"> </t>
  </si>
  <si>
    <t>Actual Through June 2022</t>
  </si>
  <si>
    <t>Expect</t>
  </si>
  <si>
    <t>Annual owed customers</t>
  </si>
  <si>
    <t>October 1, 2021 through December 20, 2022 owed customers.</t>
  </si>
  <si>
    <t>Deferral owed customers would cease with new rates effective December 21, 2022 reflecting new capital balances during the rate effective period.</t>
  </si>
  <si>
    <t>Investment Per As-Filed 
UE-200900</t>
  </si>
  <si>
    <t>Autorized on an AMA Basis</t>
  </si>
  <si>
    <t>Actual on an AMA Basis to be compared ot Authorized</t>
  </si>
  <si>
    <t>Actual Balances on an AMA basis to be compared to authorize.  AMA basis for the rate effectvie period.</t>
  </si>
  <si>
    <t>System balances</t>
  </si>
  <si>
    <t>Anticipated July &amp; August Transfers (System)</t>
  </si>
  <si>
    <t>Final System Spend</t>
  </si>
  <si>
    <t>Authorized Spend</t>
  </si>
  <si>
    <t>Actual AMA Transfer to Plant</t>
  </si>
  <si>
    <t>Actual A/D</t>
  </si>
  <si>
    <t>Actual ADFIT</t>
  </si>
  <si>
    <t>Actual net Rate Base (immaterial rounding difference)</t>
  </si>
  <si>
    <t>For ease of analysis, the Company has included the total Pro Forma and Provisional balances authorized versus Provisional totals subject to review and refund.</t>
  </si>
  <si>
    <t xml:space="preserve">Annual Revenue Requirement refund due to overstated rate base and related depreciation expense. </t>
  </si>
  <si>
    <r>
      <t>Depreciation/Amortization</t>
    </r>
    <r>
      <rPr>
        <vertAlign val="superscript"/>
        <sz val="10"/>
        <rFont val="Times New Roman"/>
        <family val="1"/>
      </rPr>
      <t xml:space="preserve">  1</t>
    </r>
  </si>
  <si>
    <r>
      <t xml:space="preserve">NET PLANT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</si>
  <si>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Figures were adjusted for rounding to match filed Revenue Requirement Model.</t>
    </r>
  </si>
  <si>
    <t xml:space="preserve">Actual Depreciation Expense </t>
  </si>
  <si>
    <t>*See pg 2</t>
  </si>
  <si>
    <t>UE-200900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</si>
</sst>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#,##0;&quot;(&quot;#,##0&quot;)&quot;"/>
  </numFmts>
  <fonts count="3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  <font>
      <sz val="10"/>
      <color theme="1"/>
      <name val="Calibri"/>
      <family val="2"/>
      <scheme val="minor"/>
    </font>
    <font>
      <i/>
      <sz val="10"/>
      <color theme="1"/>
      <name val="Tahoma"/>
      <family val="2"/>
    </font>
    <font>
      <i/>
      <sz val="10"/>
      <color rgb="FFFF0000"/>
      <name val="Tahoma"/>
      <family val="2"/>
    </font>
    <font>
      <sz val="10"/>
      <color rgb="FFFF0000"/>
      <name val="Tahoma"/>
      <family val="2"/>
    </font>
    <font>
      <b/>
      <u val="singleAccounting"/>
      <sz val="10"/>
      <color theme="1"/>
      <name val="Tahoma"/>
      <family val="2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b/>
      <u/>
      <sz val="10"/>
      <color theme="1"/>
      <name val="Tahoma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8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" fillId="0" borderId="0"/>
    <xf numFmtId="9" fontId="13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</cellStyleXfs>
  <cellXfs count="207">
    <xf numFmtId="0" fontId="0" fillId="0" borderId="0" xfId="0"/>
    <xf numFmtId="0" fontId="15" fillId="0" borderId="0" xfId="0" applyFont="1"/>
    <xf numFmtId="164" fontId="0" fillId="0" borderId="0" xfId="1" applyNumberFormat="1" applyFont="1"/>
    <xf numFmtId="164" fontId="0" fillId="0" borderId="0" xfId="0" applyNumberFormat="1"/>
    <xf numFmtId="165" fontId="15" fillId="0" borderId="0" xfId="1" applyNumberFormat="1" applyFont="1"/>
    <xf numFmtId="164" fontId="0" fillId="0" borderId="1" xfId="1" applyNumberFormat="1" applyFont="1" applyBorder="1"/>
    <xf numFmtId="0" fontId="15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15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164" fontId="13" fillId="2" borderId="0" xfId="1" applyNumberFormat="1" applyFont="1" applyFill="1"/>
    <xf numFmtId="0" fontId="0" fillId="0" borderId="0" xfId="10" applyFont="1"/>
    <xf numFmtId="0" fontId="10" fillId="0" borderId="0" xfId="10"/>
    <xf numFmtId="164" fontId="10" fillId="0" borderId="0" xfId="11" applyNumberFormat="1"/>
    <xf numFmtId="41" fontId="14" fillId="2" borderId="3" xfId="10" applyNumberFormat="1" applyFont="1" applyFill="1" applyBorder="1"/>
    <xf numFmtId="0" fontId="14" fillId="0" borderId="0" xfId="10" applyFont="1"/>
    <xf numFmtId="41" fontId="14" fillId="0" borderId="3" xfId="10" applyNumberFormat="1" applyFont="1" applyBorder="1"/>
    <xf numFmtId="0" fontId="17" fillId="0" borderId="0" xfId="10" applyFont="1" applyAlignment="1">
      <alignment horizontal="right"/>
    </xf>
    <xf numFmtId="164" fontId="0" fillId="0" borderId="0" xfId="12" applyNumberFormat="1" applyFont="1"/>
    <xf numFmtId="164" fontId="10" fillId="0" borderId="0" xfId="12" applyNumberFormat="1"/>
    <xf numFmtId="166" fontId="10" fillId="0" borderId="0" xfId="10" applyNumberFormat="1"/>
    <xf numFmtId="164" fontId="13" fillId="4" borderId="0" xfId="1" applyNumberFormat="1" applyFont="1" applyFill="1"/>
    <xf numFmtId="164" fontId="0" fillId="4" borderId="0" xfId="1" applyNumberFormat="1" applyFont="1" applyFill="1"/>
    <xf numFmtId="0" fontId="9" fillId="0" borderId="0" xfId="10" applyFont="1"/>
    <xf numFmtId="0" fontId="20" fillId="0" borderId="0" xfId="14" applyFont="1" applyAlignment="1">
      <alignment horizontal="left"/>
    </xf>
    <xf numFmtId="0" fontId="22" fillId="0" borderId="0" xfId="0" applyFont="1"/>
    <xf numFmtId="0" fontId="9" fillId="0" borderId="0" xfId="10" applyFont="1" applyFill="1"/>
    <xf numFmtId="0" fontId="8" fillId="0" borderId="0" xfId="10" applyFont="1"/>
    <xf numFmtId="41" fontId="10" fillId="0" borderId="0" xfId="10" applyNumberFormat="1" applyFill="1"/>
    <xf numFmtId="164" fontId="10" fillId="0" borderId="0" xfId="1" applyNumberFormat="1" applyFont="1"/>
    <xf numFmtId="0" fontId="10" fillId="0" borderId="0" xfId="10" applyFill="1"/>
    <xf numFmtId="0" fontId="8" fillId="0" borderId="0" xfId="10" applyFont="1" applyAlignment="1">
      <alignment wrapText="1"/>
    </xf>
    <xf numFmtId="0" fontId="7" fillId="0" borderId="0" xfId="10" applyFont="1"/>
    <xf numFmtId="0" fontId="14" fillId="0" borderId="0" xfId="10" applyFont="1" applyFill="1"/>
    <xf numFmtId="10" fontId="10" fillId="0" borderId="0" xfId="10" applyNumberFormat="1" applyFill="1"/>
    <xf numFmtId="0" fontId="7" fillId="0" borderId="0" xfId="10" applyFont="1" applyFill="1"/>
    <xf numFmtId="0" fontId="0" fillId="0" borderId="0" xfId="0" applyFont="1"/>
    <xf numFmtId="0" fontId="15" fillId="5" borderId="0" xfId="0" applyFont="1" applyFill="1" applyBorder="1"/>
    <xf numFmtId="41" fontId="14" fillId="0" borderId="0" xfId="10" applyNumberFormat="1" applyFont="1" applyBorder="1"/>
    <xf numFmtId="10" fontId="0" fillId="0" borderId="0" xfId="19" applyNumberFormat="1" applyFont="1"/>
    <xf numFmtId="10" fontId="10" fillId="0" borderId="0" xfId="10" applyNumberFormat="1" applyFill="1" applyBorder="1"/>
    <xf numFmtId="0" fontId="0" fillId="0" borderId="0" xfId="0" applyFill="1"/>
    <xf numFmtId="0" fontId="17" fillId="0" borderId="0" xfId="10" applyFont="1" applyFill="1" applyAlignment="1">
      <alignment horizontal="right"/>
    </xf>
    <xf numFmtId="168" fontId="0" fillId="0" borderId="0" xfId="0" applyNumberForma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6" fillId="0" borderId="0" xfId="10" applyFont="1"/>
    <xf numFmtId="168" fontId="25" fillId="0" borderId="0" xfId="0" applyNumberFormat="1" applyFont="1" applyFill="1" applyAlignment="1">
      <alignment horizontal="right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6" borderId="0" xfId="0" applyFont="1" applyFill="1" applyBorder="1" applyAlignment="1">
      <alignment horizontal="left"/>
    </xf>
    <xf numFmtId="0" fontId="24" fillId="6" borderId="0" xfId="0" applyFont="1" applyFill="1" applyBorder="1" applyAlignment="1">
      <alignment horizontal="center"/>
    </xf>
    <xf numFmtId="164" fontId="26" fillId="0" borderId="0" xfId="1" applyNumberFormat="1" applyFont="1"/>
    <xf numFmtId="10" fontId="0" fillId="0" borderId="0" xfId="19" applyNumberFormat="1" applyFont="1" applyFill="1"/>
    <xf numFmtId="164" fontId="10" fillId="0" borderId="0" xfId="10" applyNumberFormat="1"/>
    <xf numFmtId="164" fontId="24" fillId="0" borderId="0" xfId="1" applyNumberFormat="1" applyFont="1" applyFill="1" applyBorder="1" applyAlignment="1">
      <alignment horizontal="right"/>
    </xf>
    <xf numFmtId="164" fontId="24" fillId="0" borderId="0" xfId="1" applyNumberFormat="1" applyFont="1" applyFill="1" applyAlignment="1">
      <alignment horizontal="right"/>
    </xf>
    <xf numFmtId="0" fontId="4" fillId="0" borderId="0" xfId="10" applyFont="1" applyAlignment="1">
      <alignment horizontal="center"/>
    </xf>
    <xf numFmtId="0" fontId="14" fillId="0" borderId="0" xfId="10" applyFont="1" applyAlignment="1">
      <alignment horizontal="center"/>
    </xf>
    <xf numFmtId="0" fontId="3" fillId="0" borderId="0" xfId="10" applyFont="1"/>
    <xf numFmtId="0" fontId="2" fillId="0" borderId="0" xfId="10" applyFont="1"/>
    <xf numFmtId="0" fontId="27" fillId="0" borderId="0" xfId="0" applyFont="1"/>
    <xf numFmtId="0" fontId="28" fillId="0" borderId="0" xfId="0" applyFont="1"/>
    <xf numFmtId="0" fontId="0" fillId="0" borderId="0" xfId="0" applyAlignment="1">
      <alignment horizontal="right"/>
    </xf>
    <xf numFmtId="0" fontId="15" fillId="0" borderId="11" xfId="0" applyFont="1" applyBorder="1"/>
    <xf numFmtId="164" fontId="0" fillId="0" borderId="0" xfId="1" applyNumberFormat="1" applyFont="1" applyAlignment="1">
      <alignment horizontal="right"/>
    </xf>
    <xf numFmtId="164" fontId="15" fillId="0" borderId="7" xfId="0" applyNumberFormat="1" applyFont="1" applyBorder="1"/>
    <xf numFmtId="0" fontId="27" fillId="0" borderId="0" xfId="0" quotePrefix="1" applyFont="1"/>
    <xf numFmtId="164" fontId="15" fillId="0" borderId="7" xfId="1" applyNumberFormat="1" applyFont="1" applyBorder="1"/>
    <xf numFmtId="164" fontId="10" fillId="0" borderId="7" xfId="1" applyNumberFormat="1" applyFont="1" applyBorder="1"/>
    <xf numFmtId="164" fontId="0" fillId="0" borderId="0" xfId="1" applyNumberFormat="1" applyFont="1" applyFill="1"/>
    <xf numFmtId="164" fontId="2" fillId="0" borderId="0" xfId="1" applyNumberFormat="1" applyFont="1"/>
    <xf numFmtId="164" fontId="2" fillId="0" borderId="0" xfId="1" applyNumberFormat="1" applyFont="1" applyFill="1"/>
    <xf numFmtId="10" fontId="2" fillId="0" borderId="0" xfId="10" applyNumberFormat="1" applyFont="1" applyFill="1"/>
    <xf numFmtId="0" fontId="0" fillId="0" borderId="0" xfId="0" applyBorder="1"/>
    <xf numFmtId="0" fontId="15" fillId="7" borderId="11" xfId="0" applyFont="1" applyFill="1" applyBorder="1"/>
    <xf numFmtId="164" fontId="0" fillId="7" borderId="0" xfId="1" applyNumberFormat="1" applyFont="1" applyFill="1" applyAlignment="1">
      <alignment horizontal="right"/>
    </xf>
    <xf numFmtId="164" fontId="15" fillId="7" borderId="7" xfId="1" applyNumberFormat="1" applyFont="1" applyFill="1" applyBorder="1"/>
    <xf numFmtId="164" fontId="0" fillId="7" borderId="0" xfId="1" applyNumberFormat="1" applyFont="1" applyFill="1"/>
    <xf numFmtId="0" fontId="28" fillId="0" borderId="0" xfId="0" applyFont="1" applyAlignment="1">
      <alignment horizontal="right"/>
    </xf>
    <xf numFmtId="164" fontId="29" fillId="0" borderId="0" xfId="0" applyNumberFormat="1" applyFont="1"/>
    <xf numFmtId="164" fontId="28" fillId="0" borderId="0" xfId="0" applyNumberFormat="1" applyFont="1"/>
    <xf numFmtId="43" fontId="28" fillId="0" borderId="0" xfId="1" applyFont="1"/>
    <xf numFmtId="164" fontId="28" fillId="0" borderId="0" xfId="1" applyNumberFormat="1" applyFont="1"/>
    <xf numFmtId="0" fontId="24" fillId="0" borderId="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5" fillId="0" borderId="0" xfId="0" applyFont="1" applyAlignment="1">
      <alignment horizontal="right"/>
    </xf>
    <xf numFmtId="164" fontId="0" fillId="0" borderId="12" xfId="0" applyNumberFormat="1" applyBorder="1"/>
    <xf numFmtId="164" fontId="0" fillId="0" borderId="12" xfId="0" applyNumberFormat="1" applyFill="1" applyBorder="1"/>
    <xf numFmtId="164" fontId="10" fillId="0" borderId="0" xfId="12" applyNumberFormat="1" applyFill="1"/>
    <xf numFmtId="164" fontId="0" fillId="0" borderId="0" xfId="0" applyNumberFormat="1" applyFill="1"/>
    <xf numFmtId="0" fontId="0" fillId="0" borderId="0" xfId="0" applyAlignment="1">
      <alignment vertical="top" wrapText="1"/>
    </xf>
    <xf numFmtId="41" fontId="0" fillId="0" borderId="0" xfId="0" applyNumberFormat="1"/>
    <xf numFmtId="0" fontId="15" fillId="0" borderId="0" xfId="0" applyFont="1" applyFill="1"/>
    <xf numFmtId="41" fontId="30" fillId="0" borderId="0" xfId="0" applyNumberFormat="1" applyFont="1" applyFill="1"/>
    <xf numFmtId="41" fontId="15" fillId="2" borderId="0" xfId="0" applyNumberFormat="1" applyFont="1" applyFill="1"/>
    <xf numFmtId="0" fontId="0" fillId="8" borderId="0" xfId="0" applyFill="1"/>
    <xf numFmtId="10" fontId="15" fillId="0" borderId="0" xfId="19" applyNumberFormat="1" applyFont="1"/>
    <xf numFmtId="0" fontId="28" fillId="8" borderId="0" xfId="0" applyFont="1" applyFill="1"/>
    <xf numFmtId="164" fontId="0" fillId="8" borderId="0" xfId="1" applyNumberFormat="1" applyFont="1" applyFill="1"/>
    <xf numFmtId="0" fontId="15" fillId="0" borderId="0" xfId="0" applyFont="1" applyFill="1" applyAlignment="1">
      <alignment horizontal="center"/>
    </xf>
    <xf numFmtId="9" fontId="10" fillId="0" borderId="0" xfId="19" applyFont="1"/>
    <xf numFmtId="168" fontId="10" fillId="0" borderId="0" xfId="10" applyNumberFormat="1"/>
    <xf numFmtId="0" fontId="28" fillId="0" borderId="0" xfId="0" applyFont="1" applyFill="1"/>
    <xf numFmtId="0" fontId="0" fillId="0" borderId="0" xfId="0" applyFill="1" applyAlignment="1">
      <alignment horizontal="right"/>
    </xf>
    <xf numFmtId="0" fontId="1" fillId="0" borderId="0" xfId="10" applyFont="1"/>
    <xf numFmtId="0" fontId="0" fillId="0" borderId="0" xfId="0" applyAlignment="1">
      <alignment wrapText="1"/>
    </xf>
    <xf numFmtId="0" fontId="15" fillId="0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1" fillId="8" borderId="0" xfId="10" applyFont="1" applyFill="1"/>
    <xf numFmtId="0" fontId="14" fillId="0" borderId="0" xfId="10" applyFont="1" applyAlignment="1">
      <alignment horizontal="right"/>
    </xf>
    <xf numFmtId="0" fontId="22" fillId="2" borderId="0" xfId="0" applyFont="1" applyFill="1"/>
    <xf numFmtId="3" fontId="19" fillId="0" borderId="0" xfId="0" applyNumberFormat="1" applyFont="1" applyAlignment="1">
      <alignment horizontal="center"/>
    </xf>
    <xf numFmtId="0" fontId="14" fillId="0" borderId="0" xfId="1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41" fontId="15" fillId="2" borderId="2" xfId="0" applyNumberFormat="1" applyFont="1" applyFill="1" applyBorder="1"/>
    <xf numFmtId="164" fontId="0" fillId="2" borderId="11" xfId="1" applyNumberFormat="1" applyFont="1" applyFill="1" applyBorder="1"/>
    <xf numFmtId="0" fontId="0" fillId="2" borderId="0" xfId="0" applyFill="1"/>
    <xf numFmtId="164" fontId="15" fillId="2" borderId="15" xfId="1" applyNumberFormat="1" applyFont="1" applyFill="1" applyBorder="1"/>
    <xf numFmtId="164" fontId="0" fillId="2" borderId="16" xfId="0" applyNumberFormat="1" applyFill="1" applyBorder="1"/>
    <xf numFmtId="0" fontId="20" fillId="0" borderId="0" xfId="14" applyFont="1" applyAlignment="1">
      <alignment horizontal="center"/>
    </xf>
    <xf numFmtId="0" fontId="20" fillId="0" borderId="0" xfId="14" applyFont="1"/>
    <xf numFmtId="3" fontId="31" fillId="0" borderId="0" xfId="15" applyNumberFormat="1" applyFont="1"/>
    <xf numFmtId="0" fontId="13" fillId="0" borderId="0" xfId="0" applyFont="1"/>
    <xf numFmtId="3" fontId="32" fillId="0" borderId="0" xfId="15" applyNumberFormat="1" applyFont="1" applyAlignment="1">
      <alignment horizontal="center"/>
    </xf>
    <xf numFmtId="3" fontId="19" fillId="0" borderId="0" xfId="15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/>
    <xf numFmtId="41" fontId="19" fillId="0" borderId="0" xfId="14" applyNumberFormat="1" applyFont="1" applyAlignment="1">
      <alignment horizontal="center"/>
    </xf>
    <xf numFmtId="0" fontId="19" fillId="0" borderId="0" xfId="14" applyFont="1" applyFill="1" applyAlignment="1">
      <alignment horizontal="center"/>
    </xf>
    <xf numFmtId="0" fontId="19" fillId="0" borderId="0" xfId="14" applyFont="1" applyAlignment="1">
      <alignment horizontal="center"/>
    </xf>
    <xf numFmtId="0" fontId="19" fillId="2" borderId="0" xfId="14" applyFont="1" applyFill="1" applyAlignment="1">
      <alignment horizontal="center"/>
    </xf>
    <xf numFmtId="0" fontId="19" fillId="0" borderId="5" xfId="14" applyFont="1" applyBorder="1" applyAlignment="1">
      <alignment horizontal="center"/>
    </xf>
    <xf numFmtId="0" fontId="19" fillId="0" borderId="6" xfId="14" applyFont="1" applyBorder="1" applyAlignment="1">
      <alignment horizontal="center"/>
    </xf>
    <xf numFmtId="0" fontId="19" fillId="0" borderId="7" xfId="14" applyFont="1" applyBorder="1" applyAlignment="1">
      <alignment horizontal="center"/>
    </xf>
    <xf numFmtId="0" fontId="19" fillId="8" borderId="5" xfId="14" applyFont="1" applyFill="1" applyBorder="1" applyAlignment="1">
      <alignment horizontal="center"/>
    </xf>
    <xf numFmtId="0" fontId="19" fillId="0" borderId="4" xfId="14" applyFont="1" applyBorder="1" applyAlignment="1">
      <alignment horizontal="center"/>
    </xf>
    <xf numFmtId="0" fontId="19" fillId="0" borderId="8" xfId="14" applyFont="1" applyBorder="1" applyAlignment="1">
      <alignment horizontal="center"/>
    </xf>
    <xf numFmtId="41" fontId="19" fillId="0" borderId="4" xfId="14" applyNumberFormat="1" applyFont="1" applyBorder="1" applyAlignment="1">
      <alignment horizontal="center"/>
    </xf>
    <xf numFmtId="41" fontId="19" fillId="8" borderId="4" xfId="14" applyNumberFormat="1" applyFont="1" applyFill="1" applyBorder="1" applyAlignment="1">
      <alignment horizontal="center"/>
    </xf>
    <xf numFmtId="0" fontId="19" fillId="0" borderId="9" xfId="14" applyFont="1" applyBorder="1" applyAlignment="1">
      <alignment horizontal="center"/>
    </xf>
    <xf numFmtId="0" fontId="19" fillId="0" borderId="10" xfId="14" applyFont="1" applyBorder="1" applyAlignment="1">
      <alignment horizontal="center"/>
    </xf>
    <xf numFmtId="0" fontId="19" fillId="0" borderId="11" xfId="14" applyFont="1" applyBorder="1" applyAlignment="1">
      <alignment horizontal="center"/>
    </xf>
    <xf numFmtId="41" fontId="19" fillId="0" borderId="9" xfId="14" applyNumberFormat="1" applyFont="1" applyBorder="1" applyAlignment="1">
      <alignment horizontal="center"/>
    </xf>
    <xf numFmtId="41" fontId="19" fillId="8" borderId="9" xfId="14" applyNumberFormat="1" applyFont="1" applyFill="1" applyBorder="1" applyAlignment="1">
      <alignment horizontal="center"/>
    </xf>
    <xf numFmtId="2" fontId="19" fillId="0" borderId="0" xfId="14" applyNumberFormat="1" applyFont="1" applyAlignment="1">
      <alignment horizontal="center"/>
    </xf>
    <xf numFmtId="2" fontId="20" fillId="0" borderId="0" xfId="14" applyNumberFormat="1" applyFont="1" applyAlignment="1">
      <alignment horizontal="left"/>
    </xf>
    <xf numFmtId="2" fontId="19" fillId="0" borderId="4" xfId="16" applyNumberFormat="1" applyFont="1" applyBorder="1" applyAlignment="1" applyProtection="1">
      <alignment horizontal="center"/>
    </xf>
    <xf numFmtId="2" fontId="19" fillId="8" borderId="4" xfId="16" applyNumberFormat="1" applyFont="1" applyFill="1" applyBorder="1" applyAlignment="1" applyProtection="1">
      <alignment horizontal="center"/>
    </xf>
    <xf numFmtId="41" fontId="20" fillId="0" borderId="4" xfId="14" applyNumberFormat="1" applyFont="1" applyBorder="1"/>
    <xf numFmtId="41" fontId="20" fillId="8" borderId="4" xfId="14" applyNumberFormat="1" applyFont="1" applyFill="1" applyBorder="1"/>
    <xf numFmtId="37" fontId="20" fillId="0" borderId="0" xfId="14" applyNumberFormat="1" applyFont="1" applyAlignment="1">
      <alignment horizontal="center"/>
    </xf>
    <xf numFmtId="5" fontId="20" fillId="0" borderId="0" xfId="14" applyNumberFormat="1" applyFont="1"/>
    <xf numFmtId="5" fontId="20" fillId="0" borderId="4" xfId="14" applyNumberFormat="1" applyFont="1" applyBorder="1"/>
    <xf numFmtId="5" fontId="20" fillId="8" borderId="4" xfId="14" applyNumberFormat="1" applyFont="1" applyFill="1" applyBorder="1"/>
    <xf numFmtId="37" fontId="20" fillId="0" borderId="0" xfId="14" applyNumberFormat="1" applyFont="1"/>
    <xf numFmtId="37" fontId="20" fillId="0" borderId="4" xfId="14" applyNumberFormat="1" applyFont="1" applyBorder="1"/>
    <xf numFmtId="37" fontId="20" fillId="8" borderId="4" xfId="14" applyNumberFormat="1" applyFont="1" applyFill="1" applyBorder="1"/>
    <xf numFmtId="37" fontId="20" fillId="0" borderId="9" xfId="14" applyNumberFormat="1" applyFont="1" applyBorder="1"/>
    <xf numFmtId="37" fontId="20" fillId="8" borderId="9" xfId="14" applyNumberFormat="1" applyFont="1" applyFill="1" applyBorder="1"/>
    <xf numFmtId="37" fontId="20" fillId="0" borderId="5" xfId="14" applyNumberFormat="1" applyFont="1" applyBorder="1"/>
    <xf numFmtId="37" fontId="20" fillId="0" borderId="4" xfId="14" applyNumberFormat="1" applyFont="1" applyFill="1" applyBorder="1"/>
    <xf numFmtId="41" fontId="20" fillId="0" borderId="5" xfId="14" applyNumberFormat="1" applyFont="1" applyBorder="1"/>
    <xf numFmtId="37" fontId="13" fillId="0" borderId="0" xfId="0" applyNumberFormat="1" applyFont="1"/>
    <xf numFmtId="41" fontId="20" fillId="0" borderId="13" xfId="14" applyNumberFormat="1" applyFont="1" applyBorder="1"/>
    <xf numFmtId="41" fontId="20" fillId="8" borderId="13" xfId="14" applyNumberFormat="1" applyFont="1" applyFill="1" applyBorder="1"/>
    <xf numFmtId="41" fontId="20" fillId="0" borderId="9" xfId="14" applyNumberFormat="1" applyFont="1" applyBorder="1"/>
    <xf numFmtId="41" fontId="20" fillId="8" borderId="9" xfId="14" applyNumberFormat="1" applyFont="1" applyFill="1" applyBorder="1"/>
    <xf numFmtId="1" fontId="20" fillId="0" borderId="0" xfId="17" applyNumberFormat="1" applyFont="1" applyAlignment="1">
      <alignment horizontal="center"/>
    </xf>
    <xf numFmtId="9" fontId="20" fillId="0" borderId="0" xfId="6" applyFont="1"/>
    <xf numFmtId="3" fontId="20" fillId="0" borderId="0" xfId="17" applyNumberFormat="1" applyFont="1" applyAlignment="1">
      <alignment horizontal="center"/>
    </xf>
    <xf numFmtId="5" fontId="20" fillId="0" borderId="14" xfId="14" applyNumberFormat="1" applyFont="1" applyBorder="1"/>
    <xf numFmtId="5" fontId="20" fillId="8" borderId="14" xfId="14" applyNumberFormat="1" applyFont="1" applyFill="1" applyBorder="1"/>
    <xf numFmtId="41" fontId="20" fillId="8" borderId="5" xfId="14" applyNumberFormat="1" applyFont="1" applyFill="1" applyBorder="1"/>
    <xf numFmtId="10" fontId="20" fillId="0" borderId="0" xfId="6" applyNumberFormat="1" applyFont="1"/>
    <xf numFmtId="10" fontId="20" fillId="8" borderId="0" xfId="6" applyNumberFormat="1" applyFont="1" applyFill="1"/>
    <xf numFmtId="41" fontId="20" fillId="0" borderId="0" xfId="6" applyNumberFormat="1" applyFont="1"/>
    <xf numFmtId="41" fontId="20" fillId="8" borderId="0" xfId="6" applyNumberFormat="1" applyFont="1" applyFill="1"/>
    <xf numFmtId="0" fontId="20" fillId="0" borderId="0" xfId="14" applyFont="1" applyAlignment="1">
      <alignment vertical="top"/>
    </xf>
    <xf numFmtId="41" fontId="20" fillId="0" borderId="0" xfId="14" applyNumberFormat="1" applyFont="1" applyAlignment="1">
      <alignment vertical="top"/>
    </xf>
    <xf numFmtId="41" fontId="20" fillId="0" borderId="0" xfId="14" applyNumberFormat="1" applyFont="1" applyAlignment="1">
      <alignment horizontal="right"/>
    </xf>
    <xf numFmtId="10" fontId="20" fillId="0" borderId="0" xfId="14" applyNumberFormat="1" applyFont="1"/>
    <xf numFmtId="41" fontId="20" fillId="0" borderId="0" xfId="14" applyNumberFormat="1" applyFont="1"/>
    <xf numFmtId="167" fontId="20" fillId="0" borderId="0" xfId="14" applyNumberFormat="1" applyFont="1"/>
    <xf numFmtId="41" fontId="20" fillId="0" borderId="2" xfId="14" applyNumberFormat="1" applyFont="1" applyBorder="1"/>
    <xf numFmtId="41" fontId="20" fillId="0" borderId="11" xfId="14" applyNumberFormat="1" applyFont="1" applyBorder="1"/>
    <xf numFmtId="166" fontId="19" fillId="8" borderId="11" xfId="21" applyNumberFormat="1" applyFont="1" applyFill="1" applyBorder="1"/>
    <xf numFmtId="0" fontId="13" fillId="0" borderId="0" xfId="0" applyFont="1" applyAlignment="1">
      <alignment horizontal="left" vertical="top" wrapText="1"/>
    </xf>
    <xf numFmtId="37" fontId="20" fillId="2" borderId="4" xfId="14" applyNumberFormat="1" applyFont="1" applyFill="1" applyBorder="1"/>
    <xf numFmtId="41" fontId="20" fillId="2" borderId="4" xfId="14" applyNumberFormat="1" applyFont="1" applyFill="1" applyBorder="1"/>
    <xf numFmtId="37" fontId="20" fillId="2" borderId="9" xfId="14" applyNumberFormat="1" applyFont="1" applyFill="1" applyBorder="1"/>
    <xf numFmtId="164" fontId="13" fillId="2" borderId="17" xfId="1" applyNumberFormat="1" applyFont="1" applyFill="1" applyBorder="1"/>
    <xf numFmtId="0" fontId="15" fillId="0" borderId="0" xfId="0" applyFont="1" applyAlignment="1">
      <alignment vertical="top" wrapText="1"/>
    </xf>
    <xf numFmtId="164" fontId="0" fillId="0" borderId="0" xfId="9" applyNumberFormat="1" applyFont="1" applyAlignment="1">
      <alignment wrapText="1"/>
    </xf>
    <xf numFmtId="166" fontId="15" fillId="2" borderId="0" xfId="21" applyNumberFormat="1" applyFont="1" applyFill="1"/>
    <xf numFmtId="0" fontId="34" fillId="2" borderId="0" xfId="0" applyFont="1" applyFill="1"/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5" fillId="8" borderId="0" xfId="0" applyFont="1" applyFill="1" applyAlignment="1">
      <alignment horizontal="left" vertical="top" wrapText="1"/>
    </xf>
    <xf numFmtId="0" fontId="35" fillId="2" borderId="0" xfId="0" applyFont="1" applyFill="1" applyAlignment="1">
      <alignment horizontal="center"/>
    </xf>
  </cellXfs>
  <cellStyles count="22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" xfId="21" builtinId="4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8000000}"/>
    <cellStyle name="Normal 2 2" xfId="5" xr:uid="{00000000-0005-0000-0000-000009000000}"/>
    <cellStyle name="Normal 3" xfId="18" xr:uid="{00000000-0005-0000-0000-00000A000000}"/>
    <cellStyle name="Normal 77" xfId="4" xr:uid="{00000000-0005-0000-0000-00000B000000}"/>
    <cellStyle name="Normal 77 2" xfId="10" xr:uid="{00000000-0005-0000-0000-00000C000000}"/>
    <cellStyle name="Normal 77 3" xfId="20" xr:uid="{00000000-0005-0000-0000-00000D000000}"/>
    <cellStyle name="Normal_DFIT-WaEle_SUM" xfId="17" xr:uid="{00000000-0005-0000-0000-00000E000000}"/>
    <cellStyle name="Normal_WAElec6_97" xfId="14" xr:uid="{00000000-0005-0000-0000-00000F000000}"/>
    <cellStyle name="Normal_WAGas6_97" xfId="15" xr:uid="{00000000-0005-0000-0000-000010000000}"/>
    <cellStyle name="Percent" xfId="19" builtinId="5"/>
    <cellStyle name="Percent 2" xfId="3" xr:uid="{00000000-0005-0000-0000-000012000000}"/>
    <cellStyle name="Percent 2 2" xfId="6" xr:uid="{00000000-0005-0000-0000-000013000000}"/>
    <cellStyle name="Percent 3" xfId="8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95250</xdr:rowOff>
    </xdr:from>
    <xdr:to>
      <xdr:col>35</xdr:col>
      <xdr:colOff>0</xdr:colOff>
      <xdr:row>0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581525" y="95250"/>
          <a:ext cx="252984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0</xdr:row>
      <xdr:rowOff>85725</xdr:rowOff>
    </xdr:from>
    <xdr:to>
      <xdr:col>37</xdr:col>
      <xdr:colOff>876300</xdr:colOff>
      <xdr:row>0</xdr:row>
      <xdr:rowOff>85725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30765750" y="85725"/>
          <a:ext cx="17430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Root\Working%20from%20home%20folder\WA%20GRC%202020\2020%20WA%20GRC%20Order%20info\Capital%20Reporting%20-%20Wildfire%20and%20EIM\Test-EIM%20PF%20and%20Provisional%20Adj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Model"/>
      <sheetName val="ADJ-E - OG"/>
      <sheetName val="Summary-Cost-E"/>
      <sheetName val="EIM - 2020 WA E Detail - OG"/>
      <sheetName val="EIM - 2021 WA E Detail - OG"/>
      <sheetName val="EIM - 2022 WA E Detail - OG"/>
      <sheetName val="ADJ-E - SAF"/>
      <sheetName val="Summary-Cost-E - SAF"/>
      <sheetName val="EIM - 2021 WA E Detail - SAF"/>
      <sheetName val="EIM - 2022 WA E Detail - SAF"/>
      <sheetName val="ADJ-E - NewAll"/>
      <sheetName val="Summary-Cost-E - NewAll"/>
      <sheetName val="EIM - 2021 WA E Detail - NewAll"/>
      <sheetName val="EIM - 2022 WA E Detail - NewAll"/>
    </sheetNames>
    <sheetDataSet>
      <sheetData sheetId="0" refreshError="1"/>
      <sheetData sheetId="1"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F4FC4474-6B4F-461A-B40C-A49B973D5039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5C9F-5E89-4214-8CC9-866EBF2DAAE3}">
  <sheetPr>
    <tabColor rgb="FFFFFF00"/>
  </sheetPr>
  <dimension ref="A1:S93"/>
  <sheetViews>
    <sheetView tabSelected="1" view="pageBreakPreview" zoomScale="85" zoomScaleNormal="100" zoomScaleSheetLayoutView="85" workbookViewId="0">
      <selection activeCell="Q53" sqref="Q53"/>
    </sheetView>
  </sheetViews>
  <sheetFormatPr defaultRowHeight="12.75"/>
  <cols>
    <col min="1" max="1" width="4.5703125" style="130" customWidth="1"/>
    <col min="2" max="3" width="1.7109375" style="130" customWidth="1"/>
    <col min="4" max="4" width="25.85546875" style="130" customWidth="1"/>
    <col min="5" max="5" width="7.140625" style="130" bestFit="1" customWidth="1"/>
    <col min="6" max="6" width="11.7109375" style="130" bestFit="1" customWidth="1"/>
    <col min="7" max="8" width="11.85546875" style="130" bestFit="1" customWidth="1"/>
    <col min="9" max="9" width="2.85546875" style="130" customWidth="1"/>
    <col min="10" max="10" width="9.140625" style="130"/>
    <col min="11" max="11" width="2.85546875" style="130" customWidth="1"/>
    <col min="12" max="18" width="9.140625" style="130"/>
    <col min="19" max="19" width="9.7109375" style="130" bestFit="1" customWidth="1"/>
    <col min="20" max="16384" width="9.140625" style="130"/>
  </cols>
  <sheetData>
    <row r="1" spans="1:12">
      <c r="A1" s="127"/>
      <c r="B1" s="128"/>
      <c r="C1" s="128"/>
      <c r="D1" s="119"/>
      <c r="E1" s="119"/>
      <c r="F1" s="119"/>
      <c r="G1" s="129"/>
      <c r="H1" s="129"/>
    </row>
    <row r="2" spans="1:12">
      <c r="A2" s="29" t="s">
        <v>45</v>
      </c>
      <c r="B2" s="128"/>
      <c r="C2" s="128"/>
      <c r="D2" s="127"/>
      <c r="E2" s="127"/>
      <c r="F2" s="131"/>
      <c r="G2" s="131"/>
      <c r="H2" s="131"/>
    </row>
    <row r="3" spans="1:12">
      <c r="A3" s="29" t="s">
        <v>46</v>
      </c>
      <c r="B3" s="128"/>
      <c r="C3" s="128"/>
      <c r="D3" s="127"/>
      <c r="E3" s="127"/>
      <c r="F3" s="127"/>
      <c r="G3" s="131"/>
      <c r="H3" s="131"/>
    </row>
    <row r="4" spans="1:12">
      <c r="A4" s="29" t="s">
        <v>47</v>
      </c>
      <c r="B4" s="128"/>
      <c r="C4" s="128"/>
      <c r="D4" s="127"/>
      <c r="E4" s="127"/>
      <c r="F4" s="132"/>
      <c r="G4" s="133"/>
      <c r="H4" s="133"/>
      <c r="J4" s="134"/>
      <c r="K4" s="134"/>
      <c r="L4" s="134"/>
    </row>
    <row r="5" spans="1:12">
      <c r="A5" s="29" t="s">
        <v>48</v>
      </c>
      <c r="B5" s="128"/>
      <c r="C5" s="128"/>
      <c r="D5" s="127"/>
      <c r="E5" s="127"/>
      <c r="F5" s="135"/>
      <c r="G5" s="206" t="s">
        <v>202</v>
      </c>
      <c r="H5" s="133"/>
      <c r="J5" s="136" t="s">
        <v>43</v>
      </c>
      <c r="K5" s="134"/>
      <c r="L5" s="134"/>
    </row>
    <row r="6" spans="1:12">
      <c r="A6" s="29"/>
      <c r="B6" s="137"/>
      <c r="C6" s="137"/>
      <c r="D6" s="137"/>
      <c r="E6" s="137"/>
      <c r="F6" s="138" t="s">
        <v>162</v>
      </c>
      <c r="G6" s="138" t="s">
        <v>163</v>
      </c>
      <c r="H6" s="138" t="s">
        <v>164</v>
      </c>
      <c r="J6" s="138" t="s">
        <v>164</v>
      </c>
      <c r="K6" s="134"/>
      <c r="L6" s="138" t="s">
        <v>175</v>
      </c>
    </row>
    <row r="7" spans="1:12">
      <c r="A7" s="139"/>
      <c r="B7" s="140"/>
      <c r="C7" s="141"/>
      <c r="D7" s="141"/>
      <c r="E7" s="141"/>
      <c r="F7" s="139" t="s">
        <v>101</v>
      </c>
      <c r="G7" s="142" t="s">
        <v>152</v>
      </c>
      <c r="H7" s="139"/>
      <c r="J7" s="139"/>
      <c r="L7" s="139"/>
    </row>
    <row r="8" spans="1:12">
      <c r="A8" s="143" t="s">
        <v>49</v>
      </c>
      <c r="B8" s="144"/>
      <c r="C8" s="137"/>
      <c r="D8" s="137"/>
      <c r="E8" s="137"/>
      <c r="F8" s="145" t="s">
        <v>140</v>
      </c>
      <c r="G8" s="146" t="s">
        <v>140</v>
      </c>
      <c r="H8" s="145"/>
      <c r="J8" s="145"/>
      <c r="L8" s="145"/>
    </row>
    <row r="9" spans="1:12">
      <c r="A9" s="147" t="s">
        <v>50</v>
      </c>
      <c r="B9" s="148"/>
      <c r="C9" s="149"/>
      <c r="D9" s="149" t="s">
        <v>51</v>
      </c>
      <c r="E9" s="149"/>
      <c r="F9" s="150" t="s">
        <v>141</v>
      </c>
      <c r="G9" s="151" t="s">
        <v>141</v>
      </c>
      <c r="H9" s="150" t="s">
        <v>174</v>
      </c>
      <c r="J9" s="150" t="s">
        <v>174</v>
      </c>
      <c r="L9" s="150" t="s">
        <v>174</v>
      </c>
    </row>
    <row r="10" spans="1:12">
      <c r="A10" s="152"/>
      <c r="B10" s="153" t="s">
        <v>52</v>
      </c>
      <c r="C10" s="152"/>
      <c r="D10" s="152"/>
      <c r="E10" s="152"/>
      <c r="F10" s="154" t="s">
        <v>165</v>
      </c>
      <c r="G10" s="155" t="s">
        <v>166</v>
      </c>
      <c r="H10" s="154"/>
      <c r="J10" s="154"/>
      <c r="L10" s="154"/>
    </row>
    <row r="11" spans="1:12">
      <c r="A11" s="152"/>
      <c r="B11" s="153" t="s">
        <v>53</v>
      </c>
      <c r="C11" s="152"/>
      <c r="D11" s="152"/>
      <c r="E11" s="152"/>
      <c r="F11" s="154" t="s">
        <v>142</v>
      </c>
      <c r="G11" s="155" t="s">
        <v>142</v>
      </c>
      <c r="H11" s="154"/>
      <c r="J11" s="154"/>
      <c r="L11" s="154"/>
    </row>
    <row r="12" spans="1:12">
      <c r="A12" s="152"/>
      <c r="B12" s="153"/>
      <c r="C12" s="152"/>
      <c r="D12" s="152"/>
      <c r="E12" s="152"/>
      <c r="F12" s="154"/>
      <c r="G12" s="155"/>
      <c r="H12" s="154"/>
      <c r="J12" s="154"/>
      <c r="L12" s="154"/>
    </row>
    <row r="13" spans="1:12">
      <c r="A13" s="127"/>
      <c r="B13" s="128" t="s">
        <v>54</v>
      </c>
      <c r="C13" s="128"/>
      <c r="D13" s="128"/>
      <c r="E13" s="128"/>
      <c r="F13" s="156"/>
      <c r="G13" s="157"/>
      <c r="H13" s="156"/>
      <c r="J13" s="156"/>
      <c r="L13" s="156"/>
    </row>
    <row r="14" spans="1:12">
      <c r="A14" s="158">
        <v>1</v>
      </c>
      <c r="B14" s="159" t="s">
        <v>55</v>
      </c>
      <c r="C14" s="159"/>
      <c r="D14" s="159"/>
      <c r="E14" s="159"/>
      <c r="F14" s="160">
        <v>0</v>
      </c>
      <c r="G14" s="161">
        <v>0</v>
      </c>
      <c r="H14" s="160">
        <f>F14+G14</f>
        <v>0</v>
      </c>
      <c r="J14" s="160">
        <f>H14+I14</f>
        <v>0</v>
      </c>
      <c r="L14" s="160">
        <f>J14-H14</f>
        <v>0</v>
      </c>
    </row>
    <row r="15" spans="1:12">
      <c r="A15" s="158">
        <v>2</v>
      </c>
      <c r="B15" s="162" t="s">
        <v>56</v>
      </c>
      <c r="C15" s="162"/>
      <c r="D15" s="162"/>
      <c r="E15" s="162"/>
      <c r="F15" s="163">
        <v>0</v>
      </c>
      <c r="G15" s="164">
        <v>0</v>
      </c>
      <c r="H15" s="163">
        <f t="shared" ref="H15:L19" si="0">F15+G15</f>
        <v>0</v>
      </c>
      <c r="J15" s="163">
        <f t="shared" si="0"/>
        <v>0</v>
      </c>
      <c r="L15" s="163">
        <f>J15-H15</f>
        <v>0</v>
      </c>
    </row>
    <row r="16" spans="1:12">
      <c r="A16" s="158">
        <v>3</v>
      </c>
      <c r="B16" s="162" t="s">
        <v>57</v>
      </c>
      <c r="C16" s="162"/>
      <c r="D16" s="162"/>
      <c r="E16" s="162"/>
      <c r="F16" s="165">
        <v>0</v>
      </c>
      <c r="G16" s="166">
        <v>0</v>
      </c>
      <c r="H16" s="165">
        <f t="shared" si="0"/>
        <v>0</v>
      </c>
      <c r="J16" s="165">
        <f t="shared" si="0"/>
        <v>0</v>
      </c>
      <c r="L16" s="163">
        <f>J16-H16</f>
        <v>0</v>
      </c>
    </row>
    <row r="17" spans="1:16">
      <c r="A17" s="158">
        <v>4</v>
      </c>
      <c r="B17" s="162" t="s">
        <v>58</v>
      </c>
      <c r="C17" s="162"/>
      <c r="D17" s="162"/>
      <c r="E17" s="162"/>
      <c r="F17" s="163">
        <v>0</v>
      </c>
      <c r="G17" s="164">
        <v>0</v>
      </c>
      <c r="H17" s="163">
        <f t="shared" si="0"/>
        <v>0</v>
      </c>
      <c r="J17" s="163">
        <f t="shared" si="0"/>
        <v>0</v>
      </c>
      <c r="L17" s="167">
        <f t="shared" si="0"/>
        <v>0</v>
      </c>
    </row>
    <row r="18" spans="1:16">
      <c r="A18" s="158">
        <v>5</v>
      </c>
      <c r="B18" s="162" t="s">
        <v>59</v>
      </c>
      <c r="C18" s="162"/>
      <c r="D18" s="162"/>
      <c r="E18" s="162"/>
      <c r="F18" s="165">
        <v>0</v>
      </c>
      <c r="G18" s="166">
        <v>0</v>
      </c>
      <c r="H18" s="165">
        <f t="shared" si="0"/>
        <v>0</v>
      </c>
      <c r="J18" s="165">
        <f t="shared" si="0"/>
        <v>0</v>
      </c>
      <c r="L18" s="163">
        <f>J18-H18</f>
        <v>0</v>
      </c>
    </row>
    <row r="19" spans="1:16">
      <c r="A19" s="158">
        <v>6</v>
      </c>
      <c r="B19" s="162" t="s">
        <v>60</v>
      </c>
      <c r="C19" s="162"/>
      <c r="D19" s="162"/>
      <c r="E19" s="162"/>
      <c r="F19" s="163">
        <v>0</v>
      </c>
      <c r="G19" s="164">
        <v>0</v>
      </c>
      <c r="H19" s="163">
        <f t="shared" si="0"/>
        <v>0</v>
      </c>
      <c r="J19" s="163">
        <f t="shared" si="0"/>
        <v>0</v>
      </c>
      <c r="L19" s="167">
        <f t="shared" si="0"/>
        <v>0</v>
      </c>
    </row>
    <row r="20" spans="1:16">
      <c r="A20" s="158"/>
      <c r="B20" s="162"/>
      <c r="C20" s="162"/>
      <c r="D20" s="162"/>
      <c r="E20" s="162"/>
      <c r="F20" s="163"/>
      <c r="G20" s="164"/>
      <c r="H20" s="163"/>
      <c r="J20" s="163"/>
      <c r="L20" s="163"/>
    </row>
    <row r="21" spans="1:16">
      <c r="A21" s="158"/>
      <c r="B21" s="162" t="s">
        <v>61</v>
      </c>
      <c r="C21" s="162"/>
      <c r="D21" s="162"/>
      <c r="E21" s="162"/>
      <c r="F21" s="163"/>
      <c r="G21" s="164"/>
      <c r="H21" s="163"/>
      <c r="J21" s="163"/>
      <c r="L21" s="163"/>
    </row>
    <row r="22" spans="1:16">
      <c r="A22" s="158"/>
      <c r="B22" s="162" t="s">
        <v>62</v>
      </c>
      <c r="C22" s="162"/>
      <c r="D22" s="162"/>
      <c r="E22" s="162"/>
      <c r="F22" s="163"/>
      <c r="G22" s="164"/>
      <c r="H22" s="163"/>
      <c r="J22" s="163"/>
      <c r="L22" s="163"/>
    </row>
    <row r="23" spans="1:16">
      <c r="A23" s="158">
        <v>7</v>
      </c>
      <c r="B23" s="162"/>
      <c r="C23" s="162" t="s">
        <v>63</v>
      </c>
      <c r="D23" s="162"/>
      <c r="E23" s="162"/>
      <c r="F23" s="163">
        <v>1690.610663693054</v>
      </c>
      <c r="G23" s="164">
        <v>0</v>
      </c>
      <c r="H23" s="168">
        <v>1691</v>
      </c>
      <c r="I23" s="134"/>
      <c r="J23" s="168">
        <v>1691</v>
      </c>
      <c r="K23" s="134"/>
      <c r="L23" s="168">
        <f t="shared" ref="L23:L27" si="1">J23-H23</f>
        <v>0</v>
      </c>
      <c r="M23" s="134"/>
      <c r="N23" s="109"/>
      <c r="O23" s="134"/>
      <c r="P23" s="134"/>
    </row>
    <row r="24" spans="1:16">
      <c r="A24" s="158">
        <v>8</v>
      </c>
      <c r="B24" s="162"/>
      <c r="C24" s="162" t="s">
        <v>64</v>
      </c>
      <c r="D24" s="162"/>
      <c r="E24" s="162"/>
      <c r="F24" s="163">
        <v>0</v>
      </c>
      <c r="G24" s="164">
        <v>0</v>
      </c>
      <c r="H24" s="163">
        <f t="shared" ref="H24:H27" si="2">F24+G24</f>
        <v>0</v>
      </c>
      <c r="J24" s="163">
        <v>0</v>
      </c>
      <c r="L24" s="163">
        <f t="shared" si="1"/>
        <v>0</v>
      </c>
    </row>
    <row r="25" spans="1:16" ht="15.75">
      <c r="A25" s="158">
        <v>9</v>
      </c>
      <c r="B25" s="162"/>
      <c r="C25" s="162" t="s">
        <v>197</v>
      </c>
      <c r="D25" s="162"/>
      <c r="E25" s="162"/>
      <c r="F25" s="163">
        <v>117.04207917823271</v>
      </c>
      <c r="G25" s="164">
        <f>SUM('[6]ADJ-E - OG'!O25:O27)/1000</f>
        <v>0</v>
      </c>
      <c r="H25" s="163">
        <f t="shared" si="2"/>
        <v>117.04207917823271</v>
      </c>
      <c r="J25" s="195">
        <f>ROUND(SUM('ADJ-E - PF pg 2'!O26:O28)/1000,0)</f>
        <v>88</v>
      </c>
      <c r="L25" s="163">
        <f t="shared" si="1"/>
        <v>-29.042079178232711</v>
      </c>
      <c r="M25" s="130" t="s">
        <v>201</v>
      </c>
    </row>
    <row r="26" spans="1:16">
      <c r="A26" s="158">
        <v>10</v>
      </c>
      <c r="B26" s="162"/>
      <c r="C26" s="162" t="s">
        <v>65</v>
      </c>
      <c r="D26" s="162"/>
      <c r="E26" s="162"/>
      <c r="F26" s="163">
        <v>0</v>
      </c>
      <c r="G26" s="164">
        <v>0</v>
      </c>
      <c r="H26" s="163">
        <f t="shared" si="2"/>
        <v>0</v>
      </c>
      <c r="J26" s="163">
        <v>0</v>
      </c>
      <c r="L26" s="163">
        <f t="shared" si="1"/>
        <v>0</v>
      </c>
    </row>
    <row r="27" spans="1:16">
      <c r="A27" s="158">
        <v>11</v>
      </c>
      <c r="B27" s="162"/>
      <c r="C27" s="162" t="s">
        <v>66</v>
      </c>
      <c r="D27" s="162"/>
      <c r="E27" s="162"/>
      <c r="F27" s="165">
        <v>0</v>
      </c>
      <c r="G27" s="166">
        <v>0</v>
      </c>
      <c r="H27" s="165">
        <f t="shared" si="2"/>
        <v>0</v>
      </c>
      <c r="J27" s="165">
        <v>0</v>
      </c>
      <c r="L27" s="163">
        <f t="shared" si="1"/>
        <v>0</v>
      </c>
    </row>
    <row r="28" spans="1:16">
      <c r="A28" s="158">
        <v>12</v>
      </c>
      <c r="B28" s="162" t="s">
        <v>67</v>
      </c>
      <c r="C28" s="162"/>
      <c r="D28" s="162"/>
      <c r="E28" s="162"/>
      <c r="F28" s="156">
        <f t="shared" ref="F28:H28" si="3">SUM(F23:F27)</f>
        <v>1807.6527428712866</v>
      </c>
      <c r="G28" s="157">
        <f t="shared" si="3"/>
        <v>0</v>
      </c>
      <c r="H28" s="156">
        <f t="shared" si="3"/>
        <v>1808.0420791782326</v>
      </c>
      <c r="J28" s="156">
        <f t="shared" ref="J28:L28" si="4">SUM(J23:J27)</f>
        <v>1779</v>
      </c>
      <c r="L28" s="169">
        <f t="shared" si="4"/>
        <v>-29.042079178232711</v>
      </c>
    </row>
    <row r="29" spans="1:16">
      <c r="A29" s="158"/>
      <c r="B29" s="162"/>
      <c r="C29" s="162"/>
      <c r="D29" s="162"/>
      <c r="E29" s="162"/>
      <c r="F29" s="163"/>
      <c r="G29" s="164"/>
      <c r="H29" s="163"/>
      <c r="J29" s="163"/>
      <c r="L29" s="163"/>
    </row>
    <row r="30" spans="1:16">
      <c r="A30" s="158"/>
      <c r="B30" s="162" t="s">
        <v>68</v>
      </c>
      <c r="C30" s="162"/>
      <c r="D30" s="162"/>
      <c r="E30" s="162"/>
      <c r="F30" s="163"/>
      <c r="G30" s="164"/>
      <c r="H30" s="163"/>
      <c r="J30" s="163"/>
      <c r="L30" s="163"/>
    </row>
    <row r="31" spans="1:16">
      <c r="A31" s="158">
        <v>13</v>
      </c>
      <c r="B31" s="162"/>
      <c r="C31" s="162" t="s">
        <v>63</v>
      </c>
      <c r="D31" s="162"/>
      <c r="E31" s="162"/>
      <c r="F31" s="163">
        <v>0</v>
      </c>
      <c r="G31" s="164">
        <v>0</v>
      </c>
      <c r="H31" s="163">
        <f t="shared" ref="H31:H34" si="5">F31+G31</f>
        <v>0</v>
      </c>
      <c r="J31" s="163">
        <v>0</v>
      </c>
      <c r="L31" s="163">
        <f t="shared" ref="L31:L34" si="6">J31-H31</f>
        <v>0</v>
      </c>
    </row>
    <row r="32" spans="1:16">
      <c r="A32" s="158">
        <v>14</v>
      </c>
      <c r="B32" s="162"/>
      <c r="C32" s="162" t="s">
        <v>69</v>
      </c>
      <c r="D32" s="162"/>
      <c r="E32" s="162"/>
      <c r="F32" s="163">
        <v>4.5849410441144576</v>
      </c>
      <c r="G32" s="164">
        <f>+('[6]ADJ-E - OG'!O24)/1000</f>
        <v>0</v>
      </c>
      <c r="H32" s="163">
        <f t="shared" si="5"/>
        <v>4.5849410441144576</v>
      </c>
      <c r="J32" s="195">
        <f>ROUND('ADJ-E - PF pg 2'!O25/1000,0)</f>
        <v>3</v>
      </c>
      <c r="L32" s="163">
        <f t="shared" si="6"/>
        <v>-1.5849410441144576</v>
      </c>
      <c r="M32" s="130" t="s">
        <v>201</v>
      </c>
    </row>
    <row r="33" spans="1:16">
      <c r="A33" s="158"/>
      <c r="B33" s="162"/>
      <c r="C33" s="162" t="s">
        <v>65</v>
      </c>
      <c r="D33" s="162"/>
      <c r="E33" s="162"/>
      <c r="F33" s="163">
        <v>0</v>
      </c>
      <c r="G33" s="164">
        <v>0</v>
      </c>
      <c r="H33" s="163">
        <f t="shared" si="5"/>
        <v>0</v>
      </c>
      <c r="J33" s="163">
        <v>0</v>
      </c>
      <c r="L33" s="163">
        <f t="shared" si="6"/>
        <v>0</v>
      </c>
    </row>
    <row r="34" spans="1:16">
      <c r="A34" s="158">
        <v>15</v>
      </c>
      <c r="B34" s="162"/>
      <c r="C34" s="162" t="s">
        <v>66</v>
      </c>
      <c r="D34" s="162"/>
      <c r="E34" s="162"/>
      <c r="F34" s="165">
        <v>0</v>
      </c>
      <c r="G34" s="166">
        <v>0</v>
      </c>
      <c r="H34" s="165">
        <f t="shared" si="5"/>
        <v>0</v>
      </c>
      <c r="J34" s="165">
        <v>0</v>
      </c>
      <c r="L34" s="163">
        <f t="shared" si="6"/>
        <v>0</v>
      </c>
    </row>
    <row r="35" spans="1:16">
      <c r="A35" s="158">
        <v>16</v>
      </c>
      <c r="B35" s="162" t="s">
        <v>70</v>
      </c>
      <c r="C35" s="162"/>
      <c r="D35" s="162"/>
      <c r="E35" s="162"/>
      <c r="F35" s="156">
        <f>SUM(F31:F34)</f>
        <v>4.5849410441144576</v>
      </c>
      <c r="G35" s="157">
        <f t="shared" ref="G35" si="7">SUM(G31:G34)</f>
        <v>0</v>
      </c>
      <c r="H35" s="156">
        <f t="shared" ref="H35:J35" si="8">SUM(H30:H34)</f>
        <v>4.5849410441144576</v>
      </c>
      <c r="J35" s="156">
        <f t="shared" si="8"/>
        <v>3</v>
      </c>
      <c r="L35" s="169">
        <f t="shared" ref="L35" si="9">SUM(L30:L34)</f>
        <v>-1.5849410441144576</v>
      </c>
    </row>
    <row r="36" spans="1:16">
      <c r="A36" s="162"/>
      <c r="B36" s="162"/>
      <c r="C36" s="162"/>
      <c r="D36" s="162"/>
      <c r="E36" s="162"/>
      <c r="F36" s="163"/>
      <c r="G36" s="164"/>
      <c r="H36" s="163"/>
      <c r="J36" s="163"/>
      <c r="L36" s="163"/>
    </row>
    <row r="37" spans="1:16">
      <c r="A37" s="158">
        <v>17</v>
      </c>
      <c r="B37" s="162" t="s">
        <v>71</v>
      </c>
      <c r="C37" s="162"/>
      <c r="D37" s="162"/>
      <c r="E37" s="162"/>
      <c r="F37" s="163">
        <v>0</v>
      </c>
      <c r="G37" s="164">
        <v>0</v>
      </c>
      <c r="H37" s="163">
        <f t="shared" ref="H37:H39" si="10">F37+G37</f>
        <v>0</v>
      </c>
      <c r="J37" s="163">
        <v>0</v>
      </c>
      <c r="L37" s="163">
        <f t="shared" ref="L37:L39" si="11">J37-H37</f>
        <v>0</v>
      </c>
    </row>
    <row r="38" spans="1:16">
      <c r="A38" s="158">
        <v>18</v>
      </c>
      <c r="B38" s="162" t="s">
        <v>72</v>
      </c>
      <c r="C38" s="162"/>
      <c r="D38" s="162"/>
      <c r="E38" s="162"/>
      <c r="F38" s="163">
        <v>0</v>
      </c>
      <c r="G38" s="164">
        <v>0</v>
      </c>
      <c r="H38" s="163">
        <f t="shared" si="10"/>
        <v>0</v>
      </c>
      <c r="J38" s="163">
        <v>0</v>
      </c>
      <c r="L38" s="163">
        <f t="shared" si="11"/>
        <v>0</v>
      </c>
    </row>
    <row r="39" spans="1:16">
      <c r="A39" s="158">
        <v>19</v>
      </c>
      <c r="B39" s="162" t="s">
        <v>73</v>
      </c>
      <c r="C39" s="162"/>
      <c r="D39" s="162"/>
      <c r="E39" s="162"/>
      <c r="F39" s="163">
        <v>0</v>
      </c>
      <c r="G39" s="164">
        <v>0</v>
      </c>
      <c r="H39" s="163">
        <f t="shared" si="10"/>
        <v>0</v>
      </c>
      <c r="J39" s="163">
        <v>0</v>
      </c>
      <c r="L39" s="163">
        <f t="shared" si="11"/>
        <v>0</v>
      </c>
    </row>
    <row r="40" spans="1:16">
      <c r="A40" s="158"/>
      <c r="B40" s="162"/>
      <c r="C40" s="162"/>
      <c r="D40" s="162"/>
      <c r="E40" s="162"/>
      <c r="F40" s="163"/>
      <c r="G40" s="164"/>
      <c r="H40" s="163"/>
      <c r="J40" s="163"/>
      <c r="L40" s="163"/>
    </row>
    <row r="41" spans="1:16">
      <c r="A41" s="162"/>
      <c r="B41" s="162" t="s">
        <v>74</v>
      </c>
      <c r="C41" s="162"/>
      <c r="D41" s="162"/>
      <c r="E41" s="162"/>
      <c r="F41" s="163"/>
      <c r="G41" s="164"/>
      <c r="H41" s="163"/>
      <c r="J41" s="163"/>
      <c r="L41" s="163"/>
    </row>
    <row r="42" spans="1:16">
      <c r="A42" s="158">
        <v>20</v>
      </c>
      <c r="B42" s="162"/>
      <c r="C42" s="162" t="s">
        <v>63</v>
      </c>
      <c r="D42" s="162"/>
      <c r="E42" s="162"/>
      <c r="F42" s="163">
        <v>0</v>
      </c>
      <c r="G42" s="164">
        <v>0</v>
      </c>
      <c r="H42" s="163">
        <f t="shared" ref="H42:H45" si="12">F42+G42</f>
        <v>0</v>
      </c>
      <c r="J42" s="163">
        <v>0</v>
      </c>
      <c r="L42" s="163">
        <f t="shared" ref="L42:L45" si="13">J42-H42</f>
        <v>0</v>
      </c>
    </row>
    <row r="43" spans="1:16">
      <c r="A43" s="158">
        <v>21</v>
      </c>
      <c r="B43" s="162"/>
      <c r="C43" s="162" t="s">
        <v>69</v>
      </c>
      <c r="D43" s="162"/>
      <c r="E43" s="162"/>
      <c r="F43" s="163">
        <v>767.55750263119842</v>
      </c>
      <c r="G43" s="164">
        <f>820</f>
        <v>820</v>
      </c>
      <c r="H43" s="163">
        <f t="shared" si="12"/>
        <v>1587.5575026311985</v>
      </c>
      <c r="J43" s="195">
        <f>ROUND(SUM('ADJ-E - PF pg 2'!O29:O31)/1000,0)</f>
        <v>1459</v>
      </c>
      <c r="L43" s="163">
        <f t="shared" si="13"/>
        <v>-128.55750263119853</v>
      </c>
      <c r="M43" s="130" t="s">
        <v>201</v>
      </c>
      <c r="O43" s="170"/>
      <c r="P43" s="170"/>
    </row>
    <row r="44" spans="1:16">
      <c r="A44" s="158">
        <v>22</v>
      </c>
      <c r="B44" s="162"/>
      <c r="C44" s="162" t="s">
        <v>75</v>
      </c>
      <c r="D44" s="162"/>
      <c r="E44" s="162"/>
      <c r="F44" s="163">
        <v>0</v>
      </c>
      <c r="G44" s="164">
        <v>0</v>
      </c>
      <c r="H44" s="163">
        <f t="shared" si="12"/>
        <v>0</v>
      </c>
      <c r="J44" s="163">
        <v>0</v>
      </c>
      <c r="L44" s="163">
        <f t="shared" si="13"/>
        <v>0</v>
      </c>
    </row>
    <row r="45" spans="1:16">
      <c r="A45" s="158">
        <v>23</v>
      </c>
      <c r="B45" s="162"/>
      <c r="C45" s="162" t="s">
        <v>66</v>
      </c>
      <c r="D45" s="162"/>
      <c r="E45" s="162"/>
      <c r="F45" s="165">
        <v>0</v>
      </c>
      <c r="G45" s="166">
        <v>0</v>
      </c>
      <c r="H45" s="165">
        <f t="shared" si="12"/>
        <v>0</v>
      </c>
      <c r="J45" s="165">
        <v>0</v>
      </c>
      <c r="L45" s="163">
        <f t="shared" si="13"/>
        <v>0</v>
      </c>
    </row>
    <row r="46" spans="1:16">
      <c r="A46" s="158">
        <v>24</v>
      </c>
      <c r="B46" s="162" t="s">
        <v>76</v>
      </c>
      <c r="C46" s="162"/>
      <c r="D46" s="162"/>
      <c r="E46" s="162"/>
      <c r="F46" s="171">
        <f>SUM(F42:F45)</f>
        <v>767.55750263119842</v>
      </c>
      <c r="G46" s="172">
        <f>SUM(G42:G45)</f>
        <v>820</v>
      </c>
      <c r="H46" s="171">
        <f>SUM(H42:H45)</f>
        <v>1587.5575026311985</v>
      </c>
      <c r="J46" s="171">
        <f>SUM(J42:J45)</f>
        <v>1459</v>
      </c>
      <c r="L46" s="171">
        <f>SUM(L42:L45)</f>
        <v>-128.55750263119853</v>
      </c>
    </row>
    <row r="47" spans="1:16">
      <c r="A47" s="158">
        <v>25</v>
      </c>
      <c r="B47" s="162" t="s">
        <v>77</v>
      </c>
      <c r="C47" s="162"/>
      <c r="D47" s="162"/>
      <c r="E47" s="162"/>
      <c r="F47" s="173">
        <f t="shared" ref="F47" si="14">F46+F39+F38+F37+F35+F28</f>
        <v>2579.7951865465993</v>
      </c>
      <c r="G47" s="174">
        <f>G46+G39+G38+G37+G35+G28</f>
        <v>820</v>
      </c>
      <c r="H47" s="173">
        <f>H46+H39+H38+H37+H35+H28</f>
        <v>3400.1845228535458</v>
      </c>
      <c r="J47" s="173">
        <f>J46+J39+J38+J37+J35+J28</f>
        <v>3241</v>
      </c>
      <c r="L47" s="173">
        <f>L46+L39+L38+L37+L35+L28</f>
        <v>-159.1845228535457</v>
      </c>
    </row>
    <row r="48" spans="1:16">
      <c r="A48" s="162"/>
      <c r="B48" s="162"/>
      <c r="C48" s="162"/>
      <c r="D48" s="162"/>
      <c r="E48" s="162"/>
      <c r="F48" s="163"/>
      <c r="G48" s="164"/>
      <c r="H48" s="163"/>
      <c r="J48" s="163"/>
      <c r="L48" s="163"/>
    </row>
    <row r="49" spans="1:12">
      <c r="A49" s="158">
        <v>26</v>
      </c>
      <c r="B49" s="162" t="s">
        <v>78</v>
      </c>
      <c r="C49" s="162"/>
      <c r="D49" s="162"/>
      <c r="E49" s="162"/>
      <c r="F49" s="156">
        <f>F19-F47</f>
        <v>-2579.7951865465993</v>
      </c>
      <c r="G49" s="157">
        <f>G19-G47</f>
        <v>-820</v>
      </c>
      <c r="H49" s="156">
        <f>H19-H47</f>
        <v>-3400.1845228535458</v>
      </c>
      <c r="J49" s="156">
        <f>J19-J47</f>
        <v>-3241</v>
      </c>
      <c r="L49" s="156">
        <f>L19-L47</f>
        <v>159.1845228535457</v>
      </c>
    </row>
    <row r="50" spans="1:12">
      <c r="A50" s="158"/>
      <c r="B50" s="162"/>
      <c r="C50" s="162"/>
      <c r="D50" s="162"/>
      <c r="E50" s="162"/>
      <c r="F50" s="163"/>
      <c r="G50" s="164"/>
      <c r="H50" s="163"/>
      <c r="J50" s="163"/>
      <c r="L50" s="163"/>
    </row>
    <row r="51" spans="1:12">
      <c r="A51" s="175"/>
      <c r="B51" s="162" t="s">
        <v>79</v>
      </c>
      <c r="C51" s="162"/>
      <c r="D51" s="162"/>
      <c r="E51" s="162"/>
      <c r="F51" s="163"/>
      <c r="G51" s="164"/>
      <c r="H51" s="163"/>
      <c r="J51" s="163"/>
      <c r="L51" s="163"/>
    </row>
    <row r="52" spans="1:12">
      <c r="A52" s="158">
        <v>27</v>
      </c>
      <c r="B52" s="162" t="s">
        <v>80</v>
      </c>
      <c r="C52" s="162"/>
      <c r="D52" s="176"/>
      <c r="E52" s="176"/>
      <c r="F52" s="156">
        <f>F49*0.21</f>
        <v>-541.75698917478587</v>
      </c>
      <c r="G52" s="157">
        <f t="shared" ref="G52" si="15">G49*0.21</f>
        <v>-172.2</v>
      </c>
      <c r="H52" s="156">
        <f>H49*0.21</f>
        <v>-714.03874979924456</v>
      </c>
      <c r="J52" s="156">
        <f>J49*0.21</f>
        <v>-680.61</v>
      </c>
      <c r="L52" s="163">
        <f t="shared" ref="L52:L55" si="16">J52-H52</f>
        <v>33.428749799244542</v>
      </c>
    </row>
    <row r="53" spans="1:12">
      <c r="A53" s="158">
        <v>28</v>
      </c>
      <c r="B53" s="162" t="s">
        <v>81</v>
      </c>
      <c r="C53" s="162"/>
      <c r="D53" s="162"/>
      <c r="E53" s="162"/>
      <c r="F53" s="156">
        <f>(F81*0.0256*-0.21)</f>
        <v>-46.911971333841663</v>
      </c>
      <c r="G53" s="157">
        <f t="shared" ref="G53" si="17">(G81*0.0256*-0.21)</f>
        <v>-20.702976</v>
      </c>
      <c r="H53" s="156">
        <f>(H81*0.0256*-0.21)</f>
        <v>-67.614947333841656</v>
      </c>
      <c r="J53" s="156">
        <f>(J81*0.0256*-0.21)</f>
        <v>-60.356352000000001</v>
      </c>
      <c r="L53" s="163">
        <f t="shared" si="16"/>
        <v>7.2585953338416545</v>
      </c>
    </row>
    <row r="54" spans="1:12">
      <c r="A54" s="158">
        <v>29</v>
      </c>
      <c r="B54" s="162" t="s">
        <v>82</v>
      </c>
      <c r="C54" s="162"/>
      <c r="D54" s="162"/>
      <c r="E54" s="162"/>
      <c r="F54" s="163">
        <v>0</v>
      </c>
      <c r="G54" s="164">
        <v>0</v>
      </c>
      <c r="H54" s="163">
        <v>0</v>
      </c>
      <c r="J54" s="163">
        <v>0</v>
      </c>
      <c r="L54" s="163">
        <f t="shared" si="16"/>
        <v>0</v>
      </c>
    </row>
    <row r="55" spans="1:12">
      <c r="A55" s="175">
        <v>30</v>
      </c>
      <c r="B55" s="162" t="s">
        <v>83</v>
      </c>
      <c r="C55" s="162"/>
      <c r="D55" s="162"/>
      <c r="E55" s="162"/>
      <c r="F55" s="165">
        <v>0</v>
      </c>
      <c r="G55" s="166">
        <v>0</v>
      </c>
      <c r="H55" s="165">
        <v>0</v>
      </c>
      <c r="J55" s="165">
        <v>0</v>
      </c>
      <c r="L55" s="163">
        <f t="shared" si="16"/>
        <v>0</v>
      </c>
    </row>
    <row r="56" spans="1:12">
      <c r="A56" s="127"/>
      <c r="B56" s="128"/>
      <c r="C56" s="128"/>
      <c r="D56" s="128"/>
      <c r="E56" s="128"/>
      <c r="F56" s="156"/>
      <c r="G56" s="157"/>
      <c r="H56" s="156"/>
      <c r="J56" s="156"/>
      <c r="L56" s="169"/>
    </row>
    <row r="57" spans="1:12" ht="13.5" thickBot="1">
      <c r="A57" s="177">
        <v>31</v>
      </c>
      <c r="B57" s="159" t="s">
        <v>84</v>
      </c>
      <c r="C57" s="159"/>
      <c r="D57" s="159"/>
      <c r="E57" s="159"/>
      <c r="F57" s="178">
        <f t="shared" ref="F57:H57" si="18">F49-SUM(F52:F55)</f>
        <v>-1991.1262260379717</v>
      </c>
      <c r="G57" s="179">
        <f t="shared" si="18"/>
        <v>-627.09702400000003</v>
      </c>
      <c r="H57" s="178">
        <f t="shared" si="18"/>
        <v>-2618.5308257204597</v>
      </c>
      <c r="J57" s="178">
        <f t="shared" ref="J57:L57" si="19">J49-SUM(J52:J55)</f>
        <v>-2500.0336480000001</v>
      </c>
      <c r="L57" s="178">
        <f t="shared" si="19"/>
        <v>118.4971777204595</v>
      </c>
    </row>
    <row r="58" spans="1:12" ht="13.5" thickTop="1">
      <c r="A58" s="177"/>
      <c r="B58" s="128"/>
      <c r="C58" s="128"/>
      <c r="D58" s="128"/>
      <c r="E58" s="128"/>
      <c r="F58" s="156"/>
      <c r="G58" s="157"/>
      <c r="H58" s="156"/>
      <c r="J58" s="156"/>
      <c r="L58" s="156"/>
    </row>
    <row r="59" spans="1:12">
      <c r="A59" s="177"/>
      <c r="B59" s="128" t="s">
        <v>85</v>
      </c>
      <c r="C59" s="128"/>
      <c r="D59" s="128"/>
      <c r="E59" s="128"/>
      <c r="F59" s="156"/>
      <c r="G59" s="157"/>
      <c r="H59" s="156"/>
      <c r="J59" s="156"/>
      <c r="L59" s="156"/>
    </row>
    <row r="60" spans="1:12">
      <c r="A60" s="127"/>
      <c r="B60" s="128" t="s">
        <v>86</v>
      </c>
      <c r="C60" s="128"/>
      <c r="D60" s="128"/>
      <c r="E60" s="128"/>
      <c r="F60" s="156"/>
      <c r="G60" s="157"/>
      <c r="H60" s="156"/>
      <c r="J60" s="156"/>
      <c r="L60" s="156"/>
    </row>
    <row r="61" spans="1:12">
      <c r="A61" s="177">
        <v>32</v>
      </c>
      <c r="B61" s="159"/>
      <c r="C61" s="159" t="s">
        <v>87</v>
      </c>
      <c r="D61" s="159"/>
      <c r="E61" s="159"/>
      <c r="F61" s="156">
        <v>3655.5158033470666</v>
      </c>
      <c r="G61" s="157">
        <f>4099</f>
        <v>4099</v>
      </c>
      <c r="H61" s="163">
        <f t="shared" ref="H61:H65" si="20">F61+G61</f>
        <v>7754.515803347067</v>
      </c>
      <c r="J61" s="163">
        <f>ROUND('ADJ-E - PF pg 2'!O10/1000,0)</f>
        <v>6673</v>
      </c>
      <c r="L61" s="163">
        <f t="shared" ref="L61:L65" si="21">J61-H61</f>
        <v>-1081.515803347067</v>
      </c>
    </row>
    <row r="62" spans="1:12">
      <c r="A62" s="177">
        <v>33</v>
      </c>
      <c r="B62" s="162"/>
      <c r="C62" s="162" t="s">
        <v>88</v>
      </c>
      <c r="D62" s="162"/>
      <c r="E62" s="162"/>
      <c r="F62" s="156">
        <v>3636.8219566918365</v>
      </c>
      <c r="G62" s="157"/>
      <c r="H62" s="163">
        <f t="shared" si="20"/>
        <v>3636.8219566918365</v>
      </c>
      <c r="J62" s="163">
        <f>ROUND(SUM('ADJ-E - PF pg 2'!O6:O7)/1000,0)</f>
        <v>3026</v>
      </c>
      <c r="L62" s="163">
        <f t="shared" si="21"/>
        <v>-610.82195669183648</v>
      </c>
    </row>
    <row r="63" spans="1:12">
      <c r="A63" s="177">
        <v>34</v>
      </c>
      <c r="B63" s="162"/>
      <c r="C63" s="162" t="s">
        <v>89</v>
      </c>
      <c r="D63" s="162"/>
      <c r="E63" s="162"/>
      <c r="F63" s="156">
        <v>1502.5084696382678</v>
      </c>
      <c r="G63" s="157"/>
      <c r="H63" s="163">
        <f t="shared" si="20"/>
        <v>1502.5084696382678</v>
      </c>
      <c r="J63" s="163">
        <f>ROUND('ADJ-E - PF pg 2'!O5/1000,0)</f>
        <v>532</v>
      </c>
      <c r="L63" s="163">
        <f t="shared" si="21"/>
        <v>-970.5084696382678</v>
      </c>
    </row>
    <row r="64" spans="1:12">
      <c r="A64" s="177">
        <v>35</v>
      </c>
      <c r="B64" s="162"/>
      <c r="C64" s="162" t="s">
        <v>68</v>
      </c>
      <c r="D64" s="162"/>
      <c r="E64" s="162"/>
      <c r="F64" s="156">
        <v>187.14045078018191</v>
      </c>
      <c r="G64" s="157"/>
      <c r="H64" s="163">
        <f t="shared" si="20"/>
        <v>187.14045078018191</v>
      </c>
      <c r="J64" s="163">
        <f>ROUND('ADJ-E - PF pg 2'!O4/1000,0)</f>
        <v>136</v>
      </c>
      <c r="L64" s="163">
        <f t="shared" si="21"/>
        <v>-51.140450780181908</v>
      </c>
    </row>
    <row r="65" spans="1:13">
      <c r="A65" s="177">
        <v>36</v>
      </c>
      <c r="B65" s="162"/>
      <c r="C65" s="162" t="s">
        <v>90</v>
      </c>
      <c r="D65" s="162"/>
      <c r="E65" s="162"/>
      <c r="F65" s="173">
        <v>827.63720375973105</v>
      </c>
      <c r="G65" s="174"/>
      <c r="H65" s="165">
        <f t="shared" si="20"/>
        <v>827.63720375973105</v>
      </c>
      <c r="J65" s="165">
        <f>ROUND(SUM('ADJ-E - PF pg 2'!O8:O9)/1000,0)</f>
        <v>1998</v>
      </c>
      <c r="L65" s="163">
        <f t="shared" si="21"/>
        <v>1170.3627962402688</v>
      </c>
    </row>
    <row r="66" spans="1:13">
      <c r="A66" s="177">
        <v>37</v>
      </c>
      <c r="B66" s="162" t="s">
        <v>91</v>
      </c>
      <c r="C66" s="162"/>
      <c r="D66" s="162"/>
      <c r="E66" s="162"/>
      <c r="F66" s="156">
        <f>SUM(F61:F65)</f>
        <v>9809.6238842170824</v>
      </c>
      <c r="G66" s="157">
        <f>SUM(G61:G65)</f>
        <v>4099</v>
      </c>
      <c r="H66" s="156">
        <f>SUM(H61:H65)</f>
        <v>13908.623884217082</v>
      </c>
      <c r="J66" s="196">
        <f>SUM(J61:J65)</f>
        <v>12365</v>
      </c>
      <c r="L66" s="169">
        <f>SUM(L61:L65)</f>
        <v>-1543.6238842170842</v>
      </c>
      <c r="M66" s="130" t="s">
        <v>201</v>
      </c>
    </row>
    <row r="67" spans="1:13">
      <c r="A67" s="177"/>
      <c r="B67" s="162" t="s">
        <v>92</v>
      </c>
      <c r="C67" s="162"/>
      <c r="D67" s="162"/>
      <c r="E67" s="162"/>
      <c r="F67" s="156"/>
      <c r="G67" s="157"/>
      <c r="H67" s="156"/>
      <c r="J67" s="156"/>
      <c r="L67" s="156"/>
    </row>
    <row r="68" spans="1:13">
      <c r="A68" s="177">
        <v>38</v>
      </c>
      <c r="B68" s="162"/>
      <c r="C68" s="159" t="s">
        <v>87</v>
      </c>
      <c r="D68" s="162"/>
      <c r="E68" s="162"/>
      <c r="F68" s="156">
        <v>-752.22625098575622</v>
      </c>
      <c r="G68" s="157">
        <f>-215</f>
        <v>-215</v>
      </c>
      <c r="H68" s="163">
        <f t="shared" ref="H68:H72" si="22">F68+G68</f>
        <v>-967.22625098575622</v>
      </c>
      <c r="J68" s="163">
        <f>ROUND('ADJ-E - PF pg 2'!O19/1000,0)</f>
        <v>-697</v>
      </c>
      <c r="L68" s="163">
        <f t="shared" ref="L68:L72" si="23">J68-H68</f>
        <v>270.22625098575622</v>
      </c>
    </row>
    <row r="69" spans="1:13">
      <c r="A69" s="177">
        <v>39</v>
      </c>
      <c r="B69" s="162"/>
      <c r="C69" s="162" t="s">
        <v>88</v>
      </c>
      <c r="D69" s="162"/>
      <c r="E69" s="162"/>
      <c r="F69" s="156">
        <v>-92.349768487379862</v>
      </c>
      <c r="G69" s="157">
        <v>0</v>
      </c>
      <c r="H69" s="163">
        <f t="shared" si="22"/>
        <v>-92.349768487379862</v>
      </c>
      <c r="J69" s="163">
        <f>ROUND(SUM('ADJ-E - PF pg 2'!O15:O16)/1000,0)</f>
        <v>-87</v>
      </c>
      <c r="L69" s="163">
        <f t="shared" si="23"/>
        <v>5.3497684873798619</v>
      </c>
    </row>
    <row r="70" spans="1:13">
      <c r="A70" s="177">
        <v>40</v>
      </c>
      <c r="B70" s="162"/>
      <c r="C70" s="162" t="s">
        <v>89</v>
      </c>
      <c r="D70" s="162"/>
      <c r="E70" s="162"/>
      <c r="F70" s="156">
        <v>-30.369722733126842</v>
      </c>
      <c r="G70" s="157">
        <v>0</v>
      </c>
      <c r="H70" s="163">
        <f t="shared" si="22"/>
        <v>-30.369722733126842</v>
      </c>
      <c r="J70" s="163">
        <f>ROUND('ADJ-E - PF pg 2'!O14/1000,0)</f>
        <v>-13</v>
      </c>
      <c r="L70" s="163">
        <f t="shared" si="23"/>
        <v>17.369722733126842</v>
      </c>
    </row>
    <row r="71" spans="1:13">
      <c r="A71" s="177">
        <v>41</v>
      </c>
      <c r="B71" s="162"/>
      <c r="C71" s="162" t="s">
        <v>68</v>
      </c>
      <c r="D71" s="162"/>
      <c r="E71" s="162"/>
      <c r="F71" s="156">
        <v>-3.6297449932572796</v>
      </c>
      <c r="G71" s="157">
        <v>0</v>
      </c>
      <c r="H71" s="163">
        <f t="shared" si="22"/>
        <v>-3.6297449932572796</v>
      </c>
      <c r="J71" s="163">
        <f>ROUND('ADJ-E - PF pg 2'!O13/1000,0)</f>
        <v>-3</v>
      </c>
      <c r="L71" s="163">
        <f t="shared" si="23"/>
        <v>0.62974499325727962</v>
      </c>
    </row>
    <row r="72" spans="1:13">
      <c r="A72" s="177">
        <v>42</v>
      </c>
      <c r="B72" s="162"/>
      <c r="C72" s="162" t="s">
        <v>90</v>
      </c>
      <c r="D72" s="162"/>
      <c r="E72" s="162"/>
      <c r="F72" s="173">
        <v>-56.651716666090522</v>
      </c>
      <c r="G72" s="174">
        <v>0</v>
      </c>
      <c r="H72" s="165">
        <f t="shared" si="22"/>
        <v>-56.651716666090522</v>
      </c>
      <c r="J72" s="165">
        <f>ROUND(SUM('ADJ-E - PF pg 2'!O17:O18)/1000,0)</f>
        <v>-127</v>
      </c>
      <c r="L72" s="163">
        <f t="shared" si="23"/>
        <v>-70.348283333909478</v>
      </c>
    </row>
    <row r="73" spans="1:13">
      <c r="A73" s="177">
        <v>43</v>
      </c>
      <c r="B73" s="162" t="s">
        <v>93</v>
      </c>
      <c r="C73" s="162"/>
      <c r="D73" s="162"/>
      <c r="E73" s="162"/>
      <c r="F73" s="169">
        <f>SUM(F68:F72)</f>
        <v>-935.22720386561082</v>
      </c>
      <c r="G73" s="180">
        <f>SUM(G68:G72)</f>
        <v>-215</v>
      </c>
      <c r="H73" s="156">
        <f>SUM(H68:H72)</f>
        <v>-1150.2272038656106</v>
      </c>
      <c r="J73" s="196">
        <f>SUM(J68:J72)</f>
        <v>-927</v>
      </c>
      <c r="L73" s="169">
        <f>SUM(L68:L72)</f>
        <v>223.2272038656107</v>
      </c>
      <c r="M73" s="130" t="s">
        <v>201</v>
      </c>
    </row>
    <row r="74" spans="1:13" ht="15.75">
      <c r="A74" s="177">
        <v>44</v>
      </c>
      <c r="B74" s="162" t="s">
        <v>198</v>
      </c>
      <c r="C74" s="162"/>
      <c r="D74" s="162"/>
      <c r="E74" s="162"/>
      <c r="F74" s="169">
        <f>F66+F73</f>
        <v>8874.3966803514722</v>
      </c>
      <c r="G74" s="180">
        <f>G66+G73</f>
        <v>3884</v>
      </c>
      <c r="H74" s="169">
        <f>H66+H73</f>
        <v>12758.396680351472</v>
      </c>
      <c r="J74" s="169">
        <f>J66+J73</f>
        <v>11438</v>
      </c>
      <c r="L74" s="169">
        <f>L66+L73</f>
        <v>-1320.3966803514736</v>
      </c>
    </row>
    <row r="75" spans="1:13">
      <c r="A75" s="177"/>
      <c r="B75" s="162"/>
      <c r="C75" s="162"/>
      <c r="D75" s="162"/>
      <c r="E75" s="162"/>
      <c r="F75" s="156"/>
      <c r="G75" s="157"/>
      <c r="H75" s="156"/>
      <c r="J75" s="156"/>
      <c r="L75" s="156"/>
    </row>
    <row r="76" spans="1:13">
      <c r="A76" s="175">
        <v>45</v>
      </c>
      <c r="B76" s="162" t="s">
        <v>94</v>
      </c>
      <c r="C76" s="162"/>
      <c r="D76" s="162"/>
      <c r="E76" s="162"/>
      <c r="F76" s="173">
        <v>-148.21153640771027</v>
      </c>
      <c r="G76" s="174">
        <f>-33</f>
        <v>-33</v>
      </c>
      <c r="H76" s="165">
        <f t="shared" ref="H76" si="24">F76+G76</f>
        <v>-181.21153640771027</v>
      </c>
      <c r="J76" s="197">
        <f>ROUND('ADJ-E - PF pg 2'!O22/1000,0)</f>
        <v>-211</v>
      </c>
      <c r="L76" s="163">
        <f>J76-H76</f>
        <v>-29.78846359228973</v>
      </c>
      <c r="M76" s="130" t="s">
        <v>201</v>
      </c>
    </row>
    <row r="77" spans="1:13">
      <c r="A77" s="175">
        <v>46</v>
      </c>
      <c r="B77" s="162"/>
      <c r="C77" s="162" t="s">
        <v>95</v>
      </c>
      <c r="D77" s="162"/>
      <c r="E77" s="162"/>
      <c r="F77" s="156">
        <f t="shared" ref="F77" si="25">SUM(F74:F76)</f>
        <v>8726.1851439437614</v>
      </c>
      <c r="G77" s="157">
        <f>SUM(G74:G76)</f>
        <v>3851</v>
      </c>
      <c r="H77" s="156">
        <f>SUM(H74:H76)</f>
        <v>12577.185143943761</v>
      </c>
      <c r="J77" s="196">
        <f>SUM(J74:J76)</f>
        <v>11227</v>
      </c>
      <c r="L77" s="169">
        <f>SUM(L74:L76)</f>
        <v>-1350.1851439437633</v>
      </c>
      <c r="M77" s="130" t="s">
        <v>201</v>
      </c>
    </row>
    <row r="78" spans="1:13">
      <c r="A78" s="177">
        <v>47</v>
      </c>
      <c r="B78" s="162" t="s">
        <v>96</v>
      </c>
      <c r="C78" s="162"/>
      <c r="D78" s="162"/>
      <c r="E78" s="162"/>
      <c r="F78" s="163">
        <v>0</v>
      </c>
      <c r="G78" s="164">
        <v>0</v>
      </c>
      <c r="H78" s="163">
        <f t="shared" ref="H78:J79" si="26">F78+G78</f>
        <v>0</v>
      </c>
      <c r="J78" s="163">
        <f t="shared" si="26"/>
        <v>0</v>
      </c>
      <c r="L78" s="163">
        <f t="shared" ref="L78:L79" si="27">J78-H78</f>
        <v>0</v>
      </c>
    </row>
    <row r="79" spans="1:13">
      <c r="A79" s="177">
        <v>48</v>
      </c>
      <c r="B79" s="162" t="s">
        <v>97</v>
      </c>
      <c r="C79" s="162"/>
      <c r="D79" s="162"/>
      <c r="E79" s="162"/>
      <c r="F79" s="165">
        <v>0</v>
      </c>
      <c r="G79" s="166">
        <v>0</v>
      </c>
      <c r="H79" s="165">
        <f t="shared" si="26"/>
        <v>0</v>
      </c>
      <c r="J79" s="165">
        <f t="shared" si="26"/>
        <v>0</v>
      </c>
      <c r="L79" s="163">
        <f t="shared" si="27"/>
        <v>0</v>
      </c>
    </row>
    <row r="80" spans="1:13">
      <c r="A80" s="175"/>
      <c r="B80" s="162"/>
      <c r="C80" s="162"/>
      <c r="D80" s="162"/>
      <c r="E80" s="162"/>
      <c r="F80" s="156"/>
      <c r="G80" s="157"/>
      <c r="H80" s="156"/>
      <c r="J80" s="156"/>
      <c r="L80" s="169"/>
    </row>
    <row r="81" spans="1:19" ht="13.5" thickBot="1">
      <c r="A81" s="158">
        <v>49</v>
      </c>
      <c r="B81" s="159" t="s">
        <v>98</v>
      </c>
      <c r="C81" s="159"/>
      <c r="D81" s="159"/>
      <c r="E81" s="159"/>
      <c r="F81" s="178">
        <f t="shared" ref="F81:H81" si="28">SUM(F77:F79)</f>
        <v>8726.1851439437614</v>
      </c>
      <c r="G81" s="179">
        <f t="shared" si="28"/>
        <v>3851</v>
      </c>
      <c r="H81" s="178">
        <f t="shared" si="28"/>
        <v>12577.185143943761</v>
      </c>
      <c r="J81" s="178">
        <f t="shared" ref="J81:L81" si="29">SUM(J77:J79)</f>
        <v>11227</v>
      </c>
      <c r="L81" s="178">
        <f t="shared" si="29"/>
        <v>-1350.1851439437633</v>
      </c>
      <c r="M81" s="194" t="s">
        <v>195</v>
      </c>
      <c r="N81" s="194"/>
      <c r="O81" s="194"/>
      <c r="P81" s="194"/>
      <c r="Q81" s="194"/>
      <c r="R81" s="194"/>
      <c r="S81" s="194"/>
    </row>
    <row r="82" spans="1:19" ht="13.5" thickTop="1">
      <c r="A82" s="158">
        <v>50</v>
      </c>
      <c r="B82" s="128" t="s">
        <v>99</v>
      </c>
      <c r="C82" s="128"/>
      <c r="D82" s="128"/>
      <c r="E82" s="128"/>
      <c r="F82" s="181"/>
      <c r="G82" s="182"/>
      <c r="H82" s="181"/>
      <c r="J82" s="181"/>
      <c r="L82" s="181"/>
      <c r="M82" s="194"/>
      <c r="N82" s="194"/>
      <c r="O82" s="194"/>
      <c r="P82" s="194"/>
      <c r="Q82" s="194"/>
      <c r="R82" s="194"/>
      <c r="S82" s="194"/>
    </row>
    <row r="83" spans="1:19">
      <c r="A83" s="127">
        <v>51</v>
      </c>
      <c r="B83" s="128" t="s">
        <v>100</v>
      </c>
      <c r="C83" s="128"/>
      <c r="D83" s="128"/>
      <c r="E83" s="128"/>
      <c r="F83" s="183">
        <f>F89</f>
        <v>3458.8444283477438</v>
      </c>
      <c r="G83" s="184">
        <f>G89</f>
        <v>1193.3008831045029</v>
      </c>
      <c r="H83" s="183">
        <f>H89</f>
        <v>4652.5525400432361</v>
      </c>
      <c r="J83" s="183">
        <f>J89</f>
        <v>4368.383068755048</v>
      </c>
      <c r="L83" s="183">
        <f>L89</f>
        <v>-284.16947128818788</v>
      </c>
    </row>
    <row r="84" spans="1:19">
      <c r="A84" s="127"/>
      <c r="B84" s="185"/>
      <c r="C84" s="128"/>
      <c r="D84" s="128"/>
      <c r="E84" s="128"/>
      <c r="F84" s="186"/>
      <c r="G84" s="186"/>
      <c r="H84" s="186"/>
      <c r="J84" s="186"/>
      <c r="L84" s="186"/>
    </row>
    <row r="85" spans="1:19">
      <c r="A85" s="127"/>
      <c r="B85" s="128"/>
      <c r="C85" s="128"/>
      <c r="D85" s="128"/>
      <c r="E85" s="128"/>
      <c r="F85" s="187"/>
      <c r="G85" s="187"/>
      <c r="H85" s="187"/>
      <c r="J85" s="187"/>
      <c r="L85" s="187"/>
    </row>
    <row r="86" spans="1:19">
      <c r="A86" s="127"/>
      <c r="B86" s="128"/>
      <c r="C86" s="128"/>
      <c r="D86" s="128"/>
      <c r="E86" s="188">
        <v>7.1199999999999999E-2</v>
      </c>
      <c r="F86" s="189"/>
      <c r="G86" s="189"/>
      <c r="H86" s="189"/>
      <c r="J86" s="189"/>
      <c r="L86" s="189"/>
    </row>
    <row r="87" spans="1:19">
      <c r="A87" s="127"/>
      <c r="B87" s="128"/>
      <c r="C87" s="128"/>
      <c r="D87" s="128" t="s">
        <v>102</v>
      </c>
      <c r="E87" s="190">
        <v>0.75529000000000002</v>
      </c>
    </row>
    <row r="88" spans="1:19">
      <c r="A88" s="127"/>
      <c r="B88" s="128"/>
      <c r="C88" s="128"/>
      <c r="D88" s="128" t="s">
        <v>103</v>
      </c>
      <c r="E88" s="128"/>
      <c r="F88" s="191">
        <f>F81*E86-F57</f>
        <v>2612.4306082867674</v>
      </c>
      <c r="G88" s="191">
        <f>G81*E86-G57</f>
        <v>901.28822400000001</v>
      </c>
      <c r="H88" s="191">
        <f>H81*E86-H57</f>
        <v>3514.0264079692556</v>
      </c>
      <c r="J88" s="191">
        <f>J81*E86-J57</f>
        <v>3299.3960480000001</v>
      </c>
      <c r="L88" s="191">
        <f>L81*E86-L57</f>
        <v>-214.63035996925544</v>
      </c>
    </row>
    <row r="89" spans="1:19" ht="42" customHeight="1">
      <c r="A89" s="127"/>
      <c r="B89" s="128"/>
      <c r="C89" s="128"/>
      <c r="D89" s="128" t="s">
        <v>104</v>
      </c>
      <c r="E89" s="128"/>
      <c r="F89" s="192">
        <f>F88/E87</f>
        <v>3458.8444283477438</v>
      </c>
      <c r="G89" s="192">
        <f>G88/E87</f>
        <v>1193.3008831045029</v>
      </c>
      <c r="H89" s="192">
        <f>H88/E87</f>
        <v>4652.5525400432361</v>
      </c>
      <c r="J89" s="192">
        <f>J88/E87</f>
        <v>4368.383068755048</v>
      </c>
      <c r="L89" s="193">
        <f>L88/E87</f>
        <v>-284.16947128818788</v>
      </c>
      <c r="M89" s="205" t="s">
        <v>196</v>
      </c>
      <c r="N89" s="205"/>
      <c r="O89" s="205"/>
      <c r="P89" s="205"/>
      <c r="Q89" s="205"/>
    </row>
    <row r="90" spans="1:19">
      <c r="L90" s="6" t="s">
        <v>180</v>
      </c>
      <c r="O90" s="1"/>
      <c r="P90" s="1"/>
      <c r="Q90" s="1"/>
      <c r="R90" s="1"/>
      <c r="S90" s="1"/>
    </row>
    <row r="91" spans="1:19" ht="12.75" customHeight="1">
      <c r="O91" s="199"/>
      <c r="P91" s="199"/>
      <c r="Q91" s="199"/>
      <c r="R91" s="199"/>
      <c r="S91" s="199"/>
    </row>
    <row r="92" spans="1:19" ht="15.75">
      <c r="D92" s="128" t="s">
        <v>199</v>
      </c>
      <c r="L92" s="201">
        <f>L89/365*446</f>
        <v>-347.23173751926521</v>
      </c>
      <c r="M92" s="202" t="s">
        <v>181</v>
      </c>
      <c r="N92" s="203"/>
      <c r="O92" s="203"/>
      <c r="P92" s="203"/>
      <c r="Q92" s="203"/>
      <c r="R92" s="203"/>
      <c r="S92" s="203"/>
    </row>
    <row r="93" spans="1:19" ht="41.25" customHeight="1">
      <c r="M93" s="204" t="s">
        <v>182</v>
      </c>
      <c r="N93" s="204"/>
      <c r="O93" s="204"/>
      <c r="P93" s="204"/>
      <c r="Q93" s="204"/>
      <c r="R93" s="204"/>
      <c r="S93" s="204"/>
    </row>
  </sheetData>
  <mergeCells count="4">
    <mergeCell ref="D1:F1"/>
    <mergeCell ref="M89:Q89"/>
    <mergeCell ref="M93:S93"/>
    <mergeCell ref="M81:S82"/>
  </mergeCells>
  <pageMargins left="0.7" right="0.7" top="0.75" bottom="0.75" header="0.3" footer="0.3"/>
  <pageSetup scale="53" orientation="portrait" horizontalDpi="1200" verticalDpi="1200" r:id="rId1"/>
  <headerFooter scaleWithDoc="0">
    <oddHeader>&amp;CAttachment A</oddHeader>
    <oddFooter>&amp;LAvista
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XFD171"/>
  <sheetViews>
    <sheetView tabSelected="1" zoomScaleNormal="100" workbookViewId="0">
      <selection activeCell="Q53" sqref="Q53"/>
    </sheetView>
  </sheetViews>
  <sheetFormatPr defaultRowHeight="12.75"/>
  <cols>
    <col min="1" max="1" width="17" bestFit="1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  <col min="16" max="16" width="22" customWidth="1"/>
    <col min="17" max="17" width="22.85546875" customWidth="1"/>
  </cols>
  <sheetData>
    <row r="2" spans="1:16384">
      <c r="A2" s="118" t="s">
        <v>176</v>
      </c>
    </row>
    <row r="3" spans="1:16384">
      <c r="B3" s="106">
        <f>'Summary-Cost-E - PF.PV pg 4'!Z3</f>
        <v>202109</v>
      </c>
      <c r="C3" s="106">
        <f>'Summary-Cost-E - PF.PV pg 4'!AA3</f>
        <v>202110</v>
      </c>
      <c r="D3" s="106">
        <f>'Summary-Cost-E - PF.PV pg 4'!AB3</f>
        <v>202111</v>
      </c>
      <c r="E3" s="106">
        <f>'Summary-Cost-E - PF.PV pg 4'!AC3</f>
        <v>202112</v>
      </c>
      <c r="F3" s="6">
        <f>'Summary-Cost-E - PF.PV pg 4'!AD3</f>
        <v>202201</v>
      </c>
      <c r="G3" s="6">
        <f>'Summary-Cost-E - PF.PV pg 4'!AE3</f>
        <v>202202</v>
      </c>
      <c r="H3" s="6">
        <f>'Summary-Cost-E - PF.PV pg 4'!AF3</f>
        <v>202203</v>
      </c>
      <c r="I3" s="6">
        <f>'Summary-Cost-E - PF.PV pg 4'!AG3</f>
        <v>202204</v>
      </c>
      <c r="J3" s="6">
        <f>'Summary-Cost-E - PF.PV pg 4'!AH3</f>
        <v>202205</v>
      </c>
      <c r="K3" s="6">
        <f>'Summary-Cost-E - PF.PV pg 4'!AI3</f>
        <v>202206</v>
      </c>
      <c r="L3" s="6">
        <f>'Summary-Cost-E - PF.PV pg 4'!AJ3</f>
        <v>202207</v>
      </c>
      <c r="M3" s="6">
        <f>'Summary-Cost-E - PF.PV pg 4'!AK3</f>
        <v>202208</v>
      </c>
      <c r="N3" s="6">
        <f>'Summary-Cost-E - PF.PV pg 4'!AL3</f>
        <v>202209</v>
      </c>
      <c r="O3" s="6" t="s">
        <v>9</v>
      </c>
    </row>
    <row r="4" spans="1:16384" s="2" customFormat="1">
      <c r="A4" t="s">
        <v>17</v>
      </c>
      <c r="B4" s="8">
        <f>'Summary-Cost-E - PF.PV pg 4'!Z4</f>
        <v>131316.25999999998</v>
      </c>
      <c r="C4" s="8">
        <f>'Summary-Cost-E - PF.PV pg 4'!AA4</f>
        <v>131720.46</v>
      </c>
      <c r="D4" s="8">
        <f>'Summary-Cost-E - PF.PV pg 4'!AB4</f>
        <v>134677.41999999998</v>
      </c>
      <c r="E4" s="8">
        <f>'Summary-Cost-E - PF.PV pg 4'!AC4</f>
        <v>134677.41999999998</v>
      </c>
      <c r="F4" s="8">
        <f>'Summary-Cost-E - PF.PV pg 4'!AD4</f>
        <v>134677.41999999998</v>
      </c>
      <c r="G4" s="8">
        <f>'Summary-Cost-E - PF.PV pg 4'!AE4</f>
        <v>136908.29999999999</v>
      </c>
      <c r="H4" s="8">
        <f>'Summary-Cost-E - PF.PV pg 4'!AF4</f>
        <v>137488.54999999999</v>
      </c>
      <c r="I4" s="8">
        <f>'Summary-Cost-E - PF.PV pg 4'!AG4</f>
        <v>137488.54999999999</v>
      </c>
      <c r="J4" s="8">
        <f>'Summary-Cost-E - PF.PV pg 4'!AH4</f>
        <v>137488.54999999999</v>
      </c>
      <c r="K4" s="8">
        <f>'Summary-Cost-E - PF.PV pg 4'!AI4</f>
        <v>137488.54999999999</v>
      </c>
      <c r="L4" s="8">
        <f>'Summary-Cost-E - PF.PV pg 4'!AJ4</f>
        <v>137488.54999999999</v>
      </c>
      <c r="M4" s="8">
        <f>'Summary-Cost-E - PF.PV pg 4'!AK4</f>
        <v>137488.54999999999</v>
      </c>
      <c r="N4" s="8">
        <f>'Summary-Cost-E - PF.PV pg 4'!AL4</f>
        <v>137488.54999999999</v>
      </c>
      <c r="O4" s="26">
        <f>(((B4+N4)/2)+C4+D4+E4+F4+G4+H4+I4+J4+K4+L4+M4)/12</f>
        <v>135999.5604166667</v>
      </c>
    </row>
    <row r="5" spans="1:16384" s="2" customFormat="1">
      <c r="A5" t="s">
        <v>13</v>
      </c>
      <c r="B5" s="8">
        <f>'Summary-Cost-E - PF.PV pg 4'!Z5</f>
        <v>560325.60046800005</v>
      </c>
      <c r="C5" s="8">
        <f>'Summary-Cost-E - PF.PV pg 4'!AA5</f>
        <v>562414.00927200005</v>
      </c>
      <c r="D5" s="8">
        <f>'Summary-Cost-E - PF.PV pg 4'!AB5</f>
        <v>562414.00927200005</v>
      </c>
      <c r="E5" s="8">
        <f>'Summary-Cost-E - PF.PV pg 4'!AC5</f>
        <v>519806.45512800006</v>
      </c>
      <c r="F5" s="8">
        <f>'Summary-Cost-E - PF.PV pg 4'!AD5</f>
        <v>519806.45512800006</v>
      </c>
      <c r="G5" s="8">
        <f>'Summary-Cost-E - PF.PV pg 4'!AE5</f>
        <v>524615.39906400011</v>
      </c>
      <c r="H5" s="8">
        <f>'Summary-Cost-E - PF.PV pg 4'!AF5</f>
        <v>525925.87540800008</v>
      </c>
      <c r="I5" s="8">
        <f>'Summary-Cost-E - PF.PV pg 4'!AG5</f>
        <v>526011.2205360001</v>
      </c>
      <c r="J5" s="8">
        <f>'Summary-Cost-E - PF.PV pg 4'!AH5</f>
        <v>526011.2205360001</v>
      </c>
      <c r="K5" s="8">
        <f>'Summary-Cost-E - PF.PV pg 4'!AI5</f>
        <v>526011.2205360001</v>
      </c>
      <c r="L5" s="8">
        <f>'Summary-Cost-E - PF.PV pg 4'!AJ5</f>
        <v>526011.2205360001</v>
      </c>
      <c r="M5" s="8">
        <f>'Summary-Cost-E - PF.PV pg 4'!AK5</f>
        <v>526011.2205360001</v>
      </c>
      <c r="N5" s="8">
        <f>'Summary-Cost-E - PF.PV pg 4'!AL5</f>
        <v>526011.2205360001</v>
      </c>
      <c r="O5" s="26">
        <f t="shared" ref="O5:O10" si="0">(((B5+N5)/2)+C5+D5+E5+F5+G5+H5+I5+J5+K5+L5+M5)/12</f>
        <v>532350.55970450013</v>
      </c>
    </row>
    <row r="6" spans="1:16384" s="2" customFormat="1">
      <c r="A6" t="s">
        <v>139</v>
      </c>
      <c r="B6" s="8">
        <f>'Summary-Cost-E - PF.PV pg 4'!Z6</f>
        <v>2225536.297452</v>
      </c>
      <c r="C6" s="8">
        <f>'Summary-Cost-E - PF.PV pg 4'!AA6</f>
        <v>2222010.773052</v>
      </c>
      <c r="D6" s="8">
        <f>'Summary-Cost-E - PF.PV pg 4'!AB6</f>
        <v>2222010.773052</v>
      </c>
      <c r="E6" s="8">
        <f>'Summary-Cost-E - PF.PV pg 4'!AC6</f>
        <v>2222010.773052</v>
      </c>
      <c r="F6" s="8">
        <f>'Summary-Cost-E - PF.PV pg 4'!AD6</f>
        <v>2222010.773052</v>
      </c>
      <c r="G6" s="8">
        <f>'Summary-Cost-E - PF.PV pg 4'!AE6</f>
        <v>2222010.773052</v>
      </c>
      <c r="H6" s="8">
        <f>'Summary-Cost-E - PF.PV pg 4'!AF6</f>
        <v>2222010.773052</v>
      </c>
      <c r="I6" s="8">
        <f>'Summary-Cost-E - PF.PV pg 4'!AG6</f>
        <v>2222010.773052</v>
      </c>
      <c r="J6" s="8">
        <f>'Summary-Cost-E - PF.PV pg 4'!AH6</f>
        <v>2222010.773052</v>
      </c>
      <c r="K6" s="8">
        <f>'Summary-Cost-E - PF.PV pg 4'!AI6</f>
        <v>2222010.773052</v>
      </c>
      <c r="L6" s="8">
        <f>'Summary-Cost-E - PF.PV pg 4'!AJ6</f>
        <v>2222010.773052</v>
      </c>
      <c r="M6" s="8">
        <f>'Summary-Cost-E - PF.PV pg 4'!AK6</f>
        <v>2222010.773052</v>
      </c>
      <c r="N6" s="8">
        <f>'Summary-Cost-E - PF.PV pg 4'!AL6</f>
        <v>2222010.773052</v>
      </c>
      <c r="O6" s="26">
        <f t="shared" si="0"/>
        <v>2222157.6699019996</v>
      </c>
    </row>
    <row r="7" spans="1:16384" s="2" customFormat="1">
      <c r="A7" t="s">
        <v>144</v>
      </c>
      <c r="B7" s="8">
        <f>'Summary-Cost-E - PF.PV pg 4'!Z7</f>
        <v>778055.45577799994</v>
      </c>
      <c r="C7" s="8">
        <f>'Summary-Cost-E - PF.PV pg 4'!AA7</f>
        <v>804532.39345399989</v>
      </c>
      <c r="D7" s="8">
        <f>'Summary-Cost-E - PF.PV pg 4'!AB7</f>
        <v>804532.39345399989</v>
      </c>
      <c r="E7" s="8">
        <f>'Summary-Cost-E - PF.PV pg 4'!AC7</f>
        <v>804532.39345399989</v>
      </c>
      <c r="F7" s="8">
        <f>'Summary-Cost-E - PF.PV pg 4'!AD7</f>
        <v>804532.39345399989</v>
      </c>
      <c r="G7" s="8">
        <f>'Summary-Cost-E - PF.PV pg 4'!AE7</f>
        <v>804532.39345399989</v>
      </c>
      <c r="H7" s="8">
        <f>'Summary-Cost-E - PF.PV pg 4'!AF7</f>
        <v>804532.39345399989</v>
      </c>
      <c r="I7" s="8">
        <f>'Summary-Cost-E - PF.PV pg 4'!AG7</f>
        <v>804532.39345399989</v>
      </c>
      <c r="J7" s="8">
        <f>'Summary-Cost-E - PF.PV pg 4'!AH7</f>
        <v>804532.39345399989</v>
      </c>
      <c r="K7" s="8">
        <f>'Summary-Cost-E - PF.PV pg 4'!AI7</f>
        <v>804532.39345399989</v>
      </c>
      <c r="L7" s="8">
        <f>'Summary-Cost-E - PF.PV pg 4'!AJ7</f>
        <v>804532.39345399989</v>
      </c>
      <c r="M7" s="8">
        <f>'Summary-Cost-E - PF.PV pg 4'!AK7</f>
        <v>804532.39345399989</v>
      </c>
      <c r="N7" s="8">
        <f>'Summary-Cost-E - PF.PV pg 4'!AL7</f>
        <v>804532.39345399989</v>
      </c>
      <c r="O7" s="26">
        <f t="shared" si="0"/>
        <v>803429.18771750014</v>
      </c>
    </row>
    <row r="8" spans="1:16384" s="2" customFormat="1">
      <c r="A8" t="s">
        <v>137</v>
      </c>
      <c r="B8" s="8">
        <f>'Summary-Cost-E - PF.PV pg 4'!Z8</f>
        <v>1629668.0550500907</v>
      </c>
      <c r="C8" s="8">
        <f>'Summary-Cost-E - PF.PV pg 4'!AA8</f>
        <v>1633493.8193124474</v>
      </c>
      <c r="D8" s="8">
        <f>'Summary-Cost-E - PF.PV pg 4'!AB8</f>
        <v>1636033.7884781105</v>
      </c>
      <c r="E8" s="8">
        <f>'Summary-Cost-E - PF.PV pg 4'!AC8</f>
        <v>1683146.6790645442</v>
      </c>
      <c r="F8" s="8">
        <f>'Summary-Cost-E - PF.PV pg 4'!AD8</f>
        <v>1684376.6153673478</v>
      </c>
      <c r="G8" s="8">
        <f>'Summary-Cost-E - PF.PV pg 4'!AE8</f>
        <v>1685732.1023034016</v>
      </c>
      <c r="H8" s="8">
        <f>'Summary-Cost-E - PF.PV pg 4'!AF8</f>
        <v>1690903.530308391</v>
      </c>
      <c r="I8" s="8">
        <f>'Summary-Cost-E - PF.PV pg 4'!AG8</f>
        <v>1695445.5407523178</v>
      </c>
      <c r="J8" s="8">
        <f>'Summary-Cost-E - PF.PV pg 4'!AH8</f>
        <v>1697095.7512861162</v>
      </c>
      <c r="K8" s="8">
        <f>'Summary-Cost-E - PF.PV pg 4'!AI8</f>
        <v>1698009.8416775528</v>
      </c>
      <c r="L8" s="8">
        <f>'Summary-Cost-E - PF.PV pg 4'!AJ8</f>
        <v>1698300.2794233582</v>
      </c>
      <c r="M8" s="8">
        <f>'Summary-Cost-E - PF.PV pg 4'!AK8</f>
        <v>1698590.7171691635</v>
      </c>
      <c r="N8" s="8">
        <f>'Summary-Cost-E - PF.PV pg 4'!AL8</f>
        <v>1698590.7171691635</v>
      </c>
      <c r="O8" s="26">
        <f t="shared" si="0"/>
        <v>1680438.1709376981</v>
      </c>
    </row>
    <row r="9" spans="1:16384" s="2" customFormat="1">
      <c r="A9" t="s">
        <v>146</v>
      </c>
      <c r="B9" s="8">
        <f>'Summary-Cost-E - PF.PV pg 4'!Z9</f>
        <v>245185.93277860616</v>
      </c>
      <c r="C9" s="8">
        <f>'Summary-Cost-E - PF.PV pg 4'!AA9</f>
        <v>245185.93277860616</v>
      </c>
      <c r="D9" s="8">
        <f>'Summary-Cost-E - PF.PV pg 4'!AB9</f>
        <v>245185.93277860616</v>
      </c>
      <c r="E9" s="8">
        <f>'Summary-Cost-E - PF.PV pg 4'!AC9</f>
        <v>245185.93277860616</v>
      </c>
      <c r="F9" s="8">
        <f>'Summary-Cost-E - PF.PV pg 4'!AD9</f>
        <v>245185.93277860616</v>
      </c>
      <c r="G9" s="8">
        <f>'Summary-Cost-E - PF.PV pg 4'!AE9</f>
        <v>245185.93277860616</v>
      </c>
      <c r="H9" s="8">
        <f>'Summary-Cost-E - PF.PV pg 4'!AF9</f>
        <v>335694.53634960612</v>
      </c>
      <c r="I9" s="8">
        <f>'Summary-Cost-E - PF.PV pg 4'!AG9</f>
        <v>340184.24357360613</v>
      </c>
      <c r="J9" s="8">
        <f>'Summary-Cost-E - PF.PV pg 4'!AH9</f>
        <v>347068.55655960611</v>
      </c>
      <c r="K9" s="8">
        <f>'Summary-Cost-E - PF.PV pg 4'!AI9</f>
        <v>393663.87951160612</v>
      </c>
      <c r="L9" s="8">
        <f>'Summary-Cost-E - PF.PV pg 4'!AJ9</f>
        <v>408468.80546863558</v>
      </c>
      <c r="M9" s="8">
        <f>'Summary-Cost-E - PF.PV pg 4'!AK9</f>
        <v>423273.73142566503</v>
      </c>
      <c r="N9" s="8">
        <f>'Summary-Cost-E - PF.PV pg 4'!AL9</f>
        <v>423273.73142566503</v>
      </c>
      <c r="O9" s="26">
        <f t="shared" si="0"/>
        <v>317376.1040736576</v>
      </c>
    </row>
    <row r="10" spans="1:16384" s="2" customFormat="1">
      <c r="A10" t="s">
        <v>19</v>
      </c>
      <c r="B10" s="8">
        <f>'Summary-Cost-E - PF.PV pg 4'!Z10</f>
        <v>2764825.5963590425</v>
      </c>
      <c r="C10" s="8">
        <f>'Summary-Cost-E - PF.PV pg 4'!AA10</f>
        <v>2767834.6127270423</v>
      </c>
      <c r="D10" s="8">
        <f>'Summary-Cost-E - PF.PV pg 4'!AB10</f>
        <v>2778690.9764270424</v>
      </c>
      <c r="E10" s="8">
        <f>'Summary-Cost-E - PF.PV pg 4'!AC10</f>
        <v>2779549.1800430422</v>
      </c>
      <c r="F10" s="8">
        <f>'Summary-Cost-E - PF.PV pg 4'!AD10</f>
        <v>2779549.1800430422</v>
      </c>
      <c r="G10" s="8">
        <f>'Summary-Cost-E - PF.PV pg 4'!AE10</f>
        <v>2779549.1800430422</v>
      </c>
      <c r="H10" s="8">
        <f>'Summary-Cost-E - PF.PV pg 4'!AF10</f>
        <v>9378810.6035100408</v>
      </c>
      <c r="I10" s="8">
        <f>'Summary-Cost-E - PF.PV pg 4'!AG10</f>
        <v>9718049.364937041</v>
      </c>
      <c r="J10" s="8">
        <f>'Summary-Cost-E - PF.PV pg 4'!AH10</f>
        <v>10008062.719563041</v>
      </c>
      <c r="K10" s="8">
        <f>'Summary-Cost-E - PF.PV pg 4'!AI10</f>
        <v>10150342.19228504</v>
      </c>
      <c r="L10" s="8">
        <f>'Summary-Cost-E - PF.PV pg 4'!AJ10</f>
        <v>10195549.241520954</v>
      </c>
      <c r="M10" s="8">
        <f>'Summary-Cost-E - PF.PV pg 4'!AK10</f>
        <v>10240756.290756868</v>
      </c>
      <c r="N10" s="8">
        <f>'Summary-Cost-E - PF.PV pg 4'!AL10</f>
        <v>10240756.290756868</v>
      </c>
      <c r="O10" s="26">
        <f t="shared" si="0"/>
        <v>6673294.5404511793</v>
      </c>
    </row>
    <row r="11" spans="1:16384" ht="26.25" thickBot="1">
      <c r="A11" t="s">
        <v>7</v>
      </c>
      <c r="B11" s="5">
        <f>SUM(B4:B10)</f>
        <v>8334913.1978857396</v>
      </c>
      <c r="C11" s="5">
        <f t="shared" ref="C11:N11" si="1">SUM(C4:C10)</f>
        <v>8367192.0005960958</v>
      </c>
      <c r="D11" s="5">
        <f t="shared" si="1"/>
        <v>8383545.2934617586</v>
      </c>
      <c r="E11" s="5">
        <f t="shared" si="1"/>
        <v>8388908.8335201927</v>
      </c>
      <c r="F11" s="5">
        <f t="shared" si="1"/>
        <v>8390138.7698229961</v>
      </c>
      <c r="G11" s="5">
        <f t="shared" si="1"/>
        <v>8398534.0806950498</v>
      </c>
      <c r="H11" s="5">
        <f t="shared" si="1"/>
        <v>15095366.262082037</v>
      </c>
      <c r="I11" s="5">
        <f t="shared" si="1"/>
        <v>15443722.086304964</v>
      </c>
      <c r="J11" s="5">
        <f t="shared" si="1"/>
        <v>15742269.964450764</v>
      </c>
      <c r="K11" s="5">
        <f t="shared" si="1"/>
        <v>15932058.8505162</v>
      </c>
      <c r="L11" s="5">
        <f t="shared" si="1"/>
        <v>15992361.263454948</v>
      </c>
      <c r="M11" s="5">
        <f t="shared" si="1"/>
        <v>16052663.676393697</v>
      </c>
      <c r="N11" s="5">
        <f t="shared" si="1"/>
        <v>16052663.676393697</v>
      </c>
      <c r="O11" s="7">
        <f>SUM(O4:O10)</f>
        <v>12365045.793203201</v>
      </c>
      <c r="P11" s="200" t="s">
        <v>191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pans="1:16384">
      <c r="Q12" s="2"/>
    </row>
    <row r="13" spans="1:16384">
      <c r="A13" t="s">
        <v>17</v>
      </c>
      <c r="B13" s="2">
        <f>'Summary-Cost-E - PF.PV pg 4'!Z37</f>
        <v>-1051.5874074999999</v>
      </c>
      <c r="C13" s="2">
        <f>'Summary-Cost-E - PF.PV pg 4'!AA37</f>
        <v>-1320.1040591666665</v>
      </c>
      <c r="D13" s="2">
        <f>'Summary-Cost-E - PF.PV pg 4'!AB37</f>
        <v>-1592.0518949999998</v>
      </c>
      <c r="E13" s="2">
        <f>'Summary-Cost-E - PF.PV pg 4'!AC37</f>
        <v>-1867.0182941666665</v>
      </c>
      <c r="F13" s="2">
        <f>'Summary-Cost-E - PF.PV pg 4'!AD37</f>
        <v>-2141.9846933333329</v>
      </c>
      <c r="G13" s="2">
        <f>'Summary-Cost-E - PF.PV pg 4'!AE37</f>
        <v>-2419.228449166666</v>
      </c>
      <c r="H13" s="2">
        <f>'Summary-Cost-E - PF.PV pg 4'!AF37</f>
        <v>-2699.3419002083328</v>
      </c>
      <c r="I13" s="2">
        <f>'Summary-Cost-E - PF.PV pg 4'!AG37</f>
        <v>-2980.047689791666</v>
      </c>
      <c r="J13" s="2">
        <f>'Summary-Cost-E - PF.PV pg 4'!AH37</f>
        <v>-3260.7534793749992</v>
      </c>
      <c r="K13" s="2">
        <f>'Summary-Cost-E - PF.PV pg 4'!AI37</f>
        <v>-3541.4592689583324</v>
      </c>
      <c r="L13" s="2">
        <f>'Summary-Cost-E - PF.PV pg 4'!AJ37</f>
        <v>-3822.1650585416655</v>
      </c>
      <c r="M13" s="2">
        <f>'Summary-Cost-E - PF.PV pg 4'!AK37</f>
        <v>-4102.8708481249987</v>
      </c>
      <c r="N13" s="2">
        <f>'Summary-Cost-E - PF.PV pg 4'!AL37</f>
        <v>-4383.5766377083319</v>
      </c>
      <c r="O13" s="27">
        <f t="shared" ref="O13:O19" si="2">(((B13+N13)/2)+C13+D13+E13+F13+G13+H13+I13+J13+K13+L13+M13)/12</f>
        <v>-2705.3839715364579</v>
      </c>
    </row>
    <row r="14" spans="1:16384">
      <c r="A14" t="s">
        <v>13</v>
      </c>
      <c r="B14" s="2">
        <f>'Summary-Cost-E - PF.PV pg 4'!Z38</f>
        <v>-7267.2280190152997</v>
      </c>
      <c r="C14" s="2">
        <f>'Summary-Cost-E - PF.PV pg 4'!AA38</f>
        <v>-8230.9128507087989</v>
      </c>
      <c r="D14" s="2">
        <f>'Summary-Cost-E - PF.PV pg 4'!AB38</f>
        <v>-9196.390233292399</v>
      </c>
      <c r="E14" s="2">
        <f>'Summary-Cost-E - PF.PV pg 4'!AC38</f>
        <v>-10125.2961319024</v>
      </c>
      <c r="F14" s="2">
        <f>'Summary-Cost-E - PF.PV pg 4'!AD38</f>
        <v>-11017.6305465388</v>
      </c>
      <c r="G14" s="2">
        <f>'Summary-Cost-E - PF.PV pg 4'!AE38</f>
        <v>-11914.0926380536</v>
      </c>
      <c r="H14" s="2">
        <f>'Summary-Cost-E - PF.PV pg 4'!AF38</f>
        <v>-12815.807231975401</v>
      </c>
      <c r="I14" s="2">
        <f>'Summary-Cost-E - PF.PV pg 4'!AG38</f>
        <v>-13718.719905994001</v>
      </c>
      <c r="J14" s="2">
        <f>'Summary-Cost-E - PF.PV pg 4'!AH38</f>
        <v>-14621.705834580802</v>
      </c>
      <c r="K14" s="2">
        <f>'Summary-Cost-E - PF.PV pg 4'!AI38</f>
        <v>-15524.691763167602</v>
      </c>
      <c r="L14" s="2">
        <f>'Summary-Cost-E - PF.PV pg 4'!AJ38</f>
        <v>-16427.677691754401</v>
      </c>
      <c r="M14" s="2">
        <f>'Summary-Cost-E - PF.PV pg 4'!AK38</f>
        <v>-17330.663620341202</v>
      </c>
      <c r="N14" s="2">
        <f>'Summary-Cost-E - PF.PV pg 4'!AL38</f>
        <v>-18233.649548928002</v>
      </c>
      <c r="O14" s="27">
        <f t="shared" si="2"/>
        <v>-12806.168936023421</v>
      </c>
    </row>
    <row r="15" spans="1:16384">
      <c r="A15" t="s">
        <v>139</v>
      </c>
      <c r="B15" s="2">
        <f>'Summary-Cost-E - PF.PV pg 4'!Z39</f>
        <v>-31915.777204530998</v>
      </c>
      <c r="C15" s="2">
        <f>'Summary-Cost-E - PF.PV pg 4'!AA39</f>
        <v>-35992.695352493</v>
      </c>
      <c r="D15" s="2">
        <f>'Summary-Cost-E - PF.PV pg 4'!AB39</f>
        <v>-40066.381769754997</v>
      </c>
      <c r="E15" s="2">
        <f>'Summary-Cost-E - PF.PV pg 4'!AC39</f>
        <v>-44140.068187016994</v>
      </c>
      <c r="F15" s="2">
        <f>'Summary-Cost-E - PF.PV pg 4'!AD39</f>
        <v>-48213.754604278991</v>
      </c>
      <c r="G15" s="2">
        <f>'Summary-Cost-E - PF.PV pg 4'!AE39</f>
        <v>-52287.441021540988</v>
      </c>
      <c r="H15" s="2">
        <f>'Summary-Cost-E - PF.PV pg 4'!AF39</f>
        <v>-56361.127438802985</v>
      </c>
      <c r="I15" s="2">
        <f>'Summary-Cost-E - PF.PV pg 4'!AG39</f>
        <v>-60434.813856064982</v>
      </c>
      <c r="J15" s="2">
        <f>'Summary-Cost-E - PF.PV pg 4'!AH39</f>
        <v>-64508.500273326979</v>
      </c>
      <c r="K15" s="2">
        <f>'Summary-Cost-E - PF.PV pg 4'!AI39</f>
        <v>-68582.186690588976</v>
      </c>
      <c r="L15" s="2">
        <f>'Summary-Cost-E - PF.PV pg 4'!AJ39</f>
        <v>-72655.873107850974</v>
      </c>
      <c r="M15" s="2">
        <f>'Summary-Cost-E - PF.PV pg 4'!AK39</f>
        <v>-76729.559525112971</v>
      </c>
      <c r="N15" s="2">
        <f>'Summary-Cost-E - PF.PV pg 4'!AL39</f>
        <v>-80803.245942374968</v>
      </c>
      <c r="O15" s="27">
        <f t="shared" si="2"/>
        <v>-56360.992783357156</v>
      </c>
    </row>
    <row r="16" spans="1:16384">
      <c r="A16" t="s">
        <v>144</v>
      </c>
      <c r="B16" s="2">
        <f>'Summary-Cost-E - PF.PV pg 4'!Z40</f>
        <v>-16729.187095631067</v>
      </c>
      <c r="C16" s="2">
        <f>'Summary-Cost-E - PF.PV pg 4'!AA40</f>
        <v>-19076.692405325201</v>
      </c>
      <c r="D16" s="2">
        <f>'Summary-Cost-E - PF.PV pg 4'!AB40</f>
        <v>-21463.471839238733</v>
      </c>
      <c r="E16" s="2">
        <f>'Summary-Cost-E - PF.PV pg 4'!AC40</f>
        <v>-23850.251273152266</v>
      </c>
      <c r="F16" s="2">
        <f>'Summary-Cost-E - PF.PV pg 4'!AD40</f>
        <v>-26237.030707065798</v>
      </c>
      <c r="G16" s="2">
        <f>'Summary-Cost-E - PF.PV pg 4'!AE40</f>
        <v>-28623.810140979331</v>
      </c>
      <c r="H16" s="2">
        <f>'Summary-Cost-E - PF.PV pg 4'!AF40</f>
        <v>-31010.589574892863</v>
      </c>
      <c r="I16" s="2">
        <f>'Summary-Cost-E - PF.PV pg 4'!AG40</f>
        <v>-33397.369008806396</v>
      </c>
      <c r="J16" s="2">
        <f>'Summary-Cost-E - PF.PV pg 4'!AH40</f>
        <v>-35784.148442719932</v>
      </c>
      <c r="K16" s="2">
        <f>'Summary-Cost-E - PF.PV pg 4'!AI40</f>
        <v>-38170.927876633468</v>
      </c>
      <c r="L16" s="2">
        <f>'Summary-Cost-E - PF.PV pg 4'!AJ40</f>
        <v>-40557.707310547004</v>
      </c>
      <c r="M16" s="2">
        <f>'Summary-Cost-E - PF.PV pg 4'!AK40</f>
        <v>-42944.486744460541</v>
      </c>
      <c r="N16" s="2">
        <f>'Summary-Cost-E - PF.PV pg 4'!AL40</f>
        <v>-45331.266178374077</v>
      </c>
      <c r="O16" s="27">
        <f t="shared" si="2"/>
        <v>-31012.225996735342</v>
      </c>
    </row>
    <row r="17" spans="1:16">
      <c r="A17" t="s">
        <v>137</v>
      </c>
      <c r="B17" s="2">
        <f>'Summary-Cost-E - PF.PV pg 4'!Z41</f>
        <v>-36433.960020136008</v>
      </c>
      <c r="C17" s="2">
        <f>'Summary-Cost-E - PF.PV pg 4'!AA41</f>
        <v>-41587.036480066847</v>
      </c>
      <c r="D17" s="2">
        <f>'Summary-Cost-E - PF.PV pg 4'!AB41</f>
        <v>-46750.165494036104</v>
      </c>
      <c r="E17" s="2">
        <f>'Summary-Cost-E - PF.PV pg 4'!AC41</f>
        <v>-51991.704649030544</v>
      </c>
      <c r="F17" s="2">
        <f>'Summary-Cost-E - PF.PV pg 4'!AD41</f>
        <v>-57309.585184820906</v>
      </c>
      <c r="G17" s="2">
        <f>'Summary-Cost-E - PF.PV pg 4'!AE41</f>
        <v>-62631.548534809299</v>
      </c>
      <c r="H17" s="2">
        <f>'Summary-Cost-E - PF.PV pg 4'!AF41</f>
        <v>-67963.818971308749</v>
      </c>
      <c r="I17" s="2">
        <f>'Summary-Cost-E - PF.PV pg 4'!AG41</f>
        <v>-73311.428546025447</v>
      </c>
      <c r="J17" s="2">
        <f>'Summary-Cost-E - PF.PV pg 4'!AH41</f>
        <v>-78668.816669702806</v>
      </c>
      <c r="K17" s="2">
        <f>'Summary-Cost-E - PF.PV pg 4'!AI41</f>
        <v>-84030.254251924605</v>
      </c>
      <c r="L17" s="2">
        <f>'Summary-Cost-E - PF.PV pg 4'!AJ41</f>
        <v>-89393.5939848298</v>
      </c>
      <c r="M17" s="2">
        <f>'Summary-Cost-E - PF.PV pg 4'!AK41</f>
        <v>-94757.851016948829</v>
      </c>
      <c r="N17" s="2">
        <f>'Summary-Cost-E - PF.PV pg 4'!AL41</f>
        <v>-100122.56669867477</v>
      </c>
      <c r="O17" s="27">
        <f t="shared" si="2"/>
        <v>-68056.172261909102</v>
      </c>
    </row>
    <row r="18" spans="1:16">
      <c r="A18" t="s">
        <v>146</v>
      </c>
      <c r="B18" s="2">
        <f>'Summary-Cost-E - PF.PV pg 4'!Z42</f>
        <v>-31665.113059563995</v>
      </c>
      <c r="C18" s="2">
        <f>'Summary-Cost-E - PF.PV pg 4'!AA42</f>
        <v>-35736.521919025763</v>
      </c>
      <c r="D18" s="2">
        <f>'Summary-Cost-E - PF.PV pg 4'!AB42</f>
        <v>-39822.954132002531</v>
      </c>
      <c r="E18" s="2">
        <f>'Summary-Cost-E - PF.PV pg 4'!AC42</f>
        <v>-43909.386344979299</v>
      </c>
      <c r="F18" s="2">
        <f>'Summary-Cost-E - PF.PV pg 4'!AD42</f>
        <v>-47995.818557956067</v>
      </c>
      <c r="G18" s="2">
        <f>'Summary-Cost-E - PF.PV pg 4'!AE42</f>
        <v>-52082.250770932835</v>
      </c>
      <c r="H18" s="2">
        <f>'Summary-Cost-E - PF.PV pg 4'!AF42</f>
        <v>-56922.921347001269</v>
      </c>
      <c r="I18" s="2">
        <f>'Summary-Cost-E - PF.PV pg 4'!AG42</f>
        <v>-61046.767786844706</v>
      </c>
      <c r="J18" s="2">
        <f>'Summary-Cost-E - PF.PV pg 4'!AH42</f>
        <v>-66699.046000888135</v>
      </c>
      <c r="K18" s="2">
        <f>'Summary-Cost-E - PF.PV pg 4'!AI42</f>
        <v>-72757.077751714911</v>
      </c>
      <c r="L18" s="2">
        <f>'Summary-Cost-E - PF.PV pg 4'!AJ42</f>
        <v>-78664.928077350254</v>
      </c>
      <c r="M18" s="2">
        <f>'Summary-Cost-E - PF.PV pg 4'!AK42</f>
        <v>-85349.367118852271</v>
      </c>
      <c r="N18" s="2">
        <f>'Summary-Cost-E - PF.PV pg 4'!AL42</f>
        <v>-92157.180543329538</v>
      </c>
      <c r="O18" s="27">
        <f t="shared" si="2"/>
        <v>-58574.848884082901</v>
      </c>
    </row>
    <row r="19" spans="1:16">
      <c r="A19" t="s">
        <v>19</v>
      </c>
      <c r="B19" s="2">
        <f>'Summary-Cost-E - PF.PV pg 4'!Z43</f>
        <v>-211501.4769152308</v>
      </c>
      <c r="C19" s="2">
        <f>'Summary-Cost-E - PF.PV pg 4'!AA43</f>
        <v>-257606.97865761485</v>
      </c>
      <c r="D19" s="2">
        <f>'Summary-Cost-E - PF.PV pg 4'!AB43</f>
        <v>-303828.02523389889</v>
      </c>
      <c r="E19" s="2">
        <f>'Summary-Cost-E - PF.PV pg 4'!AC43</f>
        <v>-350146.6932044829</v>
      </c>
      <c r="F19" s="2">
        <f>'Summary-Cost-E - PF.PV pg 4'!AD43</f>
        <v>-396472.51287186693</v>
      </c>
      <c r="G19" s="2">
        <f>'Summary-Cost-E - PF.PV pg 4'!AE43</f>
        <v>-442798.33253925096</v>
      </c>
      <c r="H19" s="2">
        <f>'Summary-Cost-E - PF.PV pg 4'!AF43</f>
        <v>-544117.99740219326</v>
      </c>
      <c r="I19" s="2">
        <f>'Summary-Cost-E - PF.PV pg 4'!AG43</f>
        <v>-703258.49713925226</v>
      </c>
      <c r="J19" s="2">
        <f>'Summary-Cost-E - PF.PV pg 4'!AH43</f>
        <v>-867642.76451008627</v>
      </c>
      <c r="K19" s="2">
        <f>'Summary-Cost-E - PF.PV pg 4'!AI43</f>
        <v>-1035629.4721088203</v>
      </c>
      <c r="L19" s="2">
        <f>'Summary-Cost-E - PF.PV pg 4'!AJ43</f>
        <v>-1205178.5673905369</v>
      </c>
      <c r="M19" s="2">
        <f>'Summary-Cost-E - PF.PV pg 4'!AK43</f>
        <v>-1375481.1134928521</v>
      </c>
      <c r="N19" s="2">
        <f>'Summary-Cost-E - PF.PV pg 4'!AL43</f>
        <v>-1546160.3850054666</v>
      </c>
      <c r="O19" s="27">
        <f t="shared" si="2"/>
        <v>-696749.32379260042</v>
      </c>
    </row>
    <row r="20" spans="1:16" ht="13.5" thickBot="1">
      <c r="A20" t="s">
        <v>10</v>
      </c>
      <c r="B20" s="5">
        <f t="shared" ref="B20:M20" si="3">SUM(B13:B19)</f>
        <v>-336564.3297216082</v>
      </c>
      <c r="C20" s="5">
        <f t="shared" si="3"/>
        <v>-399550.94172440114</v>
      </c>
      <c r="D20" s="5">
        <f t="shared" si="3"/>
        <v>-462719.44059722364</v>
      </c>
      <c r="E20" s="5">
        <f t="shared" si="3"/>
        <v>-526030.41808473109</v>
      </c>
      <c r="F20" s="5">
        <f t="shared" si="3"/>
        <v>-589388.31716586091</v>
      </c>
      <c r="G20" s="5">
        <f t="shared" si="3"/>
        <v>-652756.70409473369</v>
      </c>
      <c r="H20" s="5">
        <f t="shared" si="3"/>
        <v>-771891.60386638285</v>
      </c>
      <c r="I20" s="5">
        <f t="shared" si="3"/>
        <v>-948147.64393277944</v>
      </c>
      <c r="J20" s="5">
        <f t="shared" si="3"/>
        <v>-1131185.7352106799</v>
      </c>
      <c r="K20" s="5">
        <f t="shared" si="3"/>
        <v>-1318236.0697118081</v>
      </c>
      <c r="L20" s="5">
        <f t="shared" si="3"/>
        <v>-1506700.5126214111</v>
      </c>
      <c r="M20" s="5">
        <f t="shared" si="3"/>
        <v>-1696695.9123666929</v>
      </c>
      <c r="N20" s="5">
        <f>SUM(N13:N19)</f>
        <v>-1887191.8705548563</v>
      </c>
      <c r="O20" s="7">
        <f>SUM(O13:O19)</f>
        <v>-926265.11662624474</v>
      </c>
      <c r="P20" t="s">
        <v>192</v>
      </c>
    </row>
    <row r="22" spans="1:16" ht="13.5" thickBot="1">
      <c r="A22" t="s">
        <v>11</v>
      </c>
      <c r="B22" s="2">
        <f>'Summary-Cost-E - PF.PV pg 4'!Z114</f>
        <v>-115641.2358891507</v>
      </c>
      <c r="C22" s="2">
        <f>'Summary-Cost-E - PF.PV pg 4'!AA114</f>
        <v>-119960.64095446083</v>
      </c>
      <c r="D22" s="2">
        <f>'Summary-Cost-E - PF.PV pg 4'!AB114</f>
        <v>-124241.84977706481</v>
      </c>
      <c r="E22" s="2">
        <f>'Summary-Cost-E - PF.PV pg 4'!AC114</f>
        <v>-128493.13809058492</v>
      </c>
      <c r="F22" s="2">
        <f>'Summary-Cost-E - PF.PV pg 4'!AD114</f>
        <v>-166360.02118041326</v>
      </c>
      <c r="G22" s="2">
        <f>'Summary-Cost-E - PF.PV pg 4'!AE114</f>
        <v>-204224.70182221555</v>
      </c>
      <c r="H22" s="2">
        <f>'Summary-Cost-E - PF.PV pg 4'!AF114</f>
        <v>-230378.41476703482</v>
      </c>
      <c r="I22" s="2">
        <f>'Summary-Cost-E - PF.PV pg 4'!AG114</f>
        <v>-244536.68824995717</v>
      </c>
      <c r="J22" s="2">
        <f>'Summary-Cost-E - PF.PV pg 4'!AH114</f>
        <v>-257270.73097846363</v>
      </c>
      <c r="K22" s="2">
        <f>'Summary-Cost-E - PF.PV pg 4'!AI114</f>
        <v>-269162.20263009227</v>
      </c>
      <c r="L22" s="2">
        <f>'Summary-Cost-E - PF.PV pg 4'!AJ114</f>
        <v>-280756.71151594131</v>
      </c>
      <c r="M22" s="2">
        <f>'Summary-Cost-E - PF.PV pg 4'!AK114</f>
        <v>-292029.71946629777</v>
      </c>
      <c r="N22" s="2">
        <f>'Summary-Cost-E - PF.PV pg 4'!AL114</f>
        <v>-303197.61014364904</v>
      </c>
      <c r="O22" s="198">
        <f>(((B22+N22)/2)+C22+D22+E22+F22+G22+H22+I22+J22+K22+L22+M22)/12</f>
        <v>-210569.52020407715</v>
      </c>
      <c r="P22" t="s">
        <v>193</v>
      </c>
    </row>
    <row r="23" spans="1:16" ht="39" thickBot="1">
      <c r="O23" s="126">
        <f>O11+O20+O22</f>
        <v>11228211.156372881</v>
      </c>
      <c r="P23" s="112" t="s">
        <v>194</v>
      </c>
    </row>
    <row r="24" spans="1:16" ht="13.5" thickTop="1"/>
    <row r="25" spans="1:16">
      <c r="A25" t="s">
        <v>17</v>
      </c>
      <c r="C25" s="2">
        <f>'Summary-Cost-E - PF.PV pg 4'!AA26</f>
        <v>268.51665166666663</v>
      </c>
      <c r="D25" s="2">
        <f>'Summary-Cost-E - PF.PV pg 4'!AB26</f>
        <v>271.94783583333339</v>
      </c>
      <c r="E25" s="2">
        <f>'Summary-Cost-E - PF.PV pg 4'!AC26</f>
        <v>274.96639916666663</v>
      </c>
      <c r="F25" s="2">
        <f>'Summary-Cost-E - PF.PV pg 4'!AD26</f>
        <v>274.96639916666663</v>
      </c>
      <c r="G25" s="2">
        <f>'Summary-Cost-E - PF.PV pg 4'!AE26</f>
        <v>277.2437558333333</v>
      </c>
      <c r="H25" s="2">
        <f>'Summary-Cost-E - PF.PV pg 4'!AF26</f>
        <v>280.11345104166668</v>
      </c>
      <c r="I25" s="2">
        <f>'Summary-Cost-E - PF.PV pg 4'!AG26</f>
        <v>280.70578958333334</v>
      </c>
      <c r="J25" s="2">
        <f>'Summary-Cost-E - PF.PV pg 4'!AH26</f>
        <v>280.70578958333334</v>
      </c>
      <c r="K25" s="2">
        <f>'Summary-Cost-E - PF.PV pg 4'!AI26</f>
        <v>280.70578958333334</v>
      </c>
      <c r="L25" s="2">
        <f>'Summary-Cost-E - PF.PV pg 4'!AJ26</f>
        <v>280.70578958333334</v>
      </c>
      <c r="M25" s="2">
        <f>'Summary-Cost-E - PF.PV pg 4'!AK26</f>
        <v>280.70578958333334</v>
      </c>
      <c r="N25" s="2">
        <f>'Summary-Cost-E - PF.PV pg 4'!AL26</f>
        <v>280.70578958333334</v>
      </c>
      <c r="O25" s="3">
        <f>SUM(C25:N25)</f>
        <v>3331.9892302083326</v>
      </c>
    </row>
    <row r="26" spans="1:16">
      <c r="A26" t="s">
        <v>13</v>
      </c>
      <c r="C26" s="2">
        <f>'Summary-Cost-E - PF.PV pg 4'!AA27</f>
        <v>963.68483169350009</v>
      </c>
      <c r="D26" s="2">
        <f>'Summary-Cost-E - PF.PV pg 4'!AB27</f>
        <v>965.47738258360005</v>
      </c>
      <c r="E26" s="2">
        <f>'Summary-Cost-E - PF.PV pg 4'!AC27</f>
        <v>928.90589861000024</v>
      </c>
      <c r="F26" s="2">
        <f>'Summary-Cost-E - PF.PV pg 4'!AD27</f>
        <v>892.33441463640008</v>
      </c>
      <c r="G26" s="2">
        <f>'Summary-Cost-E - PF.PV pg 4'!AE27</f>
        <v>896.46209151480014</v>
      </c>
      <c r="H26" s="2">
        <f>'Summary-Cost-E - PF.PV pg 4'!AF27</f>
        <v>901.71459392180032</v>
      </c>
      <c r="I26" s="2">
        <f>'Summary-Cost-E - PF.PV pg 4'!AG27</f>
        <v>902.91267401860023</v>
      </c>
      <c r="J26" s="2">
        <f>'Summary-Cost-E - PF.PV pg 4'!AH27</f>
        <v>902.98592858680013</v>
      </c>
      <c r="K26" s="2">
        <f>'Summary-Cost-E - PF.PV pg 4'!AI27</f>
        <v>902.98592858680013</v>
      </c>
      <c r="L26" s="2">
        <f>'Summary-Cost-E - PF.PV pg 4'!AJ27</f>
        <v>902.98592858680013</v>
      </c>
      <c r="M26" s="2">
        <f>'Summary-Cost-E - PF.PV pg 4'!AK27</f>
        <v>902.98592858680013</v>
      </c>
      <c r="N26" s="2">
        <f>'Summary-Cost-E - PF.PV pg 4'!AL27</f>
        <v>902.98592858680013</v>
      </c>
      <c r="O26" s="96">
        <f>SUM(C26:N26)</f>
        <v>10966.421529912705</v>
      </c>
    </row>
    <row r="27" spans="1:16">
      <c r="A27" t="s">
        <v>139</v>
      </c>
      <c r="C27" s="2">
        <f>'Summary-Cost-E - PF.PV pg 4'!AA28</f>
        <v>4076.9181479619997</v>
      </c>
      <c r="D27" s="2">
        <f>'Summary-Cost-E - PF.PV pg 4'!AB28</f>
        <v>4073.6864172619994</v>
      </c>
      <c r="E27" s="2">
        <f>'Summary-Cost-E - PF.PV pg 4'!AC28</f>
        <v>4073.6864172619994</v>
      </c>
      <c r="F27" s="2">
        <f>'Summary-Cost-E - PF.PV pg 4'!AD28</f>
        <v>4073.6864172619994</v>
      </c>
      <c r="G27" s="2">
        <f>'Summary-Cost-E - PF.PV pg 4'!AE28</f>
        <v>4073.6864172619994</v>
      </c>
      <c r="H27" s="2">
        <f>'Summary-Cost-E - PF.PV pg 4'!AF28</f>
        <v>4073.6864172619994</v>
      </c>
      <c r="I27" s="2">
        <f>'Summary-Cost-E - PF.PV pg 4'!AG28</f>
        <v>4073.6864172619994</v>
      </c>
      <c r="J27" s="2">
        <f>'Summary-Cost-E - PF.PV pg 4'!AH28</f>
        <v>4073.6864172619994</v>
      </c>
      <c r="K27" s="2">
        <f>'Summary-Cost-E - PF.PV pg 4'!AI28</f>
        <v>4073.6864172619994</v>
      </c>
      <c r="L27" s="2">
        <f>'Summary-Cost-E - PF.PV pg 4'!AJ28</f>
        <v>4073.6864172619994</v>
      </c>
      <c r="M27" s="2">
        <f>'Summary-Cost-E - PF.PV pg 4'!AK28</f>
        <v>4073.6864172619994</v>
      </c>
      <c r="N27" s="2">
        <f>'Summary-Cost-E - PF.PV pg 4'!AL28</f>
        <v>4073.6864172619994</v>
      </c>
      <c r="O27" s="96">
        <f t="shared" ref="O27:O31" si="4">SUM(C27:N27)</f>
        <v>48887.468737843992</v>
      </c>
    </row>
    <row r="28" spans="1:16">
      <c r="A28" t="s">
        <v>144</v>
      </c>
      <c r="C28" s="2">
        <f>'Summary-Cost-E - PF.PV pg 4'!AA29</f>
        <v>2347.5053096941333</v>
      </c>
      <c r="D28" s="2">
        <f>'Summary-Cost-E - PF.PV pg 4'!AB29</f>
        <v>2386.779433913533</v>
      </c>
      <c r="E28" s="2">
        <f>'Summary-Cost-E - PF.PV pg 4'!AC29</f>
        <v>2386.779433913533</v>
      </c>
      <c r="F28" s="2">
        <f>'Summary-Cost-E - PF.PV pg 4'!AD29</f>
        <v>2386.779433913533</v>
      </c>
      <c r="G28" s="2">
        <f>'Summary-Cost-E - PF.PV pg 4'!AE29</f>
        <v>2386.779433913533</v>
      </c>
      <c r="H28" s="2">
        <f>'Summary-Cost-E - PF.PV pg 4'!AF29</f>
        <v>2386.779433913533</v>
      </c>
      <c r="I28" s="2">
        <f>'Summary-Cost-E - PF.PV pg 4'!AG29</f>
        <v>2386.779433913533</v>
      </c>
      <c r="J28" s="2">
        <f>'Summary-Cost-E - PF.PV pg 4'!AH29</f>
        <v>2386.779433913533</v>
      </c>
      <c r="K28" s="2">
        <f>'Summary-Cost-E - PF.PV pg 4'!AI29</f>
        <v>2386.779433913533</v>
      </c>
      <c r="L28" s="2">
        <f>'Summary-Cost-E - PF.PV pg 4'!AJ29</f>
        <v>2386.779433913533</v>
      </c>
      <c r="M28" s="2">
        <f>'Summary-Cost-E - PF.PV pg 4'!AK29</f>
        <v>2386.779433913533</v>
      </c>
      <c r="N28" s="2">
        <f>'Summary-Cost-E - PF.PV pg 4'!AL29</f>
        <v>2386.779433913533</v>
      </c>
      <c r="O28" s="96">
        <f t="shared" si="4"/>
        <v>28602.079082742992</v>
      </c>
    </row>
    <row r="29" spans="1:16">
      <c r="A29" t="s">
        <v>137</v>
      </c>
      <c r="C29" s="2">
        <f>'Summary-Cost-E - PF.PV pg 4'!AA30</f>
        <v>5153.0764599308413</v>
      </c>
      <c r="D29" s="2">
        <f>'Summary-Cost-E - PF.PV pg 4'!AB30</f>
        <v>5163.1290139692564</v>
      </c>
      <c r="E29" s="2">
        <f>'Summary-Cost-E - PF.PV pg 4'!AC30</f>
        <v>5241.5391549944425</v>
      </c>
      <c r="F29" s="2">
        <f>'Summary-Cost-E - PF.PV pg 4'!AD30</f>
        <v>5317.8805357903639</v>
      </c>
      <c r="G29" s="2">
        <f>'Summary-Cost-E - PF.PV pg 4'!AE30</f>
        <v>5321.9633499883921</v>
      </c>
      <c r="H29" s="2">
        <f>'Summary-Cost-E - PF.PV pg 4'!AF30</f>
        <v>5332.2704364994561</v>
      </c>
      <c r="I29" s="2">
        <f>'Summary-Cost-E - PF.PV pg 4'!AG30</f>
        <v>5347.6095747167028</v>
      </c>
      <c r="J29" s="2">
        <f>'Summary-Cost-E - PF.PV pg 4'!AH30</f>
        <v>5357.3881236773614</v>
      </c>
      <c r="K29" s="2">
        <f>'Summary-Cost-E - PF.PV pg 4'!AI30</f>
        <v>5361.4375822217944</v>
      </c>
      <c r="L29" s="2">
        <f>'Summary-Cost-E - PF.PV pg 4'!AJ30</f>
        <v>5363.3397329051886</v>
      </c>
      <c r="M29" s="2">
        <f>'Summary-Cost-E - PF.PV pg 4'!AK30</f>
        <v>5364.2570321190242</v>
      </c>
      <c r="N29" s="2">
        <f>'Summary-Cost-E - PF.PV pg 4'!AL30</f>
        <v>5364.715681725942</v>
      </c>
      <c r="O29" s="3">
        <f t="shared" si="4"/>
        <v>63688.606678538767</v>
      </c>
    </row>
    <row r="30" spans="1:16">
      <c r="A30" t="s">
        <v>146</v>
      </c>
      <c r="C30" s="2">
        <f>'Summary-Cost-E - PF.PV pg 4'!AA31</f>
        <v>4071.4088594617697</v>
      </c>
      <c r="D30" s="2">
        <f>'Summary-Cost-E - PF.PV pg 4'!AB31</f>
        <v>4086.4322129767697</v>
      </c>
      <c r="E30" s="2">
        <f>'Summary-Cost-E - PF.PV pg 4'!AC31</f>
        <v>4086.4322129767697</v>
      </c>
      <c r="F30" s="2">
        <f>'Summary-Cost-E - PF.PV pg 4'!AD31</f>
        <v>4086.4322129767697</v>
      </c>
      <c r="G30" s="2">
        <f>'Summary-Cost-E - PF.PV pg 4'!AE31</f>
        <v>4086.4322129767697</v>
      </c>
      <c r="H30" s="2">
        <f>'Summary-Cost-E - PF.PV pg 4'!AF31</f>
        <v>4840.6705760684363</v>
      </c>
      <c r="I30" s="2">
        <f>'Summary-Cost-E - PF.PV pg 4'!AG31</f>
        <v>4123.8464398434362</v>
      </c>
      <c r="J30" s="2">
        <f>'Summary-Cost-E - PF.PV pg 4'!AH31</f>
        <v>5652.2782140434356</v>
      </c>
      <c r="K30" s="2">
        <f>'Summary-Cost-E - PF.PV pg 4'!AI31</f>
        <v>6058.031750826769</v>
      </c>
      <c r="L30" s="2">
        <f>'Summary-Cost-E - PF.PV pg 4'!AJ31</f>
        <v>5907.850325635347</v>
      </c>
      <c r="M30" s="2">
        <f>'Summary-Cost-E - PF.PV pg 4'!AK31</f>
        <v>6684.4390415020143</v>
      </c>
      <c r="N30" s="2">
        <f>'Summary-Cost-E - PF.PV pg 4'!AL31</f>
        <v>6807.81342447726</v>
      </c>
      <c r="O30" s="3">
        <f t="shared" si="4"/>
        <v>60492.067483765546</v>
      </c>
    </row>
    <row r="31" spans="1:16">
      <c r="A31" t="s">
        <v>19</v>
      </c>
      <c r="C31" s="2">
        <f>'Summary-Cost-E - PF.PV pg 4'!AA32</f>
        <v>46105.50174238404</v>
      </c>
      <c r="D31" s="2">
        <f>'Summary-Cost-E - PF.PV pg 4'!AB32</f>
        <v>46221.046576284039</v>
      </c>
      <c r="E31" s="2">
        <f>'Summary-Cost-E - PF.PV pg 4'!AC32</f>
        <v>46318.667970584036</v>
      </c>
      <c r="F31" s="2">
        <f>'Summary-Cost-E - PF.PV pg 4'!AD32</f>
        <v>46325.819667384036</v>
      </c>
      <c r="G31" s="2">
        <f>'Summary-Cost-E - PF.PV pg 4'!AE32</f>
        <v>46325.819667384036</v>
      </c>
      <c r="H31" s="2">
        <f>'Summary-Cost-E - PF.PV pg 4'!AF32</f>
        <v>101319.66486294236</v>
      </c>
      <c r="I31" s="2">
        <f>'Summary-Cost-E - PF.PV pg 4'!AG32</f>
        <v>159140.49973705903</v>
      </c>
      <c r="J31" s="2">
        <f>'Summary-Cost-E - PF.PV pg 4'!AH32</f>
        <v>164384.26737083402</v>
      </c>
      <c r="K31" s="2">
        <f>'Summary-Cost-E - PF.PV pg 4'!AI32</f>
        <v>167986.70759873404</v>
      </c>
      <c r="L31" s="2">
        <f>'Summary-Cost-E - PF.PV pg 4'!AJ32</f>
        <v>169549.09528171664</v>
      </c>
      <c r="M31" s="2">
        <f>'Summary-Cost-E - PF.PV pg 4'!AK32</f>
        <v>170302.54610231519</v>
      </c>
      <c r="N31" s="2">
        <f>'Summary-Cost-E - PF.PV pg 4'!AL32</f>
        <v>170679.27151261448</v>
      </c>
      <c r="O31" s="3">
        <f t="shared" si="4"/>
        <v>1334658.9080902361</v>
      </c>
    </row>
    <row r="32" spans="1:16" ht="26.25" thickBot="1">
      <c r="A32" t="s">
        <v>12</v>
      </c>
      <c r="C32" s="5">
        <f>SUM(C25:C31)</f>
        <v>62986.61200279295</v>
      </c>
      <c r="D32" s="5">
        <f t="shared" ref="D32:M32" si="5">SUM(D25:D31)</f>
        <v>63168.498872822529</v>
      </c>
      <c r="E32" s="5">
        <f t="shared" si="5"/>
        <v>63310.977487507451</v>
      </c>
      <c r="F32" s="5">
        <f t="shared" si="5"/>
        <v>63357.89908112977</v>
      </c>
      <c r="G32" s="5">
        <f t="shared" si="5"/>
        <v>63368.38692887286</v>
      </c>
      <c r="H32" s="5">
        <f t="shared" si="5"/>
        <v>119134.89977164924</v>
      </c>
      <c r="I32" s="5">
        <f t="shared" si="5"/>
        <v>176256.04006639664</v>
      </c>
      <c r="J32" s="5">
        <f t="shared" si="5"/>
        <v>183038.09127790047</v>
      </c>
      <c r="K32" s="5">
        <f t="shared" si="5"/>
        <v>187050.33450112827</v>
      </c>
      <c r="L32" s="5">
        <f t="shared" si="5"/>
        <v>188464.44290960283</v>
      </c>
      <c r="M32" s="5">
        <f t="shared" si="5"/>
        <v>189995.3997452819</v>
      </c>
      <c r="N32" s="5">
        <f>SUM(N25:N31)</f>
        <v>190495.95818816335</v>
      </c>
      <c r="O32" s="7">
        <f>SUM(O25:O31)</f>
        <v>1550627.5408332485</v>
      </c>
      <c r="P32" s="112" t="s">
        <v>200</v>
      </c>
    </row>
    <row r="34" spans="1:16" ht="54" customHeight="1">
      <c r="O34" s="121" t="s">
        <v>186</v>
      </c>
      <c r="P34" s="121"/>
    </row>
    <row r="35" spans="1:16" ht="9.75" customHeight="1"/>
    <row r="36" spans="1:16" ht="9.75" hidden="1" customHeight="1">
      <c r="A36" s="30" t="s">
        <v>105</v>
      </c>
    </row>
    <row r="37" spans="1:16" ht="9.75" hidden="1" customHeight="1">
      <c r="B37" s="6">
        <v>202109</v>
      </c>
      <c r="C37" s="6">
        <v>202110</v>
      </c>
      <c r="D37" s="6">
        <v>202111</v>
      </c>
      <c r="E37" s="6">
        <v>202112</v>
      </c>
      <c r="F37" s="6">
        <v>202201</v>
      </c>
      <c r="G37" s="6">
        <v>202202</v>
      </c>
      <c r="H37" s="6">
        <v>202203</v>
      </c>
      <c r="I37" s="6">
        <v>202204</v>
      </c>
      <c r="J37" s="6">
        <v>202205</v>
      </c>
      <c r="K37" s="6">
        <v>202206</v>
      </c>
      <c r="L37" s="6">
        <v>202207</v>
      </c>
      <c r="M37" s="6">
        <v>202208</v>
      </c>
      <c r="N37" s="6">
        <v>202209</v>
      </c>
      <c r="O37" s="6" t="s">
        <v>9</v>
      </c>
    </row>
    <row r="38" spans="1:16" ht="9.75" hidden="1" customHeight="1">
      <c r="A38" t="s">
        <v>17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6"/>
    </row>
    <row r="39" spans="1:16" ht="9.75" hidden="1" customHeight="1">
      <c r="A39" t="s">
        <v>13</v>
      </c>
      <c r="B39" s="8">
        <v>1098163.8150599999</v>
      </c>
      <c r="C39" s="8">
        <v>1098163.8150599999</v>
      </c>
      <c r="D39" s="8">
        <v>1098163.8150599999</v>
      </c>
      <c r="E39" s="8">
        <v>1098163.8150599999</v>
      </c>
      <c r="F39" s="8">
        <v>1098163.8150599999</v>
      </c>
      <c r="G39" s="8">
        <v>1098163.8150599999</v>
      </c>
      <c r="H39" s="8">
        <v>1098163.8150599999</v>
      </c>
      <c r="I39" s="8">
        <v>1098163.8150599999</v>
      </c>
      <c r="J39" s="8">
        <v>1098163.8150599999</v>
      </c>
      <c r="K39" s="8">
        <v>1098163.8150599999</v>
      </c>
      <c r="L39" s="8">
        <v>1098163.8150599999</v>
      </c>
      <c r="M39" s="8">
        <v>1098163.8150599999</v>
      </c>
      <c r="N39" s="8">
        <v>1098163.8150599999</v>
      </c>
      <c r="O39" s="26">
        <v>1098163.8150600002</v>
      </c>
    </row>
    <row r="40" spans="1:16" ht="9.75" hidden="1" customHeight="1">
      <c r="A40" t="s">
        <v>139</v>
      </c>
      <c r="B40" s="8">
        <v>3081888.8883600002</v>
      </c>
      <c r="C40" s="8">
        <v>3081888.8883600002</v>
      </c>
      <c r="D40" s="8">
        <v>3081888.8883600002</v>
      </c>
      <c r="E40" s="8">
        <v>3081888.8883600002</v>
      </c>
      <c r="F40" s="8">
        <v>3081888.8883600002</v>
      </c>
      <c r="G40" s="8">
        <v>3081888.8883600002</v>
      </c>
      <c r="H40" s="8">
        <v>3081888.8883600002</v>
      </c>
      <c r="I40" s="8">
        <v>3081888.8883600002</v>
      </c>
      <c r="J40" s="8">
        <v>3081888.8883600002</v>
      </c>
      <c r="K40" s="8">
        <v>3081888.8883600002</v>
      </c>
      <c r="L40" s="8">
        <v>3081888.8883600002</v>
      </c>
      <c r="M40" s="8">
        <v>3081888.8883600002</v>
      </c>
      <c r="N40" s="8">
        <v>3081888.8883600002</v>
      </c>
      <c r="O40" s="26">
        <v>3081888.8883600007</v>
      </c>
    </row>
    <row r="41" spans="1:16" ht="9.75" hidden="1" customHeight="1">
      <c r="A41" t="s">
        <v>144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6">
        <v>0</v>
      </c>
    </row>
    <row r="42" spans="1:16" ht="9.75" hidden="1" customHeight="1">
      <c r="A42" t="s">
        <v>137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6">
        <v>0</v>
      </c>
    </row>
    <row r="43" spans="1:16" ht="9.75" hidden="1" customHeight="1">
      <c r="A43" t="s">
        <v>146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6">
        <v>0</v>
      </c>
    </row>
    <row r="44" spans="1:16" ht="9.75" hidden="1" customHeight="1">
      <c r="A44" t="s">
        <v>19</v>
      </c>
      <c r="B44" s="8">
        <v>2475337.82292266</v>
      </c>
      <c r="C44" s="8">
        <v>2475337.82292266</v>
      </c>
      <c r="D44" s="8">
        <v>2475337.82292266</v>
      </c>
      <c r="E44" s="8">
        <v>2475337.82292266</v>
      </c>
      <c r="F44" s="8">
        <v>2475337.82292266</v>
      </c>
      <c r="G44" s="8">
        <v>2475337.82292266</v>
      </c>
      <c r="H44" s="8">
        <v>10081015.44771266</v>
      </c>
      <c r="I44" s="8">
        <v>10081015.44771266</v>
      </c>
      <c r="J44" s="8">
        <v>10081015.44771266</v>
      </c>
      <c r="K44" s="8">
        <v>10081015.44771266</v>
      </c>
      <c r="L44" s="8">
        <v>10081015.44771266</v>
      </c>
      <c r="M44" s="8">
        <v>10081015.44771266</v>
      </c>
      <c r="N44" s="8">
        <v>10081015.44771266</v>
      </c>
      <c r="O44" s="26">
        <v>6595079.8696839102</v>
      </c>
    </row>
    <row r="45" spans="1:16" ht="9.75" hidden="1" customHeight="1" thickBot="1">
      <c r="A45" t="s">
        <v>7</v>
      </c>
      <c r="B45" s="5">
        <v>6655390.5263426602</v>
      </c>
      <c r="C45" s="5">
        <v>6655390.5263426602</v>
      </c>
      <c r="D45" s="5">
        <v>6655390.5263426602</v>
      </c>
      <c r="E45" s="5">
        <v>6655390.5263426602</v>
      </c>
      <c r="F45" s="5">
        <v>6655390.5263426602</v>
      </c>
      <c r="G45" s="5">
        <v>6655390.5263426602</v>
      </c>
      <c r="H45" s="5">
        <v>14261068.15113266</v>
      </c>
      <c r="I45" s="5">
        <v>14261068.15113266</v>
      </c>
      <c r="J45" s="5">
        <v>14261068.15113266</v>
      </c>
      <c r="K45" s="5">
        <v>14261068.15113266</v>
      </c>
      <c r="L45" s="5">
        <v>14261068.15113266</v>
      </c>
      <c r="M45" s="5">
        <v>14261068.15113266</v>
      </c>
      <c r="N45" s="5">
        <v>14261068.15113266</v>
      </c>
      <c r="O45" s="7">
        <v>10775132.573103912</v>
      </c>
    </row>
    <row r="46" spans="1:16" ht="9.75" hidden="1" customHeight="1"/>
    <row r="47" spans="1:16" ht="9.75" hidden="1" customHeight="1">
      <c r="A47" t="s">
        <v>17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7"/>
    </row>
    <row r="48" spans="1:16" ht="9.75" hidden="1" customHeight="1">
      <c r="A48" t="s">
        <v>13</v>
      </c>
      <c r="B48" s="2">
        <v>-19095.234027580998</v>
      </c>
      <c r="C48" s="2">
        <v>-20980.415243433999</v>
      </c>
      <c r="D48" s="2">
        <v>-22865.596459287</v>
      </c>
      <c r="E48" s="2">
        <v>-24750.777675140002</v>
      </c>
      <c r="F48" s="2">
        <v>-26635.958890993003</v>
      </c>
      <c r="G48" s="2">
        <v>-28521.140106846004</v>
      </c>
      <c r="H48" s="2">
        <v>-30406.321322699005</v>
      </c>
      <c r="I48" s="2">
        <v>-32291.502538552006</v>
      </c>
      <c r="J48" s="2">
        <v>-34176.683754405007</v>
      </c>
      <c r="K48" s="2">
        <v>-36061.864970258008</v>
      </c>
      <c r="L48" s="2">
        <v>-37947.046186111009</v>
      </c>
      <c r="M48" s="2">
        <v>-39832.22740196401</v>
      </c>
      <c r="N48" s="2">
        <v>-41717.408617817011</v>
      </c>
      <c r="O48" s="27">
        <v>-30406.321322699005</v>
      </c>
    </row>
    <row r="49" spans="1:15" ht="9.75" hidden="1" customHeight="1">
      <c r="A49" t="s">
        <v>139</v>
      </c>
      <c r="B49" s="2">
        <v>-45647.738068404993</v>
      </c>
      <c r="C49" s="2">
        <v>-51297.86769706499</v>
      </c>
      <c r="D49" s="2">
        <v>-56947.997325724988</v>
      </c>
      <c r="E49" s="2">
        <v>-62598.126954384985</v>
      </c>
      <c r="F49" s="2">
        <v>-68248.256583044989</v>
      </c>
      <c r="G49" s="2">
        <v>-73898.386211704987</v>
      </c>
      <c r="H49" s="2">
        <v>-79548.515840364984</v>
      </c>
      <c r="I49" s="2">
        <v>-85198.645469024981</v>
      </c>
      <c r="J49" s="2">
        <v>-90848.775097684978</v>
      </c>
      <c r="K49" s="2">
        <v>-96498.904726344976</v>
      </c>
      <c r="L49" s="2">
        <v>-102149.03435500497</v>
      </c>
      <c r="M49" s="2">
        <v>-107799.16398366497</v>
      </c>
      <c r="N49" s="2">
        <v>-113449.29361232497</v>
      </c>
      <c r="O49" s="27">
        <v>-79548.515840364984</v>
      </c>
    </row>
    <row r="50" spans="1:15" ht="9.75" hidden="1" customHeight="1">
      <c r="A50" t="s">
        <v>144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26">
        <v>0</v>
      </c>
    </row>
    <row r="51" spans="1:15" ht="9.75" hidden="1" customHeight="1">
      <c r="A51" t="s">
        <v>137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7">
        <v>0</v>
      </c>
    </row>
    <row r="52" spans="1:15" ht="9.75" hidden="1" customHeight="1">
      <c r="A52" t="s">
        <v>146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6">
        <v>0</v>
      </c>
    </row>
    <row r="53" spans="1:15" ht="9.75" hidden="1" customHeight="1">
      <c r="A53" t="s">
        <v>19</v>
      </c>
      <c r="B53" s="2">
        <v>-517577.20144570339</v>
      </c>
      <c r="C53" s="2">
        <v>-558832.83182774775</v>
      </c>
      <c r="D53" s="2">
        <v>-600088.46220979211</v>
      </c>
      <c r="E53" s="2">
        <v>-641344.09259183647</v>
      </c>
      <c r="F53" s="2">
        <v>-682599.72297388082</v>
      </c>
      <c r="G53" s="2">
        <v>-723855.35335592518</v>
      </c>
      <c r="H53" s="2">
        <v>-828491.63061121956</v>
      </c>
      <c r="I53" s="2">
        <v>-996508.55473976396</v>
      </c>
      <c r="J53" s="2">
        <v>-1164525.4788683082</v>
      </c>
      <c r="K53" s="2">
        <v>-1332542.4029968525</v>
      </c>
      <c r="L53" s="2">
        <v>-1500559.3271253968</v>
      </c>
      <c r="M53" s="2">
        <v>-1668576.2512539411</v>
      </c>
      <c r="N53" s="2">
        <v>-1836593.1753824854</v>
      </c>
      <c r="O53" s="27">
        <v>-989584.10808072984</v>
      </c>
    </row>
    <row r="54" spans="1:15" ht="9.75" hidden="1" customHeight="1" thickBot="1">
      <c r="A54" t="s">
        <v>10</v>
      </c>
      <c r="B54" s="5">
        <v>-582320.17354168941</v>
      </c>
      <c r="C54" s="5">
        <v>-631111.11476824677</v>
      </c>
      <c r="D54" s="5">
        <v>-679902.05599480413</v>
      </c>
      <c r="E54" s="5">
        <v>-728692.9972213615</v>
      </c>
      <c r="F54" s="5">
        <v>-777483.93844791886</v>
      </c>
      <c r="G54" s="5">
        <v>-826274.87967447611</v>
      </c>
      <c r="H54" s="5">
        <v>-938446.46777428361</v>
      </c>
      <c r="I54" s="5">
        <v>-1113998.702747341</v>
      </c>
      <c r="J54" s="5">
        <v>-1289550.9377203982</v>
      </c>
      <c r="K54" s="5">
        <v>-1465103.1726934556</v>
      </c>
      <c r="L54" s="5">
        <v>-1640655.4076665128</v>
      </c>
      <c r="M54" s="5">
        <v>-1816207.6426395702</v>
      </c>
      <c r="N54" s="5">
        <v>-1991759.8776126273</v>
      </c>
      <c r="O54" s="7">
        <v>-1099538.9452437938</v>
      </c>
    </row>
    <row r="55" spans="1:15" ht="9.75" hidden="1" customHeight="1"/>
    <row r="56" spans="1:15" ht="9.75" hidden="1" customHeight="1">
      <c r="A56" t="s">
        <v>11</v>
      </c>
      <c r="B56" s="2">
        <v>-159616.25569550914</v>
      </c>
      <c r="C56" s="2">
        <v>-170007.24705407926</v>
      </c>
      <c r="D56" s="2">
        <v>-180398.23841264934</v>
      </c>
      <c r="E56" s="2">
        <v>-190789.22977121948</v>
      </c>
      <c r="F56" s="2">
        <v>-243298.93371308688</v>
      </c>
      <c r="G56" s="2">
        <v>-295808.63765495428</v>
      </c>
      <c r="H56" s="2">
        <v>-335008.40575343912</v>
      </c>
      <c r="I56" s="2">
        <v>-360898.23800854152</v>
      </c>
      <c r="J56" s="2">
        <v>-386788.07026364387</v>
      </c>
      <c r="K56" s="2">
        <v>-412677.90251874633</v>
      </c>
      <c r="L56" s="2">
        <v>-438567.73477384873</v>
      </c>
      <c r="M56" s="2">
        <v>-464457.56702895113</v>
      </c>
      <c r="N56" s="2">
        <v>-490347.39928405359</v>
      </c>
      <c r="O56" s="15">
        <v>-316973.50270357844</v>
      </c>
    </row>
    <row r="57" spans="1:15" ht="9.75" hidden="1" customHeight="1"/>
    <row r="58" spans="1:15" ht="9.75" hidden="1" customHeight="1">
      <c r="A58" t="s">
        <v>17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</row>
    <row r="59" spans="1:15" ht="9.75" hidden="1" customHeight="1">
      <c r="A59" t="s">
        <v>13</v>
      </c>
      <c r="C59" s="2">
        <v>1885.1812158529999</v>
      </c>
      <c r="D59" s="2">
        <v>1885.1812158529999</v>
      </c>
      <c r="E59" s="2">
        <v>1885.1812158529999</v>
      </c>
      <c r="F59" s="2">
        <v>1885.1812158529999</v>
      </c>
      <c r="G59" s="2">
        <v>1885.1812158529999</v>
      </c>
      <c r="H59" s="2">
        <v>1885.1812158529999</v>
      </c>
      <c r="I59" s="2">
        <v>1885.1812158529999</v>
      </c>
      <c r="J59" s="2">
        <v>1885.1812158529999</v>
      </c>
      <c r="K59" s="2">
        <v>1885.1812158529999</v>
      </c>
      <c r="L59" s="2">
        <v>1885.1812158529999</v>
      </c>
      <c r="M59" s="2">
        <v>1885.1812158529999</v>
      </c>
      <c r="N59" s="2">
        <v>1885.1812158529999</v>
      </c>
      <c r="O59" s="3">
        <v>22622.174590236002</v>
      </c>
    </row>
    <row r="60" spans="1:15" ht="9.75" hidden="1" customHeight="1">
      <c r="A60" t="s">
        <v>139</v>
      </c>
      <c r="C60" s="2">
        <v>5650.12962866</v>
      </c>
      <c r="D60" s="2">
        <v>5650.12962866</v>
      </c>
      <c r="E60" s="2">
        <v>5650.12962866</v>
      </c>
      <c r="F60" s="2">
        <v>5650.12962866</v>
      </c>
      <c r="G60" s="2">
        <v>5650.12962866</v>
      </c>
      <c r="H60" s="2">
        <v>5650.12962866</v>
      </c>
      <c r="I60" s="2">
        <v>5650.12962866</v>
      </c>
      <c r="J60" s="2">
        <v>5650.12962866</v>
      </c>
      <c r="K60" s="2">
        <v>5650.12962866</v>
      </c>
      <c r="L60" s="2">
        <v>5650.12962866</v>
      </c>
      <c r="M60" s="2">
        <v>5650.12962866</v>
      </c>
      <c r="N60" s="2">
        <v>5650.12962866</v>
      </c>
      <c r="O60" s="2">
        <v>67801.555543919982</v>
      </c>
    </row>
    <row r="61" spans="1:15" ht="9.75" hidden="1" customHeight="1">
      <c r="A61" t="s">
        <v>144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9.75" hidden="1" customHeight="1">
      <c r="A62" t="s">
        <v>137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9.75" hidden="1" customHeight="1">
      <c r="A63" t="s">
        <v>146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1:15" ht="9.75" hidden="1" customHeight="1">
      <c r="A64" t="s">
        <v>19</v>
      </c>
      <c r="C64" s="2">
        <v>41255.630382044335</v>
      </c>
      <c r="D64" s="2">
        <v>41255.630382044335</v>
      </c>
      <c r="E64" s="2">
        <v>41255.630382044335</v>
      </c>
      <c r="F64" s="2">
        <v>41255.630382044335</v>
      </c>
      <c r="G64" s="2">
        <v>41255.630382044335</v>
      </c>
      <c r="H64" s="2">
        <v>104636.27725529434</v>
      </c>
      <c r="I64" s="2">
        <v>168016.92412854434</v>
      </c>
      <c r="J64" s="2">
        <v>168016.92412854434</v>
      </c>
      <c r="K64" s="2">
        <v>168016.92412854434</v>
      </c>
      <c r="L64" s="2">
        <v>168016.92412854434</v>
      </c>
      <c r="M64" s="2">
        <v>168016.92412854434</v>
      </c>
      <c r="N64" s="2">
        <v>168016.92412854434</v>
      </c>
      <c r="O64" s="2">
        <v>1319015.9739367818</v>
      </c>
    </row>
    <row r="65" spans="1:15" ht="9.75" hidden="1" customHeight="1" thickBot="1">
      <c r="A65" t="s">
        <v>12</v>
      </c>
      <c r="C65" s="5">
        <v>48790.941226557334</v>
      </c>
      <c r="D65" s="5">
        <v>48790.941226557334</v>
      </c>
      <c r="E65" s="5">
        <v>48790.941226557334</v>
      </c>
      <c r="F65" s="5">
        <v>48790.941226557334</v>
      </c>
      <c r="G65" s="5">
        <v>48790.941226557334</v>
      </c>
      <c r="H65" s="5">
        <v>112171.58809980734</v>
      </c>
      <c r="I65" s="5">
        <v>175552.23497305735</v>
      </c>
      <c r="J65" s="5">
        <v>175552.23497305735</v>
      </c>
      <c r="K65" s="5">
        <v>175552.23497305735</v>
      </c>
      <c r="L65" s="5">
        <v>175552.23497305735</v>
      </c>
      <c r="M65" s="5">
        <v>175552.23497305735</v>
      </c>
      <c r="N65" s="5">
        <v>175552.23497305735</v>
      </c>
      <c r="O65" s="7">
        <v>1409439.7040709378</v>
      </c>
    </row>
    <row r="66" spans="1:15" ht="9.75" customHeight="1"/>
    <row r="67" spans="1:15" ht="12.75" hidden="1" customHeight="1"/>
    <row r="68" spans="1:15" ht="12.75" hidden="1" customHeight="1"/>
    <row r="69" spans="1:15" ht="12.75" hidden="1" customHeight="1">
      <c r="A69" s="30" t="s">
        <v>44</v>
      </c>
    </row>
    <row r="70" spans="1:15" ht="12.75" hidden="1" customHeight="1">
      <c r="B70" s="6">
        <v>202109</v>
      </c>
      <c r="C70" s="6">
        <v>202110</v>
      </c>
      <c r="D70" s="6">
        <v>202111</v>
      </c>
      <c r="E70" s="6">
        <v>202112</v>
      </c>
      <c r="F70" s="6">
        <v>202201</v>
      </c>
      <c r="G70" s="6">
        <v>202202</v>
      </c>
      <c r="H70" s="6">
        <v>202203</v>
      </c>
      <c r="I70" s="6">
        <v>202204</v>
      </c>
      <c r="J70" s="6">
        <v>202205</v>
      </c>
      <c r="K70" s="6">
        <v>202206</v>
      </c>
      <c r="L70" s="6">
        <v>202207</v>
      </c>
      <c r="M70" s="6">
        <v>202208</v>
      </c>
      <c r="N70" s="6">
        <v>202209</v>
      </c>
      <c r="O70" s="6" t="s">
        <v>9</v>
      </c>
    </row>
    <row r="71" spans="1:15" ht="12.75" hidden="1" customHeight="1">
      <c r="A71" t="s">
        <v>17</v>
      </c>
      <c r="B71" s="8">
        <f>+B38-B4</f>
        <v>-131316.25999999998</v>
      </c>
      <c r="C71" s="8">
        <f t="shared" ref="C71:N71" si="6">+C38-C4</f>
        <v>-131720.46</v>
      </c>
      <c r="D71" s="8">
        <f t="shared" si="6"/>
        <v>-134677.41999999998</v>
      </c>
      <c r="E71" s="8">
        <f t="shared" si="6"/>
        <v>-134677.41999999998</v>
      </c>
      <c r="F71" s="8">
        <f t="shared" si="6"/>
        <v>-134677.41999999998</v>
      </c>
      <c r="G71" s="8">
        <f t="shared" si="6"/>
        <v>-136908.29999999999</v>
      </c>
      <c r="H71" s="8">
        <f t="shared" si="6"/>
        <v>-137488.54999999999</v>
      </c>
      <c r="I71" s="8">
        <f t="shared" si="6"/>
        <v>-137488.54999999999</v>
      </c>
      <c r="J71" s="8">
        <f t="shared" si="6"/>
        <v>-137488.54999999999</v>
      </c>
      <c r="K71" s="8">
        <f t="shared" si="6"/>
        <v>-137488.54999999999</v>
      </c>
      <c r="L71" s="8">
        <f t="shared" si="6"/>
        <v>-137488.54999999999</v>
      </c>
      <c r="M71" s="8">
        <f t="shared" si="6"/>
        <v>-137488.54999999999</v>
      </c>
      <c r="N71" s="8">
        <f t="shared" si="6"/>
        <v>-137488.54999999999</v>
      </c>
      <c r="O71" s="26">
        <f>(((B71+N71)/2)+C71+D71+E71+F71+G71+H71+I71+J71+K71+L71+M71)/12</f>
        <v>-135999.5604166667</v>
      </c>
    </row>
    <row r="72" spans="1:15" ht="12.75" hidden="1" customHeight="1">
      <c r="A72" t="s">
        <v>13</v>
      </c>
      <c r="B72" s="8">
        <f>+B39-B5</f>
        <v>537838.21459199989</v>
      </c>
      <c r="C72" s="8">
        <f>+C39-C5</f>
        <v>535749.80578799988</v>
      </c>
      <c r="D72" s="8">
        <f>+D39-D5</f>
        <v>535749.80578799988</v>
      </c>
      <c r="E72" s="8">
        <f>+E39-E5</f>
        <v>578357.35993199982</v>
      </c>
      <c r="F72" s="8">
        <f>+F39-F5</f>
        <v>578357.35993199982</v>
      </c>
      <c r="G72" s="8">
        <f>+G39-G5</f>
        <v>573548.41599599982</v>
      </c>
      <c r="H72" s="8">
        <f>+H39-H5</f>
        <v>572237.93965199986</v>
      </c>
      <c r="I72" s="8">
        <f>+I39-I5</f>
        <v>572152.59452399984</v>
      </c>
      <c r="J72" s="8">
        <f>+J39-J5</f>
        <v>572152.59452399984</v>
      </c>
      <c r="K72" s="8">
        <f>+K39-K5</f>
        <v>572152.59452399984</v>
      </c>
      <c r="L72" s="8">
        <f>+L39-L5</f>
        <v>572152.59452399984</v>
      </c>
      <c r="M72" s="8">
        <f>+M39-M5</f>
        <v>572152.59452399984</v>
      </c>
      <c r="N72" s="8">
        <f>+N39-N5</f>
        <v>572152.59452399984</v>
      </c>
      <c r="O72" s="26">
        <f t="shared" ref="O72:O77" si="7">(((B72+N72)/2)+C72+D72+E72+F72+G72+H72+I72+J72+K72+L72+M72)/12</f>
        <v>565813.2553554998</v>
      </c>
    </row>
    <row r="73" spans="1:15" ht="12.75" hidden="1" customHeight="1">
      <c r="A73" t="s">
        <v>139</v>
      </c>
      <c r="B73" s="8">
        <f>+B40-B6</f>
        <v>856352.59090800025</v>
      </c>
      <c r="C73" s="8">
        <f>+C40-C6</f>
        <v>859878.11530800024</v>
      </c>
      <c r="D73" s="8">
        <f>+D40-D6</f>
        <v>859878.11530800024</v>
      </c>
      <c r="E73" s="8">
        <f>+E40-E6</f>
        <v>859878.11530800024</v>
      </c>
      <c r="F73" s="8">
        <f>+F40-F6</f>
        <v>859878.11530800024</v>
      </c>
      <c r="G73" s="8">
        <f>+G40-G6</f>
        <v>859878.11530800024</v>
      </c>
      <c r="H73" s="8">
        <f>+H40-H6</f>
        <v>859878.11530800024</v>
      </c>
      <c r="I73" s="8">
        <f>+I40-I6</f>
        <v>859878.11530800024</v>
      </c>
      <c r="J73" s="8">
        <f>+J40-J6</f>
        <v>859878.11530800024</v>
      </c>
      <c r="K73" s="8">
        <f>+K40-K6</f>
        <v>859878.11530800024</v>
      </c>
      <c r="L73" s="8">
        <f>+L40-L6</f>
        <v>859878.11530800024</v>
      </c>
      <c r="M73" s="8">
        <f>+M40-M6</f>
        <v>859878.11530800024</v>
      </c>
      <c r="N73" s="8">
        <f>+N40-N6</f>
        <v>859878.11530800024</v>
      </c>
      <c r="O73" s="26">
        <f t="shared" si="7"/>
        <v>859731.21845799999</v>
      </c>
    </row>
    <row r="74" spans="1:15" ht="12.75" hidden="1" customHeight="1">
      <c r="A74" t="s">
        <v>144</v>
      </c>
      <c r="B74" s="8">
        <f>+B41-B7</f>
        <v>-778055.45577799994</v>
      </c>
      <c r="C74" s="8">
        <f>+C41-C7</f>
        <v>-804532.39345399989</v>
      </c>
      <c r="D74" s="8">
        <f>+D41-D7</f>
        <v>-804532.39345399989</v>
      </c>
      <c r="E74" s="8">
        <f>+E41-E7</f>
        <v>-804532.39345399989</v>
      </c>
      <c r="F74" s="8">
        <f>+F41-F7</f>
        <v>-804532.39345399989</v>
      </c>
      <c r="G74" s="8">
        <f>+G41-G7</f>
        <v>-804532.39345399989</v>
      </c>
      <c r="H74" s="8">
        <f>+H41-H7</f>
        <v>-804532.39345399989</v>
      </c>
      <c r="I74" s="8">
        <f>+I41-I7</f>
        <v>-804532.39345399989</v>
      </c>
      <c r="J74" s="8">
        <f>+J41-J7</f>
        <v>-804532.39345399989</v>
      </c>
      <c r="K74" s="8">
        <f>+K41-K7</f>
        <v>-804532.39345399989</v>
      </c>
      <c r="L74" s="8">
        <f>+L41-L7</f>
        <v>-804532.39345399989</v>
      </c>
      <c r="M74" s="8">
        <f>+M41-M7</f>
        <v>-804532.39345399989</v>
      </c>
      <c r="N74" s="8">
        <f>+N41-N7</f>
        <v>-804532.39345399989</v>
      </c>
      <c r="O74" s="26">
        <f t="shared" si="7"/>
        <v>-803429.18771750014</v>
      </c>
    </row>
    <row r="75" spans="1:15" ht="12.75" hidden="1" customHeight="1">
      <c r="A75" t="s">
        <v>137</v>
      </c>
      <c r="B75" s="8">
        <f>+B42-B8</f>
        <v>-1629668.0550500907</v>
      </c>
      <c r="C75" s="8">
        <f>+C42-C8</f>
        <v>-1633493.8193124474</v>
      </c>
      <c r="D75" s="8">
        <f>+D42-D8</f>
        <v>-1636033.7884781105</v>
      </c>
      <c r="E75" s="8">
        <f>+E42-E8</f>
        <v>-1683146.6790645442</v>
      </c>
      <c r="F75" s="8">
        <f>+F42-F8</f>
        <v>-1684376.6153673478</v>
      </c>
      <c r="G75" s="8">
        <f>+G42-G8</f>
        <v>-1685732.1023034016</v>
      </c>
      <c r="H75" s="8">
        <f>+H42-H8</f>
        <v>-1690903.530308391</v>
      </c>
      <c r="I75" s="8">
        <f>+I42-I8</f>
        <v>-1695445.5407523178</v>
      </c>
      <c r="J75" s="8">
        <f>+J42-J8</f>
        <v>-1697095.7512861162</v>
      </c>
      <c r="K75" s="8">
        <f>+K42-K8</f>
        <v>-1698009.8416775528</v>
      </c>
      <c r="L75" s="8">
        <f>+L42-L8</f>
        <v>-1698300.2794233582</v>
      </c>
      <c r="M75" s="8">
        <f>+M42-M8</f>
        <v>-1698590.7171691635</v>
      </c>
      <c r="N75" s="8">
        <f>+N42-N8</f>
        <v>-1698590.7171691635</v>
      </c>
      <c r="O75" s="26">
        <f t="shared" si="7"/>
        <v>-1680438.1709376981</v>
      </c>
    </row>
    <row r="76" spans="1:15" ht="12.75" hidden="1" customHeight="1">
      <c r="A76" t="s">
        <v>146</v>
      </c>
      <c r="B76" s="8">
        <f>+B43-B9</f>
        <v>-245185.93277860616</v>
      </c>
      <c r="C76" s="8">
        <f>+C43-C9</f>
        <v>-245185.93277860616</v>
      </c>
      <c r="D76" s="8">
        <f>+D43-D9</f>
        <v>-245185.93277860616</v>
      </c>
      <c r="E76" s="8">
        <f>+E43-E9</f>
        <v>-245185.93277860616</v>
      </c>
      <c r="F76" s="8">
        <f>+F43-F9</f>
        <v>-245185.93277860616</v>
      </c>
      <c r="G76" s="8">
        <f>+G43-G9</f>
        <v>-245185.93277860616</v>
      </c>
      <c r="H76" s="8">
        <f>+H43-H9</f>
        <v>-335694.53634960612</v>
      </c>
      <c r="I76" s="8">
        <f>+I43-I9</f>
        <v>-340184.24357360613</v>
      </c>
      <c r="J76" s="8">
        <f>+J43-J9</f>
        <v>-347068.55655960611</v>
      </c>
      <c r="K76" s="8">
        <f>+K43-K9</f>
        <v>-393663.87951160612</v>
      </c>
      <c r="L76" s="8">
        <f>+L43-L9</f>
        <v>-408468.80546863558</v>
      </c>
      <c r="M76" s="8">
        <f>+M43-M9</f>
        <v>-423273.73142566503</v>
      </c>
      <c r="N76" s="8">
        <f>+N43-N9</f>
        <v>-423273.73142566503</v>
      </c>
      <c r="O76" s="26">
        <f t="shared" si="7"/>
        <v>-317376.1040736576</v>
      </c>
    </row>
    <row r="77" spans="1:15" ht="12.75" hidden="1" customHeight="1">
      <c r="A77" t="s">
        <v>19</v>
      </c>
      <c r="B77" s="8">
        <f>+B44-B10</f>
        <v>-289487.77343638241</v>
      </c>
      <c r="C77" s="8">
        <f>+C44-C10</f>
        <v>-292496.78980438225</v>
      </c>
      <c r="D77" s="8">
        <f>+D44-D10</f>
        <v>-303353.15350438235</v>
      </c>
      <c r="E77" s="8">
        <f>+E44-E10</f>
        <v>-304211.35712038213</v>
      </c>
      <c r="F77" s="8">
        <f>+F44-F10</f>
        <v>-304211.35712038213</v>
      </c>
      <c r="G77" s="8">
        <f>+G44-G10</f>
        <v>-304211.35712038213</v>
      </c>
      <c r="H77" s="8">
        <f>+H44-H10</f>
        <v>702204.84420261905</v>
      </c>
      <c r="I77" s="8">
        <f>+I44-I10</f>
        <v>362966.08277561888</v>
      </c>
      <c r="J77" s="8">
        <f>+J44-J10</f>
        <v>72952.728149618953</v>
      </c>
      <c r="K77" s="8">
        <f>+K44-K10</f>
        <v>-69326.744572380558</v>
      </c>
      <c r="L77" s="8">
        <f>+L44-L10</f>
        <v>-114533.79380829446</v>
      </c>
      <c r="M77" s="8">
        <f>+M44-M10</f>
        <v>-159740.84304420836</v>
      </c>
      <c r="N77" s="8">
        <f>+N44-N10</f>
        <v>-159740.84304420836</v>
      </c>
      <c r="O77" s="26">
        <f t="shared" si="7"/>
        <v>-78214.670767269403</v>
      </c>
    </row>
    <row r="78" spans="1:15" ht="13.5" hidden="1" customHeight="1" thickBot="1">
      <c r="A78" t="s">
        <v>7</v>
      </c>
      <c r="B78" s="5">
        <f>+B45-B11</f>
        <v>-1679522.6715430794</v>
      </c>
      <c r="C78" s="5">
        <f t="shared" ref="C78:N78" si="8">+C45-C11</f>
        <v>-1711801.4742534356</v>
      </c>
      <c r="D78" s="5">
        <f t="shared" si="8"/>
        <v>-1728154.7671190985</v>
      </c>
      <c r="E78" s="5">
        <f t="shared" si="8"/>
        <v>-1733518.3071775325</v>
      </c>
      <c r="F78" s="5">
        <f t="shared" si="8"/>
        <v>-1734748.2434803359</v>
      </c>
      <c r="G78" s="5">
        <f t="shared" si="8"/>
        <v>-1743143.5543523896</v>
      </c>
      <c r="H78" s="5">
        <f t="shared" si="8"/>
        <v>-834298.1109493766</v>
      </c>
      <c r="I78" s="5">
        <f t="shared" si="8"/>
        <v>-1182653.9351723045</v>
      </c>
      <c r="J78" s="5">
        <f t="shared" si="8"/>
        <v>-1481201.8133181036</v>
      </c>
      <c r="K78" s="5">
        <f t="shared" si="8"/>
        <v>-1670990.6993835401</v>
      </c>
      <c r="L78" s="5">
        <f t="shared" si="8"/>
        <v>-1731293.1123222876</v>
      </c>
      <c r="M78" s="5">
        <f t="shared" si="8"/>
        <v>-1791595.5252610371</v>
      </c>
      <c r="N78" s="5">
        <f t="shared" si="8"/>
        <v>-1791595.5252610371</v>
      </c>
      <c r="O78" s="7">
        <f>SUM(O71:O77)</f>
        <v>-1589913.2200992922</v>
      </c>
    </row>
    <row r="79" spans="1:15" ht="12.75" hidden="1" customHeight="1"/>
    <row r="80" spans="1:15" ht="12.75" hidden="1" customHeight="1">
      <c r="A80" t="s">
        <v>17</v>
      </c>
      <c r="B80" s="8">
        <f>+B47-B13</f>
        <v>1051.5874074999999</v>
      </c>
      <c r="C80" s="8">
        <f t="shared" ref="C80:N80" si="9">+C47-C13</f>
        <v>1320.1040591666665</v>
      </c>
      <c r="D80" s="8">
        <f t="shared" si="9"/>
        <v>1592.0518949999998</v>
      </c>
      <c r="E80" s="8">
        <f t="shared" si="9"/>
        <v>1867.0182941666665</v>
      </c>
      <c r="F80" s="8">
        <f t="shared" si="9"/>
        <v>2141.9846933333329</v>
      </c>
      <c r="G80" s="8">
        <f t="shared" si="9"/>
        <v>2419.228449166666</v>
      </c>
      <c r="H80" s="8">
        <f t="shared" si="9"/>
        <v>2699.3419002083328</v>
      </c>
      <c r="I80" s="8">
        <f t="shared" si="9"/>
        <v>2980.047689791666</v>
      </c>
      <c r="J80" s="8">
        <f t="shared" si="9"/>
        <v>3260.7534793749992</v>
      </c>
      <c r="K80" s="8">
        <f t="shared" si="9"/>
        <v>3541.4592689583324</v>
      </c>
      <c r="L80" s="8">
        <f t="shared" si="9"/>
        <v>3822.1650585416655</v>
      </c>
      <c r="M80" s="8">
        <f t="shared" si="9"/>
        <v>4102.8708481249987</v>
      </c>
      <c r="N80" s="8">
        <f t="shared" si="9"/>
        <v>4383.5766377083319</v>
      </c>
      <c r="O80" s="27">
        <f t="shared" ref="O80:O86" si="10">(((B80+N80)/2)+C80+D80+E80+F80+G80+H80+I80+J80+K80+L80+M80)/12</f>
        <v>2705.3839715364579</v>
      </c>
    </row>
    <row r="81" spans="1:15" ht="12.75" hidden="1" customHeight="1">
      <c r="A81" t="s">
        <v>13</v>
      </c>
      <c r="B81" s="8">
        <f>+B48-B14</f>
        <v>-11828.006008565699</v>
      </c>
      <c r="C81" s="8">
        <f>+C48-C14</f>
        <v>-12749.5023927252</v>
      </c>
      <c r="D81" s="8">
        <f>+D48-D14</f>
        <v>-13669.206225994601</v>
      </c>
      <c r="E81" s="8">
        <f>+E48-E14</f>
        <v>-14625.481543237602</v>
      </c>
      <c r="F81" s="8">
        <f>+F48-F14</f>
        <v>-15618.328344454203</v>
      </c>
      <c r="G81" s="8">
        <f>+G48-G14</f>
        <v>-16607.047468792403</v>
      </c>
      <c r="H81" s="8">
        <f>+H48-H14</f>
        <v>-17590.514090723605</v>
      </c>
      <c r="I81" s="8">
        <f>+I48-I14</f>
        <v>-18572.782632558003</v>
      </c>
      <c r="J81" s="8">
        <f>+J48-J14</f>
        <v>-19554.977919824203</v>
      </c>
      <c r="K81" s="8">
        <f>+K48-K14</f>
        <v>-20537.173207090404</v>
      </c>
      <c r="L81" s="8">
        <f>+L48-L14</f>
        <v>-21519.368494356608</v>
      </c>
      <c r="M81" s="8">
        <f>+M48-M14</f>
        <v>-22501.563781622808</v>
      </c>
      <c r="N81" s="8">
        <f>+N48-N14</f>
        <v>-23483.759068889009</v>
      </c>
      <c r="O81" s="27">
        <f t="shared" si="10"/>
        <v>-17600.152386675582</v>
      </c>
    </row>
    <row r="82" spans="1:15" ht="12.75" hidden="1" customHeight="1">
      <c r="A82" t="s">
        <v>139</v>
      </c>
      <c r="B82" s="8">
        <f>+B49-B15</f>
        <v>-13731.960863873996</v>
      </c>
      <c r="C82" s="8">
        <f>+C49-C15</f>
        <v>-15305.172344571991</v>
      </c>
      <c r="D82" s="8">
        <f>+D49-D15</f>
        <v>-16881.615555969991</v>
      </c>
      <c r="E82" s="8">
        <f>+E49-E15</f>
        <v>-18458.058767367991</v>
      </c>
      <c r="F82" s="8">
        <f>+F49-F15</f>
        <v>-20034.501978765999</v>
      </c>
      <c r="G82" s="8">
        <f>+G49-G15</f>
        <v>-21610.945190163999</v>
      </c>
      <c r="H82" s="8">
        <f>+H49-H15</f>
        <v>-23187.388401561999</v>
      </c>
      <c r="I82" s="8">
        <f>+I49-I15</f>
        <v>-24763.831612959999</v>
      </c>
      <c r="J82" s="8">
        <f>+J49-J15</f>
        <v>-26340.274824357999</v>
      </c>
      <c r="K82" s="8">
        <f>+K49-K15</f>
        <v>-27916.718035755999</v>
      </c>
      <c r="L82" s="8">
        <f>+L49-L15</f>
        <v>-29493.161247153999</v>
      </c>
      <c r="M82" s="8">
        <f>+M49-M15</f>
        <v>-31069.604458551999</v>
      </c>
      <c r="N82" s="8">
        <f>+N49-N15</f>
        <v>-32646.04766995</v>
      </c>
      <c r="O82" s="27">
        <f t="shared" si="10"/>
        <v>-23187.523057007831</v>
      </c>
    </row>
    <row r="83" spans="1:15" ht="12.75" hidden="1" customHeight="1">
      <c r="A83" t="s">
        <v>144</v>
      </c>
      <c r="B83" s="8">
        <f>+B50-B16</f>
        <v>16729.187095631067</v>
      </c>
      <c r="C83" s="8">
        <f>+C50-C16</f>
        <v>19076.692405325201</v>
      </c>
      <c r="D83" s="8">
        <f>+D50-D16</f>
        <v>21463.471839238733</v>
      </c>
      <c r="E83" s="8">
        <f>+E50-E16</f>
        <v>23850.251273152266</v>
      </c>
      <c r="F83" s="8">
        <f>+F50-F16</f>
        <v>26237.030707065798</v>
      </c>
      <c r="G83" s="8">
        <f>+G50-G16</f>
        <v>28623.810140979331</v>
      </c>
      <c r="H83" s="8">
        <f>+H50-H16</f>
        <v>31010.589574892863</v>
      </c>
      <c r="I83" s="8">
        <f>+I50-I16</f>
        <v>33397.369008806396</v>
      </c>
      <c r="J83" s="8">
        <f>+J50-J16</f>
        <v>35784.148442719932</v>
      </c>
      <c r="K83" s="8">
        <f>+K50-K16</f>
        <v>38170.927876633468</v>
      </c>
      <c r="L83" s="8">
        <f>+L50-L16</f>
        <v>40557.707310547004</v>
      </c>
      <c r="M83" s="8">
        <f>+M50-M16</f>
        <v>42944.486744460541</v>
      </c>
      <c r="N83" s="8">
        <f>+N50-N16</f>
        <v>45331.266178374077</v>
      </c>
      <c r="O83" s="27">
        <f t="shared" si="10"/>
        <v>31012.225996735342</v>
      </c>
    </row>
    <row r="84" spans="1:15" ht="12.75" hidden="1" customHeight="1">
      <c r="A84" t="s">
        <v>137</v>
      </c>
      <c r="B84" s="8">
        <f>+B51-B17</f>
        <v>36433.960020136008</v>
      </c>
      <c r="C84" s="8">
        <f>+C51-C17</f>
        <v>41587.036480066847</v>
      </c>
      <c r="D84" s="8">
        <f>+D51-D17</f>
        <v>46750.165494036104</v>
      </c>
      <c r="E84" s="8">
        <f>+E51-E17</f>
        <v>51991.704649030544</v>
      </c>
      <c r="F84" s="8">
        <f>+F51-F17</f>
        <v>57309.585184820906</v>
      </c>
      <c r="G84" s="8">
        <f>+G51-G17</f>
        <v>62631.548534809299</v>
      </c>
      <c r="H84" s="8">
        <f>+H51-H17</f>
        <v>67963.818971308749</v>
      </c>
      <c r="I84" s="8">
        <f>+I51-I17</f>
        <v>73311.428546025447</v>
      </c>
      <c r="J84" s="8">
        <f>+J51-J17</f>
        <v>78668.816669702806</v>
      </c>
      <c r="K84" s="8">
        <f>+K51-K17</f>
        <v>84030.254251924605</v>
      </c>
      <c r="L84" s="8">
        <f>+L51-L17</f>
        <v>89393.5939848298</v>
      </c>
      <c r="M84" s="8">
        <f>+M51-M17</f>
        <v>94757.851016948829</v>
      </c>
      <c r="N84" s="8">
        <f>+N51-N17</f>
        <v>100122.56669867477</v>
      </c>
      <c r="O84" s="27">
        <f t="shared" si="10"/>
        <v>68056.172261909102</v>
      </c>
    </row>
    <row r="85" spans="1:15" ht="12.75" hidden="1" customHeight="1">
      <c r="A85" t="s">
        <v>146</v>
      </c>
      <c r="B85" s="8">
        <f>+B52-B18</f>
        <v>31665.113059563995</v>
      </c>
      <c r="C85" s="8">
        <f>+C52-C18</f>
        <v>35736.521919025763</v>
      </c>
      <c r="D85" s="8">
        <f>+D52-D18</f>
        <v>39822.954132002531</v>
      </c>
      <c r="E85" s="8">
        <f>+E52-E18</f>
        <v>43909.386344979299</v>
      </c>
      <c r="F85" s="8">
        <f>+F52-F18</f>
        <v>47995.818557956067</v>
      </c>
      <c r="G85" s="8">
        <f>+G52-G18</f>
        <v>52082.250770932835</v>
      </c>
      <c r="H85" s="8">
        <f>+H52-H18</f>
        <v>56922.921347001269</v>
      </c>
      <c r="I85" s="8">
        <f>+I52-I18</f>
        <v>61046.767786844706</v>
      </c>
      <c r="J85" s="8">
        <f>+J52-J18</f>
        <v>66699.046000888135</v>
      </c>
      <c r="K85" s="8">
        <f>+K52-K18</f>
        <v>72757.077751714911</v>
      </c>
      <c r="L85" s="8">
        <f>+L52-L18</f>
        <v>78664.928077350254</v>
      </c>
      <c r="M85" s="8">
        <f>+M52-M18</f>
        <v>85349.367118852271</v>
      </c>
      <c r="N85" s="8">
        <f>+N52-N18</f>
        <v>92157.180543329538</v>
      </c>
      <c r="O85" s="27">
        <f t="shared" si="10"/>
        <v>58574.848884082901</v>
      </c>
    </row>
    <row r="86" spans="1:15" ht="12.75" hidden="1" customHeight="1">
      <c r="A86" t="s">
        <v>19</v>
      </c>
      <c r="B86" s="8">
        <f>+B53-B19</f>
        <v>-306075.72453047259</v>
      </c>
      <c r="C86" s="8">
        <f>+C53-C19</f>
        <v>-301225.8531701329</v>
      </c>
      <c r="D86" s="8">
        <f>+D53-D19</f>
        <v>-296260.43697589322</v>
      </c>
      <c r="E86" s="8">
        <f>+E53-E19</f>
        <v>-291197.39938735357</v>
      </c>
      <c r="F86" s="8">
        <f>+F53-F19</f>
        <v>-286127.21010201389</v>
      </c>
      <c r="G86" s="8">
        <f>+G53-G19</f>
        <v>-281057.02081667422</v>
      </c>
      <c r="H86" s="8">
        <f>+H53-H19</f>
        <v>-284373.6332090263</v>
      </c>
      <c r="I86" s="8">
        <f>+I53-I19</f>
        <v>-293250.0576005117</v>
      </c>
      <c r="J86" s="8">
        <f>+J53-J19</f>
        <v>-296882.71435822197</v>
      </c>
      <c r="K86" s="8">
        <f>+K53-K19</f>
        <v>-296912.93088803219</v>
      </c>
      <c r="L86" s="8">
        <f>+L53-L19</f>
        <v>-295380.75973485992</v>
      </c>
      <c r="M86" s="8">
        <f>+M53-M19</f>
        <v>-293095.13776108902</v>
      </c>
      <c r="N86" s="8">
        <f>+N53-N19</f>
        <v>-290432.79037701874</v>
      </c>
      <c r="O86" s="27">
        <f t="shared" si="10"/>
        <v>-292834.78428812954</v>
      </c>
    </row>
    <row r="87" spans="1:15" ht="13.5" hidden="1" customHeight="1" thickBot="1">
      <c r="A87" t="s">
        <v>10</v>
      </c>
      <c r="B87" s="5">
        <f>+B54-B20</f>
        <v>-245755.84382008121</v>
      </c>
      <c r="C87" s="5">
        <f t="shared" ref="C87:N87" si="11">+C54-C20</f>
        <v>-231560.17304384563</v>
      </c>
      <c r="D87" s="5">
        <f t="shared" si="11"/>
        <v>-217182.61539758049</v>
      </c>
      <c r="E87" s="5">
        <f t="shared" si="11"/>
        <v>-202662.5791366304</v>
      </c>
      <c r="F87" s="5">
        <f t="shared" si="11"/>
        <v>-188095.62128205795</v>
      </c>
      <c r="G87" s="5">
        <f t="shared" si="11"/>
        <v>-173518.17557974241</v>
      </c>
      <c r="H87" s="5">
        <f t="shared" si="11"/>
        <v>-166554.86390790076</v>
      </c>
      <c r="I87" s="5">
        <f t="shared" si="11"/>
        <v>-165851.05881456158</v>
      </c>
      <c r="J87" s="5">
        <f t="shared" si="11"/>
        <v>-158365.20250971825</v>
      </c>
      <c r="K87" s="5">
        <f t="shared" si="11"/>
        <v>-146867.10298164748</v>
      </c>
      <c r="L87" s="5">
        <f t="shared" si="11"/>
        <v>-133954.89504510164</v>
      </c>
      <c r="M87" s="5">
        <f t="shared" si="11"/>
        <v>-119511.73027287726</v>
      </c>
      <c r="N87" s="5">
        <f t="shared" si="11"/>
        <v>-104568.00705777109</v>
      </c>
      <c r="O87" s="7">
        <f>SUM(O80:O86)</f>
        <v>-173273.82861754915</v>
      </c>
    </row>
    <row r="88" spans="1:15" ht="12.75" hidden="1" customHeight="1"/>
    <row r="89" spans="1:15" ht="12.75" hidden="1" customHeight="1">
      <c r="A89" t="s">
        <v>11</v>
      </c>
      <c r="B89" s="8">
        <f t="shared" ref="B89:N89" si="12">+B56-B22</f>
        <v>-43975.019806358439</v>
      </c>
      <c r="C89" s="8">
        <f t="shared" si="12"/>
        <v>-50046.606099618424</v>
      </c>
      <c r="D89" s="8">
        <f t="shared" si="12"/>
        <v>-56156.388635584532</v>
      </c>
      <c r="E89" s="8">
        <f t="shared" si="12"/>
        <v>-62296.091680634563</v>
      </c>
      <c r="F89" s="8">
        <f t="shared" si="12"/>
        <v>-76938.912532673625</v>
      </c>
      <c r="G89" s="8">
        <f t="shared" si="12"/>
        <v>-91583.935832738731</v>
      </c>
      <c r="H89" s="8">
        <f t="shared" si="12"/>
        <v>-104629.9909864043</v>
      </c>
      <c r="I89" s="8">
        <f t="shared" si="12"/>
        <v>-116361.54975858436</v>
      </c>
      <c r="J89" s="8">
        <f t="shared" si="12"/>
        <v>-129517.33928518023</v>
      </c>
      <c r="K89" s="8">
        <f t="shared" si="12"/>
        <v>-143515.69988865405</v>
      </c>
      <c r="L89" s="8">
        <f t="shared" si="12"/>
        <v>-157811.02325790742</v>
      </c>
      <c r="M89" s="8">
        <f t="shared" si="12"/>
        <v>-172427.84756265336</v>
      </c>
      <c r="N89" s="8">
        <f t="shared" si="12"/>
        <v>-187149.78914040455</v>
      </c>
      <c r="O89" s="15">
        <f>(((B89+N89)/2)+C89+D89+E89+F89+G89+H89+I89+J89+K89+L89+M89)/12</f>
        <v>-106403.98249950125</v>
      </c>
    </row>
    <row r="90" spans="1:15" ht="12.75" hidden="1" customHeight="1"/>
    <row r="91" spans="1:15" ht="12.75" hidden="1" customHeight="1">
      <c r="A91" t="s">
        <v>17</v>
      </c>
      <c r="C91" s="8">
        <f>+C58-C25</f>
        <v>-268.51665166666663</v>
      </c>
      <c r="D91" s="8">
        <f t="shared" ref="D91:N91" si="13">+D58-D25</f>
        <v>-271.94783583333339</v>
      </c>
      <c r="E91" s="8">
        <f t="shared" si="13"/>
        <v>-274.96639916666663</v>
      </c>
      <c r="F91" s="8">
        <f t="shared" si="13"/>
        <v>-274.96639916666663</v>
      </c>
      <c r="G91" s="8">
        <f t="shared" si="13"/>
        <v>-277.2437558333333</v>
      </c>
      <c r="H91" s="8">
        <f t="shared" si="13"/>
        <v>-280.11345104166668</v>
      </c>
      <c r="I91" s="8">
        <f t="shared" si="13"/>
        <v>-280.70578958333334</v>
      </c>
      <c r="J91" s="8">
        <f t="shared" si="13"/>
        <v>-280.70578958333334</v>
      </c>
      <c r="K91" s="8">
        <f t="shared" si="13"/>
        <v>-280.70578958333334</v>
      </c>
      <c r="L91" s="8">
        <f t="shared" si="13"/>
        <v>-280.70578958333334</v>
      </c>
      <c r="M91" s="8">
        <f t="shared" si="13"/>
        <v>-280.70578958333334</v>
      </c>
      <c r="N91" s="8">
        <f t="shared" si="13"/>
        <v>-280.70578958333334</v>
      </c>
      <c r="O91" s="3">
        <f>SUM(C91:N91)</f>
        <v>-3331.9892302083326</v>
      </c>
    </row>
    <row r="92" spans="1:15" ht="12.75" hidden="1" customHeight="1">
      <c r="A92" t="s">
        <v>13</v>
      </c>
      <c r="C92" s="8">
        <f t="shared" ref="C92:N97" si="14">+C59-C26</f>
        <v>921.49638415949983</v>
      </c>
      <c r="D92" s="8">
        <f t="shared" si="14"/>
        <v>919.70383326939987</v>
      </c>
      <c r="E92" s="8">
        <f t="shared" si="14"/>
        <v>956.27531724299968</v>
      </c>
      <c r="F92" s="8">
        <f t="shared" si="14"/>
        <v>992.84680121659983</v>
      </c>
      <c r="G92" s="8">
        <f t="shared" si="14"/>
        <v>988.71912433819978</v>
      </c>
      <c r="H92" s="8">
        <f t="shared" si="14"/>
        <v>983.4666219311996</v>
      </c>
      <c r="I92" s="8">
        <f t="shared" si="14"/>
        <v>982.26854183439968</v>
      </c>
      <c r="J92" s="8">
        <f t="shared" si="14"/>
        <v>982.19528726619978</v>
      </c>
      <c r="K92" s="8">
        <f t="shared" si="14"/>
        <v>982.19528726619978</v>
      </c>
      <c r="L92" s="8">
        <f t="shared" si="14"/>
        <v>982.19528726619978</v>
      </c>
      <c r="M92" s="8">
        <f t="shared" si="14"/>
        <v>982.19528726619978</v>
      </c>
      <c r="N92" s="8">
        <f t="shared" si="14"/>
        <v>982.19528726619978</v>
      </c>
      <c r="O92" s="3">
        <f t="shared" ref="O92:O97" si="15">SUM(C92:N92)</f>
        <v>11655.753060323299</v>
      </c>
    </row>
    <row r="93" spans="1:15" ht="12.75" hidden="1" customHeight="1">
      <c r="A93" t="s">
        <v>139</v>
      </c>
      <c r="C93" s="8">
        <f t="shared" si="14"/>
        <v>1573.2114806980003</v>
      </c>
      <c r="D93" s="8">
        <f t="shared" si="14"/>
        <v>1576.4432113980006</v>
      </c>
      <c r="E93" s="8">
        <f t="shared" si="14"/>
        <v>1576.4432113980006</v>
      </c>
      <c r="F93" s="8">
        <f t="shared" si="14"/>
        <v>1576.4432113980006</v>
      </c>
      <c r="G93" s="8">
        <f t="shared" si="14"/>
        <v>1576.4432113980006</v>
      </c>
      <c r="H93" s="8">
        <f t="shared" si="14"/>
        <v>1576.4432113980006</v>
      </c>
      <c r="I93" s="8">
        <f t="shared" si="14"/>
        <v>1576.4432113980006</v>
      </c>
      <c r="J93" s="8">
        <f t="shared" si="14"/>
        <v>1576.4432113980006</v>
      </c>
      <c r="K93" s="8">
        <f t="shared" si="14"/>
        <v>1576.4432113980006</v>
      </c>
      <c r="L93" s="8">
        <f t="shared" si="14"/>
        <v>1576.4432113980006</v>
      </c>
      <c r="M93" s="8">
        <f t="shared" si="14"/>
        <v>1576.4432113980006</v>
      </c>
      <c r="N93" s="8">
        <f t="shared" si="14"/>
        <v>1576.4432113980006</v>
      </c>
      <c r="O93" s="3">
        <f t="shared" si="15"/>
        <v>18914.086806076004</v>
      </c>
    </row>
    <row r="94" spans="1:15" ht="12.75" hidden="1" customHeight="1">
      <c r="A94" t="s">
        <v>144</v>
      </c>
      <c r="C94" s="8">
        <f t="shared" si="14"/>
        <v>-2347.5053096941333</v>
      </c>
      <c r="D94" s="8">
        <f t="shared" si="14"/>
        <v>-2386.779433913533</v>
      </c>
      <c r="E94" s="8">
        <f t="shared" si="14"/>
        <v>-2386.779433913533</v>
      </c>
      <c r="F94" s="8">
        <f t="shared" si="14"/>
        <v>-2386.779433913533</v>
      </c>
      <c r="G94" s="8">
        <f t="shared" si="14"/>
        <v>-2386.779433913533</v>
      </c>
      <c r="H94" s="8">
        <f t="shared" si="14"/>
        <v>-2386.779433913533</v>
      </c>
      <c r="I94" s="8">
        <f t="shared" si="14"/>
        <v>-2386.779433913533</v>
      </c>
      <c r="J94" s="8">
        <f t="shared" si="14"/>
        <v>-2386.779433913533</v>
      </c>
      <c r="K94" s="8">
        <f t="shared" si="14"/>
        <v>-2386.779433913533</v>
      </c>
      <c r="L94" s="8">
        <f t="shared" si="14"/>
        <v>-2386.779433913533</v>
      </c>
      <c r="M94" s="8">
        <f t="shared" si="14"/>
        <v>-2386.779433913533</v>
      </c>
      <c r="N94" s="8">
        <f t="shared" si="14"/>
        <v>-2386.779433913533</v>
      </c>
      <c r="O94" s="3">
        <f t="shared" si="15"/>
        <v>-28602.079082742992</v>
      </c>
    </row>
    <row r="95" spans="1:15" ht="12.75" hidden="1" customHeight="1">
      <c r="A95" t="s">
        <v>137</v>
      </c>
      <c r="C95" s="8">
        <f t="shared" si="14"/>
        <v>-5153.0764599308413</v>
      </c>
      <c r="D95" s="8">
        <f t="shared" si="14"/>
        <v>-5163.1290139692564</v>
      </c>
      <c r="E95" s="8">
        <f t="shared" si="14"/>
        <v>-5241.5391549944425</v>
      </c>
      <c r="F95" s="8">
        <f t="shared" si="14"/>
        <v>-5317.8805357903639</v>
      </c>
      <c r="G95" s="8">
        <f t="shared" si="14"/>
        <v>-5321.9633499883921</v>
      </c>
      <c r="H95" s="8">
        <f t="shared" si="14"/>
        <v>-5332.2704364994561</v>
      </c>
      <c r="I95" s="8">
        <f t="shared" si="14"/>
        <v>-5347.6095747167028</v>
      </c>
      <c r="J95" s="8">
        <f t="shared" si="14"/>
        <v>-5357.3881236773614</v>
      </c>
      <c r="K95" s="8">
        <f t="shared" si="14"/>
        <v>-5361.4375822217944</v>
      </c>
      <c r="L95" s="8">
        <f t="shared" si="14"/>
        <v>-5363.3397329051886</v>
      </c>
      <c r="M95" s="8">
        <f t="shared" si="14"/>
        <v>-5364.2570321190242</v>
      </c>
      <c r="N95" s="8">
        <f t="shared" si="14"/>
        <v>-5364.715681725942</v>
      </c>
      <c r="O95" s="3">
        <f t="shared" si="15"/>
        <v>-63688.606678538767</v>
      </c>
    </row>
    <row r="96" spans="1:15" ht="12.75" hidden="1" customHeight="1">
      <c r="A96" t="s">
        <v>146</v>
      </c>
      <c r="C96" s="8">
        <f t="shared" si="14"/>
        <v>-4071.4088594617697</v>
      </c>
      <c r="D96" s="8">
        <f t="shared" si="14"/>
        <v>-4086.4322129767697</v>
      </c>
      <c r="E96" s="8">
        <f t="shared" si="14"/>
        <v>-4086.4322129767697</v>
      </c>
      <c r="F96" s="8">
        <f t="shared" si="14"/>
        <v>-4086.4322129767697</v>
      </c>
      <c r="G96" s="8">
        <f t="shared" si="14"/>
        <v>-4086.4322129767697</v>
      </c>
      <c r="H96" s="8">
        <f t="shared" si="14"/>
        <v>-4840.6705760684363</v>
      </c>
      <c r="I96" s="8">
        <f t="shared" si="14"/>
        <v>-4123.8464398434362</v>
      </c>
      <c r="J96" s="8">
        <f t="shared" si="14"/>
        <v>-5652.2782140434356</v>
      </c>
      <c r="K96" s="8">
        <f t="shared" si="14"/>
        <v>-6058.031750826769</v>
      </c>
      <c r="L96" s="8">
        <f t="shared" si="14"/>
        <v>-5907.850325635347</v>
      </c>
      <c r="M96" s="8">
        <f t="shared" si="14"/>
        <v>-6684.4390415020143</v>
      </c>
      <c r="N96" s="8">
        <f t="shared" si="14"/>
        <v>-6807.81342447726</v>
      </c>
      <c r="O96" s="3">
        <f t="shared" si="15"/>
        <v>-60492.067483765546</v>
      </c>
    </row>
    <row r="97" spans="1:17" ht="12.75" hidden="1" customHeight="1">
      <c r="A97" t="s">
        <v>19</v>
      </c>
      <c r="C97" s="8">
        <f t="shared" si="14"/>
        <v>-4849.8713603397046</v>
      </c>
      <c r="D97" s="8">
        <f t="shared" si="14"/>
        <v>-4965.4161942397041</v>
      </c>
      <c r="E97" s="8">
        <f t="shared" si="14"/>
        <v>-5063.0375885397007</v>
      </c>
      <c r="F97" s="8">
        <f t="shared" si="14"/>
        <v>-5070.1892853397003</v>
      </c>
      <c r="G97" s="8">
        <f t="shared" si="14"/>
        <v>-5070.1892853397003</v>
      </c>
      <c r="H97" s="8">
        <f t="shared" si="14"/>
        <v>3316.6123923519772</v>
      </c>
      <c r="I97" s="8">
        <f t="shared" si="14"/>
        <v>8876.4243914853141</v>
      </c>
      <c r="J97" s="8">
        <f t="shared" si="14"/>
        <v>3632.6567577103269</v>
      </c>
      <c r="K97" s="8">
        <f t="shared" si="14"/>
        <v>30.216529810306383</v>
      </c>
      <c r="L97" s="8">
        <f t="shared" si="14"/>
        <v>-1532.1711531722976</v>
      </c>
      <c r="M97" s="8">
        <f t="shared" si="14"/>
        <v>-2285.6219737708452</v>
      </c>
      <c r="N97" s="8">
        <f t="shared" si="14"/>
        <v>-2662.3473840701336</v>
      </c>
      <c r="O97" s="3">
        <f t="shared" si="15"/>
        <v>-15642.934153453862</v>
      </c>
    </row>
    <row r="98" spans="1:17" ht="13.5" hidden="1" customHeight="1" thickBot="1">
      <c r="A98" t="s">
        <v>12</v>
      </c>
      <c r="C98" s="5">
        <f t="shared" ref="C98:N98" si="16">+C65-C32</f>
        <v>-14195.670776235616</v>
      </c>
      <c r="D98" s="5">
        <f t="shared" si="16"/>
        <v>-14377.557646265195</v>
      </c>
      <c r="E98" s="5">
        <f t="shared" si="16"/>
        <v>-14520.036260950117</v>
      </c>
      <c r="F98" s="5">
        <f t="shared" si="16"/>
        <v>-14566.957854572436</v>
      </c>
      <c r="G98" s="5">
        <f t="shared" si="16"/>
        <v>-14577.445702315526</v>
      </c>
      <c r="H98" s="5">
        <f t="shared" si="16"/>
        <v>-6963.3116718419042</v>
      </c>
      <c r="I98" s="5">
        <f t="shared" si="16"/>
        <v>-703.80509333929513</v>
      </c>
      <c r="J98" s="5">
        <f t="shared" si="16"/>
        <v>-7485.8563048431242</v>
      </c>
      <c r="K98" s="5">
        <f t="shared" si="16"/>
        <v>-11498.099528070918</v>
      </c>
      <c r="L98" s="5">
        <f t="shared" si="16"/>
        <v>-12912.207936545485</v>
      </c>
      <c r="M98" s="5">
        <f t="shared" si="16"/>
        <v>-14443.164772224554</v>
      </c>
      <c r="N98" s="5">
        <f t="shared" si="16"/>
        <v>-14943.723215106002</v>
      </c>
      <c r="O98" s="7">
        <f>SUM(O91:O97)</f>
        <v>-141187.83676231018</v>
      </c>
    </row>
    <row r="99" spans="1:17" ht="12.75" hidden="1" customHeight="1"/>
    <row r="104" spans="1:17" ht="12.75" customHeight="1">
      <c r="P104" s="97"/>
      <c r="Q104" s="97"/>
    </row>
    <row r="105" spans="1:17">
      <c r="O105" s="97"/>
      <c r="P105" s="97"/>
      <c r="Q105" s="97"/>
    </row>
    <row r="106" spans="1:17">
      <c r="O106" s="97"/>
      <c r="P106" s="97"/>
      <c r="Q106" s="97"/>
    </row>
    <row r="107" spans="1:17">
      <c r="O107" s="97"/>
      <c r="P107" s="97"/>
      <c r="Q107" s="97"/>
    </row>
    <row r="108" spans="1:17">
      <c r="O108" s="97"/>
      <c r="P108" s="97"/>
      <c r="Q108" s="97"/>
    </row>
    <row r="109" spans="1:17">
      <c r="O109" s="97"/>
      <c r="P109" s="97"/>
      <c r="Q109" s="97"/>
    </row>
    <row r="110" spans="1:17">
      <c r="O110" s="97"/>
      <c r="P110" s="97"/>
      <c r="Q110" s="97"/>
    </row>
    <row r="111" spans="1:17">
      <c r="O111" s="97"/>
      <c r="P111" s="97"/>
      <c r="Q111" s="97"/>
    </row>
    <row r="112" spans="1:17">
      <c r="O112" s="97"/>
      <c r="P112" s="97"/>
      <c r="Q112" s="97"/>
    </row>
    <row r="113" spans="15:17">
      <c r="O113" s="97"/>
      <c r="P113" s="97"/>
      <c r="Q113" s="97"/>
    </row>
    <row r="114" spans="15:17">
      <c r="O114" s="97"/>
      <c r="P114" s="97"/>
      <c r="Q114" s="97"/>
    </row>
    <row r="115" spans="15:17">
      <c r="O115" s="97"/>
      <c r="P115" s="97"/>
      <c r="Q115" s="97"/>
    </row>
    <row r="116" spans="15:17">
      <c r="O116" s="97"/>
      <c r="P116" s="97"/>
      <c r="Q116" s="97"/>
    </row>
    <row r="117" spans="15:17">
      <c r="O117" s="97"/>
      <c r="P117" s="97"/>
      <c r="Q117" s="97"/>
    </row>
    <row r="118" spans="15:17">
      <c r="O118" s="97"/>
      <c r="P118" s="97"/>
      <c r="Q118" s="97"/>
    </row>
    <row r="119" spans="15:17">
      <c r="O119" s="97"/>
      <c r="P119" s="97"/>
      <c r="Q119" s="97"/>
    </row>
    <row r="120" spans="15:17">
      <c r="O120" s="97"/>
      <c r="P120" s="97"/>
      <c r="Q120" s="97"/>
    </row>
    <row r="121" spans="15:17">
      <c r="O121" s="97"/>
      <c r="P121" s="97"/>
      <c r="Q121" s="97"/>
    </row>
    <row r="122" spans="15:17">
      <c r="O122" s="97"/>
      <c r="P122" s="97"/>
      <c r="Q122" s="97"/>
    </row>
    <row r="123" spans="15:17">
      <c r="O123" s="97"/>
      <c r="P123" s="97"/>
      <c r="Q123" s="97"/>
    </row>
    <row r="124" spans="15:17">
      <c r="O124" s="97"/>
      <c r="P124" s="97"/>
      <c r="Q124" s="97"/>
    </row>
    <row r="125" spans="15:17">
      <c r="O125" s="97"/>
      <c r="P125" s="97"/>
      <c r="Q125" s="97"/>
    </row>
    <row r="126" spans="15:17">
      <c r="O126" s="97"/>
      <c r="P126" s="97"/>
      <c r="Q126" s="97"/>
    </row>
    <row r="127" spans="15:17">
      <c r="O127" s="97"/>
      <c r="P127" s="97"/>
      <c r="Q127" s="97"/>
    </row>
    <row r="128" spans="15:17">
      <c r="O128" s="97"/>
      <c r="P128" s="97"/>
      <c r="Q128" s="97"/>
    </row>
    <row r="129" spans="15:17">
      <c r="O129" s="97"/>
      <c r="P129" s="97"/>
      <c r="Q129" s="97"/>
    </row>
    <row r="130" spans="15:17">
      <c r="O130" s="97"/>
      <c r="P130" s="97"/>
      <c r="Q130" s="97"/>
    </row>
    <row r="131" spans="15:17">
      <c r="O131" s="97"/>
      <c r="P131" s="97"/>
      <c r="Q131" s="97"/>
    </row>
    <row r="132" spans="15:17">
      <c r="O132" s="97"/>
      <c r="P132" s="97"/>
      <c r="Q132" s="97"/>
    </row>
    <row r="133" spans="15:17">
      <c r="O133" s="97"/>
      <c r="P133" s="97"/>
      <c r="Q133" s="97"/>
    </row>
    <row r="134" spans="15:17">
      <c r="O134" s="97"/>
      <c r="P134" s="97"/>
      <c r="Q134" s="97"/>
    </row>
    <row r="135" spans="15:17">
      <c r="O135" s="97"/>
      <c r="P135" s="97"/>
      <c r="Q135" s="97"/>
    </row>
    <row r="136" spans="15:17">
      <c r="O136" s="97"/>
      <c r="P136" s="97"/>
      <c r="Q136" s="97"/>
    </row>
    <row r="137" spans="15:17">
      <c r="O137" s="97"/>
      <c r="P137" s="97"/>
      <c r="Q137" s="97"/>
    </row>
    <row r="138" spans="15:17">
      <c r="O138" s="97"/>
      <c r="P138" s="97"/>
      <c r="Q138" s="97"/>
    </row>
    <row r="139" spans="15:17">
      <c r="O139" s="97"/>
      <c r="P139" s="97"/>
      <c r="Q139" s="97"/>
    </row>
    <row r="140" spans="15:17">
      <c r="O140" s="97"/>
      <c r="P140" s="97"/>
      <c r="Q140" s="97"/>
    </row>
    <row r="141" spans="15:17">
      <c r="O141" s="97"/>
      <c r="P141" s="97"/>
      <c r="Q141" s="97"/>
    </row>
    <row r="142" spans="15:17">
      <c r="O142" s="97"/>
      <c r="P142" s="97"/>
      <c r="Q142" s="97"/>
    </row>
    <row r="143" spans="15:17">
      <c r="O143" s="97"/>
      <c r="P143" s="97"/>
      <c r="Q143" s="97"/>
    </row>
    <row r="144" spans="15:17">
      <c r="O144" s="97"/>
      <c r="P144" s="97"/>
      <c r="Q144" s="97"/>
    </row>
    <row r="145" spans="15:17">
      <c r="O145" s="97"/>
      <c r="P145" s="97"/>
      <c r="Q145" s="97"/>
    </row>
    <row r="146" spans="15:17">
      <c r="O146" s="97"/>
      <c r="P146" s="97"/>
      <c r="Q146" s="97"/>
    </row>
    <row r="147" spans="15:17">
      <c r="O147" s="97"/>
      <c r="P147" s="97"/>
      <c r="Q147" s="97"/>
    </row>
    <row r="148" spans="15:17">
      <c r="O148" s="97"/>
      <c r="P148" s="97"/>
      <c r="Q148" s="97"/>
    </row>
    <row r="149" spans="15:17">
      <c r="O149" s="97"/>
      <c r="P149" s="97"/>
      <c r="Q149" s="97"/>
    </row>
    <row r="150" spans="15:17">
      <c r="O150" s="97"/>
      <c r="P150" s="97"/>
      <c r="Q150" s="97"/>
    </row>
    <row r="151" spans="15:17">
      <c r="O151" s="97"/>
      <c r="P151" s="97"/>
      <c r="Q151" s="97"/>
    </row>
    <row r="152" spans="15:17">
      <c r="O152" s="97"/>
      <c r="P152" s="97"/>
      <c r="Q152" s="97"/>
    </row>
    <row r="153" spans="15:17">
      <c r="O153" s="97"/>
      <c r="P153" s="97"/>
      <c r="Q153" s="97"/>
    </row>
    <row r="154" spans="15:17">
      <c r="O154" s="97"/>
      <c r="P154" s="97"/>
      <c r="Q154" s="97"/>
    </row>
    <row r="155" spans="15:17">
      <c r="O155" s="97"/>
      <c r="P155" s="97"/>
      <c r="Q155" s="97"/>
    </row>
    <row r="156" spans="15:17">
      <c r="O156" s="97"/>
      <c r="P156" s="97"/>
      <c r="Q156" s="97"/>
    </row>
    <row r="157" spans="15:17">
      <c r="O157" s="97"/>
      <c r="P157" s="97"/>
      <c r="Q157" s="97"/>
    </row>
    <row r="158" spans="15:17">
      <c r="O158" s="97"/>
      <c r="P158" s="97"/>
      <c r="Q158" s="97"/>
    </row>
    <row r="159" spans="15:17">
      <c r="O159" s="97"/>
      <c r="P159" s="97"/>
      <c r="Q159" s="97"/>
    </row>
    <row r="160" spans="15:17">
      <c r="O160" s="97"/>
      <c r="P160" s="97"/>
      <c r="Q160" s="97"/>
    </row>
    <row r="161" spans="15:17">
      <c r="O161" s="97"/>
      <c r="P161" s="97"/>
      <c r="Q161" s="97"/>
    </row>
    <row r="162" spans="15:17">
      <c r="O162" s="97"/>
      <c r="P162" s="97"/>
      <c r="Q162" s="97"/>
    </row>
    <row r="163" spans="15:17">
      <c r="O163" s="97"/>
      <c r="P163" s="97"/>
      <c r="Q163" s="97"/>
    </row>
    <row r="164" spans="15:17">
      <c r="O164" s="97"/>
      <c r="P164" s="97"/>
      <c r="Q164" s="97"/>
    </row>
    <row r="165" spans="15:17">
      <c r="O165" s="97"/>
      <c r="P165" s="97"/>
      <c r="Q165" s="97"/>
    </row>
    <row r="166" spans="15:17">
      <c r="O166" s="97"/>
      <c r="P166" s="97"/>
      <c r="Q166" s="97"/>
    </row>
    <row r="167" spans="15:17">
      <c r="O167" s="97"/>
      <c r="P167" s="97"/>
      <c r="Q167" s="97"/>
    </row>
    <row r="168" spans="15:17">
      <c r="O168" s="97"/>
      <c r="P168" s="97"/>
      <c r="Q168" s="97"/>
    </row>
    <row r="169" spans="15:17">
      <c r="O169" s="97"/>
      <c r="P169" s="97"/>
      <c r="Q169" s="97"/>
    </row>
    <row r="170" spans="15:17">
      <c r="O170" s="97"/>
      <c r="P170" s="97"/>
      <c r="Q170" s="97"/>
    </row>
    <row r="171" spans="15:17">
      <c r="O171" s="97"/>
      <c r="P171" s="97"/>
      <c r="Q171" s="97"/>
    </row>
  </sheetData>
  <mergeCells count="1">
    <mergeCell ref="O34:P34"/>
  </mergeCells>
  <pageMargins left="0.7" right="0.7" top="0.75" bottom="0.75" header="0.3" footer="0.3"/>
  <pageSetup scale="54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48"/>
  <sheetViews>
    <sheetView tabSelected="1" workbookViewId="0">
      <pane xSplit="4" ySplit="6" topLeftCell="AC16" activePane="bottomRight" state="frozen"/>
      <selection activeCell="Q53" sqref="Q53"/>
      <selection pane="topRight" activeCell="Q53" sqref="Q53"/>
      <selection pane="bottomLeft" activeCell="Q53" sqref="Q53"/>
      <selection pane="bottomRight" activeCell="Q53" sqref="Q53"/>
    </sheetView>
  </sheetViews>
  <sheetFormatPr defaultRowHeight="12.75" outlineLevelRow="1" outlineLevelCol="1"/>
  <cols>
    <col min="2" max="2" width="12.42578125" customWidth="1"/>
    <col min="5" max="13" width="13.140625" hidden="1" customWidth="1" outlineLevel="1"/>
    <col min="14" max="16" width="14.85546875" hidden="1" customWidth="1" outlineLevel="1"/>
    <col min="17" max="17" width="16.85546875" bestFit="1" customWidth="1" collapsed="1"/>
    <col min="18" max="18" width="14.85546875" customWidth="1" outlineLevel="1"/>
    <col min="19" max="30" width="13.140625" customWidth="1" outlineLevel="1"/>
    <col min="31" max="31" width="16.85546875" bestFit="1" customWidth="1"/>
    <col min="32" max="33" width="11.85546875" customWidth="1"/>
    <col min="34" max="40" width="13.140625" customWidth="1"/>
    <col min="41" max="43" width="9.140625" hidden="1" customWidth="1" outlineLevel="1"/>
    <col min="44" max="44" width="18.7109375" customWidth="1" collapsed="1"/>
    <col min="45" max="45" width="16.42578125" customWidth="1"/>
    <col min="46" max="46" width="9.140625" customWidth="1" collapsed="1"/>
    <col min="47" max="47" width="15.7109375" customWidth="1"/>
  </cols>
  <sheetData>
    <row r="1" spans="1:45">
      <c r="W1" s="6"/>
      <c r="AH1" s="6" t="s">
        <v>167</v>
      </c>
    </row>
    <row r="2" spans="1:45">
      <c r="A2" s="1" t="s">
        <v>153</v>
      </c>
      <c r="W2" s="6"/>
      <c r="AH2" s="6" t="s">
        <v>169</v>
      </c>
    </row>
    <row r="5" spans="1:45">
      <c r="B5" s="1" t="s">
        <v>154</v>
      </c>
      <c r="Q5" s="6">
        <v>2020</v>
      </c>
      <c r="S5" s="46"/>
      <c r="AE5" s="6">
        <v>2021</v>
      </c>
      <c r="AL5" t="s">
        <v>173</v>
      </c>
      <c r="AM5" t="s">
        <v>173</v>
      </c>
      <c r="AR5" s="6">
        <v>2022</v>
      </c>
      <c r="AS5" s="6" t="s">
        <v>160</v>
      </c>
    </row>
    <row r="6" spans="1:45">
      <c r="E6" s="70">
        <f>'Summary-Cost-E - PF.PV pg 4'!E3</f>
        <v>202001</v>
      </c>
      <c r="F6" s="70">
        <f>'Summary-Cost-E - PF.PV pg 4'!F3</f>
        <v>202002</v>
      </c>
      <c r="G6" s="70">
        <f>'Summary-Cost-E - PF.PV pg 4'!G3</f>
        <v>202003</v>
      </c>
      <c r="H6" s="70">
        <f>'Summary-Cost-E - PF.PV pg 4'!H3</f>
        <v>202004</v>
      </c>
      <c r="I6" s="70">
        <f>'Summary-Cost-E - PF.PV pg 4'!I3</f>
        <v>202005</v>
      </c>
      <c r="J6" s="70">
        <f>'Summary-Cost-E - PF.PV pg 4'!J3</f>
        <v>202006</v>
      </c>
      <c r="K6" s="70">
        <f>'Summary-Cost-E - PF.PV pg 4'!K3</f>
        <v>202007</v>
      </c>
      <c r="L6" s="70">
        <f>'Summary-Cost-E - PF.PV pg 4'!L3</f>
        <v>202008</v>
      </c>
      <c r="M6" s="70">
        <f>'Summary-Cost-E - PF.PV pg 4'!M3</f>
        <v>202009</v>
      </c>
      <c r="N6" s="70">
        <f>'Summary-Cost-E - PF.PV pg 4'!N3</f>
        <v>202010</v>
      </c>
      <c r="O6" s="70">
        <f>'Summary-Cost-E - PF.PV pg 4'!O3</f>
        <v>202011</v>
      </c>
      <c r="P6" s="70">
        <f>'Summary-Cost-E - PF.PV pg 4'!P3</f>
        <v>202012</v>
      </c>
      <c r="Q6" s="81" t="s">
        <v>157</v>
      </c>
      <c r="R6" s="81" t="s">
        <v>158</v>
      </c>
      <c r="S6" s="70">
        <f>'Summary-Cost-E - PF.PV pg 4'!R3</f>
        <v>202101</v>
      </c>
      <c r="T6" s="70">
        <f>'Summary-Cost-E - PF.PV pg 4'!S3</f>
        <v>202102</v>
      </c>
      <c r="U6" s="70">
        <f>'Summary-Cost-E - PF.PV pg 4'!T3</f>
        <v>202103</v>
      </c>
      <c r="V6" s="70">
        <f>'Summary-Cost-E - PF.PV pg 4'!U3</f>
        <v>202104</v>
      </c>
      <c r="W6" s="70">
        <f>'Summary-Cost-E - PF.PV pg 4'!V3</f>
        <v>202105</v>
      </c>
      <c r="X6" s="70">
        <f>'Summary-Cost-E - PF.PV pg 4'!W3</f>
        <v>202106</v>
      </c>
      <c r="Y6" s="70">
        <f>'Summary-Cost-E - PF.PV pg 4'!X3</f>
        <v>202107</v>
      </c>
      <c r="Z6" s="70">
        <f>'Summary-Cost-E - PF.PV pg 4'!Y3</f>
        <v>202108</v>
      </c>
      <c r="AA6" s="70">
        <f>'Summary-Cost-E - PF.PV pg 4'!Z3</f>
        <v>202109</v>
      </c>
      <c r="AB6" s="70">
        <f>'Summary-Cost-E - PF.PV pg 4'!AA3</f>
        <v>202110</v>
      </c>
      <c r="AC6" s="70">
        <f>'Summary-Cost-E - PF.PV pg 4'!AB3</f>
        <v>202111</v>
      </c>
      <c r="AD6" s="70">
        <f>'Summary-Cost-E - PF.PV pg 4'!AC3</f>
        <v>202112</v>
      </c>
      <c r="AE6" s="81" t="s">
        <v>157</v>
      </c>
      <c r="AF6" s="70">
        <f>'Summary-Cost-E - PF.PV pg 4'!AD3</f>
        <v>202201</v>
      </c>
      <c r="AG6" s="70">
        <f>'Summary-Cost-E - PF.PV pg 4'!AE3</f>
        <v>202202</v>
      </c>
      <c r="AH6" s="70">
        <f>'Summary-Cost-E - PF.PV pg 4'!AF3</f>
        <v>202203</v>
      </c>
      <c r="AI6" s="70">
        <f>'Summary-Cost-E - PF.PV pg 4'!AG3</f>
        <v>202204</v>
      </c>
      <c r="AJ6" s="70">
        <f>'Summary-Cost-E - PF.PV pg 4'!AH3</f>
        <v>202205</v>
      </c>
      <c r="AK6" s="70">
        <f>'Summary-Cost-E - PF.PV pg 4'!AI3</f>
        <v>202206</v>
      </c>
      <c r="AL6" s="70">
        <f>'Summary-Cost-E - PF.PV pg 4'!AJ3</f>
        <v>202207</v>
      </c>
      <c r="AM6" s="70">
        <f>'Summary-Cost-E - PF.PV pg 4'!AK3</f>
        <v>202208</v>
      </c>
      <c r="AN6" s="70">
        <f>'Summary-Cost-E - PF.PV pg 4'!AL3</f>
        <v>202209</v>
      </c>
      <c r="AO6" s="70">
        <f>AN6+1</f>
        <v>202210</v>
      </c>
      <c r="AP6" s="70">
        <f t="shared" ref="AP6:AQ6" si="0">AO6+1</f>
        <v>202211</v>
      </c>
      <c r="AQ6" s="70">
        <f t="shared" si="0"/>
        <v>202212</v>
      </c>
      <c r="AR6" s="81" t="s">
        <v>157</v>
      </c>
      <c r="AS6" s="81" t="s">
        <v>158</v>
      </c>
    </row>
    <row r="7" spans="1:45">
      <c r="D7" s="69" t="s">
        <v>17</v>
      </c>
      <c r="E7" s="71">
        <f>'Summary-Cost-E - PF.PV pg 4'!E15</f>
        <v>0</v>
      </c>
      <c r="F7" s="71">
        <f>'Summary-Cost-E - PF.PV pg 4'!F15</f>
        <v>0</v>
      </c>
      <c r="G7" s="71">
        <f>'Summary-Cost-E - PF.PV pg 4'!G15</f>
        <v>0</v>
      </c>
      <c r="H7" s="71">
        <f>'Summary-Cost-E - PF.PV pg 4'!H15</f>
        <v>0</v>
      </c>
      <c r="I7" s="71">
        <f>'Summary-Cost-E - PF.PV pg 4'!I15</f>
        <v>0</v>
      </c>
      <c r="J7" s="71">
        <f>'Summary-Cost-E - PF.PV pg 4'!J15</f>
        <v>0</v>
      </c>
      <c r="K7" s="71">
        <f>'Summary-Cost-E - PF.PV pg 4'!K15</f>
        <v>0</v>
      </c>
      <c r="L7" s="71">
        <f>'Summary-Cost-E - PF.PV pg 4'!L15</f>
        <v>0</v>
      </c>
      <c r="M7" s="71">
        <f>'Summary-Cost-E - PF.PV pg 4'!M15</f>
        <v>0</v>
      </c>
      <c r="N7" s="71">
        <f>'Summary-Cost-E - PF.PV pg 4'!N15</f>
        <v>0</v>
      </c>
      <c r="O7" s="71">
        <f>'Summary-Cost-E - PF.PV pg 4'!O15</f>
        <v>0</v>
      </c>
      <c r="P7" s="71">
        <f>'Summary-Cost-E - PF.PV pg 4'!P15</f>
        <v>0</v>
      </c>
      <c r="Q7" s="82">
        <f>SUBTOTAL(9,E7:P7)</f>
        <v>0</v>
      </c>
      <c r="R7" s="82">
        <f>SUBTOTAL(9,$E7:Q7)</f>
        <v>0</v>
      </c>
      <c r="S7" s="2">
        <f>SUMIF('EIM - 2021 WA E Detail - Auth'!$C$4:$C$40,"Elec Distribution 360-373",'EIM - 2021 WA E Detail - Auth'!U$4:U$40)</f>
        <v>0</v>
      </c>
      <c r="T7" s="2">
        <f>SUMIF('EIM - 2021 WA E Detail - Auth'!$C$4:$C$40,"Elec Distribution 360-373",'EIM - 2021 WA E Detail - Auth'!V$4:V$40)</f>
        <v>0</v>
      </c>
      <c r="U7" s="2">
        <f>SUMIF('EIM - 2021 WA E Detail - Auth'!$C$4:$C$40,"Elec Distribution 360-373",'EIM - 2021 WA E Detail - Auth'!W$4:W$40)</f>
        <v>0</v>
      </c>
      <c r="V7" s="2">
        <f>SUMIF('EIM - 2021 WA E Detail - Auth'!$C$4:$C$40,"Elec Distribution 360-373",'EIM - 2021 WA E Detail - Auth'!X$4:X$40)</f>
        <v>0</v>
      </c>
      <c r="W7" s="2">
        <f>SUMIF('EIM - 2021 WA E Detail - Auth'!$C$4:$C$40,"Elec Distribution 360-373",'EIM - 2021 WA E Detail - Auth'!Y$4:Y$40)</f>
        <v>0</v>
      </c>
      <c r="X7" s="2">
        <f>SUMIF('EIM - 2021 WA E Detail - Auth'!$C$4:$C$40,"Elec Distribution 360-373",'EIM - 2021 WA E Detail - Auth'!Z$4:Z$40)</f>
        <v>187140.45078018191</v>
      </c>
      <c r="Y7" s="2">
        <f>SUMIF('EIM - 2021 WA E Detail - Auth'!$C$4:$C$40,"Elec Distribution 360-373",'EIM - 2021 WA E Detail - Auth'!AA$4:AA$40)</f>
        <v>0</v>
      </c>
      <c r="Z7" s="2">
        <f>SUMIF('EIM - 2021 WA E Detail - Auth'!$C$4:$C$40,"Elec Distribution 360-373",'EIM - 2021 WA E Detail - Auth'!AB$4:AB$40)</f>
        <v>0</v>
      </c>
      <c r="AA7" s="2">
        <f>SUMIF('EIM - 2021 WA E Detail - Auth'!$C$4:$C$40,"Elec Distribution 360-373",'EIM - 2021 WA E Detail - Auth'!AC$4:AC$40)</f>
        <v>0</v>
      </c>
      <c r="AB7" s="2">
        <f>SUMIF('EIM - 2021 WA E Detail - Auth'!$C$4:$C$40,"Elec Distribution 360-373",'EIM - 2021 WA E Detail - Auth'!AD$4:AD$40)</f>
        <v>0</v>
      </c>
      <c r="AC7" s="2">
        <f>SUMIF('EIM - 2021 WA E Detail - Auth'!$C$4:$C$40,"Elec Distribution 360-373",'EIM - 2021 WA E Detail - Auth'!AE$4:AE$40)</f>
        <v>0</v>
      </c>
      <c r="AD7" s="2">
        <f>SUMIF('EIM - 2021 WA E Detail - Auth'!$C$4:$C$40,"Elec Distribution 360-373",'EIM - 2021 WA E Detail - Auth'!AF$4:AF$40)</f>
        <v>0</v>
      </c>
      <c r="AE7" s="82">
        <f>SUBTOTAL(9,S7:AD7)</f>
        <v>187140.45078018191</v>
      </c>
      <c r="AF7" s="2">
        <f>SUMIF('EIM - 2022 WA E Detail - Auth'!$C$4:$C$47,"Elec Distribution 360-373",'EIM - 2022 WA E Detail - Auth'!U$4:U$47)</f>
        <v>0</v>
      </c>
      <c r="AG7" s="2">
        <f>SUMIF('EIM - 2022 WA E Detail - Auth'!$C$4:$C$47,"Elec Distribution 360-373",'EIM - 2022 WA E Detail - Auth'!V$4:V$47)</f>
        <v>0</v>
      </c>
      <c r="AH7" s="2">
        <f>SUMIF('EIM - 2022 WA E Detail - Auth'!$C$4:$C$47,"Elec Distribution 360-373",'EIM - 2022 WA E Detail - Auth'!W$4:W$47)</f>
        <v>0</v>
      </c>
      <c r="AI7" s="2">
        <f>SUMIF('EIM - 2022 WA E Detail - Auth'!$C$4:$C$47,"Elec Distribution 360-373",'EIM - 2022 WA E Detail - Auth'!X$4:X$47)</f>
        <v>0</v>
      </c>
      <c r="AJ7" s="2">
        <f>SUMIF('EIM - 2022 WA E Detail - Auth'!$C$4:$C$47,"Elec Distribution 360-373",'EIM - 2022 WA E Detail - Auth'!Y$4:Y$47)</f>
        <v>0</v>
      </c>
      <c r="AK7" s="2">
        <f>SUMIF('EIM - 2022 WA E Detail - Auth'!$C$4:$C$47,"Elec Distribution 360-373",'EIM - 2022 WA E Detail - Auth'!Z$4:Z$47)</f>
        <v>0</v>
      </c>
      <c r="AL7" s="2">
        <f>SUMIF('EIM - 2022 WA E Detail - Auth'!$C$4:$C$47,"Elec Distribution 360-373",'EIM - 2022 WA E Detail - Auth'!AA$4:AA$47)</f>
        <v>0</v>
      </c>
      <c r="AM7" s="2">
        <f>SUMIF('EIM - 2022 WA E Detail - Auth'!$C$4:$C$47,"Elec Distribution 360-373",'EIM - 2022 WA E Detail - Auth'!AB$4:AB$47)</f>
        <v>0</v>
      </c>
      <c r="AN7" s="2">
        <f>SUMIF('EIM - 2022 WA E Detail - Auth'!$C$4:$C$47,"Elec Distribution 360-373",'EIM - 2022 WA E Detail - Auth'!AC$4:AC$47)</f>
        <v>0</v>
      </c>
      <c r="AO7" s="2">
        <f>SUMIF('EIM - 2022 WA E Detail - Auth'!$C$4:$C$47,"Elec Distribution 360-373",'EIM - 2022 WA E Detail - Auth'!AD$4:AD$47)</f>
        <v>0</v>
      </c>
      <c r="AP7" s="2">
        <f>SUMIF('EIM - 2022 WA E Detail - Auth'!$C$4:$C$47,"Elec Distribution 360-373",'EIM - 2022 WA E Detail - Auth'!AE$4:AE$47)</f>
        <v>0</v>
      </c>
      <c r="AQ7" s="2">
        <f>SUMIF('EIM - 2022 WA E Detail - Auth'!$C$4:$C$47,"Elec Distribution 360-373",'EIM - 2022 WA E Detail - Auth'!AF$4:AF$47)</f>
        <v>0</v>
      </c>
      <c r="AR7" s="82">
        <f>SUBTOTAL(9,AF7:AQ7)</f>
        <v>0</v>
      </c>
      <c r="AS7" s="84">
        <f>SUBTOTAL(9,$E7:AR7)</f>
        <v>187140.45078018191</v>
      </c>
    </row>
    <row r="8" spans="1:45">
      <c r="D8" s="69" t="s">
        <v>14</v>
      </c>
      <c r="E8" s="71">
        <f>'Summary-Cost-E - PF.PV pg 4'!E16</f>
        <v>0</v>
      </c>
      <c r="F8" s="71">
        <f>'Summary-Cost-E - PF.PV pg 4'!F16</f>
        <v>0</v>
      </c>
      <c r="G8" s="71">
        <f>'Summary-Cost-E - PF.PV pg 4'!G16</f>
        <v>0</v>
      </c>
      <c r="H8" s="71">
        <f>'Summary-Cost-E - PF.PV pg 4'!H16</f>
        <v>0</v>
      </c>
      <c r="I8" s="71">
        <f>'Summary-Cost-E - PF.PV pg 4'!I16</f>
        <v>0</v>
      </c>
      <c r="J8" s="71">
        <f>'Summary-Cost-E - PF.PV pg 4'!J16</f>
        <v>0</v>
      </c>
      <c r="K8" s="71">
        <f>'Summary-Cost-E - PF.PV pg 4'!K16</f>
        <v>0</v>
      </c>
      <c r="L8" s="71">
        <f>'Summary-Cost-E - PF.PV pg 4'!L16</f>
        <v>100165.123716</v>
      </c>
      <c r="M8" s="71">
        <f>'Summary-Cost-E - PF.PV pg 4'!M16</f>
        <v>0</v>
      </c>
      <c r="N8" s="71">
        <f>'Summary-Cost-E - PF.PV pg 4'!N16</f>
        <v>39057.250644</v>
      </c>
      <c r="O8" s="71">
        <f>'Summary-Cost-E - PF.PV pg 4'!O16</f>
        <v>889.211952</v>
      </c>
      <c r="P8" s="71">
        <f>'Summary-Cost-E - PF.PV pg 4'!P16</f>
        <v>3764.2439520000003</v>
      </c>
      <c r="Q8" s="82">
        <f t="shared" ref="Q8:Q13" si="1">SUBTOTAL(9,E8:P8)</f>
        <v>143875.83026400002</v>
      </c>
      <c r="R8" s="82">
        <f>SUBTOTAL(9,$E8:Q8)</f>
        <v>143875.83026400002</v>
      </c>
      <c r="S8" s="2">
        <f>SUMIF('EIM - 2021 WA E Detail - Auth'!$C$4:$C$40,"Elec Transmission 350-359",'EIM - 2021 WA E Detail - Auth'!U$4:U$40)</f>
        <v>116996.23869034676</v>
      </c>
      <c r="T8" s="2">
        <f>SUMIF('EIM - 2021 WA E Detail - Auth'!$C$4:$C$40,"Elec Transmission 350-359",'EIM - 2021 WA E Detail - Auth'!V$4:V$40)</f>
        <v>116996.23869034676</v>
      </c>
      <c r="U8" s="2">
        <f>SUMIF('EIM - 2021 WA E Detail - Auth'!$C$4:$C$40,"Elec Transmission 350-359",'EIM - 2021 WA E Detail - Auth'!W$4:W$40)</f>
        <v>116996.23869034676</v>
      </c>
      <c r="V8" s="2">
        <f>SUMIF('EIM - 2021 WA E Detail - Auth'!$C$4:$C$40,"Elec Transmission 350-359",'EIM - 2021 WA E Detail - Auth'!X$4:X$40)</f>
        <v>223465.36856774264</v>
      </c>
      <c r="W8" s="2">
        <f>SUMIF('EIM - 2021 WA E Detail - Auth'!$C$4:$C$40,"Elec Transmission 350-359",'EIM - 2021 WA E Detail - Auth'!Y$4:Y$40)</f>
        <v>223465.36856774264</v>
      </c>
      <c r="X8" s="2">
        <f>SUMIF('EIM - 2021 WA E Detail - Auth'!$C$4:$C$40,"Elec Transmission 350-359",'EIM - 2021 WA E Detail - Auth'!Z$4:Z$40)</f>
        <v>560713.18616774259</v>
      </c>
      <c r="Y8" s="2">
        <f>SUMIF('EIM - 2021 WA E Detail - Auth'!$C$4:$C$40,"Elec Transmission 350-359",'EIM - 2021 WA E Detail - Auth'!AA$4:AA$40)</f>
        <v>0</v>
      </c>
      <c r="Z8" s="2">
        <f>SUMIF('EIM - 2021 WA E Detail - Auth'!$C$4:$C$40,"Elec Transmission 350-359",'EIM - 2021 WA E Detail - Auth'!AB$4:AB$40)</f>
        <v>0</v>
      </c>
      <c r="AA8" s="2">
        <f>SUMIF('EIM - 2021 WA E Detail - Auth'!$C$4:$C$40,"Elec Transmission 350-359",'EIM - 2021 WA E Detail - Auth'!AC$4:AC$40)</f>
        <v>0</v>
      </c>
      <c r="AB8" s="2">
        <f>SUMIF('EIM - 2021 WA E Detail - Auth'!$C$4:$C$40,"Elec Transmission 350-359",'EIM - 2021 WA E Detail - Auth'!AD$4:AD$40)</f>
        <v>0</v>
      </c>
      <c r="AC8" s="2">
        <f>SUMIF('EIM - 2021 WA E Detail - Auth'!$C$4:$C$40,"Elec Transmission 350-359",'EIM - 2021 WA E Detail - Auth'!AE$4:AE$40)</f>
        <v>0</v>
      </c>
      <c r="AD8" s="2">
        <f>SUMIF('EIM - 2021 WA E Detail - Auth'!$C$4:$C$40,"Elec Transmission 350-359",'EIM - 2021 WA E Detail - Auth'!AF$4:AF$40)</f>
        <v>0</v>
      </c>
      <c r="AE8" s="82">
        <f t="shared" ref="AE8:AE13" si="2">SUBTOTAL(9,S8:AD8)</f>
        <v>1358632.6393742682</v>
      </c>
      <c r="AF8" s="2">
        <f>SUMIF('EIM - 2022 WA E Detail - Auth'!$C$4:$C$47,"Elec Transmission 350-359",'EIM - 2022 WA E Detail - Auth'!U$4:U$47)</f>
        <v>0</v>
      </c>
      <c r="AG8" s="2">
        <f>SUMIF('EIM - 2022 WA E Detail - Auth'!$C$4:$C$47,"Elec Transmission 350-359",'EIM - 2022 WA E Detail - Auth'!V$4:V$47)</f>
        <v>0</v>
      </c>
      <c r="AH8" s="2">
        <f>SUMIF('EIM - 2022 WA E Detail - Auth'!$C$4:$C$47,"Elec Transmission 350-359",'EIM - 2022 WA E Detail - Auth'!W$4:W$47)</f>
        <v>0</v>
      </c>
      <c r="AI8" s="2">
        <f>SUMIF('EIM - 2022 WA E Detail - Auth'!$C$4:$C$47,"Elec Transmission 350-359",'EIM - 2022 WA E Detail - Auth'!X$4:X$47)</f>
        <v>0</v>
      </c>
      <c r="AJ8" s="2">
        <f>SUMIF('EIM - 2022 WA E Detail - Auth'!$C$4:$C$47,"Elec Transmission 350-359",'EIM - 2022 WA E Detail - Auth'!Y$4:Y$47)</f>
        <v>0</v>
      </c>
      <c r="AK8" s="2">
        <f>SUMIF('EIM - 2022 WA E Detail - Auth'!$C$4:$C$47,"Elec Transmission 350-359",'EIM - 2022 WA E Detail - Auth'!Z$4:Z$47)</f>
        <v>0</v>
      </c>
      <c r="AL8" s="2">
        <f>SUMIF('EIM - 2022 WA E Detail - Auth'!$C$4:$C$47,"Elec Transmission 350-359",'EIM - 2022 WA E Detail - Auth'!AA$4:AA$47)</f>
        <v>0</v>
      </c>
      <c r="AM8" s="2">
        <f>SUMIF('EIM - 2022 WA E Detail - Auth'!$C$4:$C$47,"Elec Transmission 350-359",'EIM - 2022 WA E Detail - Auth'!AB$4:AB$47)</f>
        <v>0</v>
      </c>
      <c r="AN8" s="2">
        <f>SUMIF('EIM - 2022 WA E Detail - Auth'!$C$4:$C$47,"Elec Transmission 350-359",'EIM - 2022 WA E Detail - Auth'!AC$4:AC$47)</f>
        <v>0</v>
      </c>
      <c r="AO8" s="2">
        <f>SUMIF('EIM - 2022 WA E Detail - Auth'!$C$4:$C$47,"Elec Transmission 350-359",'EIM - 2022 WA E Detail - Auth'!AD$4:AD$47)</f>
        <v>0</v>
      </c>
      <c r="AP8" s="2">
        <f>SUMIF('EIM - 2022 WA E Detail - Auth'!$C$4:$C$47,"Elec Transmission 350-359",'EIM - 2022 WA E Detail - Auth'!AE$4:AE$47)</f>
        <v>0</v>
      </c>
      <c r="AQ8" s="2">
        <f>SUMIF('EIM - 2022 WA E Detail - Auth'!$C$4:$C$47,"Elec Transmission 350-359",'EIM - 2022 WA E Detail - Auth'!AF$4:AF$47)</f>
        <v>0</v>
      </c>
      <c r="AR8" s="82">
        <f t="shared" ref="AR8:AR13" si="3">SUBTOTAL(9,AF8:AQ8)</f>
        <v>0</v>
      </c>
      <c r="AS8" s="84">
        <f>SUBTOTAL(9,$E8:AR8)</f>
        <v>1502508.4696382682</v>
      </c>
    </row>
    <row r="9" spans="1:45">
      <c r="D9" s="69" t="s">
        <v>139</v>
      </c>
      <c r="E9" s="71">
        <f>'Summary-Cost-E - PF.PV pg 4'!E17</f>
        <v>0</v>
      </c>
      <c r="F9" s="71">
        <f>'Summary-Cost-E - PF.PV pg 4'!F17</f>
        <v>0</v>
      </c>
      <c r="G9" s="71">
        <f>'Summary-Cost-E - PF.PV pg 4'!G17</f>
        <v>0</v>
      </c>
      <c r="H9" s="71">
        <f>'Summary-Cost-E - PF.PV pg 4'!H17</f>
        <v>0</v>
      </c>
      <c r="I9" s="71">
        <f>'Summary-Cost-E - PF.PV pg 4'!I17</f>
        <v>0</v>
      </c>
      <c r="J9" s="71">
        <f>'Summary-Cost-E - PF.PV pg 4'!J17</f>
        <v>309000.98921999999</v>
      </c>
      <c r="K9" s="71">
        <f>'Summary-Cost-E - PF.PV pg 4'!K17</f>
        <v>34588.453187999999</v>
      </c>
      <c r="L9" s="71">
        <f>'Summary-Cost-E - PF.PV pg 4'!L17</f>
        <v>3702.496404</v>
      </c>
      <c r="M9" s="71">
        <f>'Summary-Cost-E - PF.PV pg 4'!M17</f>
        <v>158988.08808000002</v>
      </c>
      <c r="N9" s="71">
        <f>'Summary-Cost-E - PF.PV pg 4'!N17</f>
        <v>13763.388636000003</v>
      </c>
      <c r="O9" s="71">
        <f>'Summary-Cost-E - PF.PV pg 4'!O17</f>
        <v>9428.8052880000014</v>
      </c>
      <c r="P9" s="71">
        <f>'Summary-Cost-E - PF.PV pg 4'!P17</f>
        <v>25417.370232000001</v>
      </c>
      <c r="Q9" s="82">
        <f t="shared" si="1"/>
        <v>554889.59104800003</v>
      </c>
      <c r="R9" s="82">
        <f>SUBTOTAL(9,$E9:Q9)</f>
        <v>554889.59104800003</v>
      </c>
      <c r="S9" s="2">
        <f>SUMIF('EIM - 2021 WA E Detail - Auth'!$C$4:$C$40,"Hydro 331-336",'EIM - 2021 WA E Detail - Auth'!U$4:U$40)</f>
        <v>0</v>
      </c>
      <c r="T9" s="2">
        <f>SUMIF('EIM - 2021 WA E Detail - Auth'!$C$4:$C$40,"Hydro 331-336",'EIM - 2021 WA E Detail - Auth'!V$4:V$40)</f>
        <v>0</v>
      </c>
      <c r="U9" s="2">
        <f>SUMIF('EIM - 2021 WA E Detail - Auth'!$C$4:$C$40,"Hydro 331-336",'EIM - 2021 WA E Detail - Auth'!W$4:W$40)</f>
        <v>0</v>
      </c>
      <c r="V9" s="2">
        <f>SUMIF('EIM - 2021 WA E Detail - Auth'!$C$4:$C$40,"Hydro 331-336",'EIM - 2021 WA E Detail - Auth'!X$4:X$40)</f>
        <v>669739.90347669658</v>
      </c>
      <c r="W9" s="2">
        <f>SUMIF('EIM - 2021 WA E Detail - Auth'!$C$4:$C$40,"Hydro 331-336",'EIM - 2021 WA E Detail - Auth'!Y$4:Y$40)</f>
        <v>1631939.1839504428</v>
      </c>
      <c r="X9" s="2">
        <f>SUMIF('EIM - 2021 WA E Detail - Auth'!$C$4:$C$40,"Hydro 331-336",'EIM - 2021 WA E Detail - Auth'!Z$4:Z$40)</f>
        <v>333170.8034766966</v>
      </c>
      <c r="Y9" s="2">
        <f>SUMIF('EIM - 2021 WA E Detail - Auth'!$C$4:$C$40,"Hydro 331-336",'EIM - 2021 WA E Detail - Auth'!AA$4:AA$40)</f>
        <v>0</v>
      </c>
      <c r="Z9" s="2">
        <f>SUMIF('EIM - 2021 WA E Detail - Auth'!$C$4:$C$40,"Hydro 331-336",'EIM - 2021 WA E Detail - Auth'!AB$4:AB$40)</f>
        <v>0</v>
      </c>
      <c r="AA9" s="2">
        <f>SUMIF('EIM - 2021 WA E Detail - Auth'!$C$4:$C$40,"Hydro 331-336",'EIM - 2021 WA E Detail - Auth'!AC$4:AC$40)</f>
        <v>0</v>
      </c>
      <c r="AB9" s="2">
        <f>SUMIF('EIM - 2021 WA E Detail - Auth'!$C$4:$C$40,"Hydro 331-336",'EIM - 2021 WA E Detail - Auth'!AD$4:AD$40)</f>
        <v>0</v>
      </c>
      <c r="AC9" s="2">
        <f>SUMIF('EIM - 2021 WA E Detail - Auth'!$C$4:$C$40,"Hydro 331-336",'EIM - 2021 WA E Detail - Auth'!AE$4:AE$40)</f>
        <v>0</v>
      </c>
      <c r="AD9" s="2">
        <f>SUMIF('EIM - 2021 WA E Detail - Auth'!$C$4:$C$40,"Hydro 331-336",'EIM - 2021 WA E Detail - Auth'!AF$4:AF$40)</f>
        <v>0</v>
      </c>
      <c r="AE9" s="82">
        <f t="shared" si="2"/>
        <v>2634849.8909038361</v>
      </c>
      <c r="AF9" s="2">
        <f>SUMIF('EIM - 2022 WA E Detail - Auth'!$C$4:$C$47,"Hydro 331-336",'EIM - 2022 WA E Detail - Auth'!U$4:U$47)</f>
        <v>0</v>
      </c>
      <c r="AG9" s="2">
        <f>SUMIF('EIM - 2022 WA E Detail - Auth'!$C$4:$C$47,"Hydro 331-336",'EIM - 2022 WA E Detail - Auth'!V$4:V$47)</f>
        <v>0</v>
      </c>
      <c r="AH9" s="2">
        <f>SUMIF('EIM - 2022 WA E Detail - Auth'!$C$4:$C$47,"Hydro 331-336",'EIM - 2022 WA E Detail - Auth'!W$4:W$47)</f>
        <v>0</v>
      </c>
      <c r="AI9" s="2">
        <f>SUMIF('EIM - 2022 WA E Detail - Auth'!$C$4:$C$47,"Hydro 331-336",'EIM - 2022 WA E Detail - Auth'!X$4:X$47)</f>
        <v>0</v>
      </c>
      <c r="AJ9" s="2">
        <f>SUMIF('EIM - 2022 WA E Detail - Auth'!$C$4:$C$47,"Hydro 331-336",'EIM - 2022 WA E Detail - Auth'!Y$4:Y$47)</f>
        <v>0</v>
      </c>
      <c r="AK9" s="2">
        <f>SUMIF('EIM - 2022 WA E Detail - Auth'!$C$4:$C$47,"Hydro 331-336",'EIM - 2022 WA E Detail - Auth'!Z$4:Z$47)</f>
        <v>0</v>
      </c>
      <c r="AL9" s="2">
        <f>SUMIF('EIM - 2022 WA E Detail - Auth'!$C$4:$C$47,"Hydro 331-336",'EIM - 2022 WA E Detail - Auth'!AA$4:AA$47)</f>
        <v>0</v>
      </c>
      <c r="AM9" s="2">
        <f>SUMIF('EIM - 2022 WA E Detail - Auth'!$C$4:$C$47,"Hydro 331-336",'EIM - 2022 WA E Detail - Auth'!AB$4:AB$47)</f>
        <v>0</v>
      </c>
      <c r="AN9" s="2">
        <f>SUMIF('EIM - 2022 WA E Detail - Auth'!$C$4:$C$47,"Hydro 331-336",'EIM - 2022 WA E Detail - Auth'!AC$4:AC$47)</f>
        <v>0</v>
      </c>
      <c r="AO9" s="2">
        <f>SUMIF('EIM - 2022 WA E Detail - Auth'!$C$4:$C$47,"Hydro 331-336",'EIM - 2022 WA E Detail - Auth'!AD$4:AD$47)</f>
        <v>0</v>
      </c>
      <c r="AP9" s="2">
        <f>SUMIF('EIM - 2022 WA E Detail - Auth'!$C$4:$C$47,"Hydro 331-336",'EIM - 2022 WA E Detail - Auth'!AE$4:AE$47)</f>
        <v>0</v>
      </c>
      <c r="AQ9" s="2">
        <f>SUMIF('EIM - 2022 WA E Detail - Auth'!$C$4:$C$47,"Hydro 331-336",'EIM - 2022 WA E Detail - Auth'!AF$4:AF$47)</f>
        <v>0</v>
      </c>
      <c r="AR9" s="82">
        <f t="shared" si="3"/>
        <v>0</v>
      </c>
      <c r="AS9" s="84">
        <f>SUBTOTAL(9,$E9:AR9)</f>
        <v>3189739.4819518365</v>
      </c>
    </row>
    <row r="10" spans="1:45">
      <c r="D10" s="69" t="s">
        <v>144</v>
      </c>
      <c r="E10" s="71">
        <f>'Summary-Cost-E - PF.PV pg 4'!E18</f>
        <v>0</v>
      </c>
      <c r="F10" s="71">
        <f>'Summary-Cost-E - PF.PV pg 4'!F18</f>
        <v>0</v>
      </c>
      <c r="G10" s="71">
        <f>'Summary-Cost-E - PF.PV pg 4'!G18</f>
        <v>0</v>
      </c>
      <c r="H10" s="71">
        <f>'Summary-Cost-E - PF.PV pg 4'!H18</f>
        <v>0</v>
      </c>
      <c r="I10" s="71">
        <f>'Summary-Cost-E - PF.PV pg 4'!I18</f>
        <v>0</v>
      </c>
      <c r="J10" s="71">
        <f>'Summary-Cost-E - PF.PV pg 4'!J18</f>
        <v>0</v>
      </c>
      <c r="K10" s="71">
        <f>'Summary-Cost-E - PF.PV pg 4'!K18</f>
        <v>0</v>
      </c>
      <c r="L10" s="71">
        <f>'Summary-Cost-E - PF.PV pg 4'!L18</f>
        <v>0</v>
      </c>
      <c r="M10" s="71">
        <f>'Summary-Cost-E - PF.PV pg 4'!M18</f>
        <v>0</v>
      </c>
      <c r="N10" s="71">
        <f>'Summary-Cost-E - PF.PV pg 4'!N18</f>
        <v>0</v>
      </c>
      <c r="O10" s="71">
        <f>'Summary-Cost-E - PF.PV pg 4'!O18</f>
        <v>0</v>
      </c>
      <c r="P10" s="71">
        <f>'Summary-Cost-E - PF.PV pg 4'!P18</f>
        <v>447082.47473999998</v>
      </c>
      <c r="Q10" s="82">
        <f t="shared" si="1"/>
        <v>447082.47473999998</v>
      </c>
      <c r="R10" s="82">
        <f>SUBTOTAL(9,$E10:Q10)</f>
        <v>447082.47473999998</v>
      </c>
      <c r="S10" s="2">
        <f>SUMIF('EIM - 2021 WA E Detail - Auth'!$C$4:$C$40,"Other Elec Production / Turbines 340-346",'EIM - 2021 WA E Detail - Auth'!U$4:U$40)</f>
        <v>0</v>
      </c>
      <c r="T10" s="2">
        <f>SUMIF('EIM - 2021 WA E Detail - Auth'!$C$4:$C$40,"Other Elec Production / Turbines 340-346",'EIM - 2021 WA E Detail - Auth'!V$4:V$40)</f>
        <v>0</v>
      </c>
      <c r="U10" s="2">
        <f>SUMIF('EIM - 2021 WA E Detail - Auth'!$C$4:$C$40,"Other Elec Production / Turbines 340-346",'EIM - 2021 WA E Detail - Auth'!W$4:W$40)</f>
        <v>0</v>
      </c>
      <c r="V10" s="2">
        <f>SUMIF('EIM - 2021 WA E Detail - Auth'!$C$4:$C$40,"Other Elec Production / Turbines 340-346",'EIM - 2021 WA E Detail - Auth'!X$4:X$40)</f>
        <v>0</v>
      </c>
      <c r="W10" s="2">
        <f>SUMIF('EIM - 2021 WA E Detail - Auth'!$C$4:$C$40,"Other Elec Production / Turbines 340-346",'EIM - 2021 WA E Detail - Auth'!Y$4:Y$40)</f>
        <v>0</v>
      </c>
      <c r="X10" s="2">
        <f>SUMIF('EIM - 2021 WA E Detail - Auth'!$C$4:$C$40,"Other Elec Production / Turbines 340-346",'EIM - 2021 WA E Detail - Auth'!Z$4:Z$40)</f>
        <v>0</v>
      </c>
      <c r="Y10" s="2">
        <f>SUMIF('EIM - 2021 WA E Detail - Auth'!$C$4:$C$40,"Other Elec Production / Turbines 340-346",'EIM - 2021 WA E Detail - Auth'!AA$4:AA$40)</f>
        <v>0</v>
      </c>
      <c r="Z10" s="2">
        <f>SUMIF('EIM - 2021 WA E Detail - Auth'!$C$4:$C$40,"Other Elec Production / Turbines 340-346",'EIM - 2021 WA E Detail - Auth'!AB$4:AB$40)</f>
        <v>0</v>
      </c>
      <c r="AA10" s="2">
        <f>SUMIF('EIM - 2021 WA E Detail - Auth'!$C$4:$C$40,"Other Elec Production / Turbines 340-346",'EIM - 2021 WA E Detail - Auth'!AC$4:AC$40)</f>
        <v>0</v>
      </c>
      <c r="AB10" s="2">
        <f>SUMIF('EIM - 2021 WA E Detail - Auth'!$C$4:$C$40,"Other Elec Production / Turbines 340-346",'EIM - 2021 WA E Detail - Auth'!AD$4:AD$40)</f>
        <v>0</v>
      </c>
      <c r="AC10" s="2">
        <f>SUMIF('EIM - 2021 WA E Detail - Auth'!$C$4:$C$40,"Other Elec Production / Turbines 340-346",'EIM - 2021 WA E Detail - Auth'!AE$4:AE$40)</f>
        <v>0</v>
      </c>
      <c r="AD10" s="2">
        <f>SUMIF('EIM - 2021 WA E Detail - Auth'!$C$4:$C$40,"Other Elec Production / Turbines 340-346",'EIM - 2021 WA E Detail - Auth'!AF$4:AF$40)</f>
        <v>0</v>
      </c>
      <c r="AE10" s="82">
        <f t="shared" si="2"/>
        <v>0</v>
      </c>
      <c r="AF10" s="2">
        <f>SUMIF('EIM - 2022 WA E Detail - Auth'!$C$4:$C$47,"Other Elec Production / Turbines 340-346",'EIM - 2022 WA E Detail - Auth'!U$4:U$47)</f>
        <v>0</v>
      </c>
      <c r="AG10" s="2">
        <f>SUMIF('EIM - 2022 WA E Detail - Auth'!$C$4:$C$47,"Other Elec Production / Turbines 340-346",'EIM - 2022 WA E Detail - Auth'!V$4:V$47)</f>
        <v>0</v>
      </c>
      <c r="AH10" s="2">
        <f>SUMIF('EIM - 2022 WA E Detail - Auth'!$C$4:$C$47,"Other Elec Production / Turbines 340-346",'EIM - 2022 WA E Detail - Auth'!W$4:W$47)</f>
        <v>0</v>
      </c>
      <c r="AI10" s="2">
        <f>SUMIF('EIM - 2022 WA E Detail - Auth'!$C$4:$C$47,"Other Elec Production / Turbines 340-346",'EIM - 2022 WA E Detail - Auth'!X$4:X$47)</f>
        <v>0</v>
      </c>
      <c r="AJ10" s="2">
        <f>SUMIF('EIM - 2022 WA E Detail - Auth'!$C$4:$C$47,"Other Elec Production / Turbines 340-346",'EIM - 2022 WA E Detail - Auth'!Y$4:Y$47)</f>
        <v>0</v>
      </c>
      <c r="AK10" s="2">
        <f>SUMIF('EIM - 2022 WA E Detail - Auth'!$C$4:$C$47,"Other Elec Production / Turbines 340-346",'EIM - 2022 WA E Detail - Auth'!Z$4:Z$47)</f>
        <v>0</v>
      </c>
      <c r="AL10" s="2">
        <f>SUMIF('EIM - 2022 WA E Detail - Auth'!$C$4:$C$47,"Other Elec Production / Turbines 340-346",'EIM - 2022 WA E Detail - Auth'!AA$4:AA$47)</f>
        <v>0</v>
      </c>
      <c r="AM10" s="2">
        <f>SUMIF('EIM - 2022 WA E Detail - Auth'!$C$4:$C$47,"Other Elec Production / Turbines 340-346",'EIM - 2022 WA E Detail - Auth'!AB$4:AB$47)</f>
        <v>0</v>
      </c>
      <c r="AN10" s="2">
        <f>SUMIF('EIM - 2022 WA E Detail - Auth'!$C$4:$C$47,"Other Elec Production / Turbines 340-346",'EIM - 2022 WA E Detail - Auth'!AC$4:AC$47)</f>
        <v>0</v>
      </c>
      <c r="AO10" s="2">
        <f>SUMIF('EIM - 2022 WA E Detail - Auth'!$C$4:$C$47,"Other Elec Production / Turbines 340-346",'EIM - 2022 WA E Detail - Auth'!AD$4:AD$47)</f>
        <v>0</v>
      </c>
      <c r="AP10" s="2">
        <f>SUMIF('EIM - 2022 WA E Detail - Auth'!$C$4:$C$47,"Other Elec Production / Turbines 340-346",'EIM - 2022 WA E Detail - Auth'!AE$4:AE$47)</f>
        <v>0</v>
      </c>
      <c r="AQ10" s="2">
        <f>SUMIF('EIM - 2022 WA E Detail - Auth'!$C$4:$C$47,"Other Elec Production / Turbines 340-346",'EIM - 2022 WA E Detail - Auth'!AF$4:AF$47)</f>
        <v>0</v>
      </c>
      <c r="AR10" s="82">
        <f>SUBTOTAL(9,AF10:AQ10)</f>
        <v>0</v>
      </c>
      <c r="AS10" s="84">
        <f>SUBTOTAL(9,$E10:AR10)</f>
        <v>447082.47473999998</v>
      </c>
    </row>
    <row r="11" spans="1:45">
      <c r="D11" s="69" t="s">
        <v>137</v>
      </c>
      <c r="E11" s="71">
        <f>'Summary-Cost-E - PF.PV pg 4'!E19</f>
        <v>0</v>
      </c>
      <c r="F11" s="71">
        <f>'Summary-Cost-E - PF.PV pg 4'!F19</f>
        <v>0</v>
      </c>
      <c r="G11" s="71">
        <f>'Summary-Cost-E - PF.PV pg 4'!G19</f>
        <v>0</v>
      </c>
      <c r="H11" s="71">
        <f>'Summary-Cost-E - PF.PV pg 4'!H19</f>
        <v>0</v>
      </c>
      <c r="I11" s="71">
        <f>'Summary-Cost-E - PF.PV pg 4'!I19</f>
        <v>0</v>
      </c>
      <c r="J11" s="71">
        <f>'Summary-Cost-E - PF.PV pg 4'!J19</f>
        <v>0</v>
      </c>
      <c r="K11" s="71">
        <f>'Summary-Cost-E - PF.PV pg 4'!K19</f>
        <v>27392.810719199999</v>
      </c>
      <c r="L11" s="71">
        <f>'Summary-Cost-E - PF.PV pg 4'!L19</f>
        <v>133028.790843</v>
      </c>
      <c r="M11" s="71">
        <f>'Summary-Cost-E - PF.PV pg 4'!M19</f>
        <v>36557.254958058846</v>
      </c>
      <c r="N11" s="71">
        <f>'Summary-Cost-E - PF.PV pg 4'!N19</f>
        <v>214605.87277506635</v>
      </c>
      <c r="O11" s="71">
        <f>'Summary-Cost-E - PF.PV pg 4'!O19</f>
        <v>12956.608926443159</v>
      </c>
      <c r="P11" s="71">
        <f>'Summary-Cost-E - PF.PV pg 4'!P19</f>
        <v>7789.2686346522296</v>
      </c>
      <c r="Q11" s="82">
        <f t="shared" si="1"/>
        <v>432330.60685642064</v>
      </c>
      <c r="R11" s="82">
        <f>SUBTOTAL(9,$E11:Q11)</f>
        <v>432330.60685642064</v>
      </c>
      <c r="S11" s="2">
        <f>SUMIF('EIM - 2021 WA E Detail - Auth'!$C$4:$C$40,"General 389 / 393-395 / 397-398",'EIM - 2021 WA E Detail - Auth'!U$4:U$40)</f>
        <v>0</v>
      </c>
      <c r="T11" s="2">
        <f>SUMIF('EIM - 2021 WA E Detail - Auth'!$C$4:$C$40,"General 389 / 393-395 / 397-398",'EIM - 2021 WA E Detail - Auth'!V$4:V$40)</f>
        <v>0</v>
      </c>
      <c r="U11" s="2">
        <f>SUMIF('EIM - 2021 WA E Detail - Auth'!$C$4:$C$40,"General 389 / 393-395 / 397-398",'EIM - 2021 WA E Detail - Auth'!W$4:W$40)</f>
        <v>0</v>
      </c>
      <c r="V11" s="2">
        <f>SUMIF('EIM - 2021 WA E Detail - Auth'!$C$4:$C$40,"General 389 / 393-395 / 397-398",'EIM - 2021 WA E Detail - Auth'!X$4:X$40)</f>
        <v>0</v>
      </c>
      <c r="W11" s="2">
        <f>SUMIF('EIM - 2021 WA E Detail - Auth'!$C$4:$C$40,"General 389 / 393-395 / 397-398",'EIM - 2021 WA E Detail - Auth'!Y$4:Y$40)</f>
        <v>0</v>
      </c>
      <c r="X11" s="2">
        <f>SUMIF('EIM - 2021 WA E Detail - Auth'!$C$4:$C$40,"General 389 / 393-395 / 397-398",'EIM - 2021 WA E Detail - Auth'!Z$4:Z$40)</f>
        <v>0</v>
      </c>
      <c r="Y11" s="2">
        <f>SUMIF('EIM - 2021 WA E Detail - Auth'!$C$4:$C$40,"General 389 / 393-395 / 397-398",'EIM - 2021 WA E Detail - Auth'!AA$4:AA$40)</f>
        <v>0</v>
      </c>
      <c r="Z11" s="2">
        <f>SUMIF('EIM - 2021 WA E Detail - Auth'!$C$4:$C$40,"General 389 / 393-395 / 397-398",'EIM - 2021 WA E Detail - Auth'!AB$4:AB$40)</f>
        <v>0</v>
      </c>
      <c r="AA11" s="2">
        <f>SUMIF('EIM - 2021 WA E Detail - Auth'!$C$4:$C$40,"General 389 / 393-395 / 397-398",'EIM - 2021 WA E Detail - Auth'!AC$4:AC$40)</f>
        <v>0</v>
      </c>
      <c r="AB11" s="2">
        <f>SUMIF('EIM - 2021 WA E Detail - Auth'!$C$4:$C$40,"General 389 / 393-395 / 397-398",'EIM - 2021 WA E Detail - Auth'!AD$4:AD$40)</f>
        <v>0</v>
      </c>
      <c r="AC11" s="2">
        <f>SUMIF('EIM - 2021 WA E Detail - Auth'!$C$4:$C$40,"General 389 / 393-395 / 397-398",'EIM - 2021 WA E Detail - Auth'!AE$4:AE$40)</f>
        <v>0</v>
      </c>
      <c r="AD11" s="2">
        <f>SUMIF('EIM - 2021 WA E Detail - Auth'!$C$4:$C$40,"General 389 / 393-395 / 397-398",'EIM - 2021 WA E Detail - Auth'!AF$4:AF$40)</f>
        <v>0</v>
      </c>
      <c r="AE11" s="82">
        <f t="shared" si="2"/>
        <v>0</v>
      </c>
      <c r="AF11" s="2">
        <f>SUMIF('EIM - 2022 WA E Detail - Auth'!$C$4:$C$47,"General 389 / 393-395 / 397-398",'EIM - 2022 WA E Detail - Auth'!U$4:U$47)</f>
        <v>0</v>
      </c>
      <c r="AG11" s="2">
        <f>SUMIF('EIM - 2022 WA E Detail - Auth'!$C$4:$C$47,"General 389 / 393-395 / 397-398",'EIM - 2022 WA E Detail - Auth'!V$4:V$47)</f>
        <v>0</v>
      </c>
      <c r="AH11" s="2">
        <f>SUMIF('EIM - 2022 WA E Detail - Auth'!$C$4:$C$47,"General 389 / 393-395 / 397-398",'EIM - 2022 WA E Detail - Auth'!W$4:W$47)</f>
        <v>0</v>
      </c>
      <c r="AI11" s="2">
        <f>SUMIF('EIM - 2022 WA E Detail - Auth'!$C$4:$C$47,"General 389 / 393-395 / 397-398",'EIM - 2022 WA E Detail - Auth'!X$4:X$47)</f>
        <v>0</v>
      </c>
      <c r="AJ11" s="2">
        <f>SUMIF('EIM - 2022 WA E Detail - Auth'!$C$4:$C$47,"General 389 / 393-395 / 397-398",'EIM - 2022 WA E Detail - Auth'!Y$4:Y$47)</f>
        <v>0</v>
      </c>
      <c r="AK11" s="2">
        <f>SUMIF('EIM - 2022 WA E Detail - Auth'!$C$4:$C$47,"General 389 / 393-395 / 397-398",'EIM - 2022 WA E Detail - Auth'!Z$4:Z$47)</f>
        <v>0</v>
      </c>
      <c r="AL11" s="2">
        <f>SUMIF('EIM - 2022 WA E Detail - Auth'!$C$4:$C$47,"General 389 / 393-395 / 397-398",'EIM - 2022 WA E Detail - Auth'!AA$4:AA$47)</f>
        <v>0</v>
      </c>
      <c r="AM11" s="2">
        <f>SUMIF('EIM - 2022 WA E Detail - Auth'!$C$4:$C$47,"General 389 / 393-395 / 397-398",'EIM - 2022 WA E Detail - Auth'!AB$4:AB$47)</f>
        <v>0</v>
      </c>
      <c r="AN11" s="2">
        <f>SUMIF('EIM - 2022 WA E Detail - Auth'!$C$4:$C$47,"General 389 / 393-395 / 397-398",'EIM - 2022 WA E Detail - Auth'!AC$4:AC$47)</f>
        <v>0</v>
      </c>
      <c r="AO11" s="2">
        <f>SUMIF('EIM - 2022 WA E Detail - Auth'!$C$4:$C$47,"General 389 / 393-395 / 397-398",'EIM - 2022 WA E Detail - Auth'!AD$4:AD$47)</f>
        <v>0</v>
      </c>
      <c r="AP11" s="2">
        <f>SUMIF('EIM - 2022 WA E Detail - Auth'!$C$4:$C$47,"General 389 / 393-395 / 397-398",'EIM - 2022 WA E Detail - Auth'!AE$4:AE$47)</f>
        <v>0</v>
      </c>
      <c r="AQ11" s="2">
        <f>SUMIF('EIM - 2022 WA E Detail - Auth'!$C$4:$C$47,"General 389 / 393-395 / 397-398",'EIM - 2022 WA E Detail - Auth'!AF$4:AF$47)</f>
        <v>0</v>
      </c>
      <c r="AR11" s="82">
        <f t="shared" si="3"/>
        <v>0</v>
      </c>
      <c r="AS11" s="84">
        <f>SUBTOTAL(9,$E11:AR11)</f>
        <v>432330.60685642064</v>
      </c>
    </row>
    <row r="12" spans="1:45">
      <c r="D12" s="69" t="s">
        <v>146</v>
      </c>
      <c r="E12" s="71">
        <f>'Summary-Cost-E - PF.PV pg 4'!E20</f>
        <v>53862.245801100005</v>
      </c>
      <c r="F12" s="71">
        <f>'Summary-Cost-E - PF.PV pg 4'!F20</f>
        <v>8159.0989872</v>
      </c>
      <c r="G12" s="71">
        <f>'Summary-Cost-E - PF.PV pg 4'!G20</f>
        <v>2370.6019503000002</v>
      </c>
      <c r="H12" s="71">
        <f>'Summary-Cost-E - PF.PV pg 4'!H20</f>
        <v>895.29182220000007</v>
      </c>
      <c r="I12" s="71">
        <f>'Summary-Cost-E - PF.PV pg 4'!I20</f>
        <v>0</v>
      </c>
      <c r="J12" s="71">
        <f>'Summary-Cost-E - PF.PV pg 4'!J20</f>
        <v>0</v>
      </c>
      <c r="K12" s="71">
        <f>'Summary-Cost-E - PF.PV pg 4'!K20</f>
        <v>363.95489670000001</v>
      </c>
      <c r="L12" s="71">
        <f>'Summary-Cost-E - PF.PV pg 4'!L20</f>
        <v>-33036.190747499997</v>
      </c>
      <c r="M12" s="71">
        <f>'Summary-Cost-E - PF.PV pg 4'!M20</f>
        <v>0</v>
      </c>
      <c r="N12" s="71">
        <f>'Summary-Cost-E - PF.PV pg 4'!N20</f>
        <v>0</v>
      </c>
      <c r="O12" s="71">
        <f>'Summary-Cost-E - PF.PV pg 4'!O20</f>
        <v>0</v>
      </c>
      <c r="P12" s="71">
        <f>'Summary-Cost-E - PF.PV pg 4'!P20</f>
        <v>0</v>
      </c>
      <c r="Q12" s="82">
        <f t="shared" si="1"/>
        <v>32615.002710000008</v>
      </c>
      <c r="R12" s="82">
        <f>SUBTOTAL(9,$E12:Q12)</f>
        <v>32615.002710000008</v>
      </c>
      <c r="S12" s="2">
        <f>SUMIF('EIM - 2021 WA E Detail - Auth'!$C$4:$C$40,"General - Hardware",'EIM - 2021 WA E Detail - Auth'!U$4:U$40)</f>
        <v>0</v>
      </c>
      <c r="T12" s="2">
        <f>SUMIF('EIM - 2021 WA E Detail - Auth'!$C$4:$C$40,"General - Hardware",'EIM - 2021 WA E Detail - Auth'!V$4:V$40)</f>
        <v>0</v>
      </c>
      <c r="U12" s="2">
        <f>SUMIF('EIM - 2021 WA E Detail - Auth'!$C$4:$C$40,"General - Hardware",'EIM - 2021 WA E Detail - Auth'!W$4:W$40)</f>
        <v>0</v>
      </c>
      <c r="V12" s="2">
        <f>SUMIF('EIM - 2021 WA E Detail - Auth'!$C$4:$C$40,"General - Hardware",'EIM - 2021 WA E Detail - Auth'!X$4:X$40)</f>
        <v>0</v>
      </c>
      <c r="W12" s="2">
        <f>SUMIF('EIM - 2021 WA E Detail - Auth'!$C$4:$C$40,"General - Hardware",'EIM - 2021 WA E Detail - Auth'!Y$4:Y$40)</f>
        <v>0</v>
      </c>
      <c r="X12" s="2">
        <f>SUMIF('EIM - 2021 WA E Detail - Auth'!$C$4:$C$40,"General - Hardware",'EIM - 2021 WA E Detail - Auth'!Z$4:Z$40)</f>
        <v>0</v>
      </c>
      <c r="Y12" s="2">
        <f>SUMIF('EIM - 2021 WA E Detail - Auth'!$C$4:$C$40,"General - Hardware",'EIM - 2021 WA E Detail - Auth'!AA$4:AA$40)</f>
        <v>0</v>
      </c>
      <c r="Z12" s="2">
        <f>SUMIF('EIM - 2021 WA E Detail - Auth'!$C$4:$C$40,"General - Hardware",'EIM - 2021 WA E Detail - Auth'!AB$4:AB$40)</f>
        <v>0</v>
      </c>
      <c r="AA12" s="2">
        <f>SUMIF('EIM - 2021 WA E Detail - Auth'!$C$4:$C$40,"General - Hardware",'EIM - 2021 WA E Detail - Auth'!AC$4:AC$40)</f>
        <v>0</v>
      </c>
      <c r="AB12" s="2">
        <f>SUMIF('EIM - 2021 WA E Detail - Auth'!$C$4:$C$40,"General - Hardware",'EIM - 2021 WA E Detail - Auth'!AD$4:AD$40)</f>
        <v>0</v>
      </c>
      <c r="AC12" s="2">
        <f>SUMIF('EIM - 2021 WA E Detail - Auth'!$C$4:$C$40,"General - Hardware",'EIM - 2021 WA E Detail - Auth'!AE$4:AE$40)</f>
        <v>0</v>
      </c>
      <c r="AD12" s="2">
        <f>SUMIF('EIM - 2021 WA E Detail - Auth'!$C$4:$C$40,"General - Hardware",'EIM - 2021 WA E Detail - Auth'!AF$4:AF$40)</f>
        <v>0</v>
      </c>
      <c r="AE12" s="82">
        <f t="shared" si="2"/>
        <v>0</v>
      </c>
      <c r="AF12" s="2">
        <f>SUMIF('EIM - 2022 WA E Detail - Auth'!$C$4:$C$47,"General - Hardware",'EIM - 2022 WA E Detail - Auth'!U$4:U$47)</f>
        <v>0</v>
      </c>
      <c r="AG12" s="2">
        <f>SUMIF('EIM - 2022 WA E Detail - Auth'!$C$4:$C$47,"General - Hardware",'EIM - 2022 WA E Detail - Auth'!V$4:V$47)</f>
        <v>0</v>
      </c>
      <c r="AH12" s="2">
        <f>SUMIF('EIM - 2022 WA E Detail - Auth'!$C$4:$C$47,"General - Hardware",'EIM - 2022 WA E Detail - Auth'!W$4:W$47)</f>
        <v>0</v>
      </c>
      <c r="AI12" s="2">
        <f>SUMIF('EIM - 2022 WA E Detail - Auth'!$C$4:$C$47,"General - Hardware",'EIM - 2022 WA E Detail - Auth'!X$4:X$47)</f>
        <v>0</v>
      </c>
      <c r="AJ12" s="2">
        <f>SUMIF('EIM - 2022 WA E Detail - Auth'!$C$4:$C$47,"General - Hardware",'EIM - 2022 WA E Detail - Auth'!Y$4:Y$47)</f>
        <v>0</v>
      </c>
      <c r="AK12" s="2">
        <f>SUMIF('EIM - 2022 WA E Detail - Auth'!$C$4:$C$47,"General - Hardware",'EIM - 2022 WA E Detail - Auth'!Z$4:Z$47)</f>
        <v>0</v>
      </c>
      <c r="AL12" s="2">
        <f>SUMIF('EIM - 2022 WA E Detail - Auth'!$C$4:$C$47,"General - Hardware",'EIM - 2022 WA E Detail - Auth'!AA$4:AA$47)</f>
        <v>0</v>
      </c>
      <c r="AM12" s="2">
        <f>SUMIF('EIM - 2022 WA E Detail - Auth'!$C$4:$C$47,"General - Hardware",'EIM - 2022 WA E Detail - Auth'!AB$4:AB$47)</f>
        <v>0</v>
      </c>
      <c r="AN12" s="2">
        <f>SUMIF('EIM - 2022 WA E Detail - Auth'!$C$4:$C$47,"General - Hardware",'EIM - 2022 WA E Detail - Auth'!AC$4:AC$47)</f>
        <v>0</v>
      </c>
      <c r="AO12" s="2">
        <f>SUMIF('EIM - 2022 WA E Detail - Auth'!$C$4:$C$47,"General - Hardware",'EIM - 2022 WA E Detail - Auth'!AD$4:AD$47)</f>
        <v>0</v>
      </c>
      <c r="AP12" s="2">
        <f>SUMIF('EIM - 2022 WA E Detail - Auth'!$C$4:$C$47,"General - Hardware",'EIM - 2022 WA E Detail - Auth'!AE$4:AE$47)</f>
        <v>0</v>
      </c>
      <c r="AQ12" s="2">
        <f>SUMIF('EIM - 2022 WA E Detail - Auth'!$C$4:$C$47,"General - Hardware",'EIM - 2022 WA E Detail - Auth'!AF$4:AF$47)</f>
        <v>0</v>
      </c>
      <c r="AR12" s="82">
        <f t="shared" si="3"/>
        <v>0</v>
      </c>
      <c r="AS12" s="84">
        <f>SUBTOTAL(9,$E12:AR12)</f>
        <v>32615.002710000008</v>
      </c>
    </row>
    <row r="13" spans="1:45">
      <c r="D13" s="69" t="s">
        <v>19</v>
      </c>
      <c r="E13" s="71">
        <f>'Summary-Cost-E - PF.PV pg 4'!E21</f>
        <v>194862.86176500001</v>
      </c>
      <c r="F13" s="71">
        <f>'Summary-Cost-E - PF.PV pg 4'!F21</f>
        <v>29517.985448700001</v>
      </c>
      <c r="G13" s="71">
        <f>'Summary-Cost-E - PF.PV pg 4'!G21</f>
        <v>8576.3570894999993</v>
      </c>
      <c r="H13" s="71">
        <f>'Summary-Cost-E - PF.PV pg 4'!H21</f>
        <v>8554.8974324426927</v>
      </c>
      <c r="I13" s="71">
        <f>'Summary-Cost-E - PF.PV pg 4'!I21</f>
        <v>0</v>
      </c>
      <c r="J13" s="71">
        <f>'Summary-Cost-E - PF.PV pg 4'!J21</f>
        <v>0</v>
      </c>
      <c r="K13" s="71">
        <f>'Summary-Cost-E - PF.PV pg 4'!K21</f>
        <v>1316.7151022999999</v>
      </c>
      <c r="L13" s="71">
        <f>'Summary-Cost-E - PF.PV pg 4'!L21</f>
        <v>-99051.532830900003</v>
      </c>
      <c r="M13" s="71">
        <f>'Summary-Cost-E - PF.PV pg 4'!M21</f>
        <v>0</v>
      </c>
      <c r="N13" s="71">
        <f>'Summary-Cost-E - PF.PV pg 4'!N21</f>
        <v>0</v>
      </c>
      <c r="O13" s="71">
        <f>'Summary-Cost-E - PF.PV pg 4'!O21</f>
        <v>0</v>
      </c>
      <c r="P13" s="71">
        <f>'Summary-Cost-E - PF.PV pg 4'!P21</f>
        <v>0</v>
      </c>
      <c r="Q13" s="82">
        <f t="shared" si="1"/>
        <v>143777.2840070427</v>
      </c>
      <c r="R13" s="82">
        <f>SUBTOTAL(9,$E13:Q13)</f>
        <v>143777.2840070427</v>
      </c>
      <c r="S13" s="2">
        <f>SUMIF('EIM - 2021 WA E Detail - Auth'!$C$4:$C$40,"Software 303",'EIM - 2021 WA E Detail - Auth'!U$4:U$40)</f>
        <v>113002.47411173211</v>
      </c>
      <c r="T13" s="2">
        <f>SUMIF('EIM - 2021 WA E Detail - Auth'!$C$4:$C$40,"Software 303",'EIM - 2021 WA E Detail - Auth'!V$4:V$40)</f>
        <v>113002.47411173211</v>
      </c>
      <c r="U13" s="2">
        <f>SUMIF('EIM - 2021 WA E Detail - Auth'!$C$4:$C$40,"Software 303",'EIM - 2021 WA E Detail - Auth'!W$4:W$40)</f>
        <v>113002.47411173211</v>
      </c>
      <c r="V13" s="2">
        <f>SUMIF('EIM - 2021 WA E Detail - Auth'!$C$4:$C$40,"Software 303",'EIM - 2021 WA E Detail - Auth'!X$4:X$40)</f>
        <v>2944293.8760718941</v>
      </c>
      <c r="W13" s="2">
        <f>SUMIF('EIM - 2021 WA E Detail - Auth'!$C$4:$C$40,"Software 303",'EIM - 2021 WA E Detail - Auth'!Y$4:Y$40)</f>
        <v>113718.61046646682</v>
      </c>
      <c r="X13" s="2">
        <f>SUMIF('EIM - 2021 WA E Detail - Auth'!$C$4:$C$40,"Software 303",'EIM - 2021 WA E Detail - Auth'!Z$4:Z$40)</f>
        <v>113718.61046646682</v>
      </c>
      <c r="Y13" s="2">
        <f>SUMIF('EIM - 2021 WA E Detail - Auth'!$C$4:$C$40,"Software 303",'EIM - 2021 WA E Detail - Auth'!AA$4:AA$40)</f>
        <v>0</v>
      </c>
      <c r="Z13" s="2">
        <f>SUMIF('EIM - 2021 WA E Detail - Auth'!$C$4:$C$40,"Software 303",'EIM - 2021 WA E Detail - Auth'!AB$4:AB$40)</f>
        <v>0</v>
      </c>
      <c r="AA13" s="2">
        <f>SUMIF('EIM - 2021 WA E Detail - Auth'!$C$4:$C$40,"Software 303",'EIM - 2021 WA E Detail - Auth'!AC$4:AC$40)</f>
        <v>0</v>
      </c>
      <c r="AB13" s="2">
        <f>SUMIF('EIM - 2021 WA E Detail - Auth'!$C$4:$C$40,"Software 303",'EIM - 2021 WA E Detail - Auth'!AD$4:AD$40)</f>
        <v>0</v>
      </c>
      <c r="AC13" s="2">
        <f>SUMIF('EIM - 2021 WA E Detail - Auth'!$C$4:$C$40,"Software 303",'EIM - 2021 WA E Detail - Auth'!AE$4:AE$40)</f>
        <v>0</v>
      </c>
      <c r="AD13" s="2">
        <f>SUMIF('EIM - 2021 WA E Detail - Auth'!$C$4:$C$40,"Software 303",'EIM - 2021 WA E Detail - Auth'!AF$4:AF$40)</f>
        <v>0</v>
      </c>
      <c r="AE13" s="82">
        <f t="shared" si="2"/>
        <v>3510738.5193400239</v>
      </c>
      <c r="AF13" s="2">
        <f>SUMIF('EIM - 2022 WA E Detail - Auth'!$C$4:$C$47,"Software 303",'EIM - 2022 WA E Detail - Auth'!U$4:U$47)</f>
        <v>0</v>
      </c>
      <c r="AG13" s="2">
        <f>SUMIF('EIM - 2022 WA E Detail - Auth'!$C$4:$C$47,"Software 303",'EIM - 2022 WA E Detail - Auth'!V$4:V$47)</f>
        <v>0</v>
      </c>
      <c r="AH13" s="2">
        <f>SUMIF('EIM - 2022 WA E Detail - Auth'!$C$4:$C$47,"Software 303",'EIM - 2022 WA E Detail - Auth'!W$4:W$47)</f>
        <v>6297776.6624666657</v>
      </c>
      <c r="AI13" s="2">
        <f>SUMIF('EIM - 2022 WA E Detail - Auth'!$C$4:$C$47,"Software 303",'EIM - 2022 WA E Detail - Auth'!X$4:X$47)</f>
        <v>842464.1283666665</v>
      </c>
      <c r="AJ13" s="2">
        <f>SUMIF('EIM - 2022 WA E Detail - Auth'!$C$4:$C$47,"Software 303",'EIM - 2022 WA E Detail - Auth'!Y$4:Y$47)</f>
        <v>803949.51486666652</v>
      </c>
      <c r="AK13" s="2">
        <f>SUMIF('EIM - 2022 WA E Detail - Auth'!$C$4:$C$47,"Software 303",'EIM - 2022 WA E Detail - Auth'!Z$4:Z$47)</f>
        <v>0</v>
      </c>
      <c r="AL13" s="2">
        <f>SUMIF('EIM - 2022 WA E Detail - Auth'!$C$4:$C$47,"Software 303",'EIM - 2022 WA E Detail - Auth'!AA$4:AA$47)</f>
        <v>0</v>
      </c>
      <c r="AM13" s="2">
        <f>SUMIF('EIM - 2022 WA E Detail - Auth'!$C$4:$C$47,"Software 303",'EIM - 2022 WA E Detail - Auth'!AB$4:AB$47)</f>
        <v>0</v>
      </c>
      <c r="AN13" s="2">
        <f>SUMIF('EIM - 2022 WA E Detail - Auth'!$C$4:$C$47,"Software 303",'EIM - 2022 WA E Detail - Auth'!AC$4:AC$47)</f>
        <v>0</v>
      </c>
      <c r="AO13" s="2">
        <f>SUMIF('EIM - 2022 WA E Detail - Auth'!$C$4:$C$47,"Software 303",'EIM - 2022 WA E Detail - Auth'!AD$4:AD$47)</f>
        <v>0</v>
      </c>
      <c r="AP13" s="2">
        <f>SUMIF('EIM - 2022 WA E Detail - Auth'!$C$4:$C$47,"Software 303",'EIM - 2022 WA E Detail - Auth'!AE$4:AE$47)</f>
        <v>0</v>
      </c>
      <c r="AQ13" s="2">
        <f>SUMIF('EIM - 2022 WA E Detail - Auth'!$C$4:$C$47,"Software 303",'EIM - 2022 WA E Detail - Auth'!AF$4:AF$47)</f>
        <v>0</v>
      </c>
      <c r="AR13" s="82">
        <f t="shared" si="3"/>
        <v>7944190.3056999994</v>
      </c>
      <c r="AS13" s="84">
        <f>SUBTOTAL(9,$E13:AR13)</f>
        <v>11598706.109047065</v>
      </c>
    </row>
    <row r="14" spans="1:45">
      <c r="E14" s="74">
        <f t="shared" ref="E14" si="4">SUM(E7:E13)</f>
        <v>248725.10756610002</v>
      </c>
      <c r="F14" s="74">
        <f t="shared" ref="F14" si="5">SUM(F7:F13)</f>
        <v>37677.084435900004</v>
      </c>
      <c r="G14" s="74">
        <f t="shared" ref="G14" si="6">SUM(G7:G13)</f>
        <v>10946.9590398</v>
      </c>
      <c r="H14" s="74">
        <f t="shared" ref="H14" si="7">SUM(H7:H13)</f>
        <v>9450.1892546426934</v>
      </c>
      <c r="I14" s="74">
        <f t="shared" ref="I14" si="8">SUM(I7:I13)</f>
        <v>0</v>
      </c>
      <c r="J14" s="74">
        <f t="shared" ref="J14" si="9">SUM(J7:J13)</f>
        <v>309000.98921999999</v>
      </c>
      <c r="K14" s="74">
        <f t="shared" ref="K14" si="10">SUM(K7:K13)</f>
        <v>63661.9339062</v>
      </c>
      <c r="L14" s="74">
        <f t="shared" ref="L14" si="11">SUM(L7:L13)</f>
        <v>104808.68738460001</v>
      </c>
      <c r="M14" s="74">
        <f t="shared" ref="M14" si="12">SUM(M7:M13)</f>
        <v>195545.34303805887</v>
      </c>
      <c r="N14" s="74">
        <f t="shared" ref="N14" si="13">SUM(N7:N13)</f>
        <v>267426.51205506636</v>
      </c>
      <c r="O14" s="74">
        <f t="shared" ref="O14" si="14">SUM(O7:O13)</f>
        <v>23274.626166443159</v>
      </c>
      <c r="P14" s="74">
        <f t="shared" ref="P14:R14" si="15">SUM(P7:P13)</f>
        <v>484053.35755865223</v>
      </c>
      <c r="Q14" s="83">
        <f t="shared" si="15"/>
        <v>1754570.7896254633</v>
      </c>
      <c r="R14" s="83">
        <f t="shared" si="15"/>
        <v>1754570.7896254633</v>
      </c>
      <c r="S14" s="74">
        <f t="shared" ref="S14:AN14" si="16">SUM(S7:S13)</f>
        <v>229998.71280207887</v>
      </c>
      <c r="T14" s="72">
        <f t="shared" si="16"/>
        <v>229998.71280207887</v>
      </c>
      <c r="U14" s="72">
        <f t="shared" si="16"/>
        <v>229998.71280207887</v>
      </c>
      <c r="V14" s="72">
        <f t="shared" si="16"/>
        <v>3837499.1481163334</v>
      </c>
      <c r="W14" s="72">
        <f t="shared" si="16"/>
        <v>1969123.1629846522</v>
      </c>
      <c r="X14" s="72">
        <f t="shared" si="16"/>
        <v>1194743.0508910879</v>
      </c>
      <c r="Y14" s="72">
        <f t="shared" si="16"/>
        <v>0</v>
      </c>
      <c r="Z14" s="72">
        <f t="shared" si="16"/>
        <v>0</v>
      </c>
      <c r="AA14" s="72">
        <f t="shared" si="16"/>
        <v>0</v>
      </c>
      <c r="AB14" s="72">
        <f t="shared" si="16"/>
        <v>0</v>
      </c>
      <c r="AC14" s="72">
        <f t="shared" si="16"/>
        <v>0</v>
      </c>
      <c r="AD14" s="72">
        <f t="shared" si="16"/>
        <v>0</v>
      </c>
      <c r="AE14" s="83">
        <f t="shared" ref="AE14" si="17">SUM(AE7:AE13)</f>
        <v>7691361.5003983099</v>
      </c>
      <c r="AF14" s="72">
        <f t="shared" si="16"/>
        <v>0</v>
      </c>
      <c r="AG14" s="72">
        <f t="shared" si="16"/>
        <v>0</v>
      </c>
      <c r="AH14" s="72">
        <f t="shared" si="16"/>
        <v>6297776.6624666657</v>
      </c>
      <c r="AI14" s="72">
        <f t="shared" si="16"/>
        <v>842464.1283666665</v>
      </c>
      <c r="AJ14" s="72">
        <f t="shared" si="16"/>
        <v>803949.51486666652</v>
      </c>
      <c r="AK14" s="72">
        <f t="shared" si="16"/>
        <v>0</v>
      </c>
      <c r="AL14" s="72">
        <f t="shared" si="16"/>
        <v>0</v>
      </c>
      <c r="AM14" s="72">
        <f t="shared" si="16"/>
        <v>0</v>
      </c>
      <c r="AN14" s="72">
        <f t="shared" si="16"/>
        <v>0</v>
      </c>
      <c r="AO14" s="72">
        <f t="shared" ref="AO14" si="18">SUM(AO7:AO13)</f>
        <v>0</v>
      </c>
      <c r="AP14" s="72">
        <f t="shared" ref="AP14" si="19">SUM(AP7:AP13)</f>
        <v>0</v>
      </c>
      <c r="AQ14" s="72">
        <f t="shared" ref="AQ14:AS14" si="20">SUM(AQ7:AQ13)</f>
        <v>0</v>
      </c>
      <c r="AR14" s="83">
        <f t="shared" si="20"/>
        <v>7944190.3056999994</v>
      </c>
      <c r="AS14" s="83">
        <f t="shared" si="20"/>
        <v>17390122.595723771</v>
      </c>
    </row>
    <row r="15" spans="1:45" hidden="1" outlineLevel="1">
      <c r="D15" s="85" t="s">
        <v>161</v>
      </c>
      <c r="E15" s="87">
        <f>E14-'Summary-Cost-E - PF.PV pg 4'!E23</f>
        <v>0</v>
      </c>
      <c r="F15" s="87">
        <f>F14-'Summary-Cost-E - PF.PV pg 4'!F23</f>
        <v>0</v>
      </c>
      <c r="G15" s="87">
        <f>G14-'Summary-Cost-E - PF.PV pg 4'!G23</f>
        <v>0</v>
      </c>
      <c r="H15" s="87">
        <f>H14-'Summary-Cost-E - PF.PV pg 4'!H23</f>
        <v>0</v>
      </c>
      <c r="I15" s="87">
        <f>I14-'Summary-Cost-E - PF.PV pg 4'!I23</f>
        <v>0</v>
      </c>
      <c r="J15" s="87">
        <f>J14-'Summary-Cost-E - PF.PV pg 4'!J23</f>
        <v>0</v>
      </c>
      <c r="K15" s="87">
        <f>K14-'Summary-Cost-E - PF.PV pg 4'!K23</f>
        <v>0</v>
      </c>
      <c r="L15" s="87">
        <f>L14-'Summary-Cost-E - PF.PV pg 4'!L23</f>
        <v>0</v>
      </c>
      <c r="M15" s="87">
        <f>M14-'Summary-Cost-E - PF.PV pg 4'!M23</f>
        <v>0</v>
      </c>
      <c r="N15" s="87">
        <f>N14-'Summary-Cost-E - PF.PV pg 4'!N23</f>
        <v>0</v>
      </c>
      <c r="O15" s="87">
        <f>O14-'Summary-Cost-E - PF.PV pg 4'!O23</f>
        <v>0</v>
      </c>
      <c r="P15" s="87">
        <f>P14-'Summary-Cost-E - PF.PV pg 4'!P23</f>
        <v>0</v>
      </c>
      <c r="Q15" s="46"/>
      <c r="R15" s="46"/>
      <c r="S15" s="87">
        <f>S14-'Summary-Cost-E - PF.PV pg 4'!R23</f>
        <v>-30433.702814703749</v>
      </c>
      <c r="T15" s="87">
        <f>T14-'Summary-Cost-E - PF.PV pg 4'!S23</f>
        <v>47761.431832502712</v>
      </c>
      <c r="U15" s="87">
        <f>U14-'Summary-Cost-E - PF.PV pg 4'!T23</f>
        <v>-271505.95786630973</v>
      </c>
      <c r="V15" s="87">
        <f>V14-'Summary-Cost-E - PF.PV pg 4'!U23</f>
        <v>2312455.5870254459</v>
      </c>
      <c r="W15" s="87">
        <f>W14-'Summary-Cost-E - PF.PV pg 4'!V23</f>
        <v>1085688.3170329076</v>
      </c>
      <c r="X15" s="87">
        <f>X14-'Summary-Cost-E - PF.PV pg 4'!W23</f>
        <v>-2000444.7232622821</v>
      </c>
      <c r="Y15" s="87">
        <f>Y14-'Summary-Cost-E - PF.PV pg 4'!X23</f>
        <v>-19833.58200942316</v>
      </c>
      <c r="Z15" s="87">
        <f>Z14-'Summary-Cost-E - PF.PV pg 4'!Y23</f>
        <v>573.99240772790927</v>
      </c>
      <c r="AA15" s="87">
        <f>AA14-'Summary-Cost-E - PF.PV pg 4'!Z23</f>
        <v>-13242.270207831865</v>
      </c>
      <c r="AB15" s="87">
        <f>AB14-'Summary-Cost-E - PF.PV pg 4'!AA23</f>
        <v>-32278.802710356693</v>
      </c>
      <c r="AC15" s="87">
        <f>AC14-'Summary-Cost-E - PF.PV pg 4'!AB23</f>
        <v>-16353.292865663092</v>
      </c>
      <c r="AD15" s="87">
        <f>AD14-'Summary-Cost-E - PF.PV pg 4'!AC23</f>
        <v>-5363.5400584337558</v>
      </c>
      <c r="AE15" s="46"/>
      <c r="AF15" s="87">
        <f>AF14-'Summary-Cost-E - PF.PV pg 4'!AD23</f>
        <v>-1229.9363028037194</v>
      </c>
      <c r="AG15" s="87">
        <f>AG14-'Summary-Cost-E - PF.PV pg 4'!AE23</f>
        <v>-8395.3108720537875</v>
      </c>
      <c r="AH15" s="87">
        <f>AH14-'Summary-Cost-E - PF.PV pg 4'!AF23</f>
        <v>-399055.51892032288</v>
      </c>
      <c r="AI15" s="87">
        <f>AI14-'Summary-Cost-E - PF.PV pg 4'!AG23</f>
        <v>494108.30414373975</v>
      </c>
      <c r="AJ15" s="87">
        <f>AJ14-'Summary-Cost-E - PF.PV pg 4'!AH23</f>
        <v>505401.63672086806</v>
      </c>
      <c r="AK15" s="87">
        <f>AK14-'Summary-Cost-E - PF.PV pg 4'!AI23</f>
        <v>-189788.88606543656</v>
      </c>
      <c r="AL15" s="87">
        <f>AL14-'Summary-Cost-E - PF.PV pg 4'!AJ23</f>
        <v>-60302.412938749338</v>
      </c>
      <c r="AM15" s="87">
        <f>AM14-'Summary-Cost-E - PF.PV pg 4'!AK23</f>
        <v>-60302.412938749338</v>
      </c>
      <c r="AN15" s="87">
        <f>AN14-'Summary-Cost-E - PF.PV pg 4'!AL23</f>
        <v>0</v>
      </c>
      <c r="AR15" s="46"/>
    </row>
    <row r="16" spans="1:45" collapsed="1">
      <c r="Q16" s="46"/>
      <c r="R16" s="46"/>
      <c r="AE16" s="46"/>
      <c r="AR16" s="46"/>
    </row>
    <row r="17" spans="2:46">
      <c r="Q17" s="46"/>
      <c r="R17" s="46"/>
      <c r="AE17" s="46"/>
      <c r="AR17" s="46"/>
    </row>
    <row r="18" spans="2:46">
      <c r="B18" s="1" t="s">
        <v>151</v>
      </c>
      <c r="Q18" s="46"/>
      <c r="R18" s="46"/>
      <c r="AE18" s="46"/>
      <c r="AR18" s="46"/>
    </row>
    <row r="19" spans="2:46">
      <c r="D19" s="69" t="s">
        <v>17</v>
      </c>
      <c r="E19" s="2">
        <f>SUMIF('EIM - 2020 WA E Detail - Actual'!$C$4:$C$15,"Elec Distribution 360-373",'EIM - 2020 WA E Detail - Actual'!U$4:U$15)</f>
        <v>0</v>
      </c>
      <c r="F19" s="2">
        <f>SUMIF('EIM - 2020 WA E Detail - Actual'!$C$4:$C$15,"Elec Distribution 360-373",'EIM - 2020 WA E Detail - Actual'!V$4:V$15)</f>
        <v>0</v>
      </c>
      <c r="G19" s="2">
        <f>SUMIF('EIM - 2020 WA E Detail - Actual'!$C$4:$C$15,"Elec Distribution 360-373",'EIM - 2020 WA E Detail - Actual'!W$4:W$15)</f>
        <v>0</v>
      </c>
      <c r="H19" s="2">
        <f>SUMIF('EIM - 2020 WA E Detail - Actual'!$C$4:$C$15,"Elec Distribution 360-373",'EIM - 2020 WA E Detail - Actual'!X$4:X$15)</f>
        <v>0</v>
      </c>
      <c r="I19" s="2">
        <f>SUMIF('EIM - 2020 WA E Detail - Actual'!$C$4:$C$15,"Elec Distribution 360-373",'EIM - 2020 WA E Detail - Actual'!Y$4:Y$15)</f>
        <v>0</v>
      </c>
      <c r="J19" s="2">
        <f>SUMIF('EIM - 2020 WA E Detail - Actual'!$C$4:$C$15,"Elec Distribution 360-373",'EIM - 2020 WA E Detail - Actual'!Z$4:Z$15)</f>
        <v>0</v>
      </c>
      <c r="K19" s="2">
        <f>SUMIF('EIM - 2020 WA E Detail - Actual'!$C$4:$C$15,"Elec Distribution 360-373",'EIM - 2020 WA E Detail - Actual'!AA$4:AA$15)</f>
        <v>0</v>
      </c>
      <c r="L19" s="2">
        <f>SUMIF('EIM - 2020 WA E Detail - Actual'!$C$4:$C$15,"Elec Distribution 360-373",'EIM - 2020 WA E Detail - Actual'!AB$4:AB$15)</f>
        <v>0</v>
      </c>
      <c r="M19" s="2">
        <f>SUMIF('EIM - 2020 WA E Detail - Actual'!$C$4:$C$15,"Elec Distribution 360-373",'EIM - 2020 WA E Detail - Actual'!AC$4:AC$15)</f>
        <v>0</v>
      </c>
      <c r="N19" s="2">
        <f>SUMIF('EIM - 2020 WA E Detail - Actual'!$C$4:$C$15,"Elec Distribution 360-373",'EIM - 2020 WA E Detail - Actual'!AD$4:AD$15)</f>
        <v>0</v>
      </c>
      <c r="O19" s="2">
        <f>SUMIF('EIM - 2020 WA E Detail - Actual'!$C$4:$C$15,"Elec Distribution 360-373",'EIM - 2020 WA E Detail - Actual'!AE$4:AE$15)</f>
        <v>0</v>
      </c>
      <c r="P19" s="2">
        <f>SUMIF('EIM - 2020 WA E Detail - Actual'!$C$4:$C$15,"Elec Distribution 360-373",'EIM - 2020 WA E Detail - Actual'!AF$4:AF$15)</f>
        <v>0</v>
      </c>
      <c r="Q19" s="84">
        <f t="shared" ref="Q19:Q25" si="21">SUBTOTAL(9,E19:P19)</f>
        <v>0</v>
      </c>
      <c r="R19" s="84">
        <f>SUBTOTAL(9,$E19:Q19)</f>
        <v>0</v>
      </c>
      <c r="S19" s="2">
        <f>SUMIF('EIM - 2021 WA E Detail - Actual'!$C$4:$C$40,"Elec Distribution 360-373",'EIM - 2021 WA E Detail - Actual'!U$4:U$40)</f>
        <v>0</v>
      </c>
      <c r="T19" s="2">
        <f>SUMIF('EIM - 2021 WA E Detail - Actual'!$C$4:$C$40,"Elec Distribution 360-373",'EIM - 2021 WA E Detail - Actual'!V$4:V$40)</f>
        <v>0</v>
      </c>
      <c r="U19" s="2">
        <f>SUMIF('EIM - 2021 WA E Detail - Actual'!$C$4:$C$40,"Elec Distribution 360-373",'EIM - 2021 WA E Detail - Actual'!W$4:W$40)</f>
        <v>25499.71</v>
      </c>
      <c r="V19" s="2">
        <f>SUMIF('EIM - 2021 WA E Detail - Actual'!$C$4:$C$40,"Elec Distribution 360-373",'EIM - 2021 WA E Detail - Actual'!X$4:X$40)</f>
        <v>2894.08</v>
      </c>
      <c r="W19" s="2">
        <f>SUMIF('EIM - 2021 WA E Detail - Actual'!$C$4:$C$40,"Elec Distribution 360-373",'EIM - 2021 WA E Detail - Actual'!Y$4:Y$40)</f>
        <v>708.52</v>
      </c>
      <c r="X19" s="2">
        <f>SUMIF('EIM - 2021 WA E Detail - Actual'!$C$4:$C$40,"Elec Distribution 360-373",'EIM - 2021 WA E Detail - Actual'!Z$4:Z$40)</f>
        <v>92615.95</v>
      </c>
      <c r="Y19" s="2">
        <f>SUMIF('EIM - 2021 WA E Detail - Actual'!$C$4:$C$40,"Elec Distribution 360-373",'EIM - 2021 WA E Detail - Actual'!AA$4:AA$40)</f>
        <v>493.18</v>
      </c>
      <c r="Z19" s="2">
        <f>SUMIF('EIM - 2021 WA E Detail - Actual'!$C$4:$C$40,"Elec Distribution 360-373",'EIM - 2021 WA E Detail - Actual'!AB$4:AB$40)</f>
        <v>268.14</v>
      </c>
      <c r="AA19" s="2">
        <f>SUMIF('EIM - 2021 WA E Detail - Actual'!$C$4:$C$40,"Elec Distribution 360-373",'EIM - 2021 WA E Detail - Actual'!AC$4:AC$40)</f>
        <v>8836.6799999999985</v>
      </c>
      <c r="AB19" s="2">
        <f>SUMIF('EIM - 2021 WA E Detail - Actual'!$C$4:$C$40,"Elec Distribution 360-373",'EIM - 2021 WA E Detail - Actual'!AD$4:AD$40)</f>
        <v>404.2</v>
      </c>
      <c r="AC19" s="2">
        <f>SUMIF('EIM - 2021 WA E Detail - Actual'!$C$4:$C$40,"Elec Distribution 360-373",'EIM - 2021 WA E Detail - Actual'!AE$4:AE$40)</f>
        <v>2956.96</v>
      </c>
      <c r="AD19" s="2">
        <f>SUMIF('EIM - 2021 WA E Detail - Actual'!$C$4:$C$40,"Elec Distribution 360-373",'EIM - 2021 WA E Detail - Actual'!AF$4:AF$40)</f>
        <v>0</v>
      </c>
      <c r="AE19" s="84">
        <f t="shared" ref="AE19:AE25" si="22">SUBTOTAL(9,S19:AD19)</f>
        <v>134677.41999999998</v>
      </c>
      <c r="AF19" s="2">
        <f>SUMIF('EIM - 2022 WA E Detail - Actual'!$C$4:$C$47,"Elec Distribution 360-373",'EIM - 2022 WA E Detail - Actual'!U$4:U$47)</f>
        <v>0</v>
      </c>
      <c r="AG19" s="2">
        <f>SUMIF('EIM - 2022 WA E Detail - Actual'!$C$4:$C$47,"Elec Distribution 360-373",'EIM - 2022 WA E Detail - Actual'!V$4:V$47)</f>
        <v>2230.88</v>
      </c>
      <c r="AH19" s="2">
        <f>SUMIF('EIM - 2022 WA E Detail - Actual'!$C$4:$C$47,"Elec Distribution 360-373",'EIM - 2022 WA E Detail - Actual'!W$4:W$47)</f>
        <v>580.25</v>
      </c>
      <c r="AI19" s="2">
        <f>SUMIF('EIM - 2022 WA E Detail - Actual'!$C$4:$C$47,"Elec Distribution 360-373",'EIM - 2022 WA E Detail - Actual'!X$4:X$47)</f>
        <v>0</v>
      </c>
      <c r="AJ19" s="2">
        <f>SUMIF('EIM - 2022 WA E Detail - Actual'!$C$4:$C$47,"Elec Distribution 360-373",'EIM - 2022 WA E Detail - Actual'!Y$4:Y$47)</f>
        <v>0</v>
      </c>
      <c r="AK19" s="2">
        <f>SUMIF('EIM - 2022 WA E Detail - Actual'!$C$4:$C$47,"Elec Distribution 360-373",'EIM - 2022 WA E Detail - Actual'!Z$4:Z$47)</f>
        <v>0</v>
      </c>
      <c r="AL19" s="2">
        <f>SUMIF('EIM - 2022 WA E Detail - Actual'!$C$4:$C$47,"Elec Distribution 360-373",'EIM - 2022 WA E Detail - Actual'!AA$4:AA$47)</f>
        <v>0</v>
      </c>
      <c r="AM19" s="2">
        <f>SUMIF('EIM - 2022 WA E Detail - Actual'!$C$4:$C$47,"Elec Distribution 360-373",'EIM - 2022 WA E Detail - Actual'!AB$4:AB$47)</f>
        <v>0</v>
      </c>
      <c r="AN19" s="2">
        <f>SUMIF('EIM - 2022 WA E Detail - Actual'!$C$4:$C$47,"Elec Distribution 360-373",'EIM - 2022 WA E Detail - Actual'!AC$4:AC$47)</f>
        <v>0</v>
      </c>
      <c r="AO19" s="2">
        <f>SUMIF('EIM - 2022 WA E Detail - Actual'!$C$4:$C$47,"Elec Distribution 360-373",'EIM - 2022 WA E Detail - Actual'!AD$4:AD$47)</f>
        <v>0</v>
      </c>
      <c r="AP19" s="2">
        <f>SUMIF('EIM - 2022 WA E Detail - Actual'!$C$4:$C$47,"Elec Distribution 360-373",'EIM - 2022 WA E Detail - Actual'!AE$4:AE$47)</f>
        <v>0</v>
      </c>
      <c r="AQ19" s="2">
        <f>SUMIF('EIM - 2022 WA E Detail - Actual'!$C$4:$C$47,"Elec Distribution 360-373",'EIM - 2022 WA E Detail - Actual'!AF$4:AF$47)</f>
        <v>0</v>
      </c>
      <c r="AR19" s="84">
        <f t="shared" ref="AR19:AR25" si="23">SUBTOTAL(9,AF19:AQ19)</f>
        <v>2811.13</v>
      </c>
      <c r="AS19" s="84">
        <f>SUBTOTAL(9,$E19:AR19)</f>
        <v>137488.54999999999</v>
      </c>
    </row>
    <row r="20" spans="2:46">
      <c r="D20" s="69" t="s">
        <v>14</v>
      </c>
      <c r="E20" s="2">
        <f>SUMIF('EIM - 2020 WA E Detail - Actual'!$C$4:$C$15,"Elec Transmission 350-359",'EIM - 2020 WA E Detail - Actual'!U$4:U$15)</f>
        <v>0</v>
      </c>
      <c r="F20" s="2">
        <f>SUMIF('EIM - 2020 WA E Detail - Actual'!$C$4:$C$15,"Elec Transmission 350-359",'EIM - 2020 WA E Detail - Actual'!V$4:V$15)</f>
        <v>0</v>
      </c>
      <c r="G20" s="2">
        <f>SUMIF('EIM - 2020 WA E Detail - Actual'!$C$4:$C$15,"Elec Transmission 350-359",'EIM - 2020 WA E Detail - Actual'!W$4:W$15)</f>
        <v>0</v>
      </c>
      <c r="H20" s="2">
        <f>SUMIF('EIM - 2020 WA E Detail - Actual'!$C$4:$C$15,"Elec Transmission 350-359",'EIM - 2020 WA E Detail - Actual'!X$4:X$15)</f>
        <v>0</v>
      </c>
      <c r="I20" s="2">
        <f>SUMIF('EIM - 2020 WA E Detail - Actual'!$C$4:$C$15,"Elec Transmission 350-359",'EIM - 2020 WA E Detail - Actual'!Y$4:Y$15)</f>
        <v>0</v>
      </c>
      <c r="J20" s="2">
        <f>SUMIF('EIM - 2020 WA E Detail - Actual'!$C$4:$C$15,"Elec Transmission 350-359",'EIM - 2020 WA E Detail - Actual'!Z$4:Z$15)</f>
        <v>0</v>
      </c>
      <c r="K20" s="2">
        <f>SUMIF('EIM - 2020 WA E Detail - Actual'!$C$4:$C$15,"Elec Transmission 350-359",'EIM - 2020 WA E Detail - Actual'!AA$4:AA$15)</f>
        <v>0</v>
      </c>
      <c r="L20" s="2">
        <f>SUMIF('EIM - 2020 WA E Detail - Actual'!$C$4:$C$15,"Elec Transmission 350-359",'EIM - 2020 WA E Detail - Actual'!AB$4:AB$15)</f>
        <v>100165.123716</v>
      </c>
      <c r="M20" s="2">
        <f>SUMIF('EIM - 2020 WA E Detail - Actual'!$C$4:$C$15,"Elec Transmission 350-359",'EIM - 2020 WA E Detail - Actual'!AC$4:AC$15)</f>
        <v>0</v>
      </c>
      <c r="N20" s="2">
        <f>SUMIF('EIM - 2020 WA E Detail - Actual'!$C$4:$C$15,"Elec Transmission 350-359",'EIM - 2020 WA E Detail - Actual'!AD$4:AD$15)</f>
        <v>39057.250644</v>
      </c>
      <c r="O20" s="2">
        <f>SUMIF('EIM - 2020 WA E Detail - Actual'!$C$4:$C$15,"Elec Transmission 350-359",'EIM - 2020 WA E Detail - Actual'!AE$4:AE$15)</f>
        <v>889.211952</v>
      </c>
      <c r="P20" s="2">
        <f>SUMIF('EIM - 2020 WA E Detail - Actual'!$C$4:$C$15,"Elec Transmission 350-359",'EIM - 2020 WA E Detail - Actual'!AF$4:AF$15)</f>
        <v>3764.2439520000003</v>
      </c>
      <c r="Q20" s="84">
        <f t="shared" si="21"/>
        <v>143875.83026400002</v>
      </c>
      <c r="R20" s="84">
        <f>SUBTOTAL(9,$E20:Q20)</f>
        <v>143875.83026400002</v>
      </c>
      <c r="S20" s="2">
        <f>SUMIF('EIM - 2021 WA E Detail - Actual'!$C$4:$C$40,"Elec Transmission 350-359",'EIM - 2021 WA E Detail - Actual'!U$4:U$40)</f>
        <v>242.10001199999999</v>
      </c>
      <c r="T20" s="2">
        <f>SUMIF('EIM - 2021 WA E Detail - Actual'!$C$4:$C$40,"Elec Transmission 350-359",'EIM - 2021 WA E Detail - Actual'!V$4:V$40)</f>
        <v>-4052.6135999999997</v>
      </c>
      <c r="U20" s="2">
        <f>SUMIF('EIM - 2021 WA E Detail - Actual'!$C$4:$C$40,"Elec Transmission 350-359",'EIM - 2021 WA E Detail - Actual'!W$4:W$40)</f>
        <v>181776.97671600003</v>
      </c>
      <c r="V20" s="2">
        <f>SUMIF('EIM - 2021 WA E Detail - Actual'!$C$4:$C$40,"Elec Transmission 350-359",'EIM - 2021 WA E Detail - Actual'!X$4:X$40)</f>
        <v>181667.055972</v>
      </c>
      <c r="W20" s="2">
        <f>SUMIF('EIM - 2021 WA E Detail - Actual'!$C$4:$C$40,"Elec Transmission 350-359",'EIM - 2021 WA E Detail - Actual'!Y$4:Y$40)</f>
        <v>12613.441476000002</v>
      </c>
      <c r="X20" s="2">
        <f>SUMIF('EIM - 2021 WA E Detail - Actual'!$C$4:$C$40,"Elec Transmission 350-359",'EIM - 2021 WA E Detail - Actual'!Z$4:Z$40)</f>
        <v>57037.064064000006</v>
      </c>
      <c r="Y20" s="2">
        <f>SUMIF('EIM - 2021 WA E Detail - Actual'!$C$4:$C$40,"Elec Transmission 350-359",'EIM - 2021 WA E Detail - Actual'!AA$4:AA$40)</f>
        <v>-713.22454799999991</v>
      </c>
      <c r="Z20" s="2">
        <f>SUMIF('EIM - 2021 WA E Detail - Actual'!$C$4:$C$40,"Elec Transmission 350-359",'EIM - 2021 WA E Detail - Actual'!AB$4:AB$40)</f>
        <v>-14076.924660000006</v>
      </c>
      <c r="AA20" s="2">
        <f>SUMIF('EIM - 2021 WA E Detail - Actual'!$C$4:$C$40,"Elec Transmission 350-359",'EIM - 2021 WA E Detail - Actual'!AC$4:AC$40)</f>
        <v>1955.8947719999999</v>
      </c>
      <c r="AB20" s="2">
        <f>SUMIF('EIM - 2021 WA E Detail - Actual'!$C$4:$C$40,"Elec Transmission 350-359",'EIM - 2021 WA E Detail - Actual'!AD$4:AD$40)</f>
        <v>2088.4088039999951</v>
      </c>
      <c r="AC20" s="2">
        <f>SUMIF('EIM - 2021 WA E Detail - Actual'!$C$4:$C$40,"Elec Transmission 350-359",'EIM - 2021 WA E Detail - Actual'!AE$4:AE$40)</f>
        <v>0</v>
      </c>
      <c r="AD20" s="2">
        <f>SUMIF('EIM - 2021 WA E Detail - Actual'!$C$4:$C$40,"Elec Transmission 350-359",'EIM - 2021 WA E Detail - Actual'!AF$4:AF$40)</f>
        <v>-42607.554144000002</v>
      </c>
      <c r="AE20" s="84">
        <f t="shared" si="22"/>
        <v>375930.62486400007</v>
      </c>
      <c r="AF20" s="2">
        <f>SUMIF('EIM - 2022 WA E Detail - Actual'!$C$4:$C$47,"Elec Transmission 350-359",'EIM - 2022 WA E Detail - Actual'!U$4:U$47)</f>
        <v>0</v>
      </c>
      <c r="AG20" s="2">
        <f>SUMIF('EIM - 2022 WA E Detail - Actual'!$C$4:$C$47,"Elec Transmission 350-359",'EIM - 2022 WA E Detail - Actual'!V$4:V$47)</f>
        <v>4808.9439359999997</v>
      </c>
      <c r="AH20" s="2">
        <f>SUMIF('EIM - 2022 WA E Detail - Actual'!$C$4:$C$47,"Elec Transmission 350-359",'EIM - 2022 WA E Detail - Actual'!W$4:W$47)</f>
        <v>1310.4763439999999</v>
      </c>
      <c r="AI20" s="2">
        <f>SUMIF('EIM - 2022 WA E Detail - Actual'!$C$4:$C$47,"Elec Transmission 350-359",'EIM - 2022 WA E Detail - Actual'!X$4:X$47)</f>
        <v>85.345127999999988</v>
      </c>
      <c r="AJ20" s="2">
        <f>SUMIF('EIM - 2022 WA E Detail - Actual'!$C$4:$C$47,"Elec Transmission 350-359",'EIM - 2022 WA E Detail - Actual'!Y$4:Y$47)</f>
        <v>0</v>
      </c>
      <c r="AK20" s="2">
        <f>SUMIF('EIM - 2022 WA E Detail - Actual'!$C$4:$C$47,"Elec Transmission 350-359",'EIM - 2022 WA E Detail - Actual'!Z$4:Z$47)</f>
        <v>0</v>
      </c>
      <c r="AL20" s="2">
        <f>SUMIF('EIM - 2022 WA E Detail - Actual'!$C$4:$C$47,"Elec Transmission 350-359",'EIM - 2022 WA E Detail - Actual'!AA$4:AA$47)</f>
        <v>0</v>
      </c>
      <c r="AM20" s="2">
        <f>SUMIF('EIM - 2022 WA E Detail - Actual'!$C$4:$C$47,"Elec Transmission 350-359",'EIM - 2022 WA E Detail - Actual'!AB$4:AB$47)</f>
        <v>0</v>
      </c>
      <c r="AN20" s="2">
        <f>SUMIF('EIM - 2022 WA E Detail - Actual'!$C$4:$C$47,"Elec Transmission 350-359",'EIM - 2022 WA E Detail - Actual'!AC$4:AC$47)</f>
        <v>0</v>
      </c>
      <c r="AO20" s="2">
        <f>SUMIF('EIM - 2022 WA E Detail - Actual'!$C$4:$C$47,"Elec Transmission 350-359",'EIM - 2022 WA E Detail - Actual'!AD$4:AD$47)</f>
        <v>0</v>
      </c>
      <c r="AP20" s="2">
        <f>SUMIF('EIM - 2022 WA E Detail - Actual'!$C$4:$C$47,"Elec Transmission 350-359",'EIM - 2022 WA E Detail - Actual'!AE$4:AE$47)</f>
        <v>0</v>
      </c>
      <c r="AQ20" s="2">
        <f>SUMIF('EIM - 2022 WA E Detail - Actual'!$C$4:$C$47,"Elec Transmission 350-359",'EIM - 2022 WA E Detail - Actual'!AF$4:AF$47)</f>
        <v>0</v>
      </c>
      <c r="AR20" s="84">
        <f t="shared" si="23"/>
        <v>6204.7654079999993</v>
      </c>
      <c r="AS20" s="84">
        <f>SUBTOTAL(9,$E20:AR20)</f>
        <v>526011.2205360001</v>
      </c>
    </row>
    <row r="21" spans="2:46">
      <c r="D21" s="69" t="s">
        <v>139</v>
      </c>
      <c r="E21" s="2">
        <f>SUMIF('EIM - 2020 WA E Detail - Actual'!$C$4:$C$15,"Hydro 331-336",'EIM - 2020 WA E Detail - Actual'!U$4:U$15)</f>
        <v>0</v>
      </c>
      <c r="F21" s="2">
        <f>SUMIF('EIM - 2020 WA E Detail - Actual'!$C$4:$C$15,"Hydro 331-336",'EIM - 2020 WA E Detail - Actual'!V$4:V$15)</f>
        <v>0</v>
      </c>
      <c r="G21" s="2">
        <f>SUMIF('EIM - 2020 WA E Detail - Actual'!$C$4:$C$15,"Hydro 331-336",'EIM - 2020 WA E Detail - Actual'!W$4:W$15)</f>
        <v>0</v>
      </c>
      <c r="H21" s="2">
        <f>SUMIF('EIM - 2020 WA E Detail - Actual'!$C$4:$C$15,"Hydro 331-336",'EIM - 2020 WA E Detail - Actual'!X$4:X$15)</f>
        <v>0</v>
      </c>
      <c r="I21" s="2">
        <f>SUMIF('EIM - 2020 WA E Detail - Actual'!$C$4:$C$15,"Hydro 331-336",'EIM - 2020 WA E Detail - Actual'!Y$4:Y$15)</f>
        <v>0</v>
      </c>
      <c r="J21" s="2">
        <f>SUMIF('EIM - 2020 WA E Detail - Actual'!$C$4:$C$15,"Hydro 331-336",'EIM - 2020 WA E Detail - Actual'!Z$4:Z$15)</f>
        <v>309000.98921999999</v>
      </c>
      <c r="K21" s="2">
        <f>SUMIF('EIM - 2020 WA E Detail - Actual'!$C$4:$C$15,"Hydro 331-336",'EIM - 2020 WA E Detail - Actual'!AA$4:AA$15)</f>
        <v>34588.453187999999</v>
      </c>
      <c r="L21" s="2">
        <f>SUMIF('EIM - 2020 WA E Detail - Actual'!$C$4:$C$15,"Hydro 331-336",'EIM - 2020 WA E Detail - Actual'!AB$4:AB$15)</f>
        <v>3702.496404</v>
      </c>
      <c r="M21" s="2">
        <f>SUMIF('EIM - 2020 WA E Detail - Actual'!$C$4:$C$15,"Hydro 331-336",'EIM - 2020 WA E Detail - Actual'!AC$4:AC$15)</f>
        <v>158988.08808000002</v>
      </c>
      <c r="N21" s="2">
        <f>SUMIF('EIM - 2020 WA E Detail - Actual'!$C$4:$C$15,"Hydro 331-336",'EIM - 2020 WA E Detail - Actual'!AD$4:AD$15)</f>
        <v>13763.388636000003</v>
      </c>
      <c r="O21" s="2">
        <f>SUMIF('EIM - 2020 WA E Detail - Actual'!$C$4:$C$15,"Hydro 331-336",'EIM - 2020 WA E Detail - Actual'!AE$4:AE$15)</f>
        <v>9428.8052880000014</v>
      </c>
      <c r="P21" s="2">
        <f>SUMIF('EIM - 2020 WA E Detail - Actual'!$C$4:$C$15,"Hydro 331-336",'EIM - 2020 WA E Detail - Actual'!AF$4:AF$15)</f>
        <v>25417.370232000001</v>
      </c>
      <c r="Q21" s="84">
        <f t="shared" si="21"/>
        <v>554889.59104800003</v>
      </c>
      <c r="R21" s="84">
        <f>SUBTOTAL(9,$E21:Q21)</f>
        <v>554889.59104800003</v>
      </c>
      <c r="S21" s="2">
        <f>SUMIF('EIM - 2021 WA E Detail - Actual'!$C$4:$C$40,"Hydro 331-336",'EIM - 2021 WA E Detail - Actual'!U$4:U$40)</f>
        <v>253321.163436</v>
      </c>
      <c r="T21" s="2">
        <f>SUMIF('EIM - 2021 WA E Detail - Actual'!$C$4:$C$40,"Hydro 331-336",'EIM - 2021 WA E Detail - Actual'!V$4:V$40)</f>
        <v>5849.3182439999982</v>
      </c>
      <c r="U21" s="2">
        <f>SUMIF('EIM - 2021 WA E Detail - Actual'!$C$4:$C$40,"Hydro 331-336",'EIM - 2021 WA E Detail - Actual'!W$4:W$40)</f>
        <v>-8138.920212</v>
      </c>
      <c r="V21" s="2">
        <f>SUMIF('EIM - 2021 WA E Detail - Actual'!$C$4:$C$40,"Hydro 331-336",'EIM - 2021 WA E Detail - Actual'!X$4:X$40)</f>
        <v>954308.01301200013</v>
      </c>
      <c r="W21" s="2">
        <f>SUMIF('EIM - 2021 WA E Detail - Actual'!$C$4:$C$40,"Hydro 331-336",'EIM - 2021 WA E Detail - Actual'!Y$4:Y$40)</f>
        <v>502700.25103199994</v>
      </c>
      <c r="X21" s="2">
        <f>SUMIF('EIM - 2021 WA E Detail - Actual'!$C$4:$C$40,"Hydro 331-336",'EIM - 2021 WA E Detail - Actual'!Z$4:Z$40)</f>
        <v>13753.463868000001</v>
      </c>
      <c r="Y21" s="2">
        <f>SUMIF('EIM - 2021 WA E Detail - Actual'!$C$4:$C$40,"Hydro 331-336",'EIM - 2021 WA E Detail - Actual'!AA$4:AA$40)</f>
        <v>-41457.213144000008</v>
      </c>
      <c r="Z21" s="2">
        <f>SUMIF('EIM - 2021 WA E Detail - Actual'!$C$4:$C$40,"Hydro 331-336",'EIM - 2021 WA E Detail - Actual'!AB$4:AB$40)</f>
        <v>-13214.802336000001</v>
      </c>
      <c r="AA21" s="2">
        <f>SUMIF('EIM - 2021 WA E Detail - Actual'!$C$4:$C$40,"Hydro 331-336",'EIM - 2021 WA E Detail - Actual'!AC$4:AC$40)</f>
        <v>3525.4325040000003</v>
      </c>
      <c r="AB21" s="2">
        <f>SUMIF('EIM - 2021 WA E Detail - Actual'!$C$4:$C$40,"Hydro 331-336",'EIM - 2021 WA E Detail - Actual'!AD$4:AD$40)</f>
        <v>-3525.5243999999998</v>
      </c>
      <c r="AC21" s="2">
        <f>SUMIF('EIM - 2021 WA E Detail - Actual'!$C$4:$C$40,"Hydro 331-336",'EIM - 2021 WA E Detail - Actual'!AE$4:AE$40)</f>
        <v>0</v>
      </c>
      <c r="AD21" s="2">
        <f>SUMIF('EIM - 2021 WA E Detail - Actual'!$C$4:$C$40,"Hydro 331-336",'EIM - 2021 WA E Detail - Actual'!AF$4:AF$40)</f>
        <v>0</v>
      </c>
      <c r="AE21" s="84">
        <f t="shared" si="22"/>
        <v>1667121.1820040003</v>
      </c>
      <c r="AF21" s="2">
        <f>SUMIF('EIM - 2022 WA E Detail - Actual'!$C$4:$C$47,"Hydro 331-336",'EIM - 2022 WA E Detail - Actual'!U$4:U$47)</f>
        <v>0</v>
      </c>
      <c r="AG21" s="2">
        <f>SUMIF('EIM - 2022 WA E Detail - Actual'!$C$4:$C$47,"Hydro 331-336",'EIM - 2022 WA E Detail - Actual'!V$4:V$47)</f>
        <v>0</v>
      </c>
      <c r="AH21" s="2">
        <f>SUMIF('EIM - 2022 WA E Detail - Actual'!$C$4:$C$47,"Hydro 331-336",'EIM - 2022 WA E Detail - Actual'!W$4:W$47)</f>
        <v>0</v>
      </c>
      <c r="AI21" s="2">
        <f>SUMIF('EIM - 2022 WA E Detail - Actual'!$C$4:$C$47,"Hydro 331-336",'EIM - 2022 WA E Detail - Actual'!X$4:X$47)</f>
        <v>0</v>
      </c>
      <c r="AJ21" s="2">
        <f>SUMIF('EIM - 2022 WA E Detail - Actual'!$C$4:$C$47,"Hydro 331-336",'EIM - 2022 WA E Detail - Actual'!Y$4:Y$47)</f>
        <v>0</v>
      </c>
      <c r="AK21" s="2">
        <f>SUMIF('EIM - 2022 WA E Detail - Actual'!$C$4:$C$47,"Hydro 331-336",'EIM - 2022 WA E Detail - Actual'!Z$4:Z$47)</f>
        <v>0</v>
      </c>
      <c r="AL21" s="2">
        <f>SUMIF('EIM - 2022 WA E Detail - Actual'!$C$4:$C$47,"Hydro 331-336",'EIM - 2022 WA E Detail - Actual'!AA$4:AA$47)</f>
        <v>0</v>
      </c>
      <c r="AM21" s="2">
        <f>SUMIF('EIM - 2022 WA E Detail - Actual'!$C$4:$C$47,"Hydro 331-336",'EIM - 2022 WA E Detail - Actual'!AB$4:AB$47)</f>
        <v>0</v>
      </c>
      <c r="AN21" s="2">
        <f>SUMIF('EIM - 2022 WA E Detail - Actual'!$C$4:$C$47,"Hydro 331-336",'EIM - 2022 WA E Detail - Actual'!AC$4:AC$47)</f>
        <v>0</v>
      </c>
      <c r="AO21" s="2">
        <f>SUMIF('EIM - 2022 WA E Detail - Actual'!$C$4:$C$47,"Hydro 331-336",'EIM - 2022 WA E Detail - Actual'!AD$4:AD$47)</f>
        <v>0</v>
      </c>
      <c r="AP21" s="2">
        <f>SUMIF('EIM - 2022 WA E Detail - Actual'!$C$4:$C$47,"Hydro 331-336",'EIM - 2022 WA E Detail - Actual'!AE$4:AE$47)</f>
        <v>0</v>
      </c>
      <c r="AQ21" s="2">
        <f>SUMIF('EIM - 2022 WA E Detail - Actual'!$C$4:$C$47,"Hydro 331-336",'EIM - 2022 WA E Detail - Actual'!AF$4:AF$47)</f>
        <v>0</v>
      </c>
      <c r="AR21" s="84">
        <f t="shared" si="23"/>
        <v>0</v>
      </c>
      <c r="AS21" s="84">
        <f>SUBTOTAL(9,$E21:AR21)</f>
        <v>2222010.773052</v>
      </c>
    </row>
    <row r="22" spans="2:46">
      <c r="D22" s="69" t="s">
        <v>144</v>
      </c>
      <c r="E22" s="2">
        <f>SUMIF('EIM - 2020 WA E Detail - Actual'!$C$4:$C$15,"Other Elec Production / Turbines 340-346",'EIM - 2020 WA E Detail - Actual'!U$4:U$15)</f>
        <v>0</v>
      </c>
      <c r="F22" s="2">
        <f>SUMIF('EIM - 2020 WA E Detail - Actual'!$C$4:$C$15,"Other Elec Production / Turbines 340-346",'EIM - 2020 WA E Detail - Actual'!V$4:V$15)</f>
        <v>0</v>
      </c>
      <c r="G22" s="2">
        <f>SUMIF('EIM - 2020 WA E Detail - Actual'!$C$4:$C$15,"Other Elec Production / Turbines 340-346",'EIM - 2020 WA E Detail - Actual'!W$4:W$15)</f>
        <v>0</v>
      </c>
      <c r="H22" s="2">
        <f>SUMIF('EIM - 2020 WA E Detail - Actual'!$C$4:$C$15,"Other Elec Production / Turbines 340-346",'EIM - 2020 WA E Detail - Actual'!X$4:X$15)</f>
        <v>0</v>
      </c>
      <c r="I22" s="2">
        <f>SUMIF('EIM - 2020 WA E Detail - Actual'!$C$4:$C$15,"Other Elec Production / Turbines 340-346",'EIM - 2020 WA E Detail - Actual'!Y$4:Y$15)</f>
        <v>0</v>
      </c>
      <c r="J22" s="2">
        <f>SUMIF('EIM - 2020 WA E Detail - Actual'!$C$4:$C$15,"Other Elec Production / Turbines 340-346",'EIM - 2020 WA E Detail - Actual'!Z$4:Z$15)</f>
        <v>0</v>
      </c>
      <c r="K22" s="2">
        <f>SUMIF('EIM - 2020 WA E Detail - Actual'!$C$4:$C$15,"Other Elec Production / Turbines 340-346",'EIM - 2020 WA E Detail - Actual'!AA$4:AA$15)</f>
        <v>0</v>
      </c>
      <c r="L22" s="2">
        <f>SUMIF('EIM - 2020 WA E Detail - Actual'!$C$4:$C$15,"Other Elec Production / Turbines 340-346",'EIM - 2020 WA E Detail - Actual'!AB$4:AB$15)</f>
        <v>0</v>
      </c>
      <c r="M22" s="2">
        <f>SUMIF('EIM - 2020 WA E Detail - Actual'!$C$4:$C$15,"Other Elec Production / Turbines 340-346",'EIM - 2020 WA E Detail - Actual'!AC$4:AC$15)</f>
        <v>0</v>
      </c>
      <c r="N22" s="2">
        <f>SUMIF('EIM - 2020 WA E Detail - Actual'!$C$4:$C$15,"Other Elec Production / Turbines 340-346",'EIM - 2020 WA E Detail - Actual'!AD$4:AD$15)</f>
        <v>0</v>
      </c>
      <c r="O22" s="2">
        <f>SUMIF('EIM - 2020 WA E Detail - Actual'!$C$4:$C$15,"Other Elec Production / Turbines 340-346",'EIM - 2020 WA E Detail - Actual'!AE$4:AE$15)</f>
        <v>0</v>
      </c>
      <c r="P22" s="2">
        <f>SUMIF('EIM - 2020 WA E Detail - Actual'!$C$4:$C$15,"Other Elec Production / Turbines 340-346",'EIM - 2020 WA E Detail - Actual'!AF$4:AF$15)</f>
        <v>447082.47473999998</v>
      </c>
      <c r="Q22" s="84">
        <f t="shared" si="21"/>
        <v>447082.47473999998</v>
      </c>
      <c r="R22" s="84">
        <f>SUBTOTAL(9,$E22:Q22)</f>
        <v>447082.47473999998</v>
      </c>
      <c r="S22" s="2">
        <f>SUMIF('EIM - 2021 WA E Detail - Actual'!$C$4:$C$40,"Other Elec Production / Turbines 340-346",'EIM - 2021 WA E Detail - Actual'!U$4:U$40)</f>
        <v>4235.2700279999999</v>
      </c>
      <c r="T22" s="2">
        <f>SUMIF('EIM - 2021 WA E Detail - Actual'!$C$4:$C$40,"Other Elec Production / Turbines 340-346",'EIM - 2021 WA E Detail - Actual'!V$4:V$40)</f>
        <v>3508.4973840000002</v>
      </c>
      <c r="U22" s="2">
        <f>SUMIF('EIM - 2021 WA E Detail - Actual'!$C$4:$C$40,"Other Elec Production / Turbines 340-346",'EIM - 2021 WA E Detail - Actual'!W$4:W$40)</f>
        <v>1580.6768399999999</v>
      </c>
      <c r="V22" s="2">
        <f>SUMIF('EIM - 2021 WA E Detail - Actual'!$C$4:$C$40,"Other Elec Production / Turbines 340-346",'EIM - 2021 WA E Detail - Actual'!X$4:X$40)</f>
        <v>684.06069600000001</v>
      </c>
      <c r="W22" s="2">
        <f>SUMIF('EIM - 2021 WA E Detail - Actual'!$C$4:$C$40,"Other Elec Production / Turbines 340-346",'EIM - 2021 WA E Detail - Actual'!Y$4:Y$40)</f>
        <v>178736.992818</v>
      </c>
      <c r="X22" s="2">
        <f>SUMIF('EIM - 2021 WA E Detail - Actual'!$C$4:$C$40,"Other Elec Production / Turbines 340-346",'EIM - 2021 WA E Detail - Actual'!Z$4:Z$40)</f>
        <v>146379.04819100001</v>
      </c>
      <c r="Y22" s="2">
        <f>SUMIF('EIM - 2021 WA E Detail - Actual'!$C$4:$C$40,"Other Elec Production / Turbines 340-346",'EIM - 2021 WA E Detail - Actual'!AA$4:AA$40)</f>
        <v>425.35358099999996</v>
      </c>
      <c r="Z22" s="2">
        <f>SUMIF('EIM - 2021 WA E Detail - Actual'!$C$4:$C$40,"Other Elec Production / Turbines 340-346",'EIM - 2021 WA E Detail - Actual'!AB$4:AB$40)</f>
        <v>0</v>
      </c>
      <c r="AA22" s="2">
        <f>SUMIF('EIM - 2021 WA E Detail - Actual'!$C$4:$C$40,"Other Elec Production / Turbines 340-346",'EIM - 2021 WA E Detail - Actual'!AC$4:AC$40)</f>
        <v>-4576.9184999999998</v>
      </c>
      <c r="AB22" s="2">
        <f>SUMIF('EIM - 2021 WA E Detail - Actual'!$C$4:$C$40,"Other Elec Production / Turbines 340-346",'EIM - 2021 WA E Detail - Actual'!AD$4:AD$40)</f>
        <v>26476.937675999998</v>
      </c>
      <c r="AC22" s="2">
        <f>SUMIF('EIM - 2021 WA E Detail - Actual'!$C$4:$C$40,"Other Elec Production / Turbines 340-346",'EIM - 2021 WA E Detail - Actual'!AE$4:AE$40)</f>
        <v>0</v>
      </c>
      <c r="AD22" s="2">
        <f>SUMIF('EIM - 2021 WA E Detail - Actual'!$C$4:$C$40,"Other Elec Production / Turbines 340-346",'EIM - 2021 WA E Detail - Actual'!AF$4:AF$40)</f>
        <v>0</v>
      </c>
      <c r="AE22" s="84">
        <f t="shared" si="22"/>
        <v>357449.91871399997</v>
      </c>
      <c r="AF22" s="2">
        <f>SUMIF('EIM - 2022 WA E Detail - Actual'!$C$4:$C$47,"Other Elec Production / Turbines 340-346",'EIM - 2022 WA E Detail - Actual'!U$4:U$47)</f>
        <v>0</v>
      </c>
      <c r="AG22" s="2">
        <f>SUMIF('EIM - 2022 WA E Detail - Actual'!$C$4:$C$47,"Other Elec Production / Turbines 340-346",'EIM - 2022 WA E Detail - Actual'!V$4:V$47)</f>
        <v>0</v>
      </c>
      <c r="AH22" s="2">
        <f>SUMIF('EIM - 2022 WA E Detail - Actual'!$C$4:$C$47,"Other Elec Production / Turbines 340-346",'EIM - 2022 WA E Detail - Actual'!W$4:W$47)</f>
        <v>0</v>
      </c>
      <c r="AI22" s="2">
        <f>SUMIF('EIM - 2022 WA E Detail - Actual'!$C$4:$C$47,"Other Elec Production / Turbines 340-346",'EIM - 2022 WA E Detail - Actual'!X$4:X$47)</f>
        <v>0</v>
      </c>
      <c r="AJ22" s="2">
        <f>SUMIF('EIM - 2022 WA E Detail - Actual'!$C$4:$C$47,"Other Elec Production / Turbines 340-346",'EIM - 2022 WA E Detail - Actual'!Y$4:Y$47)</f>
        <v>0</v>
      </c>
      <c r="AK22" s="2">
        <f>SUMIF('EIM - 2022 WA E Detail - Actual'!$C$4:$C$47,"Other Elec Production / Turbines 340-346",'EIM - 2022 WA E Detail - Actual'!Z$4:Z$47)</f>
        <v>0</v>
      </c>
      <c r="AL22" s="2">
        <f>SUMIF('EIM - 2022 WA E Detail - Actual'!$C$4:$C$47,"Other Elec Production / Turbines 340-346",'EIM - 2022 WA E Detail - Actual'!AA$4:AA$47)</f>
        <v>0</v>
      </c>
      <c r="AM22" s="2">
        <f>SUMIF('EIM - 2022 WA E Detail - Actual'!$C$4:$C$47,"Other Elec Production / Turbines 340-346",'EIM - 2022 WA E Detail - Actual'!AB$4:AB$47)</f>
        <v>0</v>
      </c>
      <c r="AN22" s="2">
        <f>SUMIF('EIM - 2022 WA E Detail - Actual'!$C$4:$C$47,"Other Elec Production / Turbines 340-346",'EIM - 2022 WA E Detail - Actual'!AC$4:AC$47)</f>
        <v>0</v>
      </c>
      <c r="AO22" s="2">
        <f>SUMIF('EIM - 2022 WA E Detail - Actual'!$C$4:$C$47,"Other Elec Production / Turbines 340-346",'EIM - 2022 WA E Detail - Actual'!AD$4:AD$47)</f>
        <v>0</v>
      </c>
      <c r="AP22" s="2">
        <f>SUMIF('EIM - 2022 WA E Detail - Actual'!$C$4:$C$47,"Other Elec Production / Turbines 340-346",'EIM - 2022 WA E Detail - Actual'!AE$4:AE$47)</f>
        <v>0</v>
      </c>
      <c r="AQ22" s="2">
        <f>SUMIF('EIM - 2022 WA E Detail - Actual'!$C$4:$C$47,"Other Elec Production / Turbines 340-346",'EIM - 2022 WA E Detail - Actual'!AF$4:AF$47)</f>
        <v>0</v>
      </c>
      <c r="AR22" s="84">
        <f t="shared" si="23"/>
        <v>0</v>
      </c>
      <c r="AS22" s="84">
        <f>SUBTOTAL(9,$E22:AR22)</f>
        <v>804532.39345399989</v>
      </c>
    </row>
    <row r="23" spans="2:46">
      <c r="D23" s="69" t="s">
        <v>137</v>
      </c>
      <c r="E23" s="2">
        <f>SUMIF('EIM - 2020 WA E Detail - Actual'!$C$4:$C$15,"General 389 / 393-395 / 397-398",'EIM - 2020 WA E Detail - Actual'!U$4:U$15)</f>
        <v>0</v>
      </c>
      <c r="F23" s="2">
        <f>SUMIF('EIM - 2020 WA E Detail - Actual'!$C$4:$C$15,"General 389 / 393-395 / 397-398",'EIM - 2020 WA E Detail - Actual'!V$4:V$15)</f>
        <v>0</v>
      </c>
      <c r="G23" s="2">
        <f>SUMIF('EIM - 2020 WA E Detail - Actual'!$C$4:$C$15,"General 389 / 393-395 / 397-398",'EIM - 2020 WA E Detail - Actual'!W$4:W$15)</f>
        <v>0</v>
      </c>
      <c r="H23" s="2">
        <f>SUMIF('EIM - 2020 WA E Detail - Actual'!$C$4:$C$15,"General 389 / 393-395 / 397-398",'EIM - 2020 WA E Detail - Actual'!X$4:X$15)</f>
        <v>0</v>
      </c>
      <c r="I23" s="2">
        <f>SUMIF('EIM - 2020 WA E Detail - Actual'!$C$4:$C$15,"General 389 / 393-395 / 397-398",'EIM - 2020 WA E Detail - Actual'!Y$4:Y$15)</f>
        <v>0</v>
      </c>
      <c r="J23" s="2">
        <f>SUMIF('EIM - 2020 WA E Detail - Actual'!$C$4:$C$15,"General 389 / 393-395 / 397-398",'EIM - 2020 WA E Detail - Actual'!Z$4:Z$15)</f>
        <v>0</v>
      </c>
      <c r="K23" s="2">
        <f>SUMIF('EIM - 2020 WA E Detail - Actual'!$C$4:$C$15,"General 389 / 393-395 / 397-398",'EIM - 2020 WA E Detail - Actual'!AA$4:AA$15)</f>
        <v>27392.810719199999</v>
      </c>
      <c r="L23" s="2">
        <f>SUMIF('EIM - 2020 WA E Detail - Actual'!$C$4:$C$15,"General 389 / 393-395 / 397-398",'EIM - 2020 WA E Detail - Actual'!AB$4:AB$15)</f>
        <v>133028.790843</v>
      </c>
      <c r="M23" s="2">
        <f>SUMIF('EIM - 2020 WA E Detail - Actual'!$C$4:$C$15,"General 389 / 393-395 / 397-398",'EIM - 2020 WA E Detail - Actual'!AC$4:AC$15)</f>
        <v>36557.254958058846</v>
      </c>
      <c r="N23" s="2">
        <f>SUMIF('EIM - 2020 WA E Detail - Actual'!$C$4:$C$15,"General 389 / 393-395 / 397-398",'EIM - 2020 WA E Detail - Actual'!AD$4:AD$15)</f>
        <v>214605.87277506635</v>
      </c>
      <c r="O23" s="2">
        <f>SUMIF('EIM - 2020 WA E Detail - Actual'!$C$4:$C$15,"General 389 / 393-395 / 397-398",'EIM - 2020 WA E Detail - Actual'!AE$4:AE$15)</f>
        <v>12956.608926443159</v>
      </c>
      <c r="P23" s="2">
        <f>SUMIF('EIM - 2020 WA E Detail - Actual'!$C$4:$C$15,"General 389 / 393-395 / 397-398",'EIM - 2020 WA E Detail - Actual'!AF$4:AF$15)</f>
        <v>7789.2686346522296</v>
      </c>
      <c r="Q23" s="84">
        <f t="shared" si="21"/>
        <v>432330.60685642064</v>
      </c>
      <c r="R23" s="84">
        <f>SUBTOTAL(9,$E23:Q23)</f>
        <v>432330.60685642064</v>
      </c>
      <c r="S23" s="2">
        <f>SUMIF('EIM - 2021 WA E Detail - Actual'!$C$4:$C$40,"General 389 / 393-395 / 397-398",'EIM - 2021 WA E Detail - Actual'!U$4:U$40)</f>
        <v>2633.8821407826117</v>
      </c>
      <c r="T23" s="2">
        <f>SUMIF('EIM - 2021 WA E Detail - Actual'!$C$4:$C$40,"General 389 / 393-395 / 397-398",'EIM - 2021 WA E Detail - Actual'!V$4:V$40)</f>
        <v>176932.07894157615</v>
      </c>
      <c r="U23" s="2">
        <f>SUMIF('EIM - 2021 WA E Detail - Actual'!$C$4:$C$40,"General 389 / 393-395 / 397-398",'EIM - 2021 WA E Detail - Actual'!W$4:W$40)</f>
        <v>212328.63741748856</v>
      </c>
      <c r="V23" s="2">
        <f>SUMIF('EIM - 2021 WA E Detail - Actual'!$C$4:$C$40,"General 389 / 393-395 / 397-398",'EIM - 2021 WA E Detail - Actual'!X$4:X$40)</f>
        <v>273929.11235107406</v>
      </c>
      <c r="W23" s="2">
        <f>SUMIF('EIM - 2021 WA E Detail - Actual'!$C$4:$C$40,"General 389 / 393-395 / 397-398",'EIM - 2021 WA E Detail - Actual'!Y$4:Y$40)</f>
        <v>184433.89644884909</v>
      </c>
      <c r="X23" s="2">
        <f>SUMIF('EIM - 2021 WA E Detail - Actual'!$C$4:$C$40,"General 389 / 393-395 / 397-398",'EIM - 2021 WA E Detail - Actual'!Z$4:Z$40)</f>
        <v>286994.48894146999</v>
      </c>
      <c r="Y23" s="2">
        <f>SUMIF('EIM - 2021 WA E Detail - Actual'!$C$4:$C$40,"General 389 / 393-395 / 397-398",'EIM - 2021 WA E Detail - Actual'!AA$4:AA$40)</f>
        <v>44377.829388025624</v>
      </c>
      <c r="Z23" s="2">
        <f>SUMIF('EIM - 2021 WA E Detail - Actual'!$C$4:$C$40,"General 389 / 393-395 / 397-398",'EIM - 2021 WA E Detail - Actual'!AB$4:AB$40)</f>
        <v>18401.943107472096</v>
      </c>
      <c r="AA23" s="2">
        <f>SUMIF('EIM - 2021 WA E Detail - Actual'!$C$4:$C$40,"General 389 / 393-395 / 397-398",'EIM - 2021 WA E Detail - Actual'!AC$4:AC$40)</f>
        <v>-2694.4205430681332</v>
      </c>
      <c r="AB23" s="2">
        <f>SUMIF('EIM - 2021 WA E Detail - Actual'!$C$4:$C$40,"General 389 / 393-395 / 397-398",'EIM - 2021 WA E Detail - Actual'!AD$4:AD$40)</f>
        <v>3825.7642623566994</v>
      </c>
      <c r="AC23" s="2">
        <f>SUMIF('EIM - 2021 WA E Detail - Actual'!$C$4:$C$40,"General 389 / 393-395 / 397-398",'EIM - 2021 WA E Detail - Actual'!AE$4:AE$40)</f>
        <v>2539.9691656630921</v>
      </c>
      <c r="AD23" s="2">
        <f>SUMIF('EIM - 2021 WA E Detail - Actual'!$C$4:$C$40,"General 389 / 393-395 / 397-398",'EIM - 2021 WA E Detail - Actual'!AF$4:AF$40)</f>
        <v>47112.890586433758</v>
      </c>
      <c r="AE23" s="84">
        <f t="shared" si="22"/>
        <v>1250816.0722081237</v>
      </c>
      <c r="AF23" s="2">
        <f>SUMIF('EIM - 2022 WA E Detail - Actual'!$C$4:$C$47,"General 389 / 393-395 / 397-398",'EIM - 2022 WA E Detail - Actual'!U$4:U$47)</f>
        <v>1229.9363028037194</v>
      </c>
      <c r="AG23" s="2">
        <f>SUMIF('EIM - 2022 WA E Detail - Actual'!$C$4:$C$47,"General 389 / 393-395 / 397-398",'EIM - 2022 WA E Detail - Actual'!V$4:V$47)</f>
        <v>1355.486936053788</v>
      </c>
      <c r="AH23" s="2">
        <f>SUMIF('EIM - 2022 WA E Detail - Actual'!$C$4:$C$47,"General 389 / 393-395 / 397-398",'EIM - 2022 WA E Detail - Actual'!W$4:W$47)</f>
        <v>5171.4280049893059</v>
      </c>
      <c r="AI23" s="2">
        <f>SUMIF('EIM - 2022 WA E Detail - Actual'!$C$4:$C$47,"General 389 / 393-395 / 397-398",'EIM - 2022 WA E Detail - Actual'!X$4:X$47)</f>
        <v>4542.0104439267498</v>
      </c>
      <c r="AJ23" s="2">
        <f>SUMIF('EIM - 2022 WA E Detail - Actual'!$C$4:$C$47,"General 389 / 393-395 / 397-398",'EIM - 2022 WA E Detail - Actual'!Y$4:Y$47)</f>
        <v>1650.2105337984799</v>
      </c>
      <c r="AK23" s="2">
        <f>SUMIF('EIM - 2022 WA E Detail - Actual'!$C$4:$C$47,"General 389 / 393-395 / 397-398",'EIM - 2022 WA E Detail - Actual'!Z$4:Z$47)</f>
        <v>914.09039143658788</v>
      </c>
      <c r="AL23" s="2">
        <f>SUMIF('EIM - 2022 WA E Detail - Actual'!$C$4:$C$47,"General 389 / 393-395 / 397-398",'EIM - 2022 WA E Detail - Actual'!AA$4:AA$47)</f>
        <v>290.43774580534125</v>
      </c>
      <c r="AM23" s="2">
        <f>SUMIF('EIM - 2022 WA E Detail - Actual'!$C$4:$C$47,"General 389 / 393-395 / 397-398",'EIM - 2022 WA E Detail - Actual'!AB$4:AB$47)</f>
        <v>290.43774580534125</v>
      </c>
      <c r="AN23" s="2">
        <f>SUMIF('EIM - 2022 WA E Detail - Actual'!$C$4:$C$47,"General 389 / 393-395 / 397-398",'EIM - 2022 WA E Detail - Actual'!AC$4:AC$47)</f>
        <v>0</v>
      </c>
      <c r="AO23" s="2">
        <f>SUMIF('EIM - 2022 WA E Detail - Actual'!$C$4:$C$47,"General 389 / 393-395 / 397-398",'EIM - 2022 WA E Detail - Actual'!AD$4:AD$47)</f>
        <v>0</v>
      </c>
      <c r="AP23" s="2">
        <f>SUMIF('EIM - 2022 WA E Detail - Actual'!$C$4:$C$47,"General 389 / 393-395 / 397-398",'EIM - 2022 WA E Detail - Actual'!AE$4:AE$47)</f>
        <v>0</v>
      </c>
      <c r="AQ23" s="2">
        <f>SUMIF('EIM - 2022 WA E Detail - Actual'!$C$4:$C$47,"General 389 / 393-395 / 397-398",'EIM - 2022 WA E Detail - Actual'!AF$4:AF$47)</f>
        <v>0</v>
      </c>
      <c r="AR23" s="84">
        <f t="shared" si="23"/>
        <v>15444.038104619311</v>
      </c>
      <c r="AS23" s="84">
        <f>SUBTOTAL(9,$E23:AR23)</f>
        <v>1698590.7171691635</v>
      </c>
    </row>
    <row r="24" spans="2:46">
      <c r="D24" s="69" t="s">
        <v>146</v>
      </c>
      <c r="E24" s="2">
        <f>SUMIF('EIM - 2020 WA E Detail - Actual'!$C$4:$C$15,"General - Hardware",'EIM - 2020 WA E Detail - Actual'!U$4:U$15)</f>
        <v>53862.245801100005</v>
      </c>
      <c r="F24" s="2">
        <f>SUMIF('EIM - 2020 WA E Detail - Actual'!$C$4:$C$15,"General - Hardware",'EIM - 2020 WA E Detail - Actual'!V$4:V$15)</f>
        <v>8159.0989872</v>
      </c>
      <c r="G24" s="2">
        <f>SUMIF('EIM - 2020 WA E Detail - Actual'!$C$4:$C$15,"General - Hardware",'EIM - 2020 WA E Detail - Actual'!W$4:W$15)</f>
        <v>2370.6019503000002</v>
      </c>
      <c r="H24" s="2">
        <f>SUMIF('EIM - 2020 WA E Detail - Actual'!$C$4:$C$15,"General - Hardware",'EIM - 2020 WA E Detail - Actual'!X$4:X$15)</f>
        <v>895.29182220000007</v>
      </c>
      <c r="I24" s="2">
        <f>SUMIF('EIM - 2020 WA E Detail - Actual'!$C$4:$C$15,"General - Hardware",'EIM - 2020 WA E Detail - Actual'!Y$4:Y$15)</f>
        <v>0</v>
      </c>
      <c r="J24" s="2">
        <f>SUMIF('EIM - 2020 WA E Detail - Actual'!$C$4:$C$15,"General - Hardware",'EIM - 2020 WA E Detail - Actual'!Z$4:Z$15)</f>
        <v>0</v>
      </c>
      <c r="K24" s="2">
        <f>SUMIF('EIM - 2020 WA E Detail - Actual'!$C$4:$C$15,"General - Hardware",'EIM - 2020 WA E Detail - Actual'!AA$4:AA$15)</f>
        <v>363.95489670000001</v>
      </c>
      <c r="L24" s="2">
        <f>SUMIF('EIM - 2020 WA E Detail - Actual'!$C$4:$C$15,"General - Hardware",'EIM - 2020 WA E Detail - Actual'!AB$4:AB$15)</f>
        <v>-33036.190747499997</v>
      </c>
      <c r="M24" s="2">
        <f>SUMIF('EIM - 2020 WA E Detail - Actual'!$C$4:$C$15,"General - Hardware",'EIM - 2020 WA E Detail - Actual'!AC$4:AC$15)</f>
        <v>0</v>
      </c>
      <c r="N24" s="2">
        <f>SUMIF('EIM - 2020 WA E Detail - Actual'!$C$4:$C$15,"General - Hardware",'EIM - 2020 WA E Detail - Actual'!AD$4:AD$15)</f>
        <v>0</v>
      </c>
      <c r="O24" s="2">
        <f>SUMIF('EIM - 2020 WA E Detail - Actual'!$C$4:$C$15,"General - Hardware",'EIM - 2020 WA E Detail - Actual'!AE$4:AE$15)</f>
        <v>0</v>
      </c>
      <c r="P24" s="2">
        <f>SUMIF('EIM - 2020 WA E Detail - Actual'!$C$4:$C$15,"General - Hardware",'EIM - 2020 WA E Detail - Actual'!AF$4:AF$15)</f>
        <v>0</v>
      </c>
      <c r="Q24" s="84">
        <f t="shared" si="21"/>
        <v>32615.002710000008</v>
      </c>
      <c r="R24" s="84">
        <f>SUBTOTAL(9,$E24:Q24)</f>
        <v>32615.002710000008</v>
      </c>
      <c r="S24" s="2">
        <f>SUMIF('EIM - 2021 WA E Detail - Actual'!$C$4:$C$40,"General - Hardware",'EIM - 2021 WA E Detail - Actual'!U$4:U$40)</f>
        <v>0</v>
      </c>
      <c r="T24" s="2">
        <f>SUMIF('EIM - 2021 WA E Detail - Actual'!$C$4:$C$40,"General - Hardware",'EIM - 2021 WA E Detail - Actual'!V$4:V$40)</f>
        <v>0</v>
      </c>
      <c r="U24" s="2">
        <f>SUMIF('EIM - 2021 WA E Detail - Actual'!$C$4:$C$40,"General - Hardware",'EIM - 2021 WA E Detail - Actual'!W$4:W$40)</f>
        <v>88457.589906900001</v>
      </c>
      <c r="V24" s="2">
        <f>SUMIF('EIM - 2021 WA E Detail - Actual'!$C$4:$C$40,"General - Hardware",'EIM - 2021 WA E Detail - Actual'!X$4:X$40)</f>
        <v>111561.23905981309</v>
      </c>
      <c r="W24" s="2">
        <f>SUMIF('EIM - 2021 WA E Detail - Actual'!$C$4:$C$40,"General - Hardware",'EIM - 2021 WA E Detail - Actual'!Y$4:Y$40)</f>
        <v>4241.7441768955377</v>
      </c>
      <c r="X24" s="2">
        <f>SUMIF('EIM - 2021 WA E Detail - Actual'!$C$4:$C$40,"General - Hardware",'EIM - 2021 WA E Detail - Actual'!Z$4:Z$40)</f>
        <v>3865.0428369000001</v>
      </c>
      <c r="Y24" s="2">
        <f>SUMIF('EIM - 2021 WA E Detail - Actual'!$C$4:$C$40,"General - Hardware",'EIM - 2021 WA E Detail - Actual'!AA$4:AA$40)</f>
        <v>2542.1115083975396</v>
      </c>
      <c r="Z24" s="2">
        <f>SUMIF('EIM - 2021 WA E Detail - Actual'!$C$4:$C$40,"General - Hardware",'EIM - 2021 WA E Detail - Actual'!AB$4:AB$40)</f>
        <v>1001.8013688000001</v>
      </c>
      <c r="AA24" s="2">
        <f>SUMIF('EIM - 2021 WA E Detail - Actual'!$C$4:$C$40,"General - Hardware",'EIM - 2021 WA E Detail - Actual'!AC$4:AC$40)</f>
        <v>901.40121090000002</v>
      </c>
      <c r="AB24" s="2">
        <f>SUMIF('EIM - 2021 WA E Detail - Actual'!$C$4:$C$40,"General - Hardware",'EIM - 2021 WA E Detail - Actual'!AD$4:AD$40)</f>
        <v>0</v>
      </c>
      <c r="AC24" s="2">
        <f>SUMIF('EIM - 2021 WA E Detail - Actual'!$C$4:$C$40,"General - Hardware",'EIM - 2021 WA E Detail - Actual'!AE$4:AE$40)</f>
        <v>0</v>
      </c>
      <c r="AD24" s="2">
        <f>SUMIF('EIM - 2021 WA E Detail - Actual'!$C$4:$C$40,"General - Hardware",'EIM - 2021 WA E Detail - Actual'!AF$4:AF$40)</f>
        <v>0</v>
      </c>
      <c r="AE24" s="84">
        <f t="shared" si="22"/>
        <v>212570.93006860613</v>
      </c>
      <c r="AF24" s="2">
        <f>SUMIF('EIM - 2022 WA E Detail - Actual'!$C$4:$C$47,"General - Hardware",'EIM - 2022 WA E Detail - Actual'!U$4:U$47)</f>
        <v>0</v>
      </c>
      <c r="AG24" s="2">
        <f>SUMIF('EIM - 2022 WA E Detail - Actual'!$C$4:$C$47,"General - Hardware",'EIM - 2022 WA E Detail - Actual'!V$4:V$47)</f>
        <v>0</v>
      </c>
      <c r="AH24" s="2">
        <f>SUMIF('EIM - 2022 WA E Detail - Actual'!$C$4:$C$47,"General - Hardware",'EIM - 2022 WA E Detail - Actual'!W$4:W$47)</f>
        <v>90508.603570999985</v>
      </c>
      <c r="AI24" s="2">
        <f>SUMIF('EIM - 2022 WA E Detail - Actual'!$C$4:$C$47,"General - Hardware",'EIM - 2022 WA E Detail - Actual'!X$4:X$47)</f>
        <v>4489.7072239999998</v>
      </c>
      <c r="AJ24" s="2">
        <f>SUMIF('EIM - 2022 WA E Detail - Actual'!$C$4:$C$47,"General - Hardware",'EIM - 2022 WA E Detail - Actual'!Y$4:Y$47)</f>
        <v>6884.312985999999</v>
      </c>
      <c r="AK24" s="2">
        <f>SUMIF('EIM - 2022 WA E Detail - Actual'!$C$4:$C$47,"General - Hardware",'EIM - 2022 WA E Detail - Actual'!Z$4:Z$47)</f>
        <v>46595.322952000002</v>
      </c>
      <c r="AL24" s="2">
        <f>SUMIF('EIM - 2022 WA E Detail - Actual'!$C$4:$C$47,"General - Hardware",'EIM - 2022 WA E Detail - Actual'!AA$4:AA$47)</f>
        <v>14804.92595702946</v>
      </c>
      <c r="AM24" s="2">
        <f>SUMIF('EIM - 2022 WA E Detail - Actual'!$C$4:$C$47,"General - Hardware",'EIM - 2022 WA E Detail - Actual'!AB$4:AB$47)</f>
        <v>14804.92595702946</v>
      </c>
      <c r="AN24" s="2">
        <f>SUMIF('EIM - 2022 WA E Detail - Actual'!$C$4:$C$47,"General - Hardware",'EIM - 2022 WA E Detail - Actual'!AC$4:AC$47)</f>
        <v>0</v>
      </c>
      <c r="AO24" s="2">
        <f>SUMIF('EIM - 2022 WA E Detail - Actual'!$C$4:$C$47,"General - Hardware",'EIM - 2022 WA E Detail - Actual'!AD$4:AD$47)</f>
        <v>0</v>
      </c>
      <c r="AP24" s="2">
        <f>SUMIF('EIM - 2022 WA E Detail - Actual'!$C$4:$C$47,"General - Hardware",'EIM - 2022 WA E Detail - Actual'!AE$4:AE$47)</f>
        <v>0</v>
      </c>
      <c r="AQ24" s="2">
        <f>SUMIF('EIM - 2022 WA E Detail - Actual'!$C$4:$C$47,"General - Hardware",'EIM - 2022 WA E Detail - Actual'!AF$4:AF$47)</f>
        <v>0</v>
      </c>
      <c r="AR24" s="84">
        <f t="shared" si="23"/>
        <v>178087.79864705889</v>
      </c>
      <c r="AS24" s="84">
        <f>SUBTOTAL(9,$E24:AR24)</f>
        <v>423273.73142566503</v>
      </c>
    </row>
    <row r="25" spans="2:46">
      <c r="D25" s="69" t="s">
        <v>19</v>
      </c>
      <c r="E25" s="2">
        <f>SUMIF('EIM - 2020 WA E Detail - Actual'!$C$4:$C$15,"Software 303",'EIM - 2020 WA E Detail - Actual'!U$4:U$15)</f>
        <v>194862.86176500001</v>
      </c>
      <c r="F25" s="2">
        <f>SUMIF('EIM - 2020 WA E Detail - Actual'!$C$4:$C$15,"Software 303",'EIM - 2020 WA E Detail - Actual'!V$4:V$15)</f>
        <v>29517.985448700001</v>
      </c>
      <c r="G25" s="2">
        <f>SUMIF('EIM - 2020 WA E Detail - Actual'!$C$4:$C$15,"Software 303",'EIM - 2020 WA E Detail - Actual'!W$4:W$15)</f>
        <v>8576.3570894999993</v>
      </c>
      <c r="H25" s="2">
        <f>SUMIF('EIM - 2020 WA E Detail - Actual'!$C$4:$C$15,"Software 303",'EIM - 2020 WA E Detail - Actual'!X$4:X$15)</f>
        <v>8554.8974324426927</v>
      </c>
      <c r="I25" s="2">
        <f>SUMIF('EIM - 2020 WA E Detail - Actual'!$C$4:$C$15,"Software 303",'EIM - 2020 WA E Detail - Actual'!Y$4:Y$15)</f>
        <v>0</v>
      </c>
      <c r="J25" s="2">
        <f>SUMIF('EIM - 2020 WA E Detail - Actual'!$C$4:$C$15,"Software 303",'EIM - 2020 WA E Detail - Actual'!Z$4:Z$15)</f>
        <v>0</v>
      </c>
      <c r="K25" s="2">
        <f>SUMIF('EIM - 2020 WA E Detail - Actual'!$C$4:$C$15,"Software 303",'EIM - 2020 WA E Detail - Actual'!AA$4:AA$15)</f>
        <v>1316.7151022999999</v>
      </c>
      <c r="L25" s="2">
        <f>SUMIF('EIM - 2020 WA E Detail - Actual'!$C$4:$C$15,"Software 303",'EIM - 2020 WA E Detail - Actual'!AB$4:AB$15)</f>
        <v>-99051.532830900003</v>
      </c>
      <c r="M25" s="2">
        <f>SUMIF('EIM - 2020 WA E Detail - Actual'!$C$4:$C$15,"Software 303",'EIM - 2020 WA E Detail - Actual'!AC$4:AC$15)</f>
        <v>0</v>
      </c>
      <c r="N25" s="2">
        <f>SUMIF('EIM - 2020 WA E Detail - Actual'!$C$4:$C$15,"Software 303",'EIM - 2020 WA E Detail - Actual'!AD$4:AD$15)</f>
        <v>0</v>
      </c>
      <c r="O25" s="2">
        <f>SUMIF('EIM - 2020 WA E Detail - Actual'!$C$4:$C$15,"Software 303",'EIM - 2020 WA E Detail - Actual'!AE$4:AE$15)</f>
        <v>0</v>
      </c>
      <c r="P25" s="2">
        <f>SUMIF('EIM - 2020 WA E Detail - Actual'!$C$4:$C$15,"Software 303",'EIM - 2020 WA E Detail - Actual'!AF$4:AF$15)</f>
        <v>0</v>
      </c>
      <c r="Q25" s="84">
        <f t="shared" si="21"/>
        <v>143777.2840070427</v>
      </c>
      <c r="R25" s="84">
        <f>SUBTOTAL(9,$E25:Q25)</f>
        <v>143777.2840070427</v>
      </c>
      <c r="S25" s="2">
        <f>SUMIF('EIM - 2021 WA E Detail - Actual'!$C$4:$C$40,"Software 303",'EIM - 2021 WA E Detail - Actual'!U$4:U$40)</f>
        <v>0</v>
      </c>
      <c r="T25" s="2">
        <f>SUMIF('EIM - 2021 WA E Detail - Actual'!$C$4:$C$40,"Software 303",'EIM - 2021 WA E Detail - Actual'!V$4:V$40)</f>
        <v>0</v>
      </c>
      <c r="U25" s="2">
        <f>SUMIF('EIM - 2021 WA E Detail - Actual'!$C$4:$C$40,"Software 303",'EIM - 2021 WA E Detail - Actual'!W$4:W$40)</f>
        <v>0</v>
      </c>
      <c r="V25" s="2">
        <f>SUMIF('EIM - 2021 WA E Detail - Actual'!$C$4:$C$40,"Software 303",'EIM - 2021 WA E Detail - Actual'!X$4:X$40)</f>
        <v>0</v>
      </c>
      <c r="W25" s="2">
        <f>SUMIF('EIM - 2021 WA E Detail - Actual'!$C$4:$C$40,"Software 303",'EIM - 2021 WA E Detail - Actual'!Y$4:Y$40)</f>
        <v>0</v>
      </c>
      <c r="X25" s="2">
        <f>SUMIF('EIM - 2021 WA E Detail - Actual'!$C$4:$C$40,"Software 303",'EIM - 2021 WA E Detail - Actual'!Z$4:Z$40)</f>
        <v>2594542.7162520001</v>
      </c>
      <c r="Y25" s="2">
        <f>SUMIF('EIM - 2021 WA E Detail - Actual'!$C$4:$C$40,"Software 303",'EIM - 2021 WA E Detail - Actual'!AA$4:AA$40)</f>
        <v>14165.545224</v>
      </c>
      <c r="Z25" s="2">
        <f>SUMIF('EIM - 2021 WA E Detail - Actual'!$C$4:$C$40,"Software 303",'EIM - 2021 WA E Detail - Actual'!AB$4:AB$40)</f>
        <v>7045.8501120000001</v>
      </c>
      <c r="AA25" s="2">
        <f>SUMIF('EIM - 2021 WA E Detail - Actual'!$C$4:$C$40,"Software 303",'EIM - 2021 WA E Detail - Actual'!AC$4:AC$40)</f>
        <v>5294.2007640000002</v>
      </c>
      <c r="AB25" s="2">
        <f>SUMIF('EIM - 2021 WA E Detail - Actual'!$C$4:$C$40,"Software 303",'EIM - 2021 WA E Detail - Actual'!AD$4:AD$40)</f>
        <v>3009.0163680000005</v>
      </c>
      <c r="AC25" s="2">
        <f>SUMIF('EIM - 2021 WA E Detail - Actual'!$C$4:$C$40,"Software 303",'EIM - 2021 WA E Detail - Actual'!AE$4:AE$40)</f>
        <v>10856.3637</v>
      </c>
      <c r="AD25" s="2">
        <f>SUMIF('EIM - 2021 WA E Detail - Actual'!$C$4:$C$40,"Software 303",'EIM - 2021 WA E Detail - Actual'!AF$4:AF$40)</f>
        <v>858.20361600000001</v>
      </c>
      <c r="AE25" s="84">
        <f t="shared" si="22"/>
        <v>2635771.8960359995</v>
      </c>
      <c r="AF25" s="2">
        <f>SUMIF('EIM - 2022 WA E Detail - Actual'!$C$4:$C$47,"Software 303",'EIM - 2022 WA E Detail - Actual'!U$4:U$47)</f>
        <v>0</v>
      </c>
      <c r="AG25" s="2">
        <f>SUMIF('EIM - 2022 WA E Detail - Actual'!$C$4:$C$47,"Software 303",'EIM - 2022 WA E Detail - Actual'!V$4:V$47)</f>
        <v>0</v>
      </c>
      <c r="AH25" s="2">
        <f>SUMIF('EIM - 2022 WA E Detail - Actual'!$C$4:$C$47,"Software 303",'EIM - 2022 WA E Detail - Actual'!W$4:W$47)</f>
        <v>6599261.4234669991</v>
      </c>
      <c r="AI25" s="2">
        <f>SUMIF('EIM - 2022 WA E Detail - Actual'!$C$4:$C$47,"Software 303",'EIM - 2022 WA E Detail - Actual'!X$4:X$47)</f>
        <v>339238.76142699999</v>
      </c>
      <c r="AJ25" s="2">
        <f>SUMIF('EIM - 2022 WA E Detail - Actual'!$C$4:$C$47,"Software 303",'EIM - 2022 WA E Detail - Actual'!Y$4:Y$47)</f>
        <v>290013.35462599999</v>
      </c>
      <c r="AK25" s="2">
        <f>SUMIF('EIM - 2022 WA E Detail - Actual'!$C$4:$C$47,"Software 303",'EIM - 2022 WA E Detail - Actual'!Z$4:Z$47)</f>
        <v>142279.47272199998</v>
      </c>
      <c r="AL25" s="2">
        <f>SUMIF('EIM - 2022 WA E Detail - Actual'!$C$4:$C$47,"Software 303",'EIM - 2022 WA E Detail - Actual'!AA$4:AA$47)</f>
        <v>45207.049235914536</v>
      </c>
      <c r="AM25" s="2">
        <f>SUMIF('EIM - 2022 WA E Detail - Actual'!$C$4:$C$47,"Software 303",'EIM - 2022 WA E Detail - Actual'!AB$4:AB$47)</f>
        <v>45207.049235914536</v>
      </c>
      <c r="AN25" s="2">
        <f>SUMIF('EIM - 2022 WA E Detail - Actual'!$C$4:$C$47,"Software 303",'EIM - 2022 WA E Detail - Actual'!AC$4:AC$47)</f>
        <v>0</v>
      </c>
      <c r="AO25" s="2">
        <f>SUMIF('EIM - 2022 WA E Detail - Actual'!$C$4:$C$47,"Software 303",'EIM - 2022 WA E Detail - Actual'!AD$4:AD$47)</f>
        <v>0</v>
      </c>
      <c r="AP25" s="2">
        <f>SUMIF('EIM - 2022 WA E Detail - Actual'!$C$4:$C$47,"Software 303",'EIM - 2022 WA E Detail - Actual'!AE$4:AE$47)</f>
        <v>0</v>
      </c>
      <c r="AQ25" s="2">
        <f>SUMIF('EIM - 2022 WA E Detail - Actual'!$C$4:$C$47,"Software 303",'EIM - 2022 WA E Detail - Actual'!AF$4:AF$47)</f>
        <v>0</v>
      </c>
      <c r="AR25" s="84">
        <f t="shared" si="23"/>
        <v>7461207.1107138284</v>
      </c>
      <c r="AS25" s="84">
        <f>SUBTOTAL(9,$E25:AR25)</f>
        <v>10240756.290756868</v>
      </c>
    </row>
    <row r="26" spans="2:46">
      <c r="E26" s="74">
        <f t="shared" ref="E26" si="24">SUM(E19:E25)</f>
        <v>248725.10756610002</v>
      </c>
      <c r="F26" s="74">
        <f t="shared" ref="F26" si="25">SUM(F19:F25)</f>
        <v>37677.084435900004</v>
      </c>
      <c r="G26" s="74">
        <f t="shared" ref="G26" si="26">SUM(G19:G25)</f>
        <v>10946.9590398</v>
      </c>
      <c r="H26" s="74">
        <f t="shared" ref="H26" si="27">SUM(H19:H25)</f>
        <v>9450.1892546426934</v>
      </c>
      <c r="I26" s="74">
        <f t="shared" ref="I26" si="28">SUM(I19:I25)</f>
        <v>0</v>
      </c>
      <c r="J26" s="74">
        <f t="shared" ref="J26" si="29">SUM(J19:J25)</f>
        <v>309000.98921999999</v>
      </c>
      <c r="K26" s="74">
        <f t="shared" ref="K26" si="30">SUM(K19:K25)</f>
        <v>63661.9339062</v>
      </c>
      <c r="L26" s="74">
        <f t="shared" ref="L26" si="31">SUM(L19:L25)</f>
        <v>104808.68738460001</v>
      </c>
      <c r="M26" s="74">
        <f t="shared" ref="M26" si="32">SUM(M19:M25)</f>
        <v>195545.34303805887</v>
      </c>
      <c r="N26" s="74">
        <f t="shared" ref="N26" si="33">SUM(N19:N25)</f>
        <v>267426.51205506636</v>
      </c>
      <c r="O26" s="74">
        <f t="shared" ref="O26" si="34">SUM(O19:O25)</f>
        <v>23274.626166443159</v>
      </c>
      <c r="P26" s="74">
        <f t="shared" ref="P26:S26" si="35">SUM(P19:P25)</f>
        <v>484053.35755865223</v>
      </c>
      <c r="Q26" s="83">
        <f t="shared" si="35"/>
        <v>1754570.7896254633</v>
      </c>
      <c r="R26" s="83">
        <f t="shared" ref="R26" si="36">SUM(R19:R25)</f>
        <v>1754570.7896254633</v>
      </c>
      <c r="S26" s="74">
        <f t="shared" si="35"/>
        <v>260432.41561678261</v>
      </c>
      <c r="T26" s="74">
        <f t="shared" ref="T26" si="37">SUM(T19:T25)</f>
        <v>182237.28096957615</v>
      </c>
      <c r="U26" s="74">
        <f t="shared" ref="U26" si="38">SUM(U19:U25)</f>
        <v>501504.6706683886</v>
      </c>
      <c r="V26" s="74">
        <f t="shared" ref="V26" si="39">SUM(V19:V25)</f>
        <v>1525043.5610908873</v>
      </c>
      <c r="W26" s="74">
        <f t="shared" ref="W26" si="40">SUM(W19:W25)</f>
        <v>883434.8459517447</v>
      </c>
      <c r="X26" s="74">
        <f t="shared" ref="X26" si="41">SUM(X19:X25)</f>
        <v>3195187.7741533699</v>
      </c>
      <c r="Y26" s="74">
        <f t="shared" ref="Y26" si="42">SUM(Y19:Y25)</f>
        <v>19833.58200942316</v>
      </c>
      <c r="Z26" s="74">
        <f t="shared" ref="Z26" si="43">SUM(Z19:Z25)</f>
        <v>-573.99240772790927</v>
      </c>
      <c r="AA26" s="74">
        <f t="shared" ref="AA26" si="44">SUM(AA19:AA25)</f>
        <v>13242.270207831865</v>
      </c>
      <c r="AB26" s="74">
        <f t="shared" ref="AB26" si="45">SUM(AB19:AB25)</f>
        <v>32278.802710356693</v>
      </c>
      <c r="AC26" s="74">
        <f t="shared" ref="AC26" si="46">SUM(AC19:AC25)</f>
        <v>16353.292865663092</v>
      </c>
      <c r="AD26" s="74">
        <f t="shared" ref="AD26:AF26" si="47">SUM(AD19:AD25)</f>
        <v>5363.5400584337558</v>
      </c>
      <c r="AE26" s="83">
        <f t="shared" ref="AE26" si="48">SUM(AE19:AE25)</f>
        <v>6634338.0438947296</v>
      </c>
      <c r="AF26" s="74">
        <f t="shared" si="47"/>
        <v>1229.9363028037194</v>
      </c>
      <c r="AG26" s="74">
        <f t="shared" ref="AG26" si="49">SUM(AG19:AG25)</f>
        <v>8395.3108720537875</v>
      </c>
      <c r="AH26" s="74">
        <f t="shared" ref="AH26" si="50">SUM(AH19:AH25)</f>
        <v>6696832.1813869886</v>
      </c>
      <c r="AI26" s="74">
        <f t="shared" ref="AI26" si="51">SUM(AI19:AI25)</f>
        <v>348355.82422292675</v>
      </c>
      <c r="AJ26" s="74">
        <f t="shared" ref="AJ26" si="52">SUM(AJ19:AJ25)</f>
        <v>298547.87814579846</v>
      </c>
      <c r="AK26" s="74">
        <f t="shared" ref="AK26" si="53">SUM(AK19:AK25)</f>
        <v>189788.88606543656</v>
      </c>
      <c r="AL26" s="74">
        <f t="shared" ref="AL26" si="54">SUM(AL19:AL25)</f>
        <v>60302.412938749338</v>
      </c>
      <c r="AM26" s="74">
        <f t="shared" ref="AM26" si="55">SUM(AM19:AM25)</f>
        <v>60302.412938749338</v>
      </c>
      <c r="AN26" s="74">
        <f t="shared" ref="AN26" si="56">SUM(AN19:AN25)</f>
        <v>0</v>
      </c>
      <c r="AO26" s="74">
        <f t="shared" ref="AO26" si="57">SUM(AO19:AO25)</f>
        <v>0</v>
      </c>
      <c r="AP26" s="74">
        <f t="shared" ref="AP26" si="58">SUM(AP19:AP25)</f>
        <v>0</v>
      </c>
      <c r="AQ26" s="74">
        <f t="shared" ref="AQ26:AR26" si="59">SUM(AQ19:AQ25)</f>
        <v>0</v>
      </c>
      <c r="AR26" s="83">
        <f t="shared" si="59"/>
        <v>7663754.8428735062</v>
      </c>
      <c r="AS26" s="83">
        <f t="shared" ref="AS26" si="60">SUM(AS19:AS25)</f>
        <v>16052663.676393697</v>
      </c>
    </row>
    <row r="27" spans="2:46" hidden="1" outlineLevel="1">
      <c r="D27" s="85" t="s">
        <v>161</v>
      </c>
      <c r="E27" s="87">
        <f>E26-'EIM - 2020 WA E Detail - Actual'!U16</f>
        <v>0</v>
      </c>
      <c r="F27" s="87">
        <f>F26-'EIM - 2020 WA E Detail - Actual'!V16</f>
        <v>0</v>
      </c>
      <c r="G27" s="87">
        <f>G26-'EIM - 2020 WA E Detail - Actual'!W16</f>
        <v>0</v>
      </c>
      <c r="H27" s="87">
        <f>H26-'EIM - 2020 WA E Detail - Actual'!X16</f>
        <v>0</v>
      </c>
      <c r="I27" s="87">
        <f>I26-'EIM - 2020 WA E Detail - Actual'!Y16</f>
        <v>0</v>
      </c>
      <c r="J27" s="87">
        <f>J26-'EIM - 2020 WA E Detail - Actual'!Z16</f>
        <v>0</v>
      </c>
      <c r="K27" s="87">
        <f>K26-'EIM - 2020 WA E Detail - Actual'!AA16</f>
        <v>0</v>
      </c>
      <c r="L27" s="87">
        <f>L26-'EIM - 2020 WA E Detail - Actual'!AB16</f>
        <v>0</v>
      </c>
      <c r="M27" s="87">
        <f>M26-'EIM - 2020 WA E Detail - Actual'!AC16</f>
        <v>0</v>
      </c>
      <c r="N27" s="87">
        <f>N26-'EIM - 2020 WA E Detail - Actual'!AD16</f>
        <v>0</v>
      </c>
      <c r="O27" s="87">
        <f>O26-'EIM - 2020 WA E Detail - Actual'!AE16</f>
        <v>0</v>
      </c>
      <c r="P27" s="87">
        <f>P26-'EIM - 2020 WA E Detail - Actual'!AF16</f>
        <v>0</v>
      </c>
      <c r="S27" s="87">
        <f>S26-'EIM - 2021 WA E Detail - Actual'!U30</f>
        <v>0</v>
      </c>
      <c r="T27" s="87">
        <f>T26-'EIM - 2021 WA E Detail - Actual'!V30</f>
        <v>0</v>
      </c>
      <c r="U27" s="87">
        <f>U26-'EIM - 2021 WA E Detail - Actual'!W30</f>
        <v>0</v>
      </c>
      <c r="V27" s="87">
        <f>V26-'EIM - 2021 WA E Detail - Actual'!X30</f>
        <v>0</v>
      </c>
      <c r="W27" s="87">
        <f>W26-'EIM - 2021 WA E Detail - Actual'!Y30</f>
        <v>0</v>
      </c>
      <c r="X27" s="87">
        <f>X26-'EIM - 2021 WA E Detail - Actual'!Z30</f>
        <v>0</v>
      </c>
      <c r="Y27" s="87">
        <f>Y26-'EIM - 2021 WA E Detail - Actual'!AA30</f>
        <v>0</v>
      </c>
      <c r="Z27" s="89">
        <f>Z26-'EIM - 2021 WA E Detail - Actual'!AB30</f>
        <v>9.0949470177292824E-13</v>
      </c>
      <c r="AA27" s="87">
        <f>AA26-'EIM - 2021 WA E Detail - Actual'!AC30</f>
        <v>0</v>
      </c>
      <c r="AB27" s="87">
        <f>AB26-'EIM - 2021 WA E Detail - Actual'!AD30</f>
        <v>0</v>
      </c>
      <c r="AC27" s="87">
        <f>AC26-'EIM - 2021 WA E Detail - Actual'!AE30</f>
        <v>0</v>
      </c>
      <c r="AD27" s="88">
        <f>AD26-'EIM - 2021 WA E Detail - Actual'!AF30</f>
        <v>0</v>
      </c>
      <c r="AF27" s="88">
        <f>AF26-'EIM - 2022 WA E Detail - Actual'!U13</f>
        <v>0</v>
      </c>
      <c r="AG27" s="88">
        <f>AG26-'EIM - 2022 WA E Detail - Actual'!V13</f>
        <v>0</v>
      </c>
      <c r="AH27" s="88">
        <f>AH26-'EIM - 2022 WA E Detail - Actual'!W13</f>
        <v>0</v>
      </c>
      <c r="AI27" s="88">
        <f>AI26-'EIM - 2022 WA E Detail - Actual'!X13</f>
        <v>0</v>
      </c>
      <c r="AJ27" s="88">
        <f>AJ26-'EIM - 2022 WA E Detail - Actual'!Y13</f>
        <v>0</v>
      </c>
      <c r="AK27" s="88">
        <f>AK26-'EIM - 2022 WA E Detail - Actual'!Z13</f>
        <v>0</v>
      </c>
      <c r="AL27" s="88">
        <f>AL26-'EIM - 2022 WA E Detail - Actual'!AA13</f>
        <v>0</v>
      </c>
      <c r="AM27" s="88">
        <f>AM26-'EIM - 2022 WA E Detail - Actual'!AB13</f>
        <v>0</v>
      </c>
      <c r="AN27" s="88">
        <f>AN26-'EIM - 2022 WA E Detail - Actual'!AC13</f>
        <v>0</v>
      </c>
      <c r="AO27" s="80"/>
    </row>
    <row r="28" spans="2:46" collapsed="1">
      <c r="AO28" s="80"/>
    </row>
    <row r="29" spans="2:46">
      <c r="AO29" s="80"/>
    </row>
    <row r="30" spans="2:46">
      <c r="AO30" s="80"/>
    </row>
    <row r="31" spans="2:46">
      <c r="B31" s="1" t="s">
        <v>159</v>
      </c>
    </row>
    <row r="32" spans="2:46">
      <c r="D32" s="69" t="s">
        <v>17</v>
      </c>
      <c r="E32" s="3">
        <f>E19-E7</f>
        <v>0</v>
      </c>
      <c r="F32" s="3">
        <f t="shared" ref="F32:P32" si="61">F19-F7</f>
        <v>0</v>
      </c>
      <c r="G32" s="3">
        <f t="shared" si="61"/>
        <v>0</v>
      </c>
      <c r="H32" s="3">
        <f t="shared" si="61"/>
        <v>0</v>
      </c>
      <c r="I32" s="3">
        <f t="shared" si="61"/>
        <v>0</v>
      </c>
      <c r="J32" s="3">
        <f t="shared" si="61"/>
        <v>0</v>
      </c>
      <c r="K32" s="3">
        <f t="shared" si="61"/>
        <v>0</v>
      </c>
      <c r="L32" s="3">
        <f t="shared" si="61"/>
        <v>0</v>
      </c>
      <c r="M32" s="3">
        <f t="shared" si="61"/>
        <v>0</v>
      </c>
      <c r="N32" s="3">
        <f t="shared" si="61"/>
        <v>0</v>
      </c>
      <c r="O32" s="3">
        <f t="shared" si="61"/>
        <v>0</v>
      </c>
      <c r="P32" s="3">
        <f t="shared" si="61"/>
        <v>0</v>
      </c>
      <c r="Q32" s="84">
        <f t="shared" ref="Q32:Q38" si="62">SUBTOTAL(9,E32:P32)</f>
        <v>0</v>
      </c>
      <c r="R32" s="84">
        <f>SUBTOTAL(9,$E32:Q32)</f>
        <v>0</v>
      </c>
      <c r="S32" s="3">
        <f>S19-S7</f>
        <v>0</v>
      </c>
      <c r="T32" s="3">
        <f t="shared" ref="T32:AD32" si="63">T19-T7</f>
        <v>0</v>
      </c>
      <c r="U32" s="3">
        <f t="shared" si="63"/>
        <v>25499.71</v>
      </c>
      <c r="V32" s="3">
        <f t="shared" si="63"/>
        <v>2894.08</v>
      </c>
      <c r="W32" s="3">
        <f t="shared" si="63"/>
        <v>708.52</v>
      </c>
      <c r="X32" s="3">
        <f t="shared" si="63"/>
        <v>-94524.500780181916</v>
      </c>
      <c r="Y32" s="3">
        <f t="shared" si="63"/>
        <v>493.18</v>
      </c>
      <c r="Z32" s="3">
        <f t="shared" si="63"/>
        <v>268.14</v>
      </c>
      <c r="AA32" s="3">
        <f t="shared" si="63"/>
        <v>8836.6799999999985</v>
      </c>
      <c r="AB32" s="3">
        <f t="shared" si="63"/>
        <v>404.2</v>
      </c>
      <c r="AC32" s="3">
        <f t="shared" si="63"/>
        <v>2956.96</v>
      </c>
      <c r="AD32" s="3">
        <f t="shared" si="63"/>
        <v>0</v>
      </c>
      <c r="AE32" s="84">
        <f>SUBTOTAL(9,S32:AD32)</f>
        <v>-52463.030780181922</v>
      </c>
      <c r="AF32" s="3">
        <f>AF19-AF7</f>
        <v>0</v>
      </c>
      <c r="AG32" s="3">
        <f t="shared" ref="AG32:AH32" si="64">AG19-AG7</f>
        <v>2230.88</v>
      </c>
      <c r="AH32" s="3">
        <f t="shared" si="64"/>
        <v>580.25</v>
      </c>
      <c r="AI32" s="3">
        <f t="shared" ref="AI32:AK32" si="65">AI19-AI7</f>
        <v>0</v>
      </c>
      <c r="AJ32" s="3">
        <f t="shared" si="65"/>
        <v>0</v>
      </c>
      <c r="AK32" s="3">
        <f t="shared" si="65"/>
        <v>0</v>
      </c>
      <c r="AL32" s="3">
        <f t="shared" ref="AL32:AN32" si="66">AL19-AL7</f>
        <v>0</v>
      </c>
      <c r="AM32" s="3">
        <f t="shared" si="66"/>
        <v>0</v>
      </c>
      <c r="AN32" s="3">
        <f t="shared" si="66"/>
        <v>0</v>
      </c>
      <c r="AO32" s="3"/>
      <c r="AP32" s="3"/>
      <c r="AQ32" s="3"/>
      <c r="AR32" s="84">
        <f>SUBTOTAL(9,AF32:AQ32)</f>
        <v>2811.13</v>
      </c>
      <c r="AS32" s="84">
        <f>SUBTOTAL(9,$E32:AR32)</f>
        <v>-49651.900780181924</v>
      </c>
      <c r="AT32" s="86">
        <f t="shared" ref="AT32:AT38" si="67">AE19-AE7-AE32</f>
        <v>0</v>
      </c>
    </row>
    <row r="33" spans="2:46">
      <c r="D33" s="69" t="s">
        <v>14</v>
      </c>
      <c r="E33" s="3">
        <f t="shared" ref="E33:P38" si="68">E20-E8</f>
        <v>0</v>
      </c>
      <c r="F33" s="3">
        <f t="shared" si="68"/>
        <v>0</v>
      </c>
      <c r="G33" s="3">
        <f t="shared" si="68"/>
        <v>0</v>
      </c>
      <c r="H33" s="3">
        <f t="shared" si="68"/>
        <v>0</v>
      </c>
      <c r="I33" s="3">
        <f t="shared" si="68"/>
        <v>0</v>
      </c>
      <c r="J33" s="3">
        <f t="shared" si="68"/>
        <v>0</v>
      </c>
      <c r="K33" s="3">
        <f t="shared" si="68"/>
        <v>0</v>
      </c>
      <c r="L33" s="3">
        <f t="shared" si="68"/>
        <v>0</v>
      </c>
      <c r="M33" s="3">
        <f t="shared" si="68"/>
        <v>0</v>
      </c>
      <c r="N33" s="3">
        <f t="shared" si="68"/>
        <v>0</v>
      </c>
      <c r="O33" s="3">
        <f t="shared" si="68"/>
        <v>0</v>
      </c>
      <c r="P33" s="3">
        <f t="shared" si="68"/>
        <v>0</v>
      </c>
      <c r="Q33" s="84">
        <f t="shared" si="62"/>
        <v>0</v>
      </c>
      <c r="R33" s="84">
        <f>SUBTOTAL(9,$E33:Q33)</f>
        <v>0</v>
      </c>
      <c r="S33" s="3">
        <f t="shared" ref="S33:AD33" si="69">S20-S8</f>
        <v>-116754.13867834676</v>
      </c>
      <c r="T33" s="3">
        <f t="shared" si="69"/>
        <v>-121048.85229034675</v>
      </c>
      <c r="U33" s="3">
        <f t="shared" si="69"/>
        <v>64780.738025653278</v>
      </c>
      <c r="V33" s="3">
        <f t="shared" si="69"/>
        <v>-41798.312595742638</v>
      </c>
      <c r="W33" s="3">
        <f t="shared" si="69"/>
        <v>-210851.92709174263</v>
      </c>
      <c r="X33" s="3">
        <f t="shared" si="69"/>
        <v>-503676.12210374256</v>
      </c>
      <c r="Y33" s="3">
        <f t="shared" si="69"/>
        <v>-713.22454799999991</v>
      </c>
      <c r="Z33" s="3">
        <f t="shared" si="69"/>
        <v>-14076.924660000006</v>
      </c>
      <c r="AA33" s="3">
        <f t="shared" si="69"/>
        <v>1955.8947719999999</v>
      </c>
      <c r="AB33" s="3">
        <f t="shared" si="69"/>
        <v>2088.4088039999951</v>
      </c>
      <c r="AC33" s="3">
        <f t="shared" si="69"/>
        <v>0</v>
      </c>
      <c r="AD33" s="3">
        <f t="shared" si="69"/>
        <v>-42607.554144000002</v>
      </c>
      <c r="AE33" s="84">
        <f t="shared" ref="AE33:AE38" si="70">SUBTOTAL(9,S33:AD33)</f>
        <v>-982702.01451026811</v>
      </c>
      <c r="AF33" s="3">
        <f t="shared" ref="AF33:AH33" si="71">AF20-AF8</f>
        <v>0</v>
      </c>
      <c r="AG33" s="3">
        <f t="shared" si="71"/>
        <v>4808.9439359999997</v>
      </c>
      <c r="AH33" s="3">
        <f t="shared" si="71"/>
        <v>1310.4763439999999</v>
      </c>
      <c r="AI33" s="3">
        <f t="shared" ref="AI33:AK33" si="72">AI20-AI8</f>
        <v>85.345127999999988</v>
      </c>
      <c r="AJ33" s="3">
        <f t="shared" si="72"/>
        <v>0</v>
      </c>
      <c r="AK33" s="3">
        <f t="shared" si="72"/>
        <v>0</v>
      </c>
      <c r="AL33" s="3">
        <f t="shared" ref="AL33:AN33" si="73">AL20-AL8</f>
        <v>0</v>
      </c>
      <c r="AM33" s="3">
        <f t="shared" si="73"/>
        <v>0</v>
      </c>
      <c r="AN33" s="3">
        <f t="shared" si="73"/>
        <v>0</v>
      </c>
      <c r="AO33" s="3"/>
      <c r="AP33" s="3"/>
      <c r="AQ33" s="3"/>
      <c r="AR33" s="84">
        <f t="shared" ref="AR33:AR38" si="74">SUBTOTAL(9,AF33:AQ33)</f>
        <v>6204.7654079999993</v>
      </c>
      <c r="AS33" s="84">
        <f>SUBTOTAL(9,$E33:AR33)</f>
        <v>-976497.24910226814</v>
      </c>
      <c r="AT33" s="86">
        <f t="shared" si="67"/>
        <v>0</v>
      </c>
    </row>
    <row r="34" spans="2:46">
      <c r="D34" s="69" t="s">
        <v>139</v>
      </c>
      <c r="E34" s="3">
        <f t="shared" si="68"/>
        <v>0</v>
      </c>
      <c r="F34" s="3">
        <f t="shared" si="68"/>
        <v>0</v>
      </c>
      <c r="G34" s="3">
        <f t="shared" si="68"/>
        <v>0</v>
      </c>
      <c r="H34" s="3">
        <f t="shared" si="68"/>
        <v>0</v>
      </c>
      <c r="I34" s="3">
        <f t="shared" si="68"/>
        <v>0</v>
      </c>
      <c r="J34" s="3">
        <f t="shared" si="68"/>
        <v>0</v>
      </c>
      <c r="K34" s="3">
        <f t="shared" si="68"/>
        <v>0</v>
      </c>
      <c r="L34" s="3">
        <f t="shared" si="68"/>
        <v>0</v>
      </c>
      <c r="M34" s="3">
        <f t="shared" si="68"/>
        <v>0</v>
      </c>
      <c r="N34" s="3">
        <f t="shared" si="68"/>
        <v>0</v>
      </c>
      <c r="O34" s="3">
        <f t="shared" si="68"/>
        <v>0</v>
      </c>
      <c r="P34" s="3">
        <f t="shared" si="68"/>
        <v>0</v>
      </c>
      <c r="Q34" s="84">
        <f t="shared" si="62"/>
        <v>0</v>
      </c>
      <c r="R34" s="84">
        <f>SUBTOTAL(9,$E34:Q34)</f>
        <v>0</v>
      </c>
      <c r="S34" s="3">
        <f t="shared" ref="S34:AD34" si="75">S21-S9</f>
        <v>253321.163436</v>
      </c>
      <c r="T34" s="3">
        <f t="shared" si="75"/>
        <v>5849.3182439999982</v>
      </c>
      <c r="U34" s="3">
        <f t="shared" si="75"/>
        <v>-8138.920212</v>
      </c>
      <c r="V34" s="3">
        <f t="shared" si="75"/>
        <v>284568.10953530355</v>
      </c>
      <c r="W34" s="3">
        <f t="shared" si="75"/>
        <v>-1129238.9329184429</v>
      </c>
      <c r="X34" s="3">
        <f t="shared" si="75"/>
        <v>-319417.33960869658</v>
      </c>
      <c r="Y34" s="3">
        <f t="shared" si="75"/>
        <v>-41457.213144000008</v>
      </c>
      <c r="Z34" s="3">
        <f t="shared" si="75"/>
        <v>-13214.802336000001</v>
      </c>
      <c r="AA34" s="3">
        <f t="shared" si="75"/>
        <v>3525.4325040000003</v>
      </c>
      <c r="AB34" s="3">
        <f t="shared" si="75"/>
        <v>-3525.5243999999998</v>
      </c>
      <c r="AC34" s="3">
        <f t="shared" si="75"/>
        <v>0</v>
      </c>
      <c r="AD34" s="3">
        <f t="shared" si="75"/>
        <v>0</v>
      </c>
      <c r="AE34" s="84">
        <f t="shared" si="70"/>
        <v>-967728.70889983594</v>
      </c>
      <c r="AF34" s="3">
        <f t="shared" ref="AF34:AH34" si="76">AF21-AF9</f>
        <v>0</v>
      </c>
      <c r="AG34" s="3">
        <f t="shared" si="76"/>
        <v>0</v>
      </c>
      <c r="AH34" s="3">
        <f t="shared" si="76"/>
        <v>0</v>
      </c>
      <c r="AI34" s="3">
        <f t="shared" ref="AI34:AK34" si="77">AI21-AI9</f>
        <v>0</v>
      </c>
      <c r="AJ34" s="3">
        <f t="shared" si="77"/>
        <v>0</v>
      </c>
      <c r="AK34" s="3">
        <f t="shared" si="77"/>
        <v>0</v>
      </c>
      <c r="AL34" s="3">
        <f t="shared" ref="AL34:AN34" si="78">AL21-AL9</f>
        <v>0</v>
      </c>
      <c r="AM34" s="3">
        <f t="shared" si="78"/>
        <v>0</v>
      </c>
      <c r="AN34" s="3">
        <f t="shared" si="78"/>
        <v>0</v>
      </c>
      <c r="AO34" s="3"/>
      <c r="AP34" s="3"/>
      <c r="AQ34" s="3"/>
      <c r="AR34" s="84">
        <f t="shared" si="74"/>
        <v>0</v>
      </c>
      <c r="AS34" s="84">
        <f>SUBTOTAL(9,$E34:AR34)</f>
        <v>-967728.70889983594</v>
      </c>
      <c r="AT34" s="86">
        <f t="shared" si="67"/>
        <v>0</v>
      </c>
    </row>
    <row r="35" spans="2:46">
      <c r="D35" s="69" t="s">
        <v>144</v>
      </c>
      <c r="E35" s="3">
        <f t="shared" si="68"/>
        <v>0</v>
      </c>
      <c r="F35" s="3">
        <f t="shared" si="68"/>
        <v>0</v>
      </c>
      <c r="G35" s="3">
        <f t="shared" si="68"/>
        <v>0</v>
      </c>
      <c r="H35" s="3">
        <f t="shared" si="68"/>
        <v>0</v>
      </c>
      <c r="I35" s="3">
        <f t="shared" si="68"/>
        <v>0</v>
      </c>
      <c r="J35" s="3">
        <f t="shared" si="68"/>
        <v>0</v>
      </c>
      <c r="K35" s="3">
        <f t="shared" si="68"/>
        <v>0</v>
      </c>
      <c r="L35" s="3">
        <f t="shared" si="68"/>
        <v>0</v>
      </c>
      <c r="M35" s="3">
        <f t="shared" si="68"/>
        <v>0</v>
      </c>
      <c r="N35" s="3">
        <f t="shared" si="68"/>
        <v>0</v>
      </c>
      <c r="O35" s="3">
        <f t="shared" si="68"/>
        <v>0</v>
      </c>
      <c r="P35" s="3">
        <f t="shared" si="68"/>
        <v>0</v>
      </c>
      <c r="Q35" s="84">
        <f t="shared" si="62"/>
        <v>0</v>
      </c>
      <c r="R35" s="84">
        <f>SUBTOTAL(9,$E35:Q35)</f>
        <v>0</v>
      </c>
      <c r="S35" s="3">
        <f t="shared" ref="S35:AD35" si="79">S22-S10</f>
        <v>4235.2700279999999</v>
      </c>
      <c r="T35" s="3">
        <f t="shared" si="79"/>
        <v>3508.4973840000002</v>
      </c>
      <c r="U35" s="3">
        <f t="shared" si="79"/>
        <v>1580.6768399999999</v>
      </c>
      <c r="V35" s="3">
        <f t="shared" si="79"/>
        <v>684.06069600000001</v>
      </c>
      <c r="W35" s="3">
        <f t="shared" si="79"/>
        <v>178736.992818</v>
      </c>
      <c r="X35" s="3">
        <f t="shared" si="79"/>
        <v>146379.04819100001</v>
      </c>
      <c r="Y35" s="3">
        <f t="shared" si="79"/>
        <v>425.35358099999996</v>
      </c>
      <c r="Z35" s="3">
        <f t="shared" si="79"/>
        <v>0</v>
      </c>
      <c r="AA35" s="3">
        <f t="shared" si="79"/>
        <v>-4576.9184999999998</v>
      </c>
      <c r="AB35" s="3">
        <f t="shared" si="79"/>
        <v>26476.937675999998</v>
      </c>
      <c r="AC35" s="3">
        <f t="shared" si="79"/>
        <v>0</v>
      </c>
      <c r="AD35" s="3">
        <f t="shared" si="79"/>
        <v>0</v>
      </c>
      <c r="AE35" s="84">
        <f t="shared" si="70"/>
        <v>357449.91871399997</v>
      </c>
      <c r="AF35" s="3">
        <f t="shared" ref="AF35:AH35" si="80">AF22-AF10</f>
        <v>0</v>
      </c>
      <c r="AG35" s="3">
        <f t="shared" si="80"/>
        <v>0</v>
      </c>
      <c r="AH35" s="3">
        <f t="shared" si="80"/>
        <v>0</v>
      </c>
      <c r="AI35" s="3">
        <f t="shared" ref="AI35:AK35" si="81">AI22-AI10</f>
        <v>0</v>
      </c>
      <c r="AJ35" s="3">
        <f t="shared" si="81"/>
        <v>0</v>
      </c>
      <c r="AK35" s="3">
        <f t="shared" si="81"/>
        <v>0</v>
      </c>
      <c r="AL35" s="3">
        <f t="shared" ref="AL35:AN35" si="82">AL22-AL10</f>
        <v>0</v>
      </c>
      <c r="AM35" s="3">
        <f t="shared" si="82"/>
        <v>0</v>
      </c>
      <c r="AN35" s="3">
        <f t="shared" si="82"/>
        <v>0</v>
      </c>
      <c r="AO35" s="3"/>
      <c r="AP35" s="3"/>
      <c r="AQ35" s="3"/>
      <c r="AR35" s="84">
        <f t="shared" si="74"/>
        <v>0</v>
      </c>
      <c r="AS35" s="84">
        <f>SUBTOTAL(9,$E35:AR35)</f>
        <v>357449.91871399997</v>
      </c>
      <c r="AT35" s="86">
        <f t="shared" si="67"/>
        <v>0</v>
      </c>
    </row>
    <row r="36" spans="2:46">
      <c r="D36" s="69" t="s">
        <v>137</v>
      </c>
      <c r="E36" s="3">
        <f t="shared" si="68"/>
        <v>0</v>
      </c>
      <c r="F36" s="3">
        <f t="shared" si="68"/>
        <v>0</v>
      </c>
      <c r="G36" s="3">
        <f t="shared" si="68"/>
        <v>0</v>
      </c>
      <c r="H36" s="3">
        <f t="shared" si="68"/>
        <v>0</v>
      </c>
      <c r="I36" s="3">
        <f t="shared" si="68"/>
        <v>0</v>
      </c>
      <c r="J36" s="3">
        <f t="shared" si="68"/>
        <v>0</v>
      </c>
      <c r="K36" s="3">
        <f t="shared" si="68"/>
        <v>0</v>
      </c>
      <c r="L36" s="3">
        <f t="shared" si="68"/>
        <v>0</v>
      </c>
      <c r="M36" s="3">
        <f t="shared" si="68"/>
        <v>0</v>
      </c>
      <c r="N36" s="3">
        <f t="shared" si="68"/>
        <v>0</v>
      </c>
      <c r="O36" s="3">
        <f t="shared" si="68"/>
        <v>0</v>
      </c>
      <c r="P36" s="3">
        <f t="shared" si="68"/>
        <v>0</v>
      </c>
      <c r="Q36" s="84">
        <f t="shared" si="62"/>
        <v>0</v>
      </c>
      <c r="R36" s="84">
        <f>SUBTOTAL(9,$E36:Q36)</f>
        <v>0</v>
      </c>
      <c r="S36" s="3">
        <f t="shared" ref="S36:AD36" si="83">S23-S11</f>
        <v>2633.8821407826117</v>
      </c>
      <c r="T36" s="3">
        <f t="shared" si="83"/>
        <v>176932.07894157615</v>
      </c>
      <c r="U36" s="3">
        <f t="shared" si="83"/>
        <v>212328.63741748856</v>
      </c>
      <c r="V36" s="3">
        <f t="shared" si="83"/>
        <v>273929.11235107406</v>
      </c>
      <c r="W36" s="3">
        <f t="shared" si="83"/>
        <v>184433.89644884909</v>
      </c>
      <c r="X36" s="3">
        <f t="shared" si="83"/>
        <v>286994.48894146999</v>
      </c>
      <c r="Y36" s="3">
        <f t="shared" si="83"/>
        <v>44377.829388025624</v>
      </c>
      <c r="Z36" s="3">
        <f t="shared" si="83"/>
        <v>18401.943107472096</v>
      </c>
      <c r="AA36" s="3">
        <f t="shared" si="83"/>
        <v>-2694.4205430681332</v>
      </c>
      <c r="AB36" s="3">
        <f t="shared" si="83"/>
        <v>3825.7642623566994</v>
      </c>
      <c r="AC36" s="3">
        <f t="shared" si="83"/>
        <v>2539.9691656630921</v>
      </c>
      <c r="AD36" s="3">
        <f t="shared" si="83"/>
        <v>47112.890586433758</v>
      </c>
      <c r="AE36" s="84">
        <f t="shared" si="70"/>
        <v>1250816.0722081237</v>
      </c>
      <c r="AF36" s="3">
        <f t="shared" ref="AF36:AH36" si="84">AF23-AF11</f>
        <v>1229.9363028037194</v>
      </c>
      <c r="AG36" s="3">
        <f t="shared" si="84"/>
        <v>1355.486936053788</v>
      </c>
      <c r="AH36" s="3">
        <f t="shared" si="84"/>
        <v>5171.4280049893059</v>
      </c>
      <c r="AI36" s="3">
        <f t="shared" ref="AI36:AK36" si="85">AI23-AI11</f>
        <v>4542.0104439267498</v>
      </c>
      <c r="AJ36" s="3">
        <f t="shared" si="85"/>
        <v>1650.2105337984799</v>
      </c>
      <c r="AK36" s="3">
        <f t="shared" si="85"/>
        <v>914.09039143658788</v>
      </c>
      <c r="AL36" s="3">
        <f>AL23-AL11</f>
        <v>290.43774580534125</v>
      </c>
      <c r="AM36" s="3">
        <f t="shared" ref="AM36:AN36" si="86">AM23-AM11</f>
        <v>290.43774580534125</v>
      </c>
      <c r="AN36" s="3">
        <f t="shared" si="86"/>
        <v>0</v>
      </c>
      <c r="AO36" s="3"/>
      <c r="AP36" s="3"/>
      <c r="AQ36" s="3"/>
      <c r="AR36" s="84">
        <f t="shared" si="74"/>
        <v>15444.038104619311</v>
      </c>
      <c r="AS36" s="84">
        <f>SUBTOTAL(9,$E36:AR36)</f>
        <v>1266260.1103127431</v>
      </c>
      <c r="AT36" s="86">
        <f t="shared" si="67"/>
        <v>0</v>
      </c>
    </row>
    <row r="37" spans="2:46">
      <c r="D37" s="69" t="s">
        <v>146</v>
      </c>
      <c r="E37" s="3">
        <f t="shared" si="68"/>
        <v>0</v>
      </c>
      <c r="F37" s="3">
        <f t="shared" si="68"/>
        <v>0</v>
      </c>
      <c r="G37" s="3">
        <f t="shared" si="68"/>
        <v>0</v>
      </c>
      <c r="H37" s="3">
        <f t="shared" si="68"/>
        <v>0</v>
      </c>
      <c r="I37" s="3">
        <f t="shared" si="68"/>
        <v>0</v>
      </c>
      <c r="J37" s="3">
        <f t="shared" si="68"/>
        <v>0</v>
      </c>
      <c r="K37" s="3">
        <f t="shared" si="68"/>
        <v>0</v>
      </c>
      <c r="L37" s="3">
        <f t="shared" si="68"/>
        <v>0</v>
      </c>
      <c r="M37" s="3">
        <f t="shared" si="68"/>
        <v>0</v>
      </c>
      <c r="N37" s="3">
        <f t="shared" si="68"/>
        <v>0</v>
      </c>
      <c r="O37" s="3">
        <f t="shared" si="68"/>
        <v>0</v>
      </c>
      <c r="P37" s="3">
        <f t="shared" si="68"/>
        <v>0</v>
      </c>
      <c r="Q37" s="84">
        <f t="shared" si="62"/>
        <v>0</v>
      </c>
      <c r="R37" s="84">
        <f>SUBTOTAL(9,$E37:Q37)</f>
        <v>0</v>
      </c>
      <c r="S37" s="3">
        <f t="shared" ref="S37:AD37" si="87">S24-S12</f>
        <v>0</v>
      </c>
      <c r="T37" s="3">
        <f t="shared" si="87"/>
        <v>0</v>
      </c>
      <c r="U37" s="3">
        <f t="shared" si="87"/>
        <v>88457.589906900001</v>
      </c>
      <c r="V37" s="3">
        <f t="shared" si="87"/>
        <v>111561.23905981309</v>
      </c>
      <c r="W37" s="3">
        <f t="shared" si="87"/>
        <v>4241.7441768955377</v>
      </c>
      <c r="X37" s="3">
        <f t="shared" si="87"/>
        <v>3865.0428369000001</v>
      </c>
      <c r="Y37" s="3">
        <f t="shared" si="87"/>
        <v>2542.1115083975396</v>
      </c>
      <c r="Z37" s="3">
        <f t="shared" si="87"/>
        <v>1001.8013688000001</v>
      </c>
      <c r="AA37" s="3">
        <f t="shared" si="87"/>
        <v>901.40121090000002</v>
      </c>
      <c r="AB37" s="3">
        <f t="shared" si="87"/>
        <v>0</v>
      </c>
      <c r="AC37" s="3">
        <f t="shared" si="87"/>
        <v>0</v>
      </c>
      <c r="AD37" s="3">
        <f t="shared" si="87"/>
        <v>0</v>
      </c>
      <c r="AE37" s="84">
        <f t="shared" si="70"/>
        <v>212570.93006860613</v>
      </c>
      <c r="AF37" s="3">
        <f t="shared" ref="AF37:AH37" si="88">AF24-AF12</f>
        <v>0</v>
      </c>
      <c r="AG37" s="3">
        <f t="shared" si="88"/>
        <v>0</v>
      </c>
      <c r="AH37" s="3">
        <f t="shared" si="88"/>
        <v>90508.603570999985</v>
      </c>
      <c r="AI37" s="3">
        <f t="shared" ref="AI37:AK37" si="89">AI24-AI12</f>
        <v>4489.7072239999998</v>
      </c>
      <c r="AJ37" s="3">
        <f t="shared" si="89"/>
        <v>6884.312985999999</v>
      </c>
      <c r="AK37" s="3">
        <f t="shared" si="89"/>
        <v>46595.322952000002</v>
      </c>
      <c r="AL37" s="3">
        <f t="shared" ref="AL37:AN37" si="90">AL24-AL12</f>
        <v>14804.92595702946</v>
      </c>
      <c r="AM37" s="3">
        <f t="shared" si="90"/>
        <v>14804.92595702946</v>
      </c>
      <c r="AN37" s="3">
        <f t="shared" si="90"/>
        <v>0</v>
      </c>
      <c r="AO37" s="3"/>
      <c r="AP37" s="3"/>
      <c r="AQ37" s="3"/>
      <c r="AR37" s="84">
        <f t="shared" si="74"/>
        <v>178087.79864705889</v>
      </c>
      <c r="AS37" s="84">
        <f>SUBTOTAL(9,$E37:AR37)</f>
        <v>390658.728715665</v>
      </c>
      <c r="AT37" s="86">
        <f t="shared" si="67"/>
        <v>0</v>
      </c>
    </row>
    <row r="38" spans="2:46">
      <c r="D38" s="69" t="s">
        <v>19</v>
      </c>
      <c r="E38" s="3">
        <f t="shared" si="68"/>
        <v>0</v>
      </c>
      <c r="F38" s="3">
        <f t="shared" si="68"/>
        <v>0</v>
      </c>
      <c r="G38" s="3">
        <f t="shared" si="68"/>
        <v>0</v>
      </c>
      <c r="H38" s="3">
        <f t="shared" si="68"/>
        <v>0</v>
      </c>
      <c r="I38" s="3">
        <f t="shared" si="68"/>
        <v>0</v>
      </c>
      <c r="J38" s="3">
        <f t="shared" si="68"/>
        <v>0</v>
      </c>
      <c r="K38" s="3">
        <f t="shared" si="68"/>
        <v>0</v>
      </c>
      <c r="L38" s="3">
        <f t="shared" si="68"/>
        <v>0</v>
      </c>
      <c r="M38" s="3">
        <f t="shared" si="68"/>
        <v>0</v>
      </c>
      <c r="N38" s="3">
        <f t="shared" si="68"/>
        <v>0</v>
      </c>
      <c r="O38" s="3">
        <f t="shared" si="68"/>
        <v>0</v>
      </c>
      <c r="P38" s="3">
        <f t="shared" si="68"/>
        <v>0</v>
      </c>
      <c r="Q38" s="84">
        <f t="shared" si="62"/>
        <v>0</v>
      </c>
      <c r="R38" s="84">
        <f>SUBTOTAL(9,$E38:Q38)</f>
        <v>0</v>
      </c>
      <c r="S38" s="3">
        <f t="shared" ref="S38:AD38" si="91">S25-S13</f>
        <v>-113002.47411173211</v>
      </c>
      <c r="T38" s="3">
        <f t="shared" si="91"/>
        <v>-113002.47411173211</v>
      </c>
      <c r="U38" s="3">
        <f t="shared" si="91"/>
        <v>-113002.47411173211</v>
      </c>
      <c r="V38" s="3">
        <f t="shared" si="91"/>
        <v>-2944293.8760718941</v>
      </c>
      <c r="W38" s="3">
        <f t="shared" si="91"/>
        <v>-113718.61046646682</v>
      </c>
      <c r="X38" s="3">
        <f t="shared" si="91"/>
        <v>2480824.1057855333</v>
      </c>
      <c r="Y38" s="3">
        <f t="shared" si="91"/>
        <v>14165.545224</v>
      </c>
      <c r="Z38" s="3">
        <f t="shared" si="91"/>
        <v>7045.8501120000001</v>
      </c>
      <c r="AA38" s="3">
        <f t="shared" si="91"/>
        <v>5294.2007640000002</v>
      </c>
      <c r="AB38" s="3">
        <f t="shared" si="91"/>
        <v>3009.0163680000005</v>
      </c>
      <c r="AC38" s="3">
        <f t="shared" si="91"/>
        <v>10856.3637</v>
      </c>
      <c r="AD38" s="3">
        <f t="shared" si="91"/>
        <v>858.20361600000001</v>
      </c>
      <c r="AE38" s="84">
        <f t="shared" si="70"/>
        <v>-874966.62330402387</v>
      </c>
      <c r="AF38" s="3">
        <f t="shared" ref="AF38:AH38" si="92">AF25-AF13</f>
        <v>0</v>
      </c>
      <c r="AG38" s="3">
        <f t="shared" si="92"/>
        <v>0</v>
      </c>
      <c r="AH38" s="3">
        <f t="shared" si="92"/>
        <v>301484.76100033335</v>
      </c>
      <c r="AI38" s="3">
        <f t="shared" ref="AI38:AK38" si="93">AI25-AI13</f>
        <v>-503225.36693966651</v>
      </c>
      <c r="AJ38" s="3">
        <f t="shared" si="93"/>
        <v>-513936.16024066653</v>
      </c>
      <c r="AK38" s="3">
        <f t="shared" si="93"/>
        <v>142279.47272199998</v>
      </c>
      <c r="AL38" s="3">
        <f t="shared" ref="AL38:AN38" si="94">AL25-AL13</f>
        <v>45207.049235914536</v>
      </c>
      <c r="AM38" s="3">
        <f t="shared" si="94"/>
        <v>45207.049235914536</v>
      </c>
      <c r="AN38" s="3">
        <f t="shared" si="94"/>
        <v>0</v>
      </c>
      <c r="AO38" s="3"/>
      <c r="AP38" s="3"/>
      <c r="AQ38" s="3"/>
      <c r="AR38" s="84">
        <f t="shared" si="74"/>
        <v>-482983.19498617068</v>
      </c>
      <c r="AS38" s="84">
        <f>SUBTOTAL(9,$E38:AR38)</f>
        <v>-1357949.8182901943</v>
      </c>
      <c r="AT38" s="86">
        <f t="shared" si="67"/>
        <v>0</v>
      </c>
    </row>
    <row r="39" spans="2:46">
      <c r="E39" s="74">
        <f t="shared" ref="E39" si="95">SUM(E32:E38)</f>
        <v>0</v>
      </c>
      <c r="F39" s="74">
        <f t="shared" ref="F39" si="96">SUM(F32:F38)</f>
        <v>0</v>
      </c>
      <c r="G39" s="74">
        <f t="shared" ref="G39" si="97">SUM(G32:G38)</f>
        <v>0</v>
      </c>
      <c r="H39" s="74">
        <f t="shared" ref="H39" si="98">SUM(H32:H38)</f>
        <v>0</v>
      </c>
      <c r="I39" s="74">
        <f t="shared" ref="I39" si="99">SUM(I32:I38)</f>
        <v>0</v>
      </c>
      <c r="J39" s="74">
        <f t="shared" ref="J39" si="100">SUM(J32:J38)</f>
        <v>0</v>
      </c>
      <c r="K39" s="74">
        <f t="shared" ref="K39" si="101">SUM(K32:K38)</f>
        <v>0</v>
      </c>
      <c r="L39" s="74">
        <f t="shared" ref="L39" si="102">SUM(L32:L38)</f>
        <v>0</v>
      </c>
      <c r="M39" s="74">
        <f t="shared" ref="M39" si="103">SUM(M32:M38)</f>
        <v>0</v>
      </c>
      <c r="N39" s="74">
        <f t="shared" ref="N39" si="104">SUM(N32:N38)</f>
        <v>0</v>
      </c>
      <c r="O39" s="74">
        <f t="shared" ref="O39" si="105">SUM(O32:O38)</f>
        <v>0</v>
      </c>
      <c r="P39" s="74">
        <f t="shared" ref="P39" si="106">SUM(P32:P38)</f>
        <v>0</v>
      </c>
      <c r="Q39" s="83">
        <f t="shared" ref="Q39" si="107">SUM(Q32:Q38)</f>
        <v>0</v>
      </c>
      <c r="R39" s="83">
        <f t="shared" ref="R39" si="108">SUM(R32:R38)</f>
        <v>0</v>
      </c>
      <c r="S39" s="74">
        <f t="shared" ref="S39" si="109">SUM(S32:S38)</f>
        <v>30433.702814703734</v>
      </c>
      <c r="T39" s="74">
        <f t="shared" ref="T39" si="110">SUM(T32:T38)</f>
        <v>-47761.431832502712</v>
      </c>
      <c r="U39" s="74">
        <f t="shared" ref="U39" si="111">SUM(U32:U38)</f>
        <v>271505.95786630973</v>
      </c>
      <c r="V39" s="74">
        <f t="shared" ref="V39" si="112">SUM(V32:V38)</f>
        <v>-2312455.5870254459</v>
      </c>
      <c r="W39" s="74">
        <f t="shared" ref="W39" si="113">SUM(W32:W38)</f>
        <v>-1085688.3170329076</v>
      </c>
      <c r="X39" s="74">
        <f t="shared" ref="X39" si="114">SUM(X32:X38)</f>
        <v>2000444.7232622823</v>
      </c>
      <c r="Y39" s="74">
        <f t="shared" ref="Y39" si="115">SUM(Y32:Y38)</f>
        <v>19833.58200942316</v>
      </c>
      <c r="Z39" s="74">
        <f t="shared" ref="Z39" si="116">SUM(Z32:Z38)</f>
        <v>-573.99240772790927</v>
      </c>
      <c r="AA39" s="74">
        <f t="shared" ref="AA39" si="117">SUM(AA32:AA38)</f>
        <v>13242.270207831865</v>
      </c>
      <c r="AB39" s="74">
        <f t="shared" ref="AB39" si="118">SUM(AB32:AB38)</f>
        <v>32278.802710356693</v>
      </c>
      <c r="AC39" s="74">
        <f t="shared" ref="AC39" si="119">SUM(AC32:AC38)</f>
        <v>16353.292865663092</v>
      </c>
      <c r="AD39" s="74">
        <f t="shared" ref="AD39" si="120">SUM(AD32:AD38)</f>
        <v>5363.5400584337558</v>
      </c>
      <c r="AE39" s="83">
        <f t="shared" ref="AE39" si="121">SUM(AE32:AE38)</f>
        <v>-1057023.4565035801</v>
      </c>
      <c r="AF39" s="74">
        <f t="shared" ref="AF39" si="122">SUM(AF32:AF38)</f>
        <v>1229.9363028037194</v>
      </c>
      <c r="AG39" s="74">
        <f t="shared" ref="AG39" si="123">SUM(AG32:AG38)</f>
        <v>8395.3108720537875</v>
      </c>
      <c r="AH39" s="74">
        <f t="shared" ref="AH39" si="124">SUM(AH32:AH38)</f>
        <v>399055.51892032265</v>
      </c>
      <c r="AI39" s="74">
        <f t="shared" ref="AI39" si="125">SUM(AI32:AI38)</f>
        <v>-494108.30414373975</v>
      </c>
      <c r="AJ39" s="74">
        <f t="shared" ref="AJ39" si="126">SUM(AJ32:AJ38)</f>
        <v>-505401.63672086806</v>
      </c>
      <c r="AK39" s="74">
        <f>SUM(AK32:AK38)</f>
        <v>189788.88606543656</v>
      </c>
      <c r="AL39" s="74">
        <f t="shared" ref="AL39" si="127">SUM(AL32:AL38)</f>
        <v>60302.412938749338</v>
      </c>
      <c r="AM39" s="74">
        <f t="shared" ref="AM39" si="128">SUM(AM32:AM38)</f>
        <v>60302.412938749338</v>
      </c>
      <c r="AN39" s="74">
        <f t="shared" ref="AN39" si="129">SUM(AN32:AN38)</f>
        <v>0</v>
      </c>
      <c r="AO39" s="74">
        <f t="shared" ref="AO39" si="130">SUM(AO32:AO38)</f>
        <v>0</v>
      </c>
      <c r="AP39" s="74">
        <f t="shared" ref="AP39" si="131">SUM(AP32:AP38)</f>
        <v>0</v>
      </c>
      <c r="AQ39" s="74">
        <f t="shared" ref="AQ39:AR39" si="132">SUM(AQ32:AQ38)</f>
        <v>0</v>
      </c>
      <c r="AR39" s="83">
        <f t="shared" si="132"/>
        <v>-280435.4628264925</v>
      </c>
      <c r="AS39" s="83">
        <f t="shared" ref="AS39" si="133">SUM(AS32:AS38)</f>
        <v>-1337458.9193300721</v>
      </c>
    </row>
    <row r="41" spans="2:46">
      <c r="AE41" s="99"/>
      <c r="AR41" s="1" t="s">
        <v>171</v>
      </c>
    </row>
    <row r="42" spans="2:46" s="112" customFormat="1" ht="38.25">
      <c r="AE42" s="113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178</v>
      </c>
      <c r="AS42" s="115" t="s">
        <v>183</v>
      </c>
    </row>
    <row r="43" spans="2:46" ht="15">
      <c r="AD43" s="92" t="s">
        <v>170</v>
      </c>
      <c r="AE43" s="100"/>
      <c r="AN43" s="69" t="s">
        <v>187</v>
      </c>
      <c r="AR43" s="101">
        <f>SUM('EIM - 2020 WA E Detail - Actual'!R17,'EIM - 2021 WA E Detail - Actual'!R30,'EIM - 2022 WA E Detail - Actual'!K17)</f>
        <v>23998271.23</v>
      </c>
      <c r="AS43" s="122">
        <f>'EIM - 2020 WA E Detail - Actual'!R17+'EIM - 2021 WA E Detail - Auth'!R15+'EIM - 2022 WA E Detail - Auth'!R6</f>
        <v>26691964</v>
      </c>
      <c r="AT43" t="s">
        <v>190</v>
      </c>
    </row>
    <row r="44" spans="2:46">
      <c r="B44" s="73" t="s">
        <v>155</v>
      </c>
      <c r="AN44" s="110" t="s">
        <v>188</v>
      </c>
      <c r="AO44" s="46"/>
      <c r="AP44" s="46"/>
      <c r="AQ44" s="46"/>
      <c r="AR44" s="123">
        <f>AR45-AR43</f>
        <v>171728.76999999955</v>
      </c>
      <c r="AS44" s="124"/>
    </row>
    <row r="45" spans="2:46" ht="13.5" thickBot="1">
      <c r="AF45" s="46"/>
      <c r="AG45" s="46"/>
      <c r="AH45" s="46"/>
      <c r="AI45" s="46"/>
      <c r="AJ45" s="46"/>
      <c r="AL45" s="46"/>
      <c r="AM45" s="46"/>
      <c r="AN45" s="69" t="s">
        <v>189</v>
      </c>
      <c r="AR45" s="125">
        <v>24170000</v>
      </c>
      <c r="AS45" s="124"/>
    </row>
    <row r="46" spans="2:46" ht="13.5" thickTop="1">
      <c r="AF46" s="46"/>
      <c r="AG46" s="46"/>
      <c r="AH46" s="46"/>
      <c r="AI46" s="46"/>
      <c r="AJ46" s="46"/>
      <c r="AL46" s="46"/>
      <c r="AM46" s="46"/>
    </row>
    <row r="48" spans="2:46">
      <c r="AN48" s="110"/>
      <c r="AO48" s="46"/>
      <c r="AP48" s="46"/>
      <c r="AQ48" s="46"/>
      <c r="AR48" s="2"/>
      <c r="AS48" s="98"/>
    </row>
  </sheetData>
  <pageMargins left="0.7" right="0.7" top="0.75" bottom="0.75" header="0.3" footer="0.3"/>
  <pageSetup scale="29" orientation="landscape" horizontalDpi="1200" verticalDpi="1200" r:id="rId1"/>
  <headerFooter scaleWithDoc="0">
    <oddHeader>&amp;CAttachment A
January 14, 2022 EIM Capital Report</oddHead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M114"/>
  <sheetViews>
    <sheetView tabSelected="1" topLeftCell="T1" workbookViewId="0">
      <selection activeCell="Q53" sqref="Q53"/>
    </sheetView>
  </sheetViews>
  <sheetFormatPr defaultRowHeight="12.75"/>
  <cols>
    <col min="1" max="1" width="29.5703125" style="1" bestFit="1" customWidth="1"/>
    <col min="3" max="3" width="13.28515625" customWidth="1"/>
    <col min="4" max="4" width="9.140625" style="44"/>
    <col min="5" max="13" width="11.7109375" customWidth="1"/>
    <col min="14" max="16" width="12.28515625" customWidth="1"/>
    <col min="17" max="18" width="13.5703125" customWidth="1"/>
    <col min="19" max="19" width="12.42578125" style="2" customWidth="1"/>
    <col min="20" max="20" width="12.42578125" customWidth="1"/>
    <col min="21" max="34" width="12.85546875" bestFit="1" customWidth="1"/>
    <col min="35" max="36" width="12.7109375" bestFit="1" customWidth="1"/>
    <col min="37" max="38" width="13.5703125" bestFit="1" customWidth="1"/>
    <col min="39" max="39" width="11.5703125" bestFit="1" customWidth="1"/>
  </cols>
  <sheetData>
    <row r="1" spans="1:39">
      <c r="E1" s="67" t="s">
        <v>43</v>
      </c>
      <c r="R1" s="68"/>
      <c r="AJ1" s="104" t="s">
        <v>173</v>
      </c>
      <c r="AK1" s="102"/>
      <c r="AL1" s="102"/>
    </row>
    <row r="3" spans="1:39" s="1" customFormat="1">
      <c r="B3" s="1" t="s">
        <v>0</v>
      </c>
      <c r="C3" s="1" t="s">
        <v>3</v>
      </c>
      <c r="D3" s="103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 s="44">
        <v>2.4500000000000001E-2</v>
      </c>
      <c r="E4" s="3">
        <f>E15</f>
        <v>0</v>
      </c>
      <c r="F4" s="3">
        <f t="shared" ref="F4:P4" si="0">F15+E4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10">
        <f>P4</f>
        <v>0</v>
      </c>
      <c r="R4" s="3">
        <f t="shared" ref="R4:AL4" si="1">Q4+R15</f>
        <v>0</v>
      </c>
      <c r="S4" s="3">
        <f t="shared" si="1"/>
        <v>0</v>
      </c>
      <c r="T4" s="3">
        <f t="shared" si="1"/>
        <v>25499.71</v>
      </c>
      <c r="U4" s="3">
        <f t="shared" si="1"/>
        <v>28393.79</v>
      </c>
      <c r="V4" s="3">
        <f t="shared" si="1"/>
        <v>29102.31</v>
      </c>
      <c r="W4" s="3">
        <f t="shared" si="1"/>
        <v>121718.26</v>
      </c>
      <c r="X4" s="3">
        <f t="shared" si="1"/>
        <v>122211.43999999999</v>
      </c>
      <c r="Y4" s="3">
        <f t="shared" si="1"/>
        <v>122479.57999999999</v>
      </c>
      <c r="Z4" s="3">
        <f t="shared" si="1"/>
        <v>131316.25999999998</v>
      </c>
      <c r="AA4" s="3">
        <f t="shared" si="1"/>
        <v>131720.46</v>
      </c>
      <c r="AB4" s="3">
        <f t="shared" si="1"/>
        <v>134677.41999999998</v>
      </c>
      <c r="AC4" s="3">
        <f t="shared" si="1"/>
        <v>134677.41999999998</v>
      </c>
      <c r="AD4" s="3">
        <f t="shared" si="1"/>
        <v>134677.41999999998</v>
      </c>
      <c r="AE4" s="3">
        <f t="shared" si="1"/>
        <v>136908.29999999999</v>
      </c>
      <c r="AF4" s="3">
        <f t="shared" si="1"/>
        <v>137488.54999999999</v>
      </c>
      <c r="AG4" s="3">
        <f t="shared" si="1"/>
        <v>137488.54999999999</v>
      </c>
      <c r="AH4" s="3">
        <f t="shared" si="1"/>
        <v>137488.54999999999</v>
      </c>
      <c r="AI4" s="3">
        <f t="shared" si="1"/>
        <v>137488.54999999999</v>
      </c>
      <c r="AJ4" s="3">
        <f t="shared" si="1"/>
        <v>137488.54999999999</v>
      </c>
      <c r="AK4" s="3">
        <f t="shared" si="1"/>
        <v>137488.54999999999</v>
      </c>
      <c r="AL4" s="3">
        <f t="shared" si="1"/>
        <v>137488.54999999999</v>
      </c>
    </row>
    <row r="5" spans="1:39">
      <c r="C5" t="s">
        <v>13</v>
      </c>
      <c r="D5" s="44">
        <v>2.06E-2</v>
      </c>
      <c r="E5" s="3">
        <f>E16</f>
        <v>0</v>
      </c>
      <c r="F5" s="3">
        <f t="shared" ref="F5:P5" si="2">F16+E5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100165.123716</v>
      </c>
      <c r="M5" s="3">
        <f t="shared" si="2"/>
        <v>100165.123716</v>
      </c>
      <c r="N5" s="3">
        <f t="shared" si="2"/>
        <v>139222.37436000002</v>
      </c>
      <c r="O5" s="3">
        <f t="shared" si="2"/>
        <v>140111.58631200003</v>
      </c>
      <c r="P5" s="3">
        <f t="shared" si="2"/>
        <v>143875.83026400002</v>
      </c>
      <c r="Q5" s="10">
        <f>P5</f>
        <v>143875.83026400002</v>
      </c>
      <c r="R5" s="3">
        <f t="shared" ref="R5:AL5" si="3">Q5+R16</f>
        <v>144117.93027600003</v>
      </c>
      <c r="S5" s="3">
        <f t="shared" si="3"/>
        <v>140065.31667600002</v>
      </c>
      <c r="T5" s="3">
        <f t="shared" si="3"/>
        <v>321842.29339200002</v>
      </c>
      <c r="U5" s="3">
        <f t="shared" si="3"/>
        <v>503509.34936400002</v>
      </c>
      <c r="V5" s="3">
        <f t="shared" si="3"/>
        <v>516122.79084000003</v>
      </c>
      <c r="W5" s="3">
        <f t="shared" si="3"/>
        <v>573159.85490400007</v>
      </c>
      <c r="X5" s="3">
        <f t="shared" si="3"/>
        <v>572446.63035600004</v>
      </c>
      <c r="Y5" s="3">
        <f t="shared" si="3"/>
        <v>558369.70569600002</v>
      </c>
      <c r="Z5" s="3">
        <f t="shared" si="3"/>
        <v>560325.60046800005</v>
      </c>
      <c r="AA5" s="3">
        <f t="shared" si="3"/>
        <v>562414.00927200005</v>
      </c>
      <c r="AB5" s="3">
        <f t="shared" si="3"/>
        <v>562414.00927200005</v>
      </c>
      <c r="AC5" s="3">
        <f t="shared" si="3"/>
        <v>519806.45512800006</v>
      </c>
      <c r="AD5" s="3">
        <f t="shared" si="3"/>
        <v>519806.45512800006</v>
      </c>
      <c r="AE5" s="3">
        <f t="shared" si="3"/>
        <v>524615.39906400011</v>
      </c>
      <c r="AF5" s="3">
        <f t="shared" si="3"/>
        <v>525925.87540800008</v>
      </c>
      <c r="AG5" s="3">
        <f t="shared" si="3"/>
        <v>526011.2205360001</v>
      </c>
      <c r="AH5" s="3">
        <f t="shared" si="3"/>
        <v>526011.2205360001</v>
      </c>
      <c r="AI5" s="3">
        <f t="shared" si="3"/>
        <v>526011.2205360001</v>
      </c>
      <c r="AJ5" s="3">
        <f t="shared" si="3"/>
        <v>526011.2205360001</v>
      </c>
      <c r="AK5" s="3">
        <f t="shared" si="3"/>
        <v>526011.2205360001</v>
      </c>
      <c r="AL5" s="3">
        <f t="shared" si="3"/>
        <v>526011.2205360001</v>
      </c>
    </row>
    <row r="6" spans="1:39">
      <c r="C6" t="s">
        <v>139</v>
      </c>
      <c r="D6" s="44">
        <v>2.1999999999999999E-2</v>
      </c>
      <c r="E6" s="3">
        <f t="shared" ref="E6:E7" si="4">E17</f>
        <v>0</v>
      </c>
      <c r="F6" s="3">
        <f t="shared" ref="F6:P6" si="5">F17+E6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309000.98921999999</v>
      </c>
      <c r="K6" s="3">
        <f t="shared" si="5"/>
        <v>343589.442408</v>
      </c>
      <c r="L6" s="3">
        <f t="shared" si="5"/>
        <v>347291.93881199998</v>
      </c>
      <c r="M6" s="3">
        <f t="shared" si="5"/>
        <v>506280.02689199999</v>
      </c>
      <c r="N6" s="3">
        <f t="shared" si="5"/>
        <v>520043.41552799998</v>
      </c>
      <c r="O6" s="3">
        <f t="shared" si="5"/>
        <v>529472.22081600002</v>
      </c>
      <c r="P6" s="3">
        <f t="shared" si="5"/>
        <v>554889.59104800003</v>
      </c>
      <c r="Q6" s="10">
        <f t="shared" ref="Q6:Q8" si="6">P6</f>
        <v>554889.59104800003</v>
      </c>
      <c r="R6" s="3">
        <f>Q6+R17</f>
        <v>808210.75448400003</v>
      </c>
      <c r="S6" s="3">
        <f t="shared" ref="S6:AL6" si="7">R6+S17</f>
        <v>814060.072728</v>
      </c>
      <c r="T6" s="3">
        <f t="shared" si="7"/>
        <v>805921.15251599997</v>
      </c>
      <c r="U6" s="3">
        <f t="shared" si="7"/>
        <v>1760229.1655280001</v>
      </c>
      <c r="V6" s="3">
        <f t="shared" si="7"/>
        <v>2262929.4165599998</v>
      </c>
      <c r="W6" s="3">
        <f t="shared" si="7"/>
        <v>2276682.8804279999</v>
      </c>
      <c r="X6" s="3">
        <f t="shared" si="7"/>
        <v>2235225.6672839997</v>
      </c>
      <c r="Y6" s="3">
        <f t="shared" si="7"/>
        <v>2222010.8649479998</v>
      </c>
      <c r="Z6" s="3">
        <f t="shared" si="7"/>
        <v>2225536.297452</v>
      </c>
      <c r="AA6" s="3">
        <f t="shared" si="7"/>
        <v>2222010.773052</v>
      </c>
      <c r="AB6" s="3">
        <f t="shared" si="7"/>
        <v>2222010.773052</v>
      </c>
      <c r="AC6" s="3">
        <f t="shared" si="7"/>
        <v>2222010.773052</v>
      </c>
      <c r="AD6" s="3">
        <f t="shared" si="7"/>
        <v>2222010.773052</v>
      </c>
      <c r="AE6" s="3">
        <f t="shared" si="7"/>
        <v>2222010.773052</v>
      </c>
      <c r="AF6" s="3">
        <f t="shared" si="7"/>
        <v>2222010.773052</v>
      </c>
      <c r="AG6" s="3">
        <f t="shared" si="7"/>
        <v>2222010.773052</v>
      </c>
      <c r="AH6" s="3">
        <f t="shared" si="7"/>
        <v>2222010.773052</v>
      </c>
      <c r="AI6" s="3">
        <f t="shared" si="7"/>
        <v>2222010.773052</v>
      </c>
      <c r="AJ6" s="3">
        <f t="shared" si="7"/>
        <v>2222010.773052</v>
      </c>
      <c r="AK6" s="3">
        <f t="shared" si="7"/>
        <v>2222010.773052</v>
      </c>
      <c r="AL6" s="3">
        <f t="shared" si="7"/>
        <v>2222010.773052</v>
      </c>
    </row>
    <row r="7" spans="1:39">
      <c r="C7" t="s">
        <v>144</v>
      </c>
      <c r="D7" s="44">
        <v>3.56E-2</v>
      </c>
      <c r="E7" s="3">
        <f t="shared" si="4"/>
        <v>0</v>
      </c>
      <c r="F7" s="3">
        <f t="shared" ref="F7" si="8">F18+E7</f>
        <v>0</v>
      </c>
      <c r="G7" s="3">
        <f t="shared" ref="G7" si="9">G18+F7</f>
        <v>0</v>
      </c>
      <c r="H7" s="3">
        <f t="shared" ref="H7" si="10">H18+G7</f>
        <v>0</v>
      </c>
      <c r="I7" s="3">
        <f t="shared" ref="I7" si="11">I18+H7</f>
        <v>0</v>
      </c>
      <c r="J7" s="3">
        <f t="shared" ref="J7" si="12">J18+I7</f>
        <v>0</v>
      </c>
      <c r="K7" s="3">
        <f t="shared" ref="K7" si="13">K18+J7</f>
        <v>0</v>
      </c>
      <c r="L7" s="3">
        <f t="shared" ref="L7" si="14">L18+K7</f>
        <v>0</v>
      </c>
      <c r="M7" s="3">
        <f t="shared" ref="M7" si="15">M18+L7</f>
        <v>0</v>
      </c>
      <c r="N7" s="3">
        <f t="shared" ref="N7" si="16">N18+M7</f>
        <v>0</v>
      </c>
      <c r="O7" s="3">
        <f t="shared" ref="O7" si="17">O18+N7</f>
        <v>0</v>
      </c>
      <c r="P7" s="3">
        <f t="shared" ref="P7" si="18">P18+O7</f>
        <v>447082.47473999998</v>
      </c>
      <c r="Q7" s="10">
        <f t="shared" ref="Q7" si="19">P7</f>
        <v>447082.47473999998</v>
      </c>
      <c r="R7" s="3">
        <f>Q7+R18</f>
        <v>451317.74476799998</v>
      </c>
      <c r="S7" s="3">
        <f t="shared" ref="S7" si="20">R7+S18</f>
        <v>454826.24215199996</v>
      </c>
      <c r="T7" s="3">
        <f t="shared" ref="T7" si="21">S7+T18</f>
        <v>456406.91899199993</v>
      </c>
      <c r="U7" s="3">
        <f t="shared" ref="U7" si="22">T7+U18</f>
        <v>457090.97968799993</v>
      </c>
      <c r="V7" s="3">
        <f t="shared" ref="V7" si="23">U7+V18</f>
        <v>635827.97250599996</v>
      </c>
      <c r="W7" s="3">
        <f t="shared" ref="W7" si="24">V7+W18</f>
        <v>782207.02069699997</v>
      </c>
      <c r="X7" s="3">
        <f t="shared" ref="X7" si="25">W7+X18</f>
        <v>782632.37427799997</v>
      </c>
      <c r="Y7" s="3">
        <f t="shared" ref="Y7" si="26">X7+Y18</f>
        <v>782632.37427799997</v>
      </c>
      <c r="Z7" s="3">
        <f t="shared" ref="Z7" si="27">Y7+Z18</f>
        <v>778055.45577799994</v>
      </c>
      <c r="AA7" s="3">
        <f t="shared" ref="AA7" si="28">Z7+AA18</f>
        <v>804532.39345399989</v>
      </c>
      <c r="AB7" s="3">
        <f t="shared" ref="AB7" si="29">AA7+AB18</f>
        <v>804532.39345399989</v>
      </c>
      <c r="AC7" s="3">
        <f t="shared" ref="AC7" si="30">AB7+AC18</f>
        <v>804532.39345399989</v>
      </c>
      <c r="AD7" s="3">
        <f t="shared" ref="AD7" si="31">AC7+AD18</f>
        <v>804532.39345399989</v>
      </c>
      <c r="AE7" s="3">
        <f t="shared" ref="AE7" si="32">AD7+AE18</f>
        <v>804532.39345399989</v>
      </c>
      <c r="AF7" s="3">
        <f t="shared" ref="AF7" si="33">AE7+AF18</f>
        <v>804532.39345399989</v>
      </c>
      <c r="AG7" s="3">
        <f t="shared" ref="AG7" si="34">AF7+AG18</f>
        <v>804532.39345399989</v>
      </c>
      <c r="AH7" s="3">
        <f t="shared" ref="AH7" si="35">AG7+AH18</f>
        <v>804532.39345399989</v>
      </c>
      <c r="AI7" s="3">
        <f t="shared" ref="AI7" si="36">AH7+AI18</f>
        <v>804532.39345399989</v>
      </c>
      <c r="AJ7" s="3">
        <f t="shared" ref="AJ7" si="37">AI7+AJ18</f>
        <v>804532.39345399989</v>
      </c>
      <c r="AK7" s="3">
        <f t="shared" ref="AK7" si="38">AJ7+AK18</f>
        <v>804532.39345399989</v>
      </c>
      <c r="AL7" s="3">
        <f t="shared" ref="AL7" si="39">AK7+AL18</f>
        <v>804532.39345399989</v>
      </c>
    </row>
    <row r="8" spans="1:39">
      <c r="C8" t="s">
        <v>137</v>
      </c>
      <c r="D8" s="59">
        <v>3.7900000000000003E-2</v>
      </c>
      <c r="E8" s="3">
        <f>E19</f>
        <v>0</v>
      </c>
      <c r="F8" s="3">
        <f t="shared" ref="F8:P8" si="40">F19+E8</f>
        <v>0</v>
      </c>
      <c r="G8" s="3">
        <f t="shared" si="40"/>
        <v>0</v>
      </c>
      <c r="H8" s="3">
        <f t="shared" si="40"/>
        <v>0</v>
      </c>
      <c r="I8" s="3">
        <f t="shared" si="40"/>
        <v>0</v>
      </c>
      <c r="J8" s="3">
        <f t="shared" si="40"/>
        <v>0</v>
      </c>
      <c r="K8" s="3">
        <f t="shared" si="40"/>
        <v>27392.810719199999</v>
      </c>
      <c r="L8" s="3">
        <f t="shared" si="40"/>
        <v>160421.6015622</v>
      </c>
      <c r="M8" s="3">
        <f t="shared" si="40"/>
        <v>196978.85652025885</v>
      </c>
      <c r="N8" s="3">
        <f t="shared" si="40"/>
        <v>411584.72929532523</v>
      </c>
      <c r="O8" s="3">
        <f t="shared" si="40"/>
        <v>424541.33822176838</v>
      </c>
      <c r="P8" s="3">
        <f t="shared" si="40"/>
        <v>432330.60685642064</v>
      </c>
      <c r="Q8" s="10">
        <f t="shared" si="6"/>
        <v>432330.60685642064</v>
      </c>
      <c r="R8" s="3">
        <f>Q8+R19</f>
        <v>434964.48899720324</v>
      </c>
      <c r="S8" s="3">
        <f t="shared" ref="S8:AL8" si="41">R8+S19</f>
        <v>611896.56793877936</v>
      </c>
      <c r="T8" s="3">
        <f t="shared" si="41"/>
        <v>824225.20535626798</v>
      </c>
      <c r="U8" s="3">
        <f t="shared" si="41"/>
        <v>1098154.3177073421</v>
      </c>
      <c r="V8" s="3">
        <f t="shared" si="41"/>
        <v>1282588.2141561911</v>
      </c>
      <c r="W8" s="3">
        <f t="shared" si="41"/>
        <v>1569582.703097661</v>
      </c>
      <c r="X8" s="3">
        <f t="shared" si="41"/>
        <v>1613960.5324856867</v>
      </c>
      <c r="Y8" s="3">
        <f t="shared" si="41"/>
        <v>1632362.4755931587</v>
      </c>
      <c r="Z8" s="3">
        <f t="shared" si="41"/>
        <v>1629668.0550500907</v>
      </c>
      <c r="AA8" s="3">
        <f t="shared" si="41"/>
        <v>1633493.8193124474</v>
      </c>
      <c r="AB8" s="3">
        <f t="shared" si="41"/>
        <v>1636033.7884781105</v>
      </c>
      <c r="AC8" s="3">
        <f t="shared" si="41"/>
        <v>1683146.6790645442</v>
      </c>
      <c r="AD8" s="3">
        <f t="shared" si="41"/>
        <v>1684376.6153673478</v>
      </c>
      <c r="AE8" s="3">
        <f t="shared" si="41"/>
        <v>1685732.1023034016</v>
      </c>
      <c r="AF8" s="3">
        <f t="shared" si="41"/>
        <v>1690903.530308391</v>
      </c>
      <c r="AG8" s="3">
        <f t="shared" si="41"/>
        <v>1695445.5407523178</v>
      </c>
      <c r="AH8" s="3">
        <f t="shared" si="41"/>
        <v>1697095.7512861162</v>
      </c>
      <c r="AI8" s="3">
        <f t="shared" si="41"/>
        <v>1698009.8416775528</v>
      </c>
      <c r="AJ8" s="3">
        <f t="shared" si="41"/>
        <v>1698300.2794233582</v>
      </c>
      <c r="AK8" s="3">
        <f t="shared" si="41"/>
        <v>1698590.7171691635</v>
      </c>
      <c r="AL8" s="3">
        <f t="shared" si="41"/>
        <v>1698590.7171691635</v>
      </c>
    </row>
    <row r="9" spans="1:39">
      <c r="C9" t="s">
        <v>146</v>
      </c>
      <c r="D9" s="59">
        <v>0.2</v>
      </c>
      <c r="E9" s="3">
        <f>E20</f>
        <v>53862.245801100005</v>
      </c>
      <c r="F9" s="3">
        <f t="shared" ref="F9" si="42">F20+E9</f>
        <v>62021.344788300004</v>
      </c>
      <c r="G9" s="3">
        <f t="shared" ref="G9" si="43">G20+F9</f>
        <v>64391.946738600003</v>
      </c>
      <c r="H9" s="3">
        <f t="shared" ref="H9" si="44">H20+G9</f>
        <v>65287.238560800004</v>
      </c>
      <c r="I9" s="3">
        <f t="shared" ref="I9" si="45">I20+H9</f>
        <v>65287.238560800004</v>
      </c>
      <c r="J9" s="3">
        <f t="shared" ref="J9" si="46">J20+I9</f>
        <v>65287.238560800004</v>
      </c>
      <c r="K9" s="3">
        <f t="shared" ref="K9" si="47">K20+J9</f>
        <v>65651.193457500005</v>
      </c>
      <c r="L9" s="3">
        <f t="shared" ref="L9" si="48">L20+K9</f>
        <v>32615.002710000008</v>
      </c>
      <c r="M9" s="3">
        <f t="shared" ref="M9" si="49">M20+L9</f>
        <v>32615.002710000008</v>
      </c>
      <c r="N9" s="3">
        <f t="shared" ref="N9" si="50">N20+M9</f>
        <v>32615.002710000008</v>
      </c>
      <c r="O9" s="3">
        <f t="shared" ref="O9" si="51">O20+N9</f>
        <v>32615.002710000008</v>
      </c>
      <c r="P9" s="3">
        <f t="shared" ref="P9" si="52">P20+O9</f>
        <v>32615.002710000008</v>
      </c>
      <c r="Q9" s="10">
        <f t="shared" ref="Q9" si="53">P9</f>
        <v>32615.002710000008</v>
      </c>
      <c r="R9" s="3">
        <f>Q9+R20</f>
        <v>32615.002710000008</v>
      </c>
      <c r="S9" s="3">
        <f t="shared" ref="S9" si="54">R9+S20</f>
        <v>32615.002710000008</v>
      </c>
      <c r="T9" s="3">
        <f t="shared" ref="T9" si="55">S9+T20</f>
        <v>121072.59261690002</v>
      </c>
      <c r="U9" s="3">
        <f t="shared" ref="U9" si="56">T9+U20</f>
        <v>232633.8316767131</v>
      </c>
      <c r="V9" s="3">
        <f t="shared" ref="V9" si="57">U9+V20</f>
        <v>236875.57585360864</v>
      </c>
      <c r="W9" s="3">
        <f t="shared" ref="W9" si="58">V9+W20</f>
        <v>240740.61869050865</v>
      </c>
      <c r="X9" s="3">
        <f t="shared" ref="X9" si="59">W9+X20</f>
        <v>243282.73019890618</v>
      </c>
      <c r="Y9" s="3">
        <f t="shared" ref="Y9" si="60">X9+Y20</f>
        <v>244284.53156770617</v>
      </c>
      <c r="Z9" s="3">
        <f t="shared" ref="Z9" si="61">Y9+Z20</f>
        <v>245185.93277860616</v>
      </c>
      <c r="AA9" s="3">
        <f t="shared" ref="AA9" si="62">Z9+AA20</f>
        <v>245185.93277860616</v>
      </c>
      <c r="AB9" s="3">
        <f t="shared" ref="AB9" si="63">AA9+AB20</f>
        <v>245185.93277860616</v>
      </c>
      <c r="AC9" s="3">
        <f t="shared" ref="AC9" si="64">AB9+AC20</f>
        <v>245185.93277860616</v>
      </c>
      <c r="AD9" s="3">
        <f t="shared" ref="AD9" si="65">AC9+AD20</f>
        <v>245185.93277860616</v>
      </c>
      <c r="AE9" s="3">
        <f t="shared" ref="AE9" si="66">AD9+AE20</f>
        <v>245185.93277860616</v>
      </c>
      <c r="AF9" s="3">
        <f t="shared" ref="AF9" si="67">AE9+AF20</f>
        <v>335694.53634960612</v>
      </c>
      <c r="AG9" s="3">
        <f t="shared" ref="AG9" si="68">AF9+AG20</f>
        <v>340184.24357360613</v>
      </c>
      <c r="AH9" s="3">
        <f t="shared" ref="AH9" si="69">AG9+AH20</f>
        <v>347068.55655960611</v>
      </c>
      <c r="AI9" s="3">
        <f t="shared" ref="AI9" si="70">AH9+AI20</f>
        <v>393663.87951160612</v>
      </c>
      <c r="AJ9" s="3">
        <f t="shared" ref="AJ9" si="71">AI9+AJ20</f>
        <v>408468.80546863558</v>
      </c>
      <c r="AK9" s="3">
        <f t="shared" ref="AK9" si="72">AJ9+AK20</f>
        <v>423273.73142566503</v>
      </c>
      <c r="AL9" s="3">
        <f t="shared" ref="AL9" si="73">AK9+AL20</f>
        <v>423273.73142566503</v>
      </c>
    </row>
    <row r="10" spans="1:39">
      <c r="C10" t="s">
        <v>19</v>
      </c>
      <c r="D10" s="59">
        <v>0.2</v>
      </c>
      <c r="E10" s="3">
        <f>E21</f>
        <v>194862.86176500001</v>
      </c>
      <c r="F10" s="3">
        <f t="shared" ref="F10:P10" si="74">F21+E10</f>
        <v>224380.84721370001</v>
      </c>
      <c r="G10" s="3">
        <f t="shared" si="74"/>
        <v>232957.20430320001</v>
      </c>
      <c r="H10" s="3">
        <f t="shared" si="74"/>
        <v>241512.1017356427</v>
      </c>
      <c r="I10" s="3">
        <f t="shared" si="74"/>
        <v>241512.1017356427</v>
      </c>
      <c r="J10" s="3">
        <f t="shared" si="74"/>
        <v>241512.1017356427</v>
      </c>
      <c r="K10" s="3">
        <f t="shared" si="74"/>
        <v>242828.81683794269</v>
      </c>
      <c r="L10" s="3">
        <f t="shared" si="74"/>
        <v>143777.2840070427</v>
      </c>
      <c r="M10" s="3">
        <f t="shared" si="74"/>
        <v>143777.2840070427</v>
      </c>
      <c r="N10" s="3">
        <f t="shared" si="74"/>
        <v>143777.2840070427</v>
      </c>
      <c r="O10" s="3">
        <f t="shared" si="74"/>
        <v>143777.2840070427</v>
      </c>
      <c r="P10" s="3">
        <f t="shared" si="74"/>
        <v>143777.2840070427</v>
      </c>
      <c r="Q10" s="10">
        <f>P10</f>
        <v>143777.2840070427</v>
      </c>
      <c r="R10" s="3">
        <f>Q10+R21</f>
        <v>143777.2840070427</v>
      </c>
      <c r="S10" s="3">
        <f t="shared" ref="S10:AL10" si="75">R10+S21</f>
        <v>143777.2840070427</v>
      </c>
      <c r="T10" s="3">
        <f t="shared" si="75"/>
        <v>143777.2840070427</v>
      </c>
      <c r="U10" s="3">
        <f t="shared" si="75"/>
        <v>143777.2840070427</v>
      </c>
      <c r="V10" s="3">
        <f t="shared" si="75"/>
        <v>143777.2840070427</v>
      </c>
      <c r="W10" s="3">
        <f t="shared" si="75"/>
        <v>2738320.0002590427</v>
      </c>
      <c r="X10" s="3">
        <f t="shared" si="75"/>
        <v>2752485.5454830425</v>
      </c>
      <c r="Y10" s="3">
        <f t="shared" si="75"/>
        <v>2759531.3955950425</v>
      </c>
      <c r="Z10" s="3">
        <f t="shared" si="75"/>
        <v>2764825.5963590425</v>
      </c>
      <c r="AA10" s="3">
        <f t="shared" si="75"/>
        <v>2767834.6127270423</v>
      </c>
      <c r="AB10" s="3">
        <f t="shared" si="75"/>
        <v>2778690.9764270424</v>
      </c>
      <c r="AC10" s="3">
        <f t="shared" si="75"/>
        <v>2779549.1800430422</v>
      </c>
      <c r="AD10" s="3">
        <f t="shared" si="75"/>
        <v>2779549.1800430422</v>
      </c>
      <c r="AE10" s="3">
        <f t="shared" si="75"/>
        <v>2779549.1800430422</v>
      </c>
      <c r="AF10" s="3">
        <f t="shared" si="75"/>
        <v>9378810.6035100408</v>
      </c>
      <c r="AG10" s="3">
        <f t="shared" si="75"/>
        <v>9718049.364937041</v>
      </c>
      <c r="AH10" s="3">
        <f t="shared" si="75"/>
        <v>10008062.719563041</v>
      </c>
      <c r="AI10" s="3">
        <f t="shared" si="75"/>
        <v>10150342.19228504</v>
      </c>
      <c r="AJ10" s="3">
        <f t="shared" si="75"/>
        <v>10195549.241520954</v>
      </c>
      <c r="AK10" s="3">
        <f t="shared" si="75"/>
        <v>10240756.290756868</v>
      </c>
      <c r="AL10" s="3">
        <f t="shared" si="75"/>
        <v>10240756.290756868</v>
      </c>
    </row>
    <row r="11" spans="1:39">
      <c r="C11" s="46"/>
      <c r="D11" s="59"/>
      <c r="E11" s="3">
        <f>E22</f>
        <v>0</v>
      </c>
      <c r="F11" s="3">
        <f t="shared" ref="F11:P11" si="76">F22+E11</f>
        <v>0</v>
      </c>
      <c r="G11" s="3">
        <f t="shared" si="76"/>
        <v>0</v>
      </c>
      <c r="H11" s="3">
        <f t="shared" si="76"/>
        <v>0</v>
      </c>
      <c r="I11" s="3">
        <f t="shared" si="76"/>
        <v>0</v>
      </c>
      <c r="J11" s="3">
        <f t="shared" si="76"/>
        <v>0</v>
      </c>
      <c r="K11" s="3">
        <f t="shared" si="76"/>
        <v>0</v>
      </c>
      <c r="L11" s="3">
        <f t="shared" si="76"/>
        <v>0</v>
      </c>
      <c r="M11" s="3">
        <f t="shared" si="76"/>
        <v>0</v>
      </c>
      <c r="N11" s="3">
        <f t="shared" si="76"/>
        <v>0</v>
      </c>
      <c r="O11" s="3">
        <f t="shared" si="76"/>
        <v>0</v>
      </c>
      <c r="P11" s="3">
        <f t="shared" si="76"/>
        <v>0</v>
      </c>
      <c r="Q11" s="10">
        <f>P11</f>
        <v>0</v>
      </c>
      <c r="R11" s="3">
        <f t="shared" ref="R11:AL11" si="77">Q11+R22</f>
        <v>0</v>
      </c>
      <c r="S11" s="3">
        <f t="shared" si="77"/>
        <v>0</v>
      </c>
      <c r="T11" s="3">
        <f t="shared" si="77"/>
        <v>0</v>
      </c>
      <c r="U11" s="3">
        <f t="shared" si="77"/>
        <v>0</v>
      </c>
      <c r="V11" s="3">
        <f t="shared" si="77"/>
        <v>0</v>
      </c>
      <c r="W11" s="3">
        <f t="shared" si="77"/>
        <v>0</v>
      </c>
      <c r="X11" s="3">
        <f t="shared" si="77"/>
        <v>0</v>
      </c>
      <c r="Y11" s="3">
        <f t="shared" si="77"/>
        <v>0</v>
      </c>
      <c r="Z11" s="3">
        <f t="shared" si="77"/>
        <v>0</v>
      </c>
      <c r="AA11" s="3">
        <f t="shared" si="77"/>
        <v>0</v>
      </c>
      <c r="AB11" s="3">
        <f t="shared" si="77"/>
        <v>0</v>
      </c>
      <c r="AC11" s="3">
        <f t="shared" si="77"/>
        <v>0</v>
      </c>
      <c r="AD11" s="3">
        <f t="shared" si="77"/>
        <v>0</v>
      </c>
      <c r="AE11" s="3">
        <f t="shared" si="77"/>
        <v>0</v>
      </c>
      <c r="AF11" s="3">
        <f t="shared" si="77"/>
        <v>0</v>
      </c>
      <c r="AG11" s="3">
        <f t="shared" si="77"/>
        <v>0</v>
      </c>
      <c r="AH11" s="3">
        <f t="shared" si="77"/>
        <v>0</v>
      </c>
      <c r="AI11" s="3">
        <f t="shared" si="77"/>
        <v>0</v>
      </c>
      <c r="AJ11" s="3">
        <f t="shared" si="77"/>
        <v>0</v>
      </c>
      <c r="AK11" s="3">
        <f t="shared" si="77"/>
        <v>0</v>
      </c>
      <c r="AL11" s="3">
        <f t="shared" si="77"/>
        <v>0</v>
      </c>
    </row>
    <row r="12" spans="1:39" ht="13.5" thickBot="1">
      <c r="B12" t="s">
        <v>2</v>
      </c>
      <c r="E12" s="5">
        <f t="shared" ref="E12:AL12" si="78">SUM(E4:E11)</f>
        <v>248725.10756610002</v>
      </c>
      <c r="F12" s="5">
        <f t="shared" si="78"/>
        <v>286402.192002</v>
      </c>
      <c r="G12" s="5">
        <f t="shared" si="78"/>
        <v>297349.15104180004</v>
      </c>
      <c r="H12" s="5">
        <f t="shared" si="78"/>
        <v>306799.34029644274</v>
      </c>
      <c r="I12" s="5">
        <f t="shared" si="78"/>
        <v>306799.34029644274</v>
      </c>
      <c r="J12" s="5">
        <f t="shared" si="78"/>
        <v>615800.32951644273</v>
      </c>
      <c r="K12" s="5">
        <f t="shared" si="78"/>
        <v>679462.26342264272</v>
      </c>
      <c r="L12" s="5">
        <f t="shared" si="78"/>
        <v>784270.95080724265</v>
      </c>
      <c r="M12" s="5">
        <f t="shared" si="78"/>
        <v>979816.29384530149</v>
      </c>
      <c r="N12" s="5">
        <f t="shared" si="78"/>
        <v>1247242.8059003677</v>
      </c>
      <c r="O12" s="5">
        <f t="shared" si="78"/>
        <v>1270517.432066811</v>
      </c>
      <c r="P12" s="5">
        <f t="shared" si="78"/>
        <v>1754570.7896254633</v>
      </c>
      <c r="Q12" s="11">
        <f t="shared" si="78"/>
        <v>1754570.7896254633</v>
      </c>
      <c r="R12" s="5">
        <f t="shared" si="78"/>
        <v>2015003.2052422459</v>
      </c>
      <c r="S12" s="5">
        <f t="shared" si="78"/>
        <v>2197240.4862118224</v>
      </c>
      <c r="T12" s="5">
        <f t="shared" si="78"/>
        <v>2698745.1568802102</v>
      </c>
      <c r="U12" s="5">
        <f t="shared" si="78"/>
        <v>4223788.7179710986</v>
      </c>
      <c r="V12" s="5">
        <f t="shared" si="78"/>
        <v>5107223.563922842</v>
      </c>
      <c r="W12" s="5">
        <f t="shared" si="78"/>
        <v>8302411.3380762115</v>
      </c>
      <c r="X12" s="5">
        <f t="shared" si="78"/>
        <v>8322244.920085635</v>
      </c>
      <c r="Y12" s="5">
        <f t="shared" si="78"/>
        <v>8321670.927677907</v>
      </c>
      <c r="Z12" s="5">
        <f t="shared" si="78"/>
        <v>8334913.1978857396</v>
      </c>
      <c r="AA12" s="5">
        <f t="shared" si="78"/>
        <v>8367192.0005960958</v>
      </c>
      <c r="AB12" s="5">
        <f t="shared" si="78"/>
        <v>8383545.2934617586</v>
      </c>
      <c r="AC12" s="5">
        <f t="shared" si="78"/>
        <v>8388908.8335201927</v>
      </c>
      <c r="AD12" s="5">
        <f t="shared" si="78"/>
        <v>8390138.7698229961</v>
      </c>
      <c r="AE12" s="5">
        <f t="shared" si="78"/>
        <v>8398534.0806950498</v>
      </c>
      <c r="AF12" s="5">
        <f t="shared" si="78"/>
        <v>15095366.262082037</v>
      </c>
      <c r="AG12" s="5">
        <f t="shared" si="78"/>
        <v>15443722.086304964</v>
      </c>
      <c r="AH12" s="5">
        <f t="shared" si="78"/>
        <v>15742269.964450764</v>
      </c>
      <c r="AI12" s="5">
        <f t="shared" si="78"/>
        <v>15932058.8505162</v>
      </c>
      <c r="AJ12" s="5">
        <f t="shared" si="78"/>
        <v>15992361.263454948</v>
      </c>
      <c r="AK12" s="5">
        <f t="shared" si="78"/>
        <v>16052663.676393697</v>
      </c>
      <c r="AL12" s="5">
        <f t="shared" si="78"/>
        <v>16052663.676393697</v>
      </c>
      <c r="AM12" s="3"/>
    </row>
    <row r="13" spans="1:39">
      <c r="Q13" s="12"/>
      <c r="S13"/>
    </row>
    <row r="14" spans="1:39">
      <c r="P14" s="109"/>
      <c r="Q14" s="12"/>
      <c r="R14" s="109"/>
      <c r="S14" s="109"/>
      <c r="T14" s="46"/>
    </row>
    <row r="15" spans="1:39">
      <c r="A15" s="1" t="s">
        <v>5</v>
      </c>
      <c r="B15" t="s">
        <v>1</v>
      </c>
      <c r="C15" t="s">
        <v>17</v>
      </c>
      <c r="E15" s="2">
        <f>SUMIF('EIM - 2020 WA E Detail - Actual'!$C$4:$C$15,"Elec Distribution 360-373",'EIM - 2020 WA E Detail - Actual'!U$4:U$15)</f>
        <v>0</v>
      </c>
      <c r="F15" s="2">
        <f>SUMIF('EIM - 2020 WA E Detail - Actual'!$C$4:$C$15,"Elec Distribution 360-373",'EIM - 2020 WA E Detail - Actual'!V$4:V$15)</f>
        <v>0</v>
      </c>
      <c r="G15" s="2">
        <f>SUMIF('EIM - 2020 WA E Detail - Actual'!$C$4:$C$15,"Elec Distribution 360-373",'EIM - 2020 WA E Detail - Actual'!W$4:W$15)</f>
        <v>0</v>
      </c>
      <c r="H15" s="2">
        <f>SUMIF('EIM - 2020 WA E Detail - Actual'!$C$4:$C$15,"Elec Distribution 360-373",'EIM - 2020 WA E Detail - Actual'!X$4:X$15)</f>
        <v>0</v>
      </c>
      <c r="I15" s="2">
        <f>SUMIF('EIM - 2020 WA E Detail - Actual'!$C$4:$C$15,"Elec Distribution 360-373",'EIM - 2020 WA E Detail - Actual'!Y$4:Y$15)</f>
        <v>0</v>
      </c>
      <c r="J15" s="2">
        <f>SUMIF('EIM - 2020 WA E Detail - Actual'!$C$4:$C$15,"Elec Distribution 360-373",'EIM - 2020 WA E Detail - Actual'!Z$4:Z$15)</f>
        <v>0</v>
      </c>
      <c r="K15" s="2">
        <f>SUMIF('EIM - 2020 WA E Detail - Actual'!$C$4:$C$15,"Elec Distribution 360-373",'EIM - 2020 WA E Detail - Actual'!AA$4:AA$15)</f>
        <v>0</v>
      </c>
      <c r="L15" s="2">
        <f>SUMIF('EIM - 2020 WA E Detail - Actual'!$C$4:$C$15,"Elec Distribution 360-373",'EIM - 2020 WA E Detail - Actual'!AB$4:AB$15)</f>
        <v>0</v>
      </c>
      <c r="M15" s="2">
        <f>SUMIF('EIM - 2020 WA E Detail - Actual'!$C$4:$C$15,"Elec Distribution 360-373",'EIM - 2020 WA E Detail - Actual'!AC$4:AC$15)</f>
        <v>0</v>
      </c>
      <c r="N15" s="2">
        <f>SUMIF('EIM - 2020 WA E Detail - Actual'!$C$4:$C$15,"Elec Distribution 360-373",'EIM - 2020 WA E Detail - Actual'!AD$4:AD$15)</f>
        <v>0</v>
      </c>
      <c r="O15" s="2">
        <f>SUMIF('EIM - 2020 WA E Detail - Actual'!$C$4:$C$15,"Elec Distribution 360-373",'EIM - 2020 WA E Detail - Actual'!AE$4:AE$15)</f>
        <v>0</v>
      </c>
      <c r="P15" s="2">
        <f>SUMIF('EIM - 2020 WA E Detail - Actual'!$C$4:$C$15,"Elec Distribution 360-373",'EIM - 2020 WA E Detail - Actual'!AF$4:AF$15)</f>
        <v>0</v>
      </c>
      <c r="Q15" s="10">
        <f t="shared" ref="Q15" si="79">SUM(E15:P15)</f>
        <v>0</v>
      </c>
      <c r="R15" s="76">
        <f>SUMIFS('EIM - 2021 WA E Detail - Actual'!U$4:U$27,'EIM - 2021 WA E Detail - Actual'!$C$4:$C$27,"Elec Distribution 360-373")</f>
        <v>0</v>
      </c>
      <c r="S15" s="76">
        <f>SUMIFS('EIM - 2021 WA E Detail - Actual'!V$4:V$27,'EIM - 2021 WA E Detail - Actual'!$C$4:$C$27,"Elec Distribution 360-373")</f>
        <v>0</v>
      </c>
      <c r="T15" s="76">
        <f>SUMIFS('EIM - 2021 WA E Detail - Actual'!W$4:W$27,'EIM - 2021 WA E Detail - Actual'!$C$4:$C$27,"Elec Distribution 360-373")</f>
        <v>25499.71</v>
      </c>
      <c r="U15" s="76">
        <f>SUMIFS('EIM - 2021 WA E Detail - Actual'!X$4:X$27,'EIM - 2021 WA E Detail - Actual'!$C$4:$C$27,"Elec Distribution 360-373")</f>
        <v>2894.08</v>
      </c>
      <c r="V15" s="76">
        <f>SUMIFS('EIM - 2021 WA E Detail - Actual'!Y$4:Y$27,'EIM - 2021 WA E Detail - Actual'!$C$4:$C$27,"Elec Distribution 360-373")</f>
        <v>708.52</v>
      </c>
      <c r="W15" s="76">
        <f>SUMIFS('EIM - 2021 WA E Detail - Actual'!Z$4:Z$27,'EIM - 2021 WA E Detail - Actual'!$C$4:$C$27,"Elec Distribution 360-373")</f>
        <v>92615.95</v>
      </c>
      <c r="X15" s="76">
        <f>SUMIFS('EIM - 2021 WA E Detail - Actual'!AA$4:AA$27,'EIM - 2021 WA E Detail - Actual'!$C$4:$C$27,"Elec Distribution 360-373")</f>
        <v>493.18</v>
      </c>
      <c r="Y15" s="76">
        <f>SUMIFS('EIM - 2021 WA E Detail - Actual'!AB$4:AB$27,'EIM - 2021 WA E Detail - Actual'!$C$4:$C$27,"Elec Distribution 360-373")</f>
        <v>268.14</v>
      </c>
      <c r="Z15" s="76">
        <f>SUMIFS('EIM - 2021 WA E Detail - Actual'!AC$4:AC$27,'EIM - 2021 WA E Detail - Actual'!$C$4:$C$27,"Elec Distribution 360-373")</f>
        <v>8836.6799999999985</v>
      </c>
      <c r="AA15" s="76">
        <f>SUMIFS('EIM - 2021 WA E Detail - Actual'!AD$4:AD$27,'EIM - 2021 WA E Detail - Actual'!$C$4:$C$27,"Elec Distribution 360-373")</f>
        <v>404.2</v>
      </c>
      <c r="AB15" s="76">
        <f>SUMIFS('EIM - 2021 WA E Detail - Actual'!AE$4:AE$27,'EIM - 2021 WA E Detail - Actual'!$C$4:$C$27,"Elec Distribution 360-373")</f>
        <v>2956.96</v>
      </c>
      <c r="AC15" s="76">
        <f>SUMIFS('EIM - 2021 WA E Detail - Actual'!AF$4:AF$27,'EIM - 2021 WA E Detail - Actual'!$C$4:$C$27,"Elec Distribution 360-373")</f>
        <v>0</v>
      </c>
      <c r="AD15" s="76">
        <f>SUMIFS('EIM - 2022 WA E Detail - Actual'!U$4:U$27,'EIM - 2022 WA E Detail - Actual'!$C$4:$C$27,"Elec Distribution 360-373")</f>
        <v>0</v>
      </c>
      <c r="AE15" s="76">
        <f>SUMIFS('EIM - 2022 WA E Detail - Actual'!V$4:V$27,'EIM - 2022 WA E Detail - Actual'!$C$4:$C$27,"Elec Distribution 360-373")</f>
        <v>2230.88</v>
      </c>
      <c r="AF15" s="76">
        <f>SUMIFS('EIM - 2022 WA E Detail - Actual'!W$4:W$27,'EIM - 2022 WA E Detail - Actual'!$C$4:$C$27,"Elec Distribution 360-373")</f>
        <v>580.25</v>
      </c>
      <c r="AG15" s="76">
        <f>SUMIFS('EIM - 2022 WA E Detail - Actual'!X$4:X$27,'EIM - 2022 WA E Detail - Actual'!$C$4:$C$27,"Elec Distribution 360-373")</f>
        <v>0</v>
      </c>
      <c r="AH15" s="76">
        <f>SUMIFS('EIM - 2022 WA E Detail - Actual'!Y$4:Y$27,'EIM - 2022 WA E Detail - Actual'!$C$4:$C$27,"Elec Distribution 360-373")</f>
        <v>0</v>
      </c>
      <c r="AI15" s="76">
        <f>SUMIFS('EIM - 2022 WA E Detail - Actual'!Z$4:Z$27,'EIM - 2022 WA E Detail - Actual'!$C$4:$C$27,"Elec Distribution 360-373")</f>
        <v>0</v>
      </c>
      <c r="AJ15" s="105">
        <f>SUMIFS('EIM - 2022 WA E Detail - Actual'!AA$4:AA$27,'EIM - 2022 WA E Detail - Actual'!$C$4:$C$27,"Elec Distribution 360-373")</f>
        <v>0</v>
      </c>
      <c r="AK15" s="105">
        <f>SUMIFS('EIM - 2022 WA E Detail - Actual'!AB$4:AB$27,'EIM - 2022 WA E Detail - Actual'!$C$4:$C$27,"Elec Distribution 360-373")</f>
        <v>0</v>
      </c>
      <c r="AL15" s="105">
        <f>SUMIFS('EIM - 2022 WA E Detail - Actual'!AC$4:AC$27,'EIM - 2022 WA E Detail - Actual'!$C$4:$C$27,"Elec Distribution 360-373")</f>
        <v>0</v>
      </c>
    </row>
    <row r="16" spans="1:39">
      <c r="C16" t="s">
        <v>14</v>
      </c>
      <c r="E16" s="2">
        <f>SUMIF('EIM - 2020 WA E Detail - Actual'!$C$4:$C$15,"Elec Transmission 350-359",'EIM - 2020 WA E Detail - Actual'!U$4:U$15)</f>
        <v>0</v>
      </c>
      <c r="F16" s="2">
        <f>SUMIF('EIM - 2020 WA E Detail - Actual'!$C$4:$C$15,"Elec Transmission 350-359",'EIM - 2020 WA E Detail - Actual'!V$4:V$15)</f>
        <v>0</v>
      </c>
      <c r="G16" s="2">
        <f>SUMIF('EIM - 2020 WA E Detail - Actual'!$C$4:$C$15,"Elec Transmission 350-359",'EIM - 2020 WA E Detail - Actual'!W$4:W$15)</f>
        <v>0</v>
      </c>
      <c r="H16" s="2">
        <f>SUMIF('EIM - 2020 WA E Detail - Actual'!$C$4:$C$15,"Elec Transmission 350-359",'EIM - 2020 WA E Detail - Actual'!X$4:X$15)</f>
        <v>0</v>
      </c>
      <c r="I16" s="2">
        <f>SUMIF('EIM - 2020 WA E Detail - Actual'!$C$4:$C$15,"Elec Transmission 350-359",'EIM - 2020 WA E Detail - Actual'!Y$4:Y$15)</f>
        <v>0</v>
      </c>
      <c r="J16" s="2">
        <f>SUMIF('EIM - 2020 WA E Detail - Actual'!$C$4:$C$15,"Elec Transmission 350-359",'EIM - 2020 WA E Detail - Actual'!Z$4:Z$15)</f>
        <v>0</v>
      </c>
      <c r="K16" s="2">
        <f>SUMIF('EIM - 2020 WA E Detail - Actual'!$C$4:$C$15,"Elec Transmission 350-359",'EIM - 2020 WA E Detail - Actual'!AA$4:AA$15)</f>
        <v>0</v>
      </c>
      <c r="L16" s="2">
        <f>SUMIF('EIM - 2020 WA E Detail - Actual'!$C$4:$C$15,"Elec Transmission 350-359",'EIM - 2020 WA E Detail - Actual'!AB$4:AB$15)</f>
        <v>100165.123716</v>
      </c>
      <c r="M16" s="2">
        <f>SUMIF('EIM - 2020 WA E Detail - Actual'!$C$4:$C$15,"Elec Transmission 350-359",'EIM - 2020 WA E Detail - Actual'!AC$4:AC$15)</f>
        <v>0</v>
      </c>
      <c r="N16" s="2">
        <f>SUMIF('EIM - 2020 WA E Detail - Actual'!$C$4:$C$15,"Elec Transmission 350-359",'EIM - 2020 WA E Detail - Actual'!AD$4:AD$15)</f>
        <v>39057.250644</v>
      </c>
      <c r="O16" s="2">
        <f>SUMIF('EIM - 2020 WA E Detail - Actual'!$C$4:$C$15,"Elec Transmission 350-359",'EIM - 2020 WA E Detail - Actual'!AE$4:AE$15)</f>
        <v>889.211952</v>
      </c>
      <c r="P16" s="2">
        <f>SUMIF('EIM - 2020 WA E Detail - Actual'!$C$4:$C$15,"Elec Transmission 350-359",'EIM - 2020 WA E Detail - Actual'!AF$4:AF$15)</f>
        <v>3764.2439520000003</v>
      </c>
      <c r="Q16" s="10">
        <f t="shared" ref="Q16:Q21" si="80">SUM(E16:P16)</f>
        <v>143875.83026400002</v>
      </c>
      <c r="R16" s="76">
        <f>SUMIFS('EIM - 2021 WA E Detail - Actual'!U$4:U$27,'EIM - 2021 WA E Detail - Actual'!$C$4:$C$27,"Elec Transmission 350-359")</f>
        <v>242.10001199999999</v>
      </c>
      <c r="S16" s="76">
        <f>SUMIFS('EIM - 2021 WA E Detail - Actual'!V$4:V$27,'EIM - 2021 WA E Detail - Actual'!$C$4:$C$27,"Elec Transmission 350-359")</f>
        <v>-4052.6135999999997</v>
      </c>
      <c r="T16" s="76">
        <f>SUMIFS('EIM - 2021 WA E Detail - Actual'!W$4:W$27,'EIM - 2021 WA E Detail - Actual'!$C$4:$C$27,"Elec Transmission 350-359")</f>
        <v>181776.97671600003</v>
      </c>
      <c r="U16" s="76">
        <f>SUMIFS('EIM - 2021 WA E Detail - Actual'!X$4:X$27,'EIM - 2021 WA E Detail - Actual'!$C$4:$C$27,"Elec Transmission 350-359")</f>
        <v>181667.055972</v>
      </c>
      <c r="V16" s="76">
        <f>SUMIFS('EIM - 2021 WA E Detail - Actual'!Y$4:Y$27,'EIM - 2021 WA E Detail - Actual'!$C$4:$C$27,"Elec Transmission 350-359")</f>
        <v>12613.441476000002</v>
      </c>
      <c r="W16" s="76">
        <f>SUMIFS('EIM - 2021 WA E Detail - Actual'!Z$4:Z$27,'EIM - 2021 WA E Detail - Actual'!$C$4:$C$27,"Elec Transmission 350-359")</f>
        <v>57037.064064000006</v>
      </c>
      <c r="X16" s="76">
        <f>SUMIFS('EIM - 2021 WA E Detail - Actual'!AA$4:AA$27,'EIM - 2021 WA E Detail - Actual'!$C$4:$C$27,"Elec Transmission 350-359")</f>
        <v>-713.22454799999991</v>
      </c>
      <c r="Y16" s="76">
        <f>SUMIFS('EIM - 2021 WA E Detail - Actual'!AB$4:AB$27,'EIM - 2021 WA E Detail - Actual'!$C$4:$C$27,"Elec Transmission 350-359")</f>
        <v>-14076.924660000006</v>
      </c>
      <c r="Z16" s="76">
        <f>SUMIFS('EIM - 2021 WA E Detail - Actual'!AC$4:AC$27,'EIM - 2021 WA E Detail - Actual'!$C$4:$C$27,"Elec Transmission 350-359")</f>
        <v>1955.8947719999999</v>
      </c>
      <c r="AA16" s="76">
        <f>SUMIFS('EIM - 2021 WA E Detail - Actual'!AD$4:AD$27,'EIM - 2021 WA E Detail - Actual'!$C$4:$C$27,"Elec Transmission 350-359")</f>
        <v>2088.4088039999951</v>
      </c>
      <c r="AB16" s="76">
        <f>SUMIFS('EIM - 2021 WA E Detail - Actual'!AE$4:AE$27,'EIM - 2021 WA E Detail - Actual'!$C$4:$C$27,"Elec Transmission 350-359")</f>
        <v>0</v>
      </c>
      <c r="AC16" s="76">
        <f>SUMIFS('EIM - 2021 WA E Detail - Actual'!AF$4:AF$27,'EIM - 2021 WA E Detail - Actual'!$C$4:$C$27,"Elec Transmission 350-359")</f>
        <v>-42607.554144000002</v>
      </c>
      <c r="AD16" s="76">
        <f>SUMIFS('EIM - 2022 WA E Detail - Actual'!U$4:U$27,'EIM - 2022 WA E Detail - Actual'!$C$4:$C$27,"Elec Transmission 350-359")</f>
        <v>0</v>
      </c>
      <c r="AE16" s="76">
        <f>SUMIFS('EIM - 2022 WA E Detail - Actual'!V$4:V$27,'EIM - 2022 WA E Detail - Actual'!$C$4:$C$27,"Elec Transmission 350-359")</f>
        <v>4808.9439359999997</v>
      </c>
      <c r="AF16" s="76">
        <f>SUMIFS('EIM - 2022 WA E Detail - Actual'!W$4:W$27,'EIM - 2022 WA E Detail - Actual'!$C$4:$C$27,"Elec Transmission 350-359")</f>
        <v>1310.4763439999999</v>
      </c>
      <c r="AG16" s="76">
        <f>SUMIFS('EIM - 2022 WA E Detail - Actual'!X$4:X$27,'EIM - 2022 WA E Detail - Actual'!$C$4:$C$27,"Elec Transmission 350-359")</f>
        <v>85.345127999999988</v>
      </c>
      <c r="AH16" s="76">
        <f>SUMIFS('EIM - 2022 WA E Detail - Actual'!Y$4:Y$27,'EIM - 2022 WA E Detail - Actual'!$C$4:$C$27,"Elec Transmission 350-359")</f>
        <v>0</v>
      </c>
      <c r="AI16" s="76">
        <f>SUMIFS('EIM - 2022 WA E Detail - Actual'!Z$4:Z$27,'EIM - 2022 WA E Detail - Actual'!$C$4:$C$27,"Elec Transmission 350-359")</f>
        <v>0</v>
      </c>
      <c r="AJ16" s="105">
        <f>SUMIFS('EIM - 2022 WA E Detail - Actual'!AA$4:AA$27,'EIM - 2022 WA E Detail - Actual'!$C$4:$C$27,"Elec Transmission 350-359")</f>
        <v>0</v>
      </c>
      <c r="AK16" s="105">
        <f>SUMIFS('EIM - 2022 WA E Detail - Actual'!AB$4:AB$27,'EIM - 2022 WA E Detail - Actual'!$C$4:$C$27,"Elec Transmission 350-359")</f>
        <v>0</v>
      </c>
      <c r="AL16" s="105">
        <f>SUMIFS('EIM - 2022 WA E Detail - Actual'!AC$4:AC$27,'EIM - 2022 WA E Detail - Actual'!$C$4:$C$27,"Elec Transmission 350-359")</f>
        <v>0</v>
      </c>
    </row>
    <row r="17" spans="1:38">
      <c r="C17" t="s">
        <v>139</v>
      </c>
      <c r="E17" s="2">
        <f>SUMIF('EIM - 2020 WA E Detail - Actual'!$C$4:$C$15,"Hydro 331-336",'EIM - 2020 WA E Detail - Actual'!U$4:U$15)</f>
        <v>0</v>
      </c>
      <c r="F17" s="2">
        <f>SUMIF('EIM - 2020 WA E Detail - Actual'!$C$4:$C$15,"Hydro 331-336",'EIM - 2020 WA E Detail - Actual'!V$4:V$15)</f>
        <v>0</v>
      </c>
      <c r="G17" s="2">
        <f>SUMIF('EIM - 2020 WA E Detail - Actual'!$C$4:$C$15,"Hydro 331-336",'EIM - 2020 WA E Detail - Actual'!W$4:W$15)</f>
        <v>0</v>
      </c>
      <c r="H17" s="2">
        <f>SUMIF('EIM - 2020 WA E Detail - Actual'!$C$4:$C$15,"Hydro 331-336",'EIM - 2020 WA E Detail - Actual'!X$4:X$15)</f>
        <v>0</v>
      </c>
      <c r="I17" s="2">
        <f>SUMIF('EIM - 2020 WA E Detail - Actual'!$C$4:$C$15,"Hydro 331-336",'EIM - 2020 WA E Detail - Actual'!Y$4:Y$15)</f>
        <v>0</v>
      </c>
      <c r="J17" s="2">
        <f>SUMIF('EIM - 2020 WA E Detail - Actual'!$C$4:$C$15,"Hydro 331-336",'EIM - 2020 WA E Detail - Actual'!Z$4:Z$15)</f>
        <v>309000.98921999999</v>
      </c>
      <c r="K17" s="2">
        <f>SUMIF('EIM - 2020 WA E Detail - Actual'!$C$4:$C$15,"Hydro 331-336",'EIM - 2020 WA E Detail - Actual'!AA$4:AA$15)</f>
        <v>34588.453187999999</v>
      </c>
      <c r="L17" s="2">
        <f>SUMIF('EIM - 2020 WA E Detail - Actual'!$C$4:$C$15,"Hydro 331-336",'EIM - 2020 WA E Detail - Actual'!AB$4:AB$15)</f>
        <v>3702.496404</v>
      </c>
      <c r="M17" s="2">
        <f>SUMIF('EIM - 2020 WA E Detail - Actual'!$C$4:$C$15,"Hydro 331-336",'EIM - 2020 WA E Detail - Actual'!AC$4:AC$15)</f>
        <v>158988.08808000002</v>
      </c>
      <c r="N17" s="2">
        <f>SUMIF('EIM - 2020 WA E Detail - Actual'!$C$4:$C$15,"Hydro 331-336",'EIM - 2020 WA E Detail - Actual'!AD$4:AD$15)</f>
        <v>13763.388636000003</v>
      </c>
      <c r="O17" s="2">
        <f>SUMIF('EIM - 2020 WA E Detail - Actual'!$C$4:$C$15,"Hydro 331-336",'EIM - 2020 WA E Detail - Actual'!AE$4:AE$15)</f>
        <v>9428.8052880000014</v>
      </c>
      <c r="P17" s="2">
        <f>SUMIF('EIM - 2020 WA E Detail - Actual'!$C$4:$C$15,"Hydro 331-336",'EIM - 2020 WA E Detail - Actual'!AF$4:AF$15)</f>
        <v>25417.370232000001</v>
      </c>
      <c r="Q17" s="10">
        <f t="shared" si="80"/>
        <v>554889.59104800003</v>
      </c>
      <c r="R17" s="76">
        <f>SUMIFS('EIM - 2021 WA E Detail - Actual'!U$4:U$27,'EIM - 2021 WA E Detail - Actual'!$C$4:$C$27,"Hydro 331-336")</f>
        <v>253321.163436</v>
      </c>
      <c r="S17" s="76">
        <f>SUMIFS('EIM - 2021 WA E Detail - Actual'!V$4:V$27,'EIM - 2021 WA E Detail - Actual'!$C$4:$C$27,"Hydro 331-336")</f>
        <v>5849.3182439999982</v>
      </c>
      <c r="T17" s="76">
        <f>SUMIFS('EIM - 2021 WA E Detail - Actual'!W$4:W$27,'EIM - 2021 WA E Detail - Actual'!$C$4:$C$27,"Hydro 331-336")</f>
        <v>-8138.920212</v>
      </c>
      <c r="U17" s="76">
        <f>SUMIFS('EIM - 2021 WA E Detail - Actual'!X$4:X$27,'EIM - 2021 WA E Detail - Actual'!$C$4:$C$27,"Hydro 331-336")</f>
        <v>954308.01301200013</v>
      </c>
      <c r="V17" s="76">
        <f>SUMIFS('EIM - 2021 WA E Detail - Actual'!Y$4:Y$27,'EIM - 2021 WA E Detail - Actual'!$C$4:$C$27,"Hydro 331-336")</f>
        <v>502700.25103199994</v>
      </c>
      <c r="W17" s="76">
        <f>SUMIFS('EIM - 2021 WA E Detail - Actual'!Z$4:Z$27,'EIM - 2021 WA E Detail - Actual'!$C$4:$C$27,"Hydro 331-336")</f>
        <v>13753.463868000001</v>
      </c>
      <c r="X17" s="76">
        <f>SUMIFS('EIM - 2021 WA E Detail - Actual'!AA$4:AA$27,'EIM - 2021 WA E Detail - Actual'!$C$4:$C$27,"Hydro 331-336")</f>
        <v>-41457.213144000008</v>
      </c>
      <c r="Y17" s="76">
        <f>SUMIFS('EIM - 2021 WA E Detail - Actual'!AB$4:AB$27,'EIM - 2021 WA E Detail - Actual'!$C$4:$C$27,"Hydro 331-336")</f>
        <v>-13214.802336000001</v>
      </c>
      <c r="Z17" s="76">
        <f>SUMIFS('EIM - 2021 WA E Detail - Actual'!AC$4:AC$27,'EIM - 2021 WA E Detail - Actual'!$C$4:$C$27,"Hydro 331-336")</f>
        <v>3525.4325040000003</v>
      </c>
      <c r="AA17" s="76">
        <f>SUMIFS('EIM - 2021 WA E Detail - Actual'!AD$4:AD$27,'EIM - 2021 WA E Detail - Actual'!$C$4:$C$27,"Hydro 331-336")</f>
        <v>-3525.5243999999998</v>
      </c>
      <c r="AB17" s="76">
        <f>SUMIFS('EIM - 2021 WA E Detail - Actual'!AE$4:AE$27,'EIM - 2021 WA E Detail - Actual'!$C$4:$C$27,"Hydro 331-336")</f>
        <v>0</v>
      </c>
      <c r="AC17" s="76">
        <f>SUMIFS('EIM - 2021 WA E Detail - Actual'!AF$4:AF$27,'EIM - 2021 WA E Detail - Actual'!$C$4:$C$27,"Hydro 331-336")</f>
        <v>0</v>
      </c>
      <c r="AD17" s="2">
        <f>SUMIFS('EIM - 2022 WA E Detail - Actual'!U$4:U$27,'EIM - 2022 WA E Detail - Actual'!$C$4:$C$27,"Hydro 331-336")</f>
        <v>0</v>
      </c>
      <c r="AE17" s="2">
        <f>SUMIFS('EIM - 2022 WA E Detail - Actual'!V$4:V$27,'EIM - 2022 WA E Detail - Actual'!$C$4:$C$27,"Hydro 331-336")</f>
        <v>0</v>
      </c>
      <c r="AF17" s="2">
        <f>SUMIFS('EIM - 2022 WA E Detail - Actual'!W$4:W$27,'EIM - 2022 WA E Detail - Actual'!$C$4:$C$27,"Hydro 331-336")</f>
        <v>0</v>
      </c>
      <c r="AG17" s="2">
        <f>SUMIFS('EIM - 2022 WA E Detail - Actual'!X$4:X$27,'EIM - 2022 WA E Detail - Actual'!$C$4:$C$27,"Hydro 331-336")</f>
        <v>0</v>
      </c>
      <c r="AH17" s="2">
        <f>SUMIFS('EIM - 2022 WA E Detail - Actual'!Y$4:Y$27,'EIM - 2022 WA E Detail - Actual'!$C$4:$C$27,"Hydro 331-336")</f>
        <v>0</v>
      </c>
      <c r="AI17" s="76">
        <f>SUMIFS('EIM - 2022 WA E Detail - Actual'!Z$4:Z$27,'EIM - 2022 WA E Detail - Actual'!$C$4:$C$27,"Hydro 331-336")</f>
        <v>0</v>
      </c>
      <c r="AJ17" s="105">
        <f>SUMIFS('EIM - 2022 WA E Detail - Actual'!AA$4:AA$27,'EIM - 2022 WA E Detail - Actual'!$C$4:$C$27,"Hydro 331-336")</f>
        <v>0</v>
      </c>
      <c r="AK17" s="105">
        <f>SUMIFS('EIM - 2022 WA E Detail - Actual'!AB$4:AB$27,'EIM - 2022 WA E Detail - Actual'!$C$4:$C$27,"Hydro 331-336")</f>
        <v>0</v>
      </c>
      <c r="AL17" s="105">
        <f>SUMIFS('EIM - 2022 WA E Detail - Actual'!AC$4:AC$27,'EIM - 2022 WA E Detail - Actual'!$C$4:$C$27,"Hydro 331-336")</f>
        <v>0</v>
      </c>
    </row>
    <row r="18" spans="1:38">
      <c r="C18" t="s">
        <v>144</v>
      </c>
      <c r="E18" s="2">
        <f>SUMIF('EIM - 2020 WA E Detail - Actual'!$C$4:$C$15,"Other Elec Production / Turbines 340-346",'EIM - 2020 WA E Detail - Actual'!U$4:U$15)</f>
        <v>0</v>
      </c>
      <c r="F18" s="2">
        <f>SUMIF('EIM - 2020 WA E Detail - Actual'!$C$4:$C$15,"Other Elec Production / Turbines 340-346",'EIM - 2020 WA E Detail - Actual'!V$4:V$15)</f>
        <v>0</v>
      </c>
      <c r="G18" s="2">
        <f>SUMIF('EIM - 2020 WA E Detail - Actual'!$C$4:$C$15,"Other Elec Production / Turbines 340-346",'EIM - 2020 WA E Detail - Actual'!W$4:W$15)</f>
        <v>0</v>
      </c>
      <c r="H18" s="2">
        <f>SUMIF('EIM - 2020 WA E Detail - Actual'!$C$4:$C$15,"Other Elec Production / Turbines 340-346",'EIM - 2020 WA E Detail - Actual'!X$4:X$15)</f>
        <v>0</v>
      </c>
      <c r="I18" s="2">
        <f>SUMIF('EIM - 2020 WA E Detail - Actual'!$C$4:$C$15,"Other Elec Production / Turbines 340-346",'EIM - 2020 WA E Detail - Actual'!Y$4:Y$15)</f>
        <v>0</v>
      </c>
      <c r="J18" s="2">
        <f>SUMIF('EIM - 2020 WA E Detail - Actual'!$C$4:$C$15,"Other Elec Production / Turbines 340-346",'EIM - 2020 WA E Detail - Actual'!Z$4:Z$15)</f>
        <v>0</v>
      </c>
      <c r="K18" s="2">
        <f>SUMIF('EIM - 2020 WA E Detail - Actual'!$C$4:$C$15,"Other Elec Production / Turbines 340-346",'EIM - 2020 WA E Detail - Actual'!AA$4:AA$15)</f>
        <v>0</v>
      </c>
      <c r="L18" s="2">
        <f>SUMIF('EIM - 2020 WA E Detail - Actual'!$C$4:$C$15,"Other Elec Production / Turbines 340-346",'EIM - 2020 WA E Detail - Actual'!AB$4:AB$15)</f>
        <v>0</v>
      </c>
      <c r="M18" s="2">
        <f>SUMIF('EIM - 2020 WA E Detail - Actual'!$C$4:$C$15,"Other Elec Production / Turbines 340-346",'EIM - 2020 WA E Detail - Actual'!AC$4:AC$15)</f>
        <v>0</v>
      </c>
      <c r="N18" s="2">
        <f>SUMIF('EIM - 2020 WA E Detail - Actual'!$C$4:$C$15,"Other Elec Production / Turbines 340-346",'EIM - 2020 WA E Detail - Actual'!AD$4:AD$15)</f>
        <v>0</v>
      </c>
      <c r="O18" s="2">
        <f>SUMIF('EIM - 2020 WA E Detail - Actual'!$C$4:$C$15,"Other Elec Production / Turbines 340-346",'EIM - 2020 WA E Detail - Actual'!AE$4:AE$15)</f>
        <v>0</v>
      </c>
      <c r="P18" s="2">
        <f>SUMIF('EIM - 2020 WA E Detail - Actual'!$C$4:$C$15,"Other Elec Production / Turbines 340-346",'EIM - 2020 WA E Detail - Actual'!AF$4:AF$15)</f>
        <v>447082.47473999998</v>
      </c>
      <c r="Q18" s="10">
        <f t="shared" si="80"/>
        <v>447082.47473999998</v>
      </c>
      <c r="R18" s="76">
        <f>SUMIFS('EIM - 2021 WA E Detail - Actual'!U$4:U$27,'EIM - 2021 WA E Detail - Actual'!$C$4:$C$27,"Other Elec Production / Turbines 340-346")</f>
        <v>4235.2700279999999</v>
      </c>
      <c r="S18" s="76">
        <f>SUMIFS('EIM - 2021 WA E Detail - Actual'!V$4:V$27,'EIM - 2021 WA E Detail - Actual'!$C$4:$C$27,"Other Elec Production / Turbines 340-346")</f>
        <v>3508.4973840000002</v>
      </c>
      <c r="T18" s="76">
        <f>SUMIFS('EIM - 2021 WA E Detail - Actual'!W$4:W$27,'EIM - 2021 WA E Detail - Actual'!$C$4:$C$27,"Other Elec Production / Turbines 340-346")</f>
        <v>1580.6768399999999</v>
      </c>
      <c r="U18" s="76">
        <f>SUMIFS('EIM - 2021 WA E Detail - Actual'!X$4:X$27,'EIM - 2021 WA E Detail - Actual'!$C$4:$C$27,"Other Elec Production / Turbines 340-346")</f>
        <v>684.06069600000001</v>
      </c>
      <c r="V18" s="76">
        <f>SUMIFS('EIM - 2021 WA E Detail - Actual'!Y$4:Y$27,'EIM - 2021 WA E Detail - Actual'!$C$4:$C$27,"Other Elec Production / Turbines 340-346")</f>
        <v>178736.992818</v>
      </c>
      <c r="W18" s="76">
        <f>SUMIFS('EIM - 2021 WA E Detail - Actual'!Z$4:Z$27,'EIM - 2021 WA E Detail - Actual'!$C$4:$C$27,"Other Elec Production / Turbines 340-346")</f>
        <v>146379.04819100001</v>
      </c>
      <c r="X18" s="76">
        <f>SUMIFS('EIM - 2021 WA E Detail - Actual'!AA$4:AA$27,'EIM - 2021 WA E Detail - Actual'!$C$4:$C$27,"Other Elec Production / Turbines 340-346")</f>
        <v>425.35358099999996</v>
      </c>
      <c r="Y18" s="76">
        <f>SUMIFS('EIM - 2021 WA E Detail - Actual'!AB$4:AB$27,'EIM - 2021 WA E Detail - Actual'!$C$4:$C$27,"Other Elec Production / Turbines 340-346")</f>
        <v>0</v>
      </c>
      <c r="Z18" s="76">
        <f>SUMIFS('EIM - 2021 WA E Detail - Actual'!AC$4:AC$27,'EIM - 2021 WA E Detail - Actual'!$C$4:$C$27,"Other Elec Production / Turbines 340-346")</f>
        <v>-4576.9184999999998</v>
      </c>
      <c r="AA18" s="76">
        <f>SUMIFS('EIM - 2021 WA E Detail - Actual'!AD$4:AD$27,'EIM - 2021 WA E Detail - Actual'!$C$4:$C$27,"Other Elec Production / Turbines 340-346")</f>
        <v>26476.937675999998</v>
      </c>
      <c r="AB18" s="76">
        <f>SUMIFS('EIM - 2021 WA E Detail - Actual'!AE$4:AE$27,'EIM - 2021 WA E Detail - Actual'!$C$4:$C$27,"Other Elec Production / Turbines 340-346")</f>
        <v>0</v>
      </c>
      <c r="AC18" s="76">
        <f>SUMIFS('EIM - 2021 WA E Detail - Actual'!AF$4:AF$27,'EIM - 2021 WA E Detail - Actual'!$C$4:$C$27,"Other Elec Production / Turbines 340-346")</f>
        <v>0</v>
      </c>
      <c r="AD18" s="2">
        <f>SUMIFS('EIM - 2022 WA E Detail - Actual'!U$4:U$27,'EIM - 2022 WA E Detail - Actual'!$C$4:$C$27,"Other Elec Production / Turbines 340-346")</f>
        <v>0</v>
      </c>
      <c r="AE18" s="2">
        <f>SUMIFS('EIM - 2022 WA E Detail - Actual'!V$4:V$27,'EIM - 2022 WA E Detail - Actual'!$C$4:$C$27,"Other Elec Production / Turbines 340-346")</f>
        <v>0</v>
      </c>
      <c r="AF18" s="2">
        <f>SUMIFS('EIM - 2022 WA E Detail - Actual'!W$4:W$27,'EIM - 2022 WA E Detail - Actual'!$C$4:$C$27,"Other Elec Production / Turbines 340-346")</f>
        <v>0</v>
      </c>
      <c r="AG18" s="2">
        <f>SUMIFS('EIM - 2022 WA E Detail - Actual'!X$4:X$27,'EIM - 2022 WA E Detail - Actual'!$C$4:$C$27,"Other Elec Production / Turbines 340-346")</f>
        <v>0</v>
      </c>
      <c r="AH18" s="2">
        <f>SUMIFS('EIM - 2022 WA E Detail - Actual'!Y$4:Y$27,'EIM - 2022 WA E Detail - Actual'!$C$4:$C$27,"Other Elec Production / Turbines 340-346")</f>
        <v>0</v>
      </c>
      <c r="AI18" s="76">
        <f>SUMIFS('EIM - 2022 WA E Detail - Actual'!Z$4:Z$27,'EIM - 2022 WA E Detail - Actual'!$C$4:$C$27,"Other Elec Production / Turbines 340-346")</f>
        <v>0</v>
      </c>
      <c r="AJ18" s="105">
        <f>SUMIFS('EIM - 2022 WA E Detail - Actual'!AA$4:AA$27,'EIM - 2022 WA E Detail - Actual'!$C$4:$C$27,"Other Elec Production / Turbines 340-346")</f>
        <v>0</v>
      </c>
      <c r="AK18" s="105">
        <f>SUMIFS('EIM - 2022 WA E Detail - Actual'!AB$4:AB$27,'EIM - 2022 WA E Detail - Actual'!$C$4:$C$27,"Other Elec Production / Turbines 340-346")</f>
        <v>0</v>
      </c>
      <c r="AL18" s="105">
        <f>SUMIFS('EIM - 2022 WA E Detail - Actual'!AC$4:AC$27,'EIM - 2022 WA E Detail - Actual'!$C$4:$C$27,"Other Elec Production / Turbines 340-346")</f>
        <v>0</v>
      </c>
    </row>
    <row r="19" spans="1:38">
      <c r="C19" t="s">
        <v>137</v>
      </c>
      <c r="E19" s="2">
        <f>SUMIF('EIM - 2020 WA E Detail - Actual'!$C$4:$C$15,"General 389 / 393-395 / 397-398",'EIM - 2020 WA E Detail - Actual'!U$4:U$15)</f>
        <v>0</v>
      </c>
      <c r="F19" s="2">
        <f>SUMIF('EIM - 2020 WA E Detail - Actual'!$C$4:$C$15,"General 389 / 393-395 / 397-398",'EIM - 2020 WA E Detail - Actual'!V$4:V$15)</f>
        <v>0</v>
      </c>
      <c r="G19" s="2">
        <f>SUMIF('EIM - 2020 WA E Detail - Actual'!$C$4:$C$15,"General 389 / 393-395 / 397-398",'EIM - 2020 WA E Detail - Actual'!W$4:W$15)</f>
        <v>0</v>
      </c>
      <c r="H19" s="2">
        <f>SUMIF('EIM - 2020 WA E Detail - Actual'!$C$4:$C$15,"General 389 / 393-395 / 397-398",'EIM - 2020 WA E Detail - Actual'!X$4:X$15)</f>
        <v>0</v>
      </c>
      <c r="I19" s="2">
        <f>SUMIF('EIM - 2020 WA E Detail - Actual'!$C$4:$C$15,"General 389 / 393-395 / 397-398",'EIM - 2020 WA E Detail - Actual'!Y$4:Y$15)</f>
        <v>0</v>
      </c>
      <c r="J19" s="2">
        <f>SUMIF('EIM - 2020 WA E Detail - Actual'!$C$4:$C$15,"General 389 / 393-395 / 397-398",'EIM - 2020 WA E Detail - Actual'!Z$4:Z$15)</f>
        <v>0</v>
      </c>
      <c r="K19" s="2">
        <f>SUMIF('EIM - 2020 WA E Detail - Actual'!$C$4:$C$15,"General 389 / 393-395 / 397-398",'EIM - 2020 WA E Detail - Actual'!AA$4:AA$15)</f>
        <v>27392.810719199999</v>
      </c>
      <c r="L19" s="2">
        <f>SUMIF('EIM - 2020 WA E Detail - Actual'!$C$4:$C$15,"General 389 / 393-395 / 397-398",'EIM - 2020 WA E Detail - Actual'!AB$4:AB$15)</f>
        <v>133028.790843</v>
      </c>
      <c r="M19" s="2">
        <f>SUMIF('EIM - 2020 WA E Detail - Actual'!$C$4:$C$15,"General 389 / 393-395 / 397-398",'EIM - 2020 WA E Detail - Actual'!AC$4:AC$15)</f>
        <v>36557.254958058846</v>
      </c>
      <c r="N19" s="2">
        <f>SUMIF('EIM - 2020 WA E Detail - Actual'!$C$4:$C$15,"General 389 / 393-395 / 397-398",'EIM - 2020 WA E Detail - Actual'!AD$4:AD$15)</f>
        <v>214605.87277506635</v>
      </c>
      <c r="O19" s="2">
        <f>SUMIF('EIM - 2020 WA E Detail - Actual'!$C$4:$C$15,"General 389 / 393-395 / 397-398",'EIM - 2020 WA E Detail - Actual'!AE$4:AE$15)</f>
        <v>12956.608926443159</v>
      </c>
      <c r="P19" s="2">
        <f>SUMIF('EIM - 2020 WA E Detail - Actual'!$C$4:$C$15,"General 389 / 393-395 / 397-398",'EIM - 2020 WA E Detail - Actual'!AF$4:AF$15)</f>
        <v>7789.2686346522296</v>
      </c>
      <c r="Q19" s="10">
        <f t="shared" si="80"/>
        <v>432330.60685642064</v>
      </c>
      <c r="R19" s="76">
        <f>SUMIFS('EIM - 2021 WA E Detail - Actual'!U$4:U$27,'EIM - 2021 WA E Detail - Actual'!$C$4:$C$27,"General 389 / 393-395 / 397-398")</f>
        <v>2633.8821407826117</v>
      </c>
      <c r="S19" s="76">
        <f>SUMIFS('EIM - 2021 WA E Detail - Actual'!V$4:V$27,'EIM - 2021 WA E Detail - Actual'!$C$4:$C$27,"General 389 / 393-395 / 397-398")</f>
        <v>176932.07894157615</v>
      </c>
      <c r="T19" s="76">
        <f>SUMIFS('EIM - 2021 WA E Detail - Actual'!W$4:W$27,'EIM - 2021 WA E Detail - Actual'!$C$4:$C$27,"General 389 / 393-395 / 397-398")</f>
        <v>212328.63741748856</v>
      </c>
      <c r="U19" s="76">
        <f>SUMIFS('EIM - 2021 WA E Detail - Actual'!X$4:X$27,'EIM - 2021 WA E Detail - Actual'!$C$4:$C$27,"General 389 / 393-395 / 397-398")</f>
        <v>273929.11235107406</v>
      </c>
      <c r="V19" s="76">
        <f>SUMIFS('EIM - 2021 WA E Detail - Actual'!Y$4:Y$27,'EIM - 2021 WA E Detail - Actual'!$C$4:$C$27,"General 389 / 393-395 / 397-398")</f>
        <v>184433.89644884909</v>
      </c>
      <c r="W19" s="76">
        <f>SUMIFS('EIM - 2021 WA E Detail - Actual'!Z$4:Z$27,'EIM - 2021 WA E Detail - Actual'!$C$4:$C$27,"General 389 / 393-395 / 397-398")</f>
        <v>286994.48894146999</v>
      </c>
      <c r="X19" s="76">
        <f>SUMIFS('EIM - 2021 WA E Detail - Actual'!AA$4:AA$27,'EIM - 2021 WA E Detail - Actual'!$C$4:$C$27,"General 389 / 393-395 / 397-398")</f>
        <v>44377.829388025624</v>
      </c>
      <c r="Y19" s="76">
        <f>SUMIFS('EIM - 2021 WA E Detail - Actual'!AB$4:AB$27,'EIM - 2021 WA E Detail - Actual'!$C$4:$C$27,"General 389 / 393-395 / 397-398")</f>
        <v>18401.943107472096</v>
      </c>
      <c r="Z19" s="76">
        <f>SUMIFS('EIM - 2021 WA E Detail - Actual'!AC$4:AC$27,'EIM - 2021 WA E Detail - Actual'!$C$4:$C$27,"General 389 / 393-395 / 397-398")</f>
        <v>-2694.4205430681332</v>
      </c>
      <c r="AA19" s="76">
        <f>SUMIFS('EIM - 2021 WA E Detail - Actual'!AD$4:AD$27,'EIM - 2021 WA E Detail - Actual'!$C$4:$C$27,"General 389 / 393-395 / 397-398")</f>
        <v>3825.7642623566994</v>
      </c>
      <c r="AB19" s="76">
        <f>SUMIFS('EIM - 2021 WA E Detail - Actual'!AE$4:AE$27,'EIM - 2021 WA E Detail - Actual'!$C$4:$C$27,"General 389 / 393-395 / 397-398")</f>
        <v>2539.9691656630921</v>
      </c>
      <c r="AC19" s="76">
        <f>SUMIFS('EIM - 2021 WA E Detail - Actual'!AF$4:AF$27,'EIM - 2021 WA E Detail - Actual'!$C$4:$C$27,"General 389 / 393-395 / 397-398")</f>
        <v>47112.890586433758</v>
      </c>
      <c r="AD19" s="2">
        <f>SUMIFS('EIM - 2022 WA E Detail - Actual'!U$4:U$27,'EIM - 2022 WA E Detail - Actual'!$C$4:$C$27,"General 389 / 393-395 / 397-398")</f>
        <v>1229.9363028037194</v>
      </c>
      <c r="AE19" s="2">
        <f>SUMIFS('EIM - 2022 WA E Detail - Actual'!V$4:V$27,'EIM - 2022 WA E Detail - Actual'!$C$4:$C$27,"General 389 / 393-395 / 397-398")</f>
        <v>1355.486936053788</v>
      </c>
      <c r="AF19" s="2">
        <f>SUMIFS('EIM - 2022 WA E Detail - Actual'!W$4:W$27,'EIM - 2022 WA E Detail - Actual'!$C$4:$C$27,"General 389 / 393-395 / 397-398")</f>
        <v>5171.4280049893059</v>
      </c>
      <c r="AG19" s="2">
        <f>SUMIFS('EIM - 2022 WA E Detail - Actual'!X$4:X$27,'EIM - 2022 WA E Detail - Actual'!$C$4:$C$27,"General 389 / 393-395 / 397-398")</f>
        <v>4542.0104439267498</v>
      </c>
      <c r="AH19" s="2">
        <f>SUMIFS('EIM - 2022 WA E Detail - Actual'!Y$4:Y$27,'EIM - 2022 WA E Detail - Actual'!$C$4:$C$27,"General 389 / 393-395 / 397-398")</f>
        <v>1650.2105337984799</v>
      </c>
      <c r="AI19" s="76">
        <f>SUMIFS('EIM - 2022 WA E Detail - Actual'!Z$4:Z$27,'EIM - 2022 WA E Detail - Actual'!$C$4:$C$27,"General 389 / 393-395 / 397-398")</f>
        <v>914.09039143658788</v>
      </c>
      <c r="AJ19" s="105">
        <f>SUMIFS('EIM - 2022 WA E Detail - Actual'!AA$4:AA$27,'EIM - 2022 WA E Detail - Actual'!$C$4:$C$27,"General 389 / 393-395 / 397-398")</f>
        <v>290.43774580534125</v>
      </c>
      <c r="AK19" s="105">
        <f>SUMIFS('EIM - 2022 WA E Detail - Actual'!AB$4:AB$27,'EIM - 2022 WA E Detail - Actual'!$C$4:$C$27,"General 389 / 393-395 / 397-398")</f>
        <v>290.43774580534125</v>
      </c>
      <c r="AL19" s="105">
        <f>SUMIFS('EIM - 2022 WA E Detail - Actual'!AC$4:AC$27,'EIM - 2022 WA E Detail - Actual'!$C$4:$C$27,"General 389 / 393-395 / 397-398")</f>
        <v>0</v>
      </c>
    </row>
    <row r="20" spans="1:38">
      <c r="C20" t="s">
        <v>146</v>
      </c>
      <c r="E20" s="2">
        <f>SUMIF('EIM - 2020 WA E Detail - Actual'!$C$4:$C$15,"General - Hardware",'EIM - 2020 WA E Detail - Actual'!U$4:U$15)</f>
        <v>53862.245801100005</v>
      </c>
      <c r="F20" s="2">
        <f>SUMIF('EIM - 2020 WA E Detail - Actual'!$C$4:$C$15,"General - Hardware",'EIM - 2020 WA E Detail - Actual'!V$4:V$15)</f>
        <v>8159.0989872</v>
      </c>
      <c r="G20" s="2">
        <f>SUMIF('EIM - 2020 WA E Detail - Actual'!$C$4:$C$15,"General - Hardware",'EIM - 2020 WA E Detail - Actual'!W$4:W$15)</f>
        <v>2370.6019503000002</v>
      </c>
      <c r="H20" s="2">
        <f>SUMIF('EIM - 2020 WA E Detail - Actual'!$C$4:$C$15,"General - Hardware",'EIM - 2020 WA E Detail - Actual'!X$4:X$15)</f>
        <v>895.29182220000007</v>
      </c>
      <c r="I20" s="2">
        <f>SUMIF('EIM - 2020 WA E Detail - Actual'!$C$4:$C$15,"General - Hardware",'EIM - 2020 WA E Detail - Actual'!Y$4:Y$15)</f>
        <v>0</v>
      </c>
      <c r="J20" s="2">
        <f>SUMIF('EIM - 2020 WA E Detail - Actual'!$C$4:$C$15,"General - Hardware",'EIM - 2020 WA E Detail - Actual'!Z$4:Z$15)</f>
        <v>0</v>
      </c>
      <c r="K20" s="2">
        <f>SUMIF('EIM - 2020 WA E Detail - Actual'!$C$4:$C$15,"General - Hardware",'EIM - 2020 WA E Detail - Actual'!AA$4:AA$15)</f>
        <v>363.95489670000001</v>
      </c>
      <c r="L20" s="2">
        <f>SUMIF('EIM - 2020 WA E Detail - Actual'!$C$4:$C$15,"General - Hardware",'EIM - 2020 WA E Detail - Actual'!AB$4:AB$15)</f>
        <v>-33036.190747499997</v>
      </c>
      <c r="M20" s="2">
        <f>SUMIF('EIM - 2020 WA E Detail - Actual'!$C$4:$C$15,"General - Hardware",'EIM - 2020 WA E Detail - Actual'!AC$4:AC$15)</f>
        <v>0</v>
      </c>
      <c r="N20" s="2">
        <f>SUMIF('EIM - 2020 WA E Detail - Actual'!$C$4:$C$15,"General - Hardware",'EIM - 2020 WA E Detail - Actual'!AD$4:AD$15)</f>
        <v>0</v>
      </c>
      <c r="O20" s="2">
        <f>SUMIF('EIM - 2020 WA E Detail - Actual'!$C$4:$C$15,"General - Hardware",'EIM - 2020 WA E Detail - Actual'!AE$4:AE$15)</f>
        <v>0</v>
      </c>
      <c r="P20" s="2">
        <f>SUMIF('EIM - 2020 WA E Detail - Actual'!$C$4:$C$15,"General - Hardware",'EIM - 2020 WA E Detail - Actual'!AF$4:AF$15)</f>
        <v>0</v>
      </c>
      <c r="Q20" s="10">
        <f t="shared" si="80"/>
        <v>32615.002710000008</v>
      </c>
      <c r="R20" s="76">
        <f>SUMIFS('EIM - 2021 WA E Detail - Actual'!U$4:U$27,'EIM - 2021 WA E Detail - Actual'!$C$4:$C$27,"General - Hardware")</f>
        <v>0</v>
      </c>
      <c r="S20" s="76">
        <f>SUMIFS('EIM - 2021 WA E Detail - Actual'!V$4:V$27,'EIM - 2021 WA E Detail - Actual'!$C$4:$C$27,"General - Hardware")</f>
        <v>0</v>
      </c>
      <c r="T20" s="76">
        <f>SUMIFS('EIM - 2021 WA E Detail - Actual'!W$4:W$27,'EIM - 2021 WA E Detail - Actual'!$C$4:$C$27,"General - Hardware")</f>
        <v>88457.589906900001</v>
      </c>
      <c r="U20" s="76">
        <f>SUMIFS('EIM - 2021 WA E Detail - Actual'!X$4:X$27,'EIM - 2021 WA E Detail - Actual'!$C$4:$C$27,"General - Hardware")</f>
        <v>111561.23905981309</v>
      </c>
      <c r="V20" s="76">
        <f>SUMIFS('EIM - 2021 WA E Detail - Actual'!Y$4:Y$27,'EIM - 2021 WA E Detail - Actual'!$C$4:$C$27,"General - Hardware")</f>
        <v>4241.7441768955377</v>
      </c>
      <c r="W20" s="76">
        <f>SUMIFS('EIM - 2021 WA E Detail - Actual'!Z$4:Z$27,'EIM - 2021 WA E Detail - Actual'!$C$4:$C$27,"General - Hardware")</f>
        <v>3865.0428369000001</v>
      </c>
      <c r="X20" s="76">
        <f>SUMIFS('EIM - 2021 WA E Detail - Actual'!AA$4:AA$27,'EIM - 2021 WA E Detail - Actual'!$C$4:$C$27,"General - Hardware")</f>
        <v>2542.1115083975396</v>
      </c>
      <c r="Y20" s="76">
        <f>SUMIFS('EIM - 2021 WA E Detail - Actual'!AB$4:AB$27,'EIM - 2021 WA E Detail - Actual'!$C$4:$C$27,"General - Hardware")</f>
        <v>1001.8013688000001</v>
      </c>
      <c r="Z20" s="76">
        <f>SUMIFS('EIM - 2021 WA E Detail - Actual'!AC$4:AC$27,'EIM - 2021 WA E Detail - Actual'!$C$4:$C$27,"General - Hardware")</f>
        <v>901.40121090000002</v>
      </c>
      <c r="AA20" s="76">
        <f>SUMIFS('EIM - 2021 WA E Detail - Actual'!AD$4:AD$27,'EIM - 2021 WA E Detail - Actual'!$C$4:$C$27,"General - Hardware")</f>
        <v>0</v>
      </c>
      <c r="AB20" s="76">
        <f>SUMIFS('EIM - 2021 WA E Detail - Actual'!AE$4:AE$27,'EIM - 2021 WA E Detail - Actual'!$C$4:$C$27,"General - Hardware")</f>
        <v>0</v>
      </c>
      <c r="AC20" s="76">
        <f>SUMIFS('EIM - 2021 WA E Detail - Actual'!AF$4:AF$27,'EIM - 2021 WA E Detail - Actual'!$C$4:$C$27,"General - Hardware")</f>
        <v>0</v>
      </c>
      <c r="AD20" s="2">
        <f>SUMIFS('EIM - 2022 WA E Detail - Actual'!U$4:U$27,'EIM - 2022 WA E Detail - Actual'!$C$4:$C$27,"General - Hardware")</f>
        <v>0</v>
      </c>
      <c r="AE20" s="2">
        <f>SUMIFS('EIM - 2022 WA E Detail - Actual'!V$4:V$27,'EIM - 2022 WA E Detail - Actual'!$C$4:$C$27,"General - Hardware")</f>
        <v>0</v>
      </c>
      <c r="AF20" s="2">
        <f>SUMIFS('EIM - 2022 WA E Detail - Actual'!W$4:W$27,'EIM - 2022 WA E Detail - Actual'!$C$4:$C$27,"General - Hardware")</f>
        <v>90508.603570999985</v>
      </c>
      <c r="AG20" s="2">
        <f>SUMIFS('EIM - 2022 WA E Detail - Actual'!X$4:X$27,'EIM - 2022 WA E Detail - Actual'!$C$4:$C$27,"General - Hardware")</f>
        <v>4489.7072239999998</v>
      </c>
      <c r="AH20" s="2">
        <f>SUMIFS('EIM - 2022 WA E Detail - Actual'!Y$4:Y$27,'EIM - 2022 WA E Detail - Actual'!$C$4:$C$27,"General - Hardware")</f>
        <v>6884.312985999999</v>
      </c>
      <c r="AI20" s="76">
        <f>SUMIFS('EIM - 2022 WA E Detail - Actual'!Z$4:Z$27,'EIM - 2022 WA E Detail - Actual'!$C$4:$C$27,"General - Hardware")</f>
        <v>46595.322952000002</v>
      </c>
      <c r="AJ20" s="105">
        <f>SUMIFS('EIM - 2022 WA E Detail - Actual'!AA$4:AA$27,'EIM - 2022 WA E Detail - Actual'!$C$4:$C$27,"General - Hardware")</f>
        <v>14804.92595702946</v>
      </c>
      <c r="AK20" s="105">
        <f>SUMIFS('EIM - 2022 WA E Detail - Actual'!AB$4:AB$27,'EIM - 2022 WA E Detail - Actual'!$C$4:$C$27,"General - Hardware")</f>
        <v>14804.92595702946</v>
      </c>
      <c r="AL20" s="105">
        <f>SUMIFS('EIM - 2022 WA E Detail - Actual'!AC$4:AC$27,'EIM - 2022 WA E Detail - Actual'!$C$4:$C$27,"General - Hardware")</f>
        <v>0</v>
      </c>
    </row>
    <row r="21" spans="1:38">
      <c r="C21" t="s">
        <v>19</v>
      </c>
      <c r="E21" s="2">
        <f>SUMIF('EIM - 2020 WA E Detail - Actual'!$C$4:$C$15,"Software 303",'EIM - 2020 WA E Detail - Actual'!U$4:U$15)</f>
        <v>194862.86176500001</v>
      </c>
      <c r="F21" s="2">
        <f>SUMIF('EIM - 2020 WA E Detail - Actual'!$C$4:$C$15,"Software 303",'EIM - 2020 WA E Detail - Actual'!V$4:V$15)</f>
        <v>29517.985448700001</v>
      </c>
      <c r="G21" s="2">
        <f>SUMIF('EIM - 2020 WA E Detail - Actual'!$C$4:$C$15,"Software 303",'EIM - 2020 WA E Detail - Actual'!W$4:W$15)</f>
        <v>8576.3570894999993</v>
      </c>
      <c r="H21" s="2">
        <f>SUMIF('EIM - 2020 WA E Detail - Actual'!$C$4:$C$15,"Software 303",'EIM - 2020 WA E Detail - Actual'!X$4:X$15)</f>
        <v>8554.8974324426927</v>
      </c>
      <c r="I21" s="2">
        <f>SUMIF('EIM - 2020 WA E Detail - Actual'!$C$4:$C$15,"Software 303",'EIM - 2020 WA E Detail - Actual'!Y$4:Y$15)</f>
        <v>0</v>
      </c>
      <c r="J21" s="2">
        <f>SUMIF('EIM - 2020 WA E Detail - Actual'!$C$4:$C$15,"Software 303",'EIM - 2020 WA E Detail - Actual'!Z$4:Z$15)</f>
        <v>0</v>
      </c>
      <c r="K21" s="2">
        <f>SUMIF('EIM - 2020 WA E Detail - Actual'!$C$4:$C$15,"Software 303",'EIM - 2020 WA E Detail - Actual'!AA$4:AA$15)</f>
        <v>1316.7151022999999</v>
      </c>
      <c r="L21" s="2">
        <f>SUMIF('EIM - 2020 WA E Detail - Actual'!$C$4:$C$15,"Software 303",'EIM - 2020 WA E Detail - Actual'!AB$4:AB$15)</f>
        <v>-99051.532830900003</v>
      </c>
      <c r="M21" s="2">
        <f>SUMIF('EIM - 2020 WA E Detail - Actual'!$C$4:$C$15,"Software 303",'EIM - 2020 WA E Detail - Actual'!AC$4:AC$15)</f>
        <v>0</v>
      </c>
      <c r="N21" s="2">
        <f>SUMIF('EIM - 2020 WA E Detail - Actual'!$C$4:$C$15,"Software 303",'EIM - 2020 WA E Detail - Actual'!AD$4:AD$15)</f>
        <v>0</v>
      </c>
      <c r="O21" s="2">
        <f>SUMIF('EIM - 2020 WA E Detail - Actual'!$C$4:$C$15,"Software 303",'EIM - 2020 WA E Detail - Actual'!AE$4:AE$15)</f>
        <v>0</v>
      </c>
      <c r="P21" s="2">
        <f>SUMIF('EIM - 2020 WA E Detail - Actual'!$C$4:$C$15,"Software 303",'EIM - 2020 WA E Detail - Actual'!AF$4:AF$15)</f>
        <v>0</v>
      </c>
      <c r="Q21" s="10">
        <f t="shared" si="80"/>
        <v>143777.2840070427</v>
      </c>
      <c r="R21" s="76">
        <f>SUMIFS('EIM - 2021 WA E Detail - Actual'!U$4:U$27,'EIM - 2021 WA E Detail - Actual'!$C$4:$C$27,"Software 303")</f>
        <v>0</v>
      </c>
      <c r="S21" s="76">
        <f>SUMIFS('EIM - 2021 WA E Detail - Actual'!V$4:V$27,'EIM - 2021 WA E Detail - Actual'!$C$4:$C$27,"Software 303")</f>
        <v>0</v>
      </c>
      <c r="T21" s="76">
        <f>SUMIFS('EIM - 2021 WA E Detail - Actual'!W$4:W$27,'EIM - 2021 WA E Detail - Actual'!$C$4:$C$27,"Software 303")</f>
        <v>0</v>
      </c>
      <c r="U21" s="76">
        <f>SUMIFS('EIM - 2021 WA E Detail - Actual'!X$4:X$27,'EIM - 2021 WA E Detail - Actual'!$C$4:$C$27,"Software 303")</f>
        <v>0</v>
      </c>
      <c r="V21" s="76">
        <f>SUMIFS('EIM - 2021 WA E Detail - Actual'!Y$4:Y$27,'EIM - 2021 WA E Detail - Actual'!$C$4:$C$27,"Software 303")</f>
        <v>0</v>
      </c>
      <c r="W21" s="76">
        <f>SUMIFS('EIM - 2021 WA E Detail - Actual'!Z$4:Z$27,'EIM - 2021 WA E Detail - Actual'!$C$4:$C$27,"Software 303")</f>
        <v>2594542.7162520001</v>
      </c>
      <c r="X21" s="76">
        <f>SUMIFS('EIM - 2021 WA E Detail - Actual'!AA$4:AA$27,'EIM - 2021 WA E Detail - Actual'!$C$4:$C$27,"Software 303")</f>
        <v>14165.545224</v>
      </c>
      <c r="Y21" s="76">
        <f>SUMIFS('EIM - 2021 WA E Detail - Actual'!AB$4:AB$27,'EIM - 2021 WA E Detail - Actual'!$C$4:$C$27,"Software 303")</f>
        <v>7045.8501120000001</v>
      </c>
      <c r="Z21" s="76">
        <f>SUMIFS('EIM - 2021 WA E Detail - Actual'!AC$4:AC$27,'EIM - 2021 WA E Detail - Actual'!$C$4:$C$27,"Software 303")</f>
        <v>5294.2007640000002</v>
      </c>
      <c r="AA21" s="76">
        <f>SUMIFS('EIM - 2021 WA E Detail - Actual'!AD$4:AD$27,'EIM - 2021 WA E Detail - Actual'!$C$4:$C$27,"Software 303")</f>
        <v>3009.0163680000005</v>
      </c>
      <c r="AB21" s="76">
        <f>SUMIFS('EIM - 2021 WA E Detail - Actual'!AE$4:AE$27,'EIM - 2021 WA E Detail - Actual'!$C$4:$C$27,"Software 303")</f>
        <v>10856.3637</v>
      </c>
      <c r="AC21" s="76">
        <f>SUMIFS('EIM - 2021 WA E Detail - Actual'!AF$4:AF$27,'EIM - 2021 WA E Detail - Actual'!$C$4:$C$27,"Software 303")</f>
        <v>858.20361600000001</v>
      </c>
      <c r="AD21" s="2">
        <f>SUMIFS('EIM - 2022 WA E Detail - Actual'!U$4:U$27,'EIM - 2022 WA E Detail - Actual'!$C$4:$C$27,"Software 303")</f>
        <v>0</v>
      </c>
      <c r="AE21" s="2">
        <f>SUMIFS('EIM - 2022 WA E Detail - Actual'!V$4:V$27,'EIM - 2022 WA E Detail - Actual'!$C$4:$C$27,"Software 303")</f>
        <v>0</v>
      </c>
      <c r="AF21" s="2">
        <f>SUMIFS('EIM - 2022 WA E Detail - Actual'!W$4:W$27,'EIM - 2022 WA E Detail - Actual'!$C$4:$C$27,"Software 303")</f>
        <v>6599261.4234669991</v>
      </c>
      <c r="AG21" s="2">
        <f>SUMIFS('EIM - 2022 WA E Detail - Actual'!X$4:X$27,'EIM - 2022 WA E Detail - Actual'!$C$4:$C$27,"Software 303")</f>
        <v>339238.76142699999</v>
      </c>
      <c r="AH21" s="2">
        <f>SUMIFS('EIM - 2022 WA E Detail - Actual'!Y$4:Y$27,'EIM - 2022 WA E Detail - Actual'!$C$4:$C$27,"Software 303")</f>
        <v>290013.35462599999</v>
      </c>
      <c r="AI21" s="76">
        <f>SUMIFS('EIM - 2022 WA E Detail - Actual'!Z$4:Z$27,'EIM - 2022 WA E Detail - Actual'!$C$4:$C$27,"Software 303")</f>
        <v>142279.47272199998</v>
      </c>
      <c r="AJ21" s="105">
        <f>SUMIFS('EIM - 2022 WA E Detail - Actual'!AA$4:AA$27,'EIM - 2022 WA E Detail - Actual'!$C$4:$C$27,"Software 303")</f>
        <v>45207.049235914536</v>
      </c>
      <c r="AK21" s="105">
        <f>SUMIFS('EIM - 2022 WA E Detail - Actual'!AB$4:AB$27,'EIM - 2022 WA E Detail - Actual'!$C$4:$C$27,"Software 303")</f>
        <v>45207.049235914536</v>
      </c>
      <c r="AL21" s="105">
        <f>SUMIFS('EIM - 2022 WA E Detail - Actual'!AC$4:AC$27,'EIM - 2022 WA E Detail - Actual'!$C$4:$C$27,"Software 303")</f>
        <v>0</v>
      </c>
    </row>
    <row r="22" spans="1:38">
      <c r="C22" s="4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0"/>
      <c r="R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 thickBot="1">
      <c r="B23" t="s">
        <v>2</v>
      </c>
      <c r="E23" s="5">
        <f t="shared" ref="E23:AL23" si="81">SUM(E15:E22)</f>
        <v>248725.10756610002</v>
      </c>
      <c r="F23" s="5">
        <f t="shared" si="81"/>
        <v>37677.084435900004</v>
      </c>
      <c r="G23" s="5">
        <f t="shared" si="81"/>
        <v>10946.9590398</v>
      </c>
      <c r="H23" s="5">
        <f t="shared" si="81"/>
        <v>9450.1892546426934</v>
      </c>
      <c r="I23" s="5">
        <f t="shared" si="81"/>
        <v>0</v>
      </c>
      <c r="J23" s="5">
        <f t="shared" si="81"/>
        <v>309000.98921999999</v>
      </c>
      <c r="K23" s="5">
        <f t="shared" si="81"/>
        <v>63661.9339062</v>
      </c>
      <c r="L23" s="5">
        <f t="shared" si="81"/>
        <v>104808.68738460001</v>
      </c>
      <c r="M23" s="5">
        <f t="shared" si="81"/>
        <v>195545.34303805887</v>
      </c>
      <c r="N23" s="5">
        <f t="shared" si="81"/>
        <v>267426.51205506636</v>
      </c>
      <c r="O23" s="5">
        <f t="shared" si="81"/>
        <v>23274.626166443159</v>
      </c>
      <c r="P23" s="5">
        <f t="shared" si="81"/>
        <v>484053.35755865223</v>
      </c>
      <c r="Q23" s="11">
        <f>SUM(Q15:Q22)</f>
        <v>1754570.7896254633</v>
      </c>
      <c r="R23" s="5">
        <f>SUM(R15:R22)</f>
        <v>260432.41561678261</v>
      </c>
      <c r="S23" s="5">
        <f t="shared" si="81"/>
        <v>182237.28096957615</v>
      </c>
      <c r="T23" s="5">
        <f t="shared" si="81"/>
        <v>501504.6706683886</v>
      </c>
      <c r="U23" s="5">
        <f t="shared" si="81"/>
        <v>1525043.5610908873</v>
      </c>
      <c r="V23" s="5">
        <f t="shared" si="81"/>
        <v>883434.8459517447</v>
      </c>
      <c r="W23" s="5">
        <f t="shared" si="81"/>
        <v>3195187.7741533699</v>
      </c>
      <c r="X23" s="5">
        <f t="shared" si="81"/>
        <v>19833.58200942316</v>
      </c>
      <c r="Y23" s="5">
        <f t="shared" si="81"/>
        <v>-573.99240772790927</v>
      </c>
      <c r="Z23" s="5">
        <f t="shared" si="81"/>
        <v>13242.270207831865</v>
      </c>
      <c r="AA23" s="5">
        <f t="shared" si="81"/>
        <v>32278.802710356693</v>
      </c>
      <c r="AB23" s="5">
        <f t="shared" si="81"/>
        <v>16353.292865663092</v>
      </c>
      <c r="AC23" s="5">
        <f t="shared" si="81"/>
        <v>5363.5400584337558</v>
      </c>
      <c r="AD23" s="5">
        <f t="shared" si="81"/>
        <v>1229.9363028037194</v>
      </c>
      <c r="AE23" s="5">
        <f t="shared" si="81"/>
        <v>8395.3108720537875</v>
      </c>
      <c r="AF23" s="5">
        <f t="shared" si="81"/>
        <v>6696832.1813869886</v>
      </c>
      <c r="AG23" s="5">
        <f t="shared" si="81"/>
        <v>348355.82422292675</v>
      </c>
      <c r="AH23" s="5">
        <f t="shared" si="81"/>
        <v>298547.87814579846</v>
      </c>
      <c r="AI23" s="5">
        <f t="shared" si="81"/>
        <v>189788.88606543656</v>
      </c>
      <c r="AJ23" s="5">
        <f t="shared" si="81"/>
        <v>60302.412938749338</v>
      </c>
      <c r="AK23" s="5">
        <f t="shared" si="81"/>
        <v>60302.412938749338</v>
      </c>
      <c r="AL23" s="5">
        <f t="shared" si="81"/>
        <v>0</v>
      </c>
    </row>
    <row r="24" spans="1:3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2">
        <f>R23-'EIM - 2021 WA E Detail - Actual'!U30</f>
        <v>0</v>
      </c>
      <c r="S24" s="2">
        <f>S23-'EIM - 2021 WA E Detail - Actual'!V30</f>
        <v>0</v>
      </c>
      <c r="T24" s="2">
        <f>T23-'EIM - 2021 WA E Detail - Actual'!W30</f>
        <v>0</v>
      </c>
      <c r="U24" s="2">
        <f>U23-'EIM - 2021 WA E Detail - Actual'!X30</f>
        <v>0</v>
      </c>
      <c r="V24" s="2">
        <f>V23-'EIM - 2021 WA E Detail - Actual'!Y30</f>
        <v>0</v>
      </c>
      <c r="W24" s="2">
        <f>W23-'EIM - 2021 WA E Detail - Actual'!Z30</f>
        <v>0</v>
      </c>
      <c r="X24" s="2">
        <f>X23-'EIM - 2021 WA E Detail - Actual'!AA30</f>
        <v>0</v>
      </c>
      <c r="Y24" s="2">
        <f>Y23-'EIM - 2021 WA E Detail - Actual'!AB30</f>
        <v>9.0949470177292824E-13</v>
      </c>
      <c r="Z24" s="2">
        <f>Z23-'EIM - 2021 WA E Detail - Actual'!AC30</f>
        <v>0</v>
      </c>
      <c r="AA24" s="2">
        <f>AA23-'EIM - 2021 WA E Detail - Actual'!AD30</f>
        <v>0</v>
      </c>
      <c r="AB24" s="2">
        <f>AB23-'EIM - 2021 WA E Detail - Actual'!AE30</f>
        <v>0</v>
      </c>
      <c r="AC24" s="2">
        <f>AC23-'EIM - 2021 WA E Detail - Actual'!AF30</f>
        <v>0</v>
      </c>
      <c r="AD24" s="2">
        <f>AD23-'EIM - 2022 WA E Detail - Actual'!U13</f>
        <v>0</v>
      </c>
      <c r="AE24" s="2">
        <f>AE23-'EIM - 2022 WA E Detail - Actual'!V13</f>
        <v>0</v>
      </c>
      <c r="AF24" s="2">
        <f>AF23-'EIM - 2022 WA E Detail - Actual'!W13</f>
        <v>0</v>
      </c>
      <c r="AG24" s="2">
        <f>AG23-'EIM - 2022 WA E Detail - Actual'!X13</f>
        <v>0</v>
      </c>
      <c r="AH24" s="2">
        <f>AH23-'EIM - 2022 WA E Detail - Actual'!Y13</f>
        <v>0</v>
      </c>
      <c r="AI24" s="2">
        <f>AI23-'EIM - 2022 WA E Detail - Actual'!Z13</f>
        <v>0</v>
      </c>
      <c r="AJ24" s="2">
        <f>AJ23-'EIM - 2022 WA E Detail - Actual'!AA13</f>
        <v>0</v>
      </c>
      <c r="AK24" s="2">
        <f>AK23-'EIM - 2022 WA E Detail - Actual'!AB13</f>
        <v>0</v>
      </c>
      <c r="AL24" s="2">
        <f>AL23-'EIM - 2022 WA E Detail - Actual'!AC13</f>
        <v>0</v>
      </c>
    </row>
    <row r="25" spans="1:38">
      <c r="Q25" s="12"/>
    </row>
    <row r="26" spans="1:38">
      <c r="A26" s="1" t="s">
        <v>6</v>
      </c>
      <c r="B26" t="s">
        <v>1</v>
      </c>
      <c r="C26" t="s">
        <v>17</v>
      </c>
      <c r="E26" s="2">
        <f>(0+((E15)/2))*$D$4/12</f>
        <v>0</v>
      </c>
      <c r="F26" s="2">
        <f>(E4+((F15)/2))*$D$4/12</f>
        <v>0</v>
      </c>
      <c r="G26" s="2">
        <f t="shared" ref="G26:P26" si="82">(F4+((G15)/2))*$D$4/12</f>
        <v>0</v>
      </c>
      <c r="H26" s="2">
        <f t="shared" si="82"/>
        <v>0</v>
      </c>
      <c r="I26" s="2">
        <f t="shared" si="82"/>
        <v>0</v>
      </c>
      <c r="J26" s="2">
        <f t="shared" si="82"/>
        <v>0</v>
      </c>
      <c r="K26" s="2">
        <f t="shared" si="82"/>
        <v>0</v>
      </c>
      <c r="L26" s="2">
        <f t="shared" si="82"/>
        <v>0</v>
      </c>
      <c r="M26" s="2">
        <f t="shared" si="82"/>
        <v>0</v>
      </c>
      <c r="N26" s="2">
        <f t="shared" si="82"/>
        <v>0</v>
      </c>
      <c r="O26" s="2">
        <f t="shared" si="82"/>
        <v>0</v>
      </c>
      <c r="P26" s="2">
        <f t="shared" si="82"/>
        <v>0</v>
      </c>
      <c r="Q26" s="10">
        <f>SUM(E26:P26)</f>
        <v>0</v>
      </c>
      <c r="R26" s="2">
        <f>(P4+((R15)/2))*$D$4/12</f>
        <v>0</v>
      </c>
      <c r="S26" s="2">
        <f>(R4+((S15)/2))*$D$4/12</f>
        <v>0</v>
      </c>
      <c r="T26" s="2">
        <f t="shared" ref="T26:AC26" si="83">(S4+((T15)/2))*$D$4/12</f>
        <v>26.030953958333331</v>
      </c>
      <c r="U26" s="2">
        <f t="shared" si="83"/>
        <v>55.016281249999999</v>
      </c>
      <c r="V26" s="2">
        <f t="shared" si="83"/>
        <v>58.693935416666669</v>
      </c>
      <c r="W26" s="2">
        <f t="shared" si="83"/>
        <v>153.96266520833333</v>
      </c>
      <c r="X26" s="2">
        <f t="shared" si="83"/>
        <v>249.01156875000001</v>
      </c>
      <c r="Y26" s="2">
        <f t="shared" si="83"/>
        <v>249.78874958333333</v>
      </c>
      <c r="Z26" s="2">
        <f t="shared" si="83"/>
        <v>259.08325333333329</v>
      </c>
      <c r="AA26" s="2">
        <f>(Z4+((AA15)/2))*$D$4/12</f>
        <v>268.51665166666663</v>
      </c>
      <c r="AB26" s="2">
        <f t="shared" si="83"/>
        <v>271.94783583333339</v>
      </c>
      <c r="AC26" s="2">
        <f t="shared" si="83"/>
        <v>274.96639916666663</v>
      </c>
      <c r="AD26" s="2">
        <f t="shared" ref="AD26:AL26" si="84">(AC4+((AD15)/2))*$D$4/12</f>
        <v>274.96639916666663</v>
      </c>
      <c r="AE26" s="2">
        <f t="shared" si="84"/>
        <v>277.2437558333333</v>
      </c>
      <c r="AF26" s="2">
        <f t="shared" si="84"/>
        <v>280.11345104166668</v>
      </c>
      <c r="AG26" s="2">
        <f t="shared" si="84"/>
        <v>280.70578958333334</v>
      </c>
      <c r="AH26" s="2">
        <f t="shared" si="84"/>
        <v>280.70578958333334</v>
      </c>
      <c r="AI26" s="2">
        <f t="shared" si="84"/>
        <v>280.70578958333334</v>
      </c>
      <c r="AJ26" s="2">
        <f t="shared" si="84"/>
        <v>280.70578958333334</v>
      </c>
      <c r="AK26" s="2">
        <f t="shared" si="84"/>
        <v>280.70578958333334</v>
      </c>
      <c r="AL26" s="2">
        <f t="shared" si="84"/>
        <v>280.70578958333334</v>
      </c>
    </row>
    <row r="27" spans="1:38">
      <c r="C27" t="s">
        <v>14</v>
      </c>
      <c r="E27" s="2">
        <f>(0+((E16)/2))*$D$5/12</f>
        <v>0</v>
      </c>
      <c r="F27" s="2">
        <f>(E5+((F16)/2))*$D$5/12</f>
        <v>0</v>
      </c>
      <c r="G27" s="2">
        <f t="shared" ref="G27:P27" si="85">(F5+((G16)/2))*$D$5/12</f>
        <v>0</v>
      </c>
      <c r="H27" s="2">
        <f t="shared" si="85"/>
        <v>0</v>
      </c>
      <c r="I27" s="2">
        <f t="shared" si="85"/>
        <v>0</v>
      </c>
      <c r="J27" s="2">
        <f t="shared" si="85"/>
        <v>0</v>
      </c>
      <c r="K27" s="2">
        <f t="shared" si="85"/>
        <v>0</v>
      </c>
      <c r="L27" s="2">
        <f t="shared" si="85"/>
        <v>85.975064522900013</v>
      </c>
      <c r="M27" s="2">
        <f t="shared" si="85"/>
        <v>171.95012904580003</v>
      </c>
      <c r="N27" s="2">
        <f t="shared" si="85"/>
        <v>205.47426918190001</v>
      </c>
      <c r="O27" s="2">
        <f t="shared" si="85"/>
        <v>239.76164957680001</v>
      </c>
      <c r="P27" s="2">
        <f t="shared" si="85"/>
        <v>243.75586589440005</v>
      </c>
      <c r="Q27" s="10">
        <f>SUM(E27:P27)</f>
        <v>946.91697822180004</v>
      </c>
      <c r="R27" s="2">
        <f>(P5+((R16)/2))*$D$5/12</f>
        <v>247.19464446350003</v>
      </c>
      <c r="S27" s="2">
        <f>(R5+((S16)/2))*$D$5/12</f>
        <v>243.92395363380004</v>
      </c>
      <c r="T27" s="2">
        <f t="shared" ref="T27:AC27" si="86">(S5+((T16)/2))*$D$5/12</f>
        <v>396.47069864170004</v>
      </c>
      <c r="U27" s="2">
        <f t="shared" si="86"/>
        <v>708.42682669890007</v>
      </c>
      <c r="V27" s="2">
        <f t="shared" si="86"/>
        <v>875.18425367510008</v>
      </c>
      <c r="W27" s="2">
        <f t="shared" si="86"/>
        <v>934.96760426360015</v>
      </c>
      <c r="X27" s="2">
        <f t="shared" si="86"/>
        <v>983.31223318150023</v>
      </c>
      <c r="Y27" s="2">
        <f t="shared" si="86"/>
        <v>970.61735511130007</v>
      </c>
      <c r="Z27" s="2">
        <f t="shared" si="86"/>
        <v>960.21347112410001</v>
      </c>
      <c r="AA27" s="2">
        <f t="shared" si="86"/>
        <v>963.68483169350009</v>
      </c>
      <c r="AB27" s="2">
        <f t="shared" si="86"/>
        <v>965.47738258360005</v>
      </c>
      <c r="AC27" s="2">
        <f t="shared" si="86"/>
        <v>928.90589861000024</v>
      </c>
      <c r="AD27" s="2">
        <f t="shared" ref="AD27:AL27" si="87">(AC5+((AD16)/2))*$D$5/12</f>
        <v>892.33441463640008</v>
      </c>
      <c r="AE27" s="2">
        <f t="shared" si="87"/>
        <v>896.46209151480014</v>
      </c>
      <c r="AF27" s="2">
        <f t="shared" si="87"/>
        <v>901.71459392180032</v>
      </c>
      <c r="AG27" s="2">
        <f t="shared" si="87"/>
        <v>902.91267401860023</v>
      </c>
      <c r="AH27" s="2">
        <f t="shared" si="87"/>
        <v>902.98592858680013</v>
      </c>
      <c r="AI27" s="2">
        <f t="shared" si="87"/>
        <v>902.98592858680013</v>
      </c>
      <c r="AJ27" s="2">
        <f t="shared" si="87"/>
        <v>902.98592858680013</v>
      </c>
      <c r="AK27" s="2">
        <f t="shared" si="87"/>
        <v>902.98592858680013</v>
      </c>
      <c r="AL27" s="2">
        <f t="shared" si="87"/>
        <v>902.98592858680013</v>
      </c>
    </row>
    <row r="28" spans="1:38">
      <c r="C28" t="s">
        <v>139</v>
      </c>
      <c r="E28" s="2">
        <f>(0+((E17)/2))*$D$6/12</f>
        <v>0</v>
      </c>
      <c r="F28" s="2">
        <f t="shared" ref="F28:P28" si="88">(E6+((F17)/2))*$D$6/12</f>
        <v>0</v>
      </c>
      <c r="G28" s="2">
        <f t="shared" si="88"/>
        <v>0</v>
      </c>
      <c r="H28" s="2">
        <f t="shared" si="88"/>
        <v>0</v>
      </c>
      <c r="I28" s="2">
        <f t="shared" si="88"/>
        <v>0</v>
      </c>
      <c r="J28" s="2">
        <f t="shared" si="88"/>
        <v>283.25090678499998</v>
      </c>
      <c r="K28" s="2">
        <f t="shared" si="88"/>
        <v>598.20789565899997</v>
      </c>
      <c r="L28" s="2">
        <f t="shared" si="88"/>
        <v>633.30793278499993</v>
      </c>
      <c r="M28" s="2">
        <f t="shared" si="88"/>
        <v>782.44096856199997</v>
      </c>
      <c r="N28" s="2">
        <f t="shared" si="88"/>
        <v>940.79648888500003</v>
      </c>
      <c r="O28" s="2">
        <f t="shared" si="88"/>
        <v>962.05599998199989</v>
      </c>
      <c r="P28" s="2">
        <f t="shared" si="88"/>
        <v>993.99832754199997</v>
      </c>
      <c r="Q28" s="10">
        <f t="shared" ref="Q28:Q32" si="89">SUM(E28:P28)</f>
        <v>5194.0585202000002</v>
      </c>
      <c r="R28" s="2">
        <f>(P6+((R17)/2))*$D$6/12</f>
        <v>1249.5086500709999</v>
      </c>
      <c r="S28" s="2">
        <f t="shared" ref="S28:AL28" si="90">(R6+((S17)/2))*$D$6/12</f>
        <v>1487.0815916109998</v>
      </c>
      <c r="T28" s="2">
        <f t="shared" si="90"/>
        <v>1484.982789807</v>
      </c>
      <c r="U28" s="2">
        <f t="shared" si="90"/>
        <v>2352.3044582070002</v>
      </c>
      <c r="V28" s="2">
        <f t="shared" si="90"/>
        <v>3687.8953669139996</v>
      </c>
      <c r="W28" s="2">
        <f t="shared" si="90"/>
        <v>4161.3112722389988</v>
      </c>
      <c r="X28" s="2">
        <f t="shared" si="90"/>
        <v>4135.9161687360001</v>
      </c>
      <c r="Y28" s="2">
        <f t="shared" si="90"/>
        <v>4085.8001545459992</v>
      </c>
      <c r="Z28" s="2">
        <f t="shared" si="90"/>
        <v>4076.9182321999997</v>
      </c>
      <c r="AA28" s="2">
        <f t="shared" si="90"/>
        <v>4076.9181479619997</v>
      </c>
      <c r="AB28" s="2">
        <f t="shared" si="90"/>
        <v>4073.6864172619994</v>
      </c>
      <c r="AC28" s="2">
        <f t="shared" si="90"/>
        <v>4073.6864172619994</v>
      </c>
      <c r="AD28" s="2">
        <f t="shared" si="90"/>
        <v>4073.6864172619994</v>
      </c>
      <c r="AE28" s="2">
        <f t="shared" si="90"/>
        <v>4073.6864172619994</v>
      </c>
      <c r="AF28" s="2">
        <f t="shared" si="90"/>
        <v>4073.6864172619994</v>
      </c>
      <c r="AG28" s="2">
        <f t="shared" si="90"/>
        <v>4073.6864172619994</v>
      </c>
      <c r="AH28" s="2">
        <f t="shared" si="90"/>
        <v>4073.6864172619994</v>
      </c>
      <c r="AI28" s="2">
        <f t="shared" si="90"/>
        <v>4073.6864172619994</v>
      </c>
      <c r="AJ28" s="2">
        <f t="shared" si="90"/>
        <v>4073.6864172619994</v>
      </c>
      <c r="AK28" s="2">
        <f t="shared" si="90"/>
        <v>4073.6864172619994</v>
      </c>
      <c r="AL28" s="2">
        <f t="shared" si="90"/>
        <v>4073.6864172619994</v>
      </c>
    </row>
    <row r="29" spans="1:38">
      <c r="C29" t="s">
        <v>144</v>
      </c>
      <c r="E29" s="2">
        <f>(0+((E18)/2))*$D$7/12</f>
        <v>0</v>
      </c>
      <c r="F29" s="2">
        <f t="shared" ref="F29:O29" si="91">(E7+((F18)/2))*$D$7/12</f>
        <v>0</v>
      </c>
      <c r="G29" s="2">
        <f t="shared" si="91"/>
        <v>0</v>
      </c>
      <c r="H29" s="2">
        <f t="shared" si="91"/>
        <v>0</v>
      </c>
      <c r="I29" s="2">
        <f t="shared" si="91"/>
        <v>0</v>
      </c>
      <c r="J29" s="2">
        <f t="shared" si="91"/>
        <v>0</v>
      </c>
      <c r="K29" s="2">
        <f t="shared" si="91"/>
        <v>0</v>
      </c>
      <c r="L29" s="2">
        <f t="shared" si="91"/>
        <v>0</v>
      </c>
      <c r="M29" s="2">
        <f t="shared" si="91"/>
        <v>0</v>
      </c>
      <c r="N29" s="2">
        <f t="shared" si="91"/>
        <v>0</v>
      </c>
      <c r="O29" s="2">
        <f t="shared" si="91"/>
        <v>0</v>
      </c>
      <c r="P29" s="2">
        <f>(O7+((P18)/2))*$D$7/12</f>
        <v>663.17233753099993</v>
      </c>
      <c r="Q29" s="10">
        <f t="shared" si="89"/>
        <v>663.17233753099993</v>
      </c>
      <c r="R29" s="2">
        <f>(P7+((R18)/2))*$D$7/12</f>
        <v>1332.6269922701999</v>
      </c>
      <c r="S29" s="2">
        <f>(R7+((S18)/2))*$D$7/12</f>
        <v>1344.113580598</v>
      </c>
      <c r="T29" s="2">
        <f t="shared" ref="T29:AL29" si="92">(S7+((T18)/2))*$D$7/12</f>
        <v>1351.6625223635999</v>
      </c>
      <c r="U29" s="2">
        <f t="shared" si="92"/>
        <v>1355.0218830419997</v>
      </c>
      <c r="V29" s="2">
        <f t="shared" si="92"/>
        <v>1621.1631124210999</v>
      </c>
      <c r="W29" s="2">
        <f t="shared" si="92"/>
        <v>2103.4185732511164</v>
      </c>
      <c r="X29" s="2">
        <f t="shared" si="92"/>
        <v>2321.178435879583</v>
      </c>
      <c r="Y29" s="2">
        <f t="shared" si="92"/>
        <v>2321.8093770247333</v>
      </c>
      <c r="Z29" s="2">
        <f t="shared" si="92"/>
        <v>2315.0202812497332</v>
      </c>
      <c r="AA29" s="2">
        <f t="shared" si="92"/>
        <v>2347.5053096941333</v>
      </c>
      <c r="AB29" s="2">
        <f t="shared" si="92"/>
        <v>2386.779433913533</v>
      </c>
      <c r="AC29" s="2">
        <f t="shared" si="92"/>
        <v>2386.779433913533</v>
      </c>
      <c r="AD29" s="2">
        <f t="shared" si="92"/>
        <v>2386.779433913533</v>
      </c>
      <c r="AE29" s="2">
        <f t="shared" si="92"/>
        <v>2386.779433913533</v>
      </c>
      <c r="AF29" s="2">
        <f t="shared" si="92"/>
        <v>2386.779433913533</v>
      </c>
      <c r="AG29" s="2">
        <f t="shared" si="92"/>
        <v>2386.779433913533</v>
      </c>
      <c r="AH29" s="2">
        <f t="shared" si="92"/>
        <v>2386.779433913533</v>
      </c>
      <c r="AI29" s="2">
        <f t="shared" si="92"/>
        <v>2386.779433913533</v>
      </c>
      <c r="AJ29" s="2">
        <f t="shared" si="92"/>
        <v>2386.779433913533</v>
      </c>
      <c r="AK29" s="2">
        <f t="shared" si="92"/>
        <v>2386.779433913533</v>
      </c>
      <c r="AL29" s="2">
        <f t="shared" si="92"/>
        <v>2386.779433913533</v>
      </c>
    </row>
    <row r="30" spans="1:38">
      <c r="C30" t="s">
        <v>137</v>
      </c>
      <c r="E30" s="2">
        <f>(0+((E19)/2))*$D$8/12</f>
        <v>0</v>
      </c>
      <c r="F30" s="2">
        <f t="shared" ref="F30:P30" si="93">(E8+((F19)/2))*$D$8/12</f>
        <v>0</v>
      </c>
      <c r="G30" s="2">
        <f t="shared" si="93"/>
        <v>0</v>
      </c>
      <c r="H30" s="2">
        <f t="shared" si="93"/>
        <v>0</v>
      </c>
      <c r="I30" s="2">
        <f t="shared" si="93"/>
        <v>0</v>
      </c>
      <c r="J30" s="2">
        <f t="shared" si="93"/>
        <v>0</v>
      </c>
      <c r="K30" s="2">
        <f t="shared" si="93"/>
        <v>43.257813594070001</v>
      </c>
      <c r="L30" s="2">
        <f t="shared" si="93"/>
        <v>296.59025939437754</v>
      </c>
      <c r="M30" s="2">
        <f t="shared" si="93"/>
        <v>564.39489005521625</v>
      </c>
      <c r="N30" s="2">
        <f t="shared" si="93"/>
        <v>961.02332926710994</v>
      </c>
      <c r="O30" s="2">
        <f t="shared" si="93"/>
        <v>1320.3824149540771</v>
      </c>
      <c r="P30" s="2">
        <f t="shared" si="93"/>
        <v>1353.1436132693068</v>
      </c>
      <c r="Q30" s="10">
        <f t="shared" si="89"/>
        <v>4538.7923205341576</v>
      </c>
      <c r="R30" s="2">
        <f>(P8+((R19)/2))*$D$8/12</f>
        <v>1369.6035055355144</v>
      </c>
      <c r="S30" s="2">
        <f t="shared" ref="S30:AL30" si="94">(R8+((S19)/2))*$D$8/12</f>
        <v>1653.1680857447393</v>
      </c>
      <c r="T30" s="2">
        <f t="shared" si="94"/>
        <v>2267.8756336617621</v>
      </c>
      <c r="U30" s="2">
        <f t="shared" si="94"/>
        <v>3035.7576635046175</v>
      </c>
      <c r="V30" s="2">
        <f t="shared" si="94"/>
        <v>3759.5892482344971</v>
      </c>
      <c r="W30" s="2">
        <f t="shared" si="94"/>
        <v>4504.0532401633754</v>
      </c>
      <c r="X30" s="2">
        <f t="shared" si="94"/>
        <v>5027.3453595253704</v>
      </c>
      <c r="Y30" s="2">
        <f t="shared" si="94"/>
        <v>5126.4850835911775</v>
      </c>
      <c r="Z30" s="2">
        <f t="shared" si="94"/>
        <v>5151.2898796407981</v>
      </c>
      <c r="AA30" s="2">
        <f t="shared" si="94"/>
        <v>5153.0764599308413</v>
      </c>
      <c r="AB30" s="2">
        <f t="shared" si="94"/>
        <v>5163.1290139692564</v>
      </c>
      <c r="AC30" s="2">
        <f t="shared" si="94"/>
        <v>5241.5391549944425</v>
      </c>
      <c r="AD30" s="2">
        <f t="shared" si="94"/>
        <v>5317.8805357903639</v>
      </c>
      <c r="AE30" s="2">
        <f t="shared" si="94"/>
        <v>5321.9633499883921</v>
      </c>
      <c r="AF30" s="2">
        <f t="shared" si="94"/>
        <v>5332.2704364994561</v>
      </c>
      <c r="AG30" s="2">
        <f t="shared" si="94"/>
        <v>5347.6095747167028</v>
      </c>
      <c r="AH30" s="2">
        <f t="shared" si="94"/>
        <v>5357.3881236773614</v>
      </c>
      <c r="AI30" s="2">
        <f t="shared" si="94"/>
        <v>5361.4375822217944</v>
      </c>
      <c r="AJ30" s="2">
        <f t="shared" si="94"/>
        <v>5363.3397329051886</v>
      </c>
      <c r="AK30" s="2">
        <f t="shared" si="94"/>
        <v>5364.2570321190242</v>
      </c>
      <c r="AL30" s="2">
        <f t="shared" si="94"/>
        <v>5364.715681725942</v>
      </c>
    </row>
    <row r="31" spans="1:38">
      <c r="C31" t="s">
        <v>146</v>
      </c>
      <c r="E31" s="2">
        <f>(0+((E20)/2))*$D$9/12</f>
        <v>448.85204834250004</v>
      </c>
      <c r="F31" s="2">
        <f>(E9+((F20)/2))*$D$9/12</f>
        <v>965.69658824500027</v>
      </c>
      <c r="G31" s="2">
        <f t="shared" ref="G31:P31" si="95">(F9+((G20)/2))*$D$9/12</f>
        <v>1053.4440960575</v>
      </c>
      <c r="H31" s="2">
        <f t="shared" si="95"/>
        <v>1080.659877495</v>
      </c>
      <c r="I31" s="2">
        <f t="shared" si="95"/>
        <v>1088.1206426800002</v>
      </c>
      <c r="J31" s="2">
        <f t="shared" si="95"/>
        <v>1088.1206426800002</v>
      </c>
      <c r="K31" s="2">
        <f t="shared" si="95"/>
        <v>1091.1536001525001</v>
      </c>
      <c r="L31" s="2">
        <f t="shared" si="95"/>
        <v>818.88496806250021</v>
      </c>
      <c r="M31" s="2">
        <f t="shared" si="95"/>
        <v>543.58337850000009</v>
      </c>
      <c r="N31" s="2">
        <f t="shared" si="95"/>
        <v>543.58337850000009</v>
      </c>
      <c r="O31" s="2">
        <f t="shared" si="95"/>
        <v>543.58337850000009</v>
      </c>
      <c r="P31" s="2">
        <f t="shared" si="95"/>
        <v>543.58337850000009</v>
      </c>
      <c r="Q31" s="10">
        <f t="shared" ref="Q31" si="96">SUM(E31:P31)</f>
        <v>9809.2659777150002</v>
      </c>
      <c r="R31" s="2">
        <f>(P9+((R20)/2))*$D$9/12</f>
        <v>543.58337850000009</v>
      </c>
      <c r="S31" s="2">
        <f t="shared" ref="S31:AL31" si="97">(Q9+((S20)/2))*$D$9/12</f>
        <v>543.58337850000009</v>
      </c>
      <c r="T31" s="2">
        <f t="shared" si="97"/>
        <v>1280.7299610575003</v>
      </c>
      <c r="U31" s="2">
        <f t="shared" si="97"/>
        <v>1473.2603706651091</v>
      </c>
      <c r="V31" s="2">
        <f t="shared" si="97"/>
        <v>2053.2244117557966</v>
      </c>
      <c r="W31" s="2">
        <f t="shared" si="97"/>
        <v>3909.4392182527185</v>
      </c>
      <c r="X31" s="2">
        <f t="shared" si="97"/>
        <v>3969.1105267967905</v>
      </c>
      <c r="Y31" s="2">
        <f t="shared" si="97"/>
        <v>4020.6919895818114</v>
      </c>
      <c r="Z31" s="2">
        <f t="shared" si="97"/>
        <v>4062.2238467392694</v>
      </c>
      <c r="AA31" s="2">
        <f t="shared" si="97"/>
        <v>4071.4088594617697</v>
      </c>
      <c r="AB31" s="2">
        <f t="shared" si="97"/>
        <v>4086.4322129767697</v>
      </c>
      <c r="AC31" s="2">
        <f t="shared" si="97"/>
        <v>4086.4322129767697</v>
      </c>
      <c r="AD31" s="2">
        <f t="shared" si="97"/>
        <v>4086.4322129767697</v>
      </c>
      <c r="AE31" s="2">
        <f t="shared" si="97"/>
        <v>4086.4322129767697</v>
      </c>
      <c r="AF31" s="2">
        <f t="shared" si="97"/>
        <v>4840.6705760684363</v>
      </c>
      <c r="AG31" s="2">
        <f t="shared" si="97"/>
        <v>4123.8464398434362</v>
      </c>
      <c r="AH31" s="2">
        <f t="shared" si="97"/>
        <v>5652.2782140434356</v>
      </c>
      <c r="AI31" s="2">
        <f t="shared" si="97"/>
        <v>6058.031750826769</v>
      </c>
      <c r="AJ31" s="2">
        <f t="shared" si="97"/>
        <v>5907.850325635347</v>
      </c>
      <c r="AK31" s="2">
        <f t="shared" si="97"/>
        <v>6684.4390415020143</v>
      </c>
      <c r="AL31" s="2">
        <f t="shared" si="97"/>
        <v>6807.81342447726</v>
      </c>
    </row>
    <row r="32" spans="1:38">
      <c r="C32" t="s">
        <v>19</v>
      </c>
      <c r="E32" s="2">
        <f>(0+((E21)/2))*$D$10/12</f>
        <v>1623.8571813750002</v>
      </c>
      <c r="F32" s="2">
        <f t="shared" ref="F32:P32" si="98">(E10+((F21)/2))*$D$10/12</f>
        <v>3493.6975748225009</v>
      </c>
      <c r="G32" s="2">
        <f t="shared" si="98"/>
        <v>3811.1504293075</v>
      </c>
      <c r="H32" s="2">
        <f t="shared" si="98"/>
        <v>3953.9108836570231</v>
      </c>
      <c r="I32" s="2">
        <f t="shared" si="98"/>
        <v>4025.2016955940453</v>
      </c>
      <c r="J32" s="2">
        <f t="shared" si="98"/>
        <v>4025.2016955940453</v>
      </c>
      <c r="K32" s="2">
        <f t="shared" si="98"/>
        <v>4036.1743214465455</v>
      </c>
      <c r="L32" s="2">
        <f t="shared" si="98"/>
        <v>3221.7175070415451</v>
      </c>
      <c r="M32" s="2">
        <f t="shared" si="98"/>
        <v>2396.288066784045</v>
      </c>
      <c r="N32" s="2">
        <f t="shared" si="98"/>
        <v>2396.288066784045</v>
      </c>
      <c r="O32" s="2">
        <f t="shared" si="98"/>
        <v>2396.288066784045</v>
      </c>
      <c r="P32" s="2">
        <f t="shared" si="98"/>
        <v>2396.288066784045</v>
      </c>
      <c r="Q32" s="10">
        <f t="shared" si="89"/>
        <v>37776.063555974382</v>
      </c>
      <c r="R32" s="2">
        <f>(P10+((R21)/2))*$D$10/12</f>
        <v>2396.288066784045</v>
      </c>
      <c r="S32" s="2">
        <f t="shared" ref="S32:AL32" si="99">(R10+((S21)/2))*$D$10/12</f>
        <v>2396.288066784045</v>
      </c>
      <c r="T32" s="2">
        <f t="shared" si="99"/>
        <v>2396.288066784045</v>
      </c>
      <c r="U32" s="2">
        <f t="shared" si="99"/>
        <v>2396.288066784045</v>
      </c>
      <c r="V32" s="2">
        <f t="shared" si="99"/>
        <v>2396.288066784045</v>
      </c>
      <c r="W32" s="2">
        <f t="shared" si="99"/>
        <v>24017.477368884047</v>
      </c>
      <c r="X32" s="2">
        <f t="shared" si="99"/>
        <v>45756.712881184045</v>
      </c>
      <c r="Y32" s="2">
        <f t="shared" si="99"/>
        <v>45933.474508984043</v>
      </c>
      <c r="Z32" s="2">
        <f t="shared" si="99"/>
        <v>46036.308266284053</v>
      </c>
      <c r="AA32" s="2">
        <f t="shared" si="99"/>
        <v>46105.50174238404</v>
      </c>
      <c r="AB32" s="2">
        <f t="shared" si="99"/>
        <v>46221.046576284039</v>
      </c>
      <c r="AC32" s="2">
        <f t="shared" si="99"/>
        <v>46318.667970584036</v>
      </c>
      <c r="AD32" s="2">
        <f t="shared" si="99"/>
        <v>46325.819667384036</v>
      </c>
      <c r="AE32" s="2">
        <f t="shared" si="99"/>
        <v>46325.819667384036</v>
      </c>
      <c r="AF32" s="2">
        <f t="shared" si="99"/>
        <v>101319.66486294236</v>
      </c>
      <c r="AG32" s="2">
        <f t="shared" si="99"/>
        <v>159140.49973705903</v>
      </c>
      <c r="AH32" s="2">
        <f t="shared" si="99"/>
        <v>164384.26737083402</v>
      </c>
      <c r="AI32" s="2">
        <f t="shared" si="99"/>
        <v>167986.70759873404</v>
      </c>
      <c r="AJ32" s="2">
        <f t="shared" si="99"/>
        <v>169549.09528171664</v>
      </c>
      <c r="AK32" s="2">
        <f t="shared" si="99"/>
        <v>170302.54610231519</v>
      </c>
      <c r="AL32" s="2">
        <f t="shared" si="99"/>
        <v>170679.27151261448</v>
      </c>
    </row>
    <row r="33" spans="1:38">
      <c r="C33" s="4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0"/>
      <c r="R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(AG11+((AH22)/2))*$D$11/12</f>
        <v>0</v>
      </c>
      <c r="AI33" s="2">
        <f>(AH11+((AI22)/2))*$D$11/12</f>
        <v>0</v>
      </c>
      <c r="AJ33" s="2">
        <f>(AI11+((AJ22)/2))*$D$11/12</f>
        <v>0</v>
      </c>
      <c r="AK33" s="2">
        <f>(AJ11+((AK22)/2))*$D$11/12</f>
        <v>0</v>
      </c>
      <c r="AL33" s="2">
        <f>(AK11+((AL22)/2))*$D$11/12</f>
        <v>0</v>
      </c>
    </row>
    <row r="34" spans="1:38" ht="13.5" thickBot="1">
      <c r="B34" t="s">
        <v>2</v>
      </c>
      <c r="E34" s="5">
        <f t="shared" ref="E34:AL34" si="100">SUM(E26:E33)</f>
        <v>2072.7092297175004</v>
      </c>
      <c r="F34" s="5">
        <f t="shared" si="100"/>
        <v>4459.3941630675008</v>
      </c>
      <c r="G34" s="5">
        <f t="shared" si="100"/>
        <v>4864.5945253649998</v>
      </c>
      <c r="H34" s="5">
        <f t="shared" si="100"/>
        <v>5034.5707611520229</v>
      </c>
      <c r="I34" s="5">
        <f t="shared" si="100"/>
        <v>5113.3223382740453</v>
      </c>
      <c r="J34" s="5">
        <f t="shared" si="100"/>
        <v>5396.5732450590458</v>
      </c>
      <c r="K34" s="5">
        <f t="shared" si="100"/>
        <v>5768.7936308521157</v>
      </c>
      <c r="L34" s="5">
        <f t="shared" si="100"/>
        <v>5056.475731806323</v>
      </c>
      <c r="M34" s="5">
        <f t="shared" si="100"/>
        <v>4458.6574329470614</v>
      </c>
      <c r="N34" s="5">
        <f t="shared" si="100"/>
        <v>5047.1655326180553</v>
      </c>
      <c r="O34" s="5">
        <f t="shared" si="100"/>
        <v>5462.0715097969223</v>
      </c>
      <c r="P34" s="5">
        <f t="shared" si="100"/>
        <v>6193.9415895207521</v>
      </c>
      <c r="Q34" s="11">
        <f t="shared" si="100"/>
        <v>58928.269690176341</v>
      </c>
      <c r="R34" s="5">
        <f t="shared" si="100"/>
        <v>7138.8052376242595</v>
      </c>
      <c r="S34" s="5">
        <f t="shared" si="100"/>
        <v>7668.1586568715848</v>
      </c>
      <c r="T34" s="5">
        <f t="shared" si="100"/>
        <v>9204.0406262739398</v>
      </c>
      <c r="U34" s="5">
        <f t="shared" si="100"/>
        <v>11376.075550151672</v>
      </c>
      <c r="V34" s="5">
        <f t="shared" si="100"/>
        <v>14452.038395201205</v>
      </c>
      <c r="W34" s="5">
        <f t="shared" si="100"/>
        <v>39784.629942262189</v>
      </c>
      <c r="X34" s="5">
        <f t="shared" si="100"/>
        <v>62442.587174053289</v>
      </c>
      <c r="Y34" s="5">
        <f t="shared" si="100"/>
        <v>62708.667218422401</v>
      </c>
      <c r="Z34" s="5">
        <f t="shared" si="100"/>
        <v>62861.057230571285</v>
      </c>
      <c r="AA34" s="5">
        <f t="shared" si="100"/>
        <v>62986.61200279295</v>
      </c>
      <c r="AB34" s="5">
        <f t="shared" si="100"/>
        <v>63168.498872822529</v>
      </c>
      <c r="AC34" s="5">
        <f t="shared" si="100"/>
        <v>63310.977487507451</v>
      </c>
      <c r="AD34" s="5">
        <f t="shared" si="100"/>
        <v>63357.89908112977</v>
      </c>
      <c r="AE34" s="5">
        <f t="shared" si="100"/>
        <v>63368.38692887286</v>
      </c>
      <c r="AF34" s="5">
        <f t="shared" si="100"/>
        <v>119134.89977164924</v>
      </c>
      <c r="AG34" s="5">
        <f t="shared" si="100"/>
        <v>176256.04006639664</v>
      </c>
      <c r="AH34" s="5">
        <f t="shared" si="100"/>
        <v>183038.09127790047</v>
      </c>
      <c r="AI34" s="5">
        <f t="shared" si="100"/>
        <v>187050.33450112827</v>
      </c>
      <c r="AJ34" s="5">
        <f t="shared" si="100"/>
        <v>188464.44290960283</v>
      </c>
      <c r="AK34" s="5">
        <f t="shared" si="100"/>
        <v>189995.3997452819</v>
      </c>
      <c r="AL34" s="5">
        <f t="shared" si="100"/>
        <v>190495.95818816335</v>
      </c>
    </row>
    <row r="35" spans="1:38">
      <c r="Q35" s="12"/>
    </row>
    <row r="36" spans="1:38" ht="9" customHeight="1">
      <c r="Q36" s="12"/>
    </row>
    <row r="37" spans="1:38">
      <c r="A37" s="1" t="s">
        <v>8</v>
      </c>
      <c r="B37" t="s">
        <v>1</v>
      </c>
      <c r="C37" t="s">
        <v>17</v>
      </c>
      <c r="E37" s="2">
        <f t="shared" ref="E37:E42" si="101">-E26</f>
        <v>0</v>
      </c>
      <c r="F37" s="2">
        <f t="shared" ref="F37:P37" si="102">E37-F26</f>
        <v>0</v>
      </c>
      <c r="G37" s="2">
        <f t="shared" si="102"/>
        <v>0</v>
      </c>
      <c r="H37" s="2">
        <f t="shared" si="102"/>
        <v>0</v>
      </c>
      <c r="I37" s="2">
        <f t="shared" si="102"/>
        <v>0</v>
      </c>
      <c r="J37" s="2">
        <f t="shared" si="102"/>
        <v>0</v>
      </c>
      <c r="K37" s="2">
        <f t="shared" si="102"/>
        <v>0</v>
      </c>
      <c r="L37" s="2">
        <f t="shared" si="102"/>
        <v>0</v>
      </c>
      <c r="M37" s="2">
        <f t="shared" si="102"/>
        <v>0</v>
      </c>
      <c r="N37" s="2">
        <f t="shared" si="102"/>
        <v>0</v>
      </c>
      <c r="O37" s="2">
        <f t="shared" si="102"/>
        <v>0</v>
      </c>
      <c r="P37" s="2">
        <f t="shared" si="102"/>
        <v>0</v>
      </c>
      <c r="Q37" s="13">
        <f>P37</f>
        <v>0</v>
      </c>
      <c r="R37" s="2">
        <f t="shared" ref="R37:AL37" si="103">Q37-R26</f>
        <v>0</v>
      </c>
      <c r="S37" s="2">
        <f t="shared" si="103"/>
        <v>0</v>
      </c>
      <c r="T37" s="2">
        <f t="shared" si="103"/>
        <v>-26.030953958333331</v>
      </c>
      <c r="U37" s="2">
        <f t="shared" si="103"/>
        <v>-81.047235208333333</v>
      </c>
      <c r="V37" s="2">
        <f t="shared" si="103"/>
        <v>-139.741170625</v>
      </c>
      <c r="W37" s="2">
        <f t="shared" si="103"/>
        <v>-293.7038358333333</v>
      </c>
      <c r="X37" s="2">
        <f t="shared" si="103"/>
        <v>-542.71540458333334</v>
      </c>
      <c r="Y37" s="2">
        <f t="shared" si="103"/>
        <v>-792.50415416666669</v>
      </c>
      <c r="Z37" s="2">
        <f t="shared" si="103"/>
        <v>-1051.5874074999999</v>
      </c>
      <c r="AA37" s="2">
        <f t="shared" si="103"/>
        <v>-1320.1040591666665</v>
      </c>
      <c r="AB37" s="2">
        <f t="shared" si="103"/>
        <v>-1592.0518949999998</v>
      </c>
      <c r="AC37" s="2">
        <f t="shared" si="103"/>
        <v>-1867.0182941666665</v>
      </c>
      <c r="AD37" s="2">
        <f t="shared" si="103"/>
        <v>-2141.9846933333329</v>
      </c>
      <c r="AE37" s="2">
        <f t="shared" si="103"/>
        <v>-2419.228449166666</v>
      </c>
      <c r="AF37" s="2">
        <f t="shared" si="103"/>
        <v>-2699.3419002083328</v>
      </c>
      <c r="AG37" s="2">
        <f t="shared" si="103"/>
        <v>-2980.047689791666</v>
      </c>
      <c r="AH37" s="2">
        <f t="shared" si="103"/>
        <v>-3260.7534793749992</v>
      </c>
      <c r="AI37" s="2">
        <f t="shared" si="103"/>
        <v>-3541.4592689583324</v>
      </c>
      <c r="AJ37" s="2">
        <f t="shared" si="103"/>
        <v>-3822.1650585416655</v>
      </c>
      <c r="AK37" s="2">
        <f t="shared" si="103"/>
        <v>-4102.8708481249987</v>
      </c>
      <c r="AL37" s="2">
        <f t="shared" si="103"/>
        <v>-4383.5766377083319</v>
      </c>
    </row>
    <row r="38" spans="1:38">
      <c r="C38" t="s">
        <v>14</v>
      </c>
      <c r="E38" s="2">
        <f t="shared" si="101"/>
        <v>0</v>
      </c>
      <c r="F38" s="2">
        <f t="shared" ref="F38:P38" si="104">E38-F27</f>
        <v>0</v>
      </c>
      <c r="G38" s="2">
        <f t="shared" si="104"/>
        <v>0</v>
      </c>
      <c r="H38" s="2">
        <f t="shared" si="104"/>
        <v>0</v>
      </c>
      <c r="I38" s="2">
        <f t="shared" si="104"/>
        <v>0</v>
      </c>
      <c r="J38" s="2">
        <f t="shared" si="104"/>
        <v>0</v>
      </c>
      <c r="K38" s="2">
        <f t="shared" si="104"/>
        <v>0</v>
      </c>
      <c r="L38" s="2">
        <f t="shared" si="104"/>
        <v>-85.975064522900013</v>
      </c>
      <c r="M38" s="2">
        <f t="shared" si="104"/>
        <v>-257.92519356870002</v>
      </c>
      <c r="N38" s="2">
        <f t="shared" si="104"/>
        <v>-463.39946275060004</v>
      </c>
      <c r="O38" s="2">
        <f t="shared" si="104"/>
        <v>-703.16111232740002</v>
      </c>
      <c r="P38" s="2">
        <f t="shared" si="104"/>
        <v>-946.91697822180004</v>
      </c>
      <c r="Q38" s="13">
        <f t="shared" ref="Q38:Q43" si="105">P38</f>
        <v>-946.91697822180004</v>
      </c>
      <c r="R38" s="2">
        <f t="shared" ref="R38:AL38" si="106">Q38-R27</f>
        <v>-1194.1116226853001</v>
      </c>
      <c r="S38" s="2">
        <f t="shared" si="106"/>
        <v>-1438.0355763191001</v>
      </c>
      <c r="T38" s="2">
        <f t="shared" si="106"/>
        <v>-1834.5062749608001</v>
      </c>
      <c r="U38" s="2">
        <f t="shared" si="106"/>
        <v>-2542.9331016597002</v>
      </c>
      <c r="V38" s="2">
        <f t="shared" si="106"/>
        <v>-3418.1173553348003</v>
      </c>
      <c r="W38" s="2">
        <f t="shared" si="106"/>
        <v>-4353.0849595984</v>
      </c>
      <c r="X38" s="2">
        <f t="shared" si="106"/>
        <v>-5336.3971927799003</v>
      </c>
      <c r="Y38" s="2">
        <f t="shared" si="106"/>
        <v>-6307.0145478912</v>
      </c>
      <c r="Z38" s="2">
        <f t="shared" si="106"/>
        <v>-7267.2280190152997</v>
      </c>
      <c r="AA38" s="2">
        <f t="shared" si="106"/>
        <v>-8230.9128507087989</v>
      </c>
      <c r="AB38" s="2">
        <f t="shared" si="106"/>
        <v>-9196.390233292399</v>
      </c>
      <c r="AC38" s="2">
        <f t="shared" si="106"/>
        <v>-10125.2961319024</v>
      </c>
      <c r="AD38" s="2">
        <f t="shared" si="106"/>
        <v>-11017.6305465388</v>
      </c>
      <c r="AE38" s="2">
        <f t="shared" si="106"/>
        <v>-11914.0926380536</v>
      </c>
      <c r="AF38" s="2">
        <f t="shared" si="106"/>
        <v>-12815.807231975401</v>
      </c>
      <c r="AG38" s="2">
        <f t="shared" si="106"/>
        <v>-13718.719905994001</v>
      </c>
      <c r="AH38" s="2">
        <f t="shared" si="106"/>
        <v>-14621.705834580802</v>
      </c>
      <c r="AI38" s="2">
        <f t="shared" si="106"/>
        <v>-15524.691763167602</v>
      </c>
      <c r="AJ38" s="2">
        <f t="shared" si="106"/>
        <v>-16427.677691754401</v>
      </c>
      <c r="AK38" s="2">
        <f t="shared" si="106"/>
        <v>-17330.663620341202</v>
      </c>
      <c r="AL38" s="2">
        <f t="shared" si="106"/>
        <v>-18233.649548928002</v>
      </c>
    </row>
    <row r="39" spans="1:38">
      <c r="C39" t="s">
        <v>139</v>
      </c>
      <c r="E39" s="2">
        <f t="shared" si="101"/>
        <v>0</v>
      </c>
      <c r="F39" s="2">
        <f t="shared" ref="F39:P39" si="107">E39-F28</f>
        <v>0</v>
      </c>
      <c r="G39" s="2">
        <f t="shared" si="107"/>
        <v>0</v>
      </c>
      <c r="H39" s="2">
        <f t="shared" si="107"/>
        <v>0</v>
      </c>
      <c r="I39" s="2">
        <f t="shared" si="107"/>
        <v>0</v>
      </c>
      <c r="J39" s="2">
        <f t="shared" si="107"/>
        <v>-283.25090678499998</v>
      </c>
      <c r="K39" s="2">
        <f t="shared" si="107"/>
        <v>-881.45880244399996</v>
      </c>
      <c r="L39" s="2">
        <f t="shared" si="107"/>
        <v>-1514.766735229</v>
      </c>
      <c r="M39" s="2">
        <f t="shared" si="107"/>
        <v>-2297.2077037909999</v>
      </c>
      <c r="N39" s="2">
        <f t="shared" si="107"/>
        <v>-3238.004192676</v>
      </c>
      <c r="O39" s="2">
        <f t="shared" si="107"/>
        <v>-4200.0601926580002</v>
      </c>
      <c r="P39" s="2">
        <f t="shared" si="107"/>
        <v>-5194.0585202000002</v>
      </c>
      <c r="Q39" s="13">
        <f t="shared" si="105"/>
        <v>-5194.0585202000002</v>
      </c>
      <c r="R39" s="2">
        <f>Q39-R28</f>
        <v>-6443.5671702710006</v>
      </c>
      <c r="S39" s="2">
        <f t="shared" ref="S39:AG39" si="108">R39-S28</f>
        <v>-7930.6487618820001</v>
      </c>
      <c r="T39" s="2">
        <f t="shared" si="108"/>
        <v>-9415.6315516890008</v>
      </c>
      <c r="U39" s="2">
        <f t="shared" si="108"/>
        <v>-11767.936009896001</v>
      </c>
      <c r="V39" s="2">
        <f t="shared" si="108"/>
        <v>-15455.83137681</v>
      </c>
      <c r="W39" s="2">
        <f t="shared" si="108"/>
        <v>-19617.142649048998</v>
      </c>
      <c r="X39" s="2">
        <f t="shared" si="108"/>
        <v>-23753.058817784997</v>
      </c>
      <c r="Y39" s="2">
        <f t="shared" si="108"/>
        <v>-27838.858972330996</v>
      </c>
      <c r="Z39" s="2">
        <f t="shared" si="108"/>
        <v>-31915.777204530998</v>
      </c>
      <c r="AA39" s="2">
        <f t="shared" si="108"/>
        <v>-35992.695352493</v>
      </c>
      <c r="AB39" s="2">
        <f t="shared" si="108"/>
        <v>-40066.381769754997</v>
      </c>
      <c r="AC39" s="2">
        <f t="shared" si="108"/>
        <v>-44140.068187016994</v>
      </c>
      <c r="AD39" s="2">
        <f t="shared" si="108"/>
        <v>-48213.754604278991</v>
      </c>
      <c r="AE39" s="2">
        <f t="shared" si="108"/>
        <v>-52287.441021540988</v>
      </c>
      <c r="AF39" s="2">
        <f t="shared" si="108"/>
        <v>-56361.127438802985</v>
      </c>
      <c r="AG39" s="2">
        <f t="shared" si="108"/>
        <v>-60434.813856064982</v>
      </c>
      <c r="AH39" s="2">
        <f t="shared" ref="AH39:AL42" si="109">AG39-AH28</f>
        <v>-64508.500273326979</v>
      </c>
      <c r="AI39" s="2">
        <f t="shared" si="109"/>
        <v>-68582.186690588976</v>
      </c>
      <c r="AJ39" s="2">
        <f t="shared" si="109"/>
        <v>-72655.873107850974</v>
      </c>
      <c r="AK39" s="2">
        <f t="shared" si="109"/>
        <v>-76729.559525112971</v>
      </c>
      <c r="AL39" s="2">
        <f t="shared" si="109"/>
        <v>-80803.245942374968</v>
      </c>
    </row>
    <row r="40" spans="1:38">
      <c r="C40" t="s">
        <v>144</v>
      </c>
      <c r="E40" s="2">
        <f t="shared" si="101"/>
        <v>0</v>
      </c>
      <c r="F40" s="2">
        <f t="shared" ref="F40:P40" si="110">E40-F29</f>
        <v>0</v>
      </c>
      <c r="G40" s="2">
        <f t="shared" si="110"/>
        <v>0</v>
      </c>
      <c r="H40" s="2">
        <f t="shared" si="110"/>
        <v>0</v>
      </c>
      <c r="I40" s="2">
        <f t="shared" si="110"/>
        <v>0</v>
      </c>
      <c r="J40" s="2">
        <f t="shared" si="110"/>
        <v>0</v>
      </c>
      <c r="K40" s="2">
        <f t="shared" si="110"/>
        <v>0</v>
      </c>
      <c r="L40" s="2">
        <f t="shared" si="110"/>
        <v>0</v>
      </c>
      <c r="M40" s="2">
        <f t="shared" si="110"/>
        <v>0</v>
      </c>
      <c r="N40" s="2">
        <f t="shared" si="110"/>
        <v>0</v>
      </c>
      <c r="O40" s="2">
        <f t="shared" si="110"/>
        <v>0</v>
      </c>
      <c r="P40" s="2">
        <f t="shared" si="110"/>
        <v>-663.17233753099993</v>
      </c>
      <c r="Q40" s="13">
        <f t="shared" ref="Q40" si="111">P40</f>
        <v>-663.17233753099993</v>
      </c>
      <c r="R40" s="2">
        <f>Q40-R29</f>
        <v>-1995.7993298011997</v>
      </c>
      <c r="S40" s="2">
        <f t="shared" ref="S40" si="112">R40-S29</f>
        <v>-3339.9129103992</v>
      </c>
      <c r="T40" s="2">
        <f t="shared" ref="T40" si="113">S40-T29</f>
        <v>-4691.5754327628001</v>
      </c>
      <c r="U40" s="2">
        <f t="shared" ref="U40" si="114">T40-U29</f>
        <v>-6046.5973158048</v>
      </c>
      <c r="V40" s="2">
        <f t="shared" ref="V40" si="115">U40-V29</f>
        <v>-7667.7604282258999</v>
      </c>
      <c r="W40" s="2">
        <f t="shared" ref="W40" si="116">V40-W29</f>
        <v>-9771.1790014770158</v>
      </c>
      <c r="X40" s="2">
        <f t="shared" ref="X40" si="117">W40-X29</f>
        <v>-12092.357437356599</v>
      </c>
      <c r="Y40" s="2">
        <f t="shared" ref="Y40" si="118">X40-Y29</f>
        <v>-14414.166814381333</v>
      </c>
      <c r="Z40" s="2">
        <f t="shared" ref="Z40" si="119">Y40-Z29</f>
        <v>-16729.187095631067</v>
      </c>
      <c r="AA40" s="2">
        <f t="shared" ref="AA40" si="120">Z40-AA29</f>
        <v>-19076.692405325201</v>
      </c>
      <c r="AB40" s="2">
        <f t="shared" ref="AB40" si="121">AA40-AB29</f>
        <v>-21463.471839238733</v>
      </c>
      <c r="AC40" s="2">
        <f t="shared" ref="AC40" si="122">AB40-AC29</f>
        <v>-23850.251273152266</v>
      </c>
      <c r="AD40" s="2">
        <f t="shared" ref="AD40" si="123">AC40-AD29</f>
        <v>-26237.030707065798</v>
      </c>
      <c r="AE40" s="2">
        <f t="shared" ref="AE40" si="124">AD40-AE29</f>
        <v>-28623.810140979331</v>
      </c>
      <c r="AF40" s="2">
        <f t="shared" ref="AF40" si="125">AE40-AF29</f>
        <v>-31010.589574892863</v>
      </c>
      <c r="AG40" s="2">
        <f t="shared" ref="AG40" si="126">AF40-AG29</f>
        <v>-33397.369008806396</v>
      </c>
      <c r="AH40" s="2">
        <f t="shared" si="109"/>
        <v>-35784.148442719932</v>
      </c>
      <c r="AI40" s="2">
        <f t="shared" si="109"/>
        <v>-38170.927876633468</v>
      </c>
      <c r="AJ40" s="2">
        <f t="shared" si="109"/>
        <v>-40557.707310547004</v>
      </c>
      <c r="AK40" s="2">
        <f t="shared" si="109"/>
        <v>-42944.486744460541</v>
      </c>
      <c r="AL40" s="2">
        <f t="shared" si="109"/>
        <v>-45331.266178374077</v>
      </c>
    </row>
    <row r="41" spans="1:38">
      <c r="C41" t="s">
        <v>137</v>
      </c>
      <c r="E41" s="2">
        <f t="shared" si="101"/>
        <v>0</v>
      </c>
      <c r="F41" s="2">
        <f t="shared" ref="F41:P41" si="127">E41-F30</f>
        <v>0</v>
      </c>
      <c r="G41" s="2">
        <f t="shared" si="127"/>
        <v>0</v>
      </c>
      <c r="H41" s="2">
        <f t="shared" si="127"/>
        <v>0</v>
      </c>
      <c r="I41" s="2">
        <f t="shared" si="127"/>
        <v>0</v>
      </c>
      <c r="J41" s="2">
        <f t="shared" si="127"/>
        <v>0</v>
      </c>
      <c r="K41" s="2">
        <f t="shared" si="127"/>
        <v>-43.257813594070001</v>
      </c>
      <c r="L41" s="2">
        <f t="shared" si="127"/>
        <v>-339.84807298844754</v>
      </c>
      <c r="M41" s="2">
        <f t="shared" si="127"/>
        <v>-904.24296304366385</v>
      </c>
      <c r="N41" s="2">
        <f t="shared" si="127"/>
        <v>-1865.2662923107737</v>
      </c>
      <c r="O41" s="2">
        <f t="shared" si="127"/>
        <v>-3185.6487072648506</v>
      </c>
      <c r="P41" s="2">
        <f t="shared" si="127"/>
        <v>-4538.7923205341576</v>
      </c>
      <c r="Q41" s="13">
        <f t="shared" si="105"/>
        <v>-4538.7923205341576</v>
      </c>
      <c r="R41" s="2">
        <f>Q41-R30</f>
        <v>-5908.3958260696718</v>
      </c>
      <c r="S41" s="2">
        <f t="shared" ref="S41:AG41" si="128">R41-S30</f>
        <v>-7561.5639118144109</v>
      </c>
      <c r="T41" s="2">
        <f t="shared" si="128"/>
        <v>-9829.4395454761725</v>
      </c>
      <c r="U41" s="2">
        <f t="shared" si="128"/>
        <v>-12865.19720898079</v>
      </c>
      <c r="V41" s="2">
        <f t="shared" si="128"/>
        <v>-16624.786457215287</v>
      </c>
      <c r="W41" s="2">
        <f t="shared" si="128"/>
        <v>-21128.839697378662</v>
      </c>
      <c r="X41" s="2">
        <f t="shared" si="128"/>
        <v>-26156.185056904033</v>
      </c>
      <c r="Y41" s="2">
        <f t="shared" si="128"/>
        <v>-31282.670140495211</v>
      </c>
      <c r="Z41" s="2">
        <f t="shared" si="128"/>
        <v>-36433.960020136008</v>
      </c>
      <c r="AA41" s="2">
        <f t="shared" si="128"/>
        <v>-41587.036480066847</v>
      </c>
      <c r="AB41" s="2">
        <f t="shared" si="128"/>
        <v>-46750.165494036104</v>
      </c>
      <c r="AC41" s="2">
        <f t="shared" si="128"/>
        <v>-51991.704649030544</v>
      </c>
      <c r="AD41" s="2">
        <f t="shared" si="128"/>
        <v>-57309.585184820906</v>
      </c>
      <c r="AE41" s="2">
        <f t="shared" si="128"/>
        <v>-62631.548534809299</v>
      </c>
      <c r="AF41" s="2">
        <f t="shared" si="128"/>
        <v>-67963.818971308749</v>
      </c>
      <c r="AG41" s="2">
        <f t="shared" si="128"/>
        <v>-73311.428546025447</v>
      </c>
      <c r="AH41" s="2">
        <f t="shared" si="109"/>
        <v>-78668.816669702806</v>
      </c>
      <c r="AI41" s="2">
        <f t="shared" si="109"/>
        <v>-84030.254251924605</v>
      </c>
      <c r="AJ41" s="2">
        <f t="shared" si="109"/>
        <v>-89393.5939848298</v>
      </c>
      <c r="AK41" s="2">
        <f t="shared" si="109"/>
        <v>-94757.851016948829</v>
      </c>
      <c r="AL41" s="2">
        <f t="shared" si="109"/>
        <v>-100122.56669867477</v>
      </c>
    </row>
    <row r="42" spans="1:38">
      <c r="C42" t="s">
        <v>146</v>
      </c>
      <c r="E42" s="2">
        <f t="shared" si="101"/>
        <v>-448.85204834250004</v>
      </c>
      <c r="F42" s="2">
        <f t="shared" ref="F42:P42" si="129">E42-F31</f>
        <v>-1414.5486365875004</v>
      </c>
      <c r="G42" s="2">
        <f t="shared" si="129"/>
        <v>-2467.9927326450006</v>
      </c>
      <c r="H42" s="2">
        <f t="shared" si="129"/>
        <v>-3548.6526101400004</v>
      </c>
      <c r="I42" s="2">
        <f t="shared" si="129"/>
        <v>-4636.7732528200004</v>
      </c>
      <c r="J42" s="2">
        <f t="shared" si="129"/>
        <v>-5724.8938955000003</v>
      </c>
      <c r="K42" s="2">
        <f t="shared" si="129"/>
        <v>-6816.0474956525004</v>
      </c>
      <c r="L42" s="2">
        <f t="shared" si="129"/>
        <v>-7634.9324637150003</v>
      </c>
      <c r="M42" s="2">
        <f t="shared" si="129"/>
        <v>-8178.5158422150007</v>
      </c>
      <c r="N42" s="2">
        <f t="shared" si="129"/>
        <v>-8722.0992207150011</v>
      </c>
      <c r="O42" s="2">
        <f t="shared" si="129"/>
        <v>-9265.6825992150007</v>
      </c>
      <c r="P42" s="2">
        <f t="shared" si="129"/>
        <v>-9809.2659777150002</v>
      </c>
      <c r="Q42" s="13">
        <f t="shared" ref="Q42" si="130">P42</f>
        <v>-9809.2659777150002</v>
      </c>
      <c r="R42" s="2">
        <f>Q42-R31</f>
        <v>-10352.849356215</v>
      </c>
      <c r="S42" s="2">
        <f t="shared" ref="S42:AG42" si="131">R42-S31</f>
        <v>-10896.432734714999</v>
      </c>
      <c r="T42" s="2">
        <f t="shared" si="131"/>
        <v>-12177.1626957725</v>
      </c>
      <c r="U42" s="2">
        <f t="shared" si="131"/>
        <v>-13650.42306643761</v>
      </c>
      <c r="V42" s="2">
        <f t="shared" si="131"/>
        <v>-15703.647478193407</v>
      </c>
      <c r="W42" s="2">
        <f t="shared" si="131"/>
        <v>-19613.086696446124</v>
      </c>
      <c r="X42" s="2">
        <f t="shared" si="131"/>
        <v>-23582.197223242914</v>
      </c>
      <c r="Y42" s="2">
        <f t="shared" si="131"/>
        <v>-27602.889212824724</v>
      </c>
      <c r="Z42" s="2">
        <f t="shared" si="131"/>
        <v>-31665.113059563995</v>
      </c>
      <c r="AA42" s="2">
        <f t="shared" si="131"/>
        <v>-35736.521919025763</v>
      </c>
      <c r="AB42" s="2">
        <f t="shared" si="131"/>
        <v>-39822.954132002531</v>
      </c>
      <c r="AC42" s="2">
        <f t="shared" si="131"/>
        <v>-43909.386344979299</v>
      </c>
      <c r="AD42" s="2">
        <f t="shared" si="131"/>
        <v>-47995.818557956067</v>
      </c>
      <c r="AE42" s="2">
        <f t="shared" si="131"/>
        <v>-52082.250770932835</v>
      </c>
      <c r="AF42" s="2">
        <f t="shared" si="131"/>
        <v>-56922.921347001269</v>
      </c>
      <c r="AG42" s="2">
        <f t="shared" si="131"/>
        <v>-61046.767786844706</v>
      </c>
      <c r="AH42" s="2">
        <f t="shared" si="109"/>
        <v>-66699.046000888135</v>
      </c>
      <c r="AI42" s="2">
        <f t="shared" si="109"/>
        <v>-72757.077751714911</v>
      </c>
      <c r="AJ42" s="2">
        <f t="shared" si="109"/>
        <v>-78664.928077350254</v>
      </c>
      <c r="AK42" s="2">
        <f t="shared" si="109"/>
        <v>-85349.367118852271</v>
      </c>
      <c r="AL42" s="2">
        <f t="shared" si="109"/>
        <v>-92157.180543329538</v>
      </c>
    </row>
    <row r="43" spans="1:38">
      <c r="C43" t="s">
        <v>19</v>
      </c>
      <c r="E43" s="2">
        <f t="shared" ref="E43" si="132">-E32</f>
        <v>-1623.8571813750002</v>
      </c>
      <c r="F43" s="2">
        <f t="shared" ref="F43:P43" si="133">E43-F32</f>
        <v>-5117.5547561975009</v>
      </c>
      <c r="G43" s="2">
        <f t="shared" si="133"/>
        <v>-8928.7051855050013</v>
      </c>
      <c r="H43" s="2">
        <f t="shared" si="133"/>
        <v>-12882.616069162024</v>
      </c>
      <c r="I43" s="2">
        <f t="shared" si="133"/>
        <v>-16907.81776475607</v>
      </c>
      <c r="J43" s="2">
        <f t="shared" si="133"/>
        <v>-20933.019460350115</v>
      </c>
      <c r="K43" s="2">
        <f t="shared" si="133"/>
        <v>-24969.193781796661</v>
      </c>
      <c r="L43" s="2">
        <f t="shared" si="133"/>
        <v>-28190.911288838208</v>
      </c>
      <c r="M43" s="2">
        <f t="shared" si="133"/>
        <v>-30587.199355622251</v>
      </c>
      <c r="N43" s="2">
        <f t="shared" si="133"/>
        <v>-32983.487422406295</v>
      </c>
      <c r="O43" s="2">
        <f t="shared" si="133"/>
        <v>-35379.775489190339</v>
      </c>
      <c r="P43" s="2">
        <f t="shared" si="133"/>
        <v>-37776.063555974382</v>
      </c>
      <c r="Q43" s="13">
        <f t="shared" si="105"/>
        <v>-37776.063555974382</v>
      </c>
      <c r="R43" s="2">
        <f>Q43-R32</f>
        <v>-40172.351622758426</v>
      </c>
      <c r="S43" s="2">
        <f t="shared" ref="S43:AL43" si="134">R43-S32</f>
        <v>-42568.63968954247</v>
      </c>
      <c r="T43" s="2">
        <f t="shared" si="134"/>
        <v>-44964.927756326513</v>
      </c>
      <c r="U43" s="2">
        <f t="shared" si="134"/>
        <v>-47361.215823110557</v>
      </c>
      <c r="V43" s="2">
        <f t="shared" si="134"/>
        <v>-49757.5038898946</v>
      </c>
      <c r="W43" s="2">
        <f t="shared" si="134"/>
        <v>-73774.981258778644</v>
      </c>
      <c r="X43" s="2">
        <f t="shared" si="134"/>
        <v>-119531.6941399627</v>
      </c>
      <c r="Y43" s="2">
        <f t="shared" si="134"/>
        <v>-165465.16864894674</v>
      </c>
      <c r="Z43" s="2">
        <f t="shared" si="134"/>
        <v>-211501.4769152308</v>
      </c>
      <c r="AA43" s="2">
        <f t="shared" si="134"/>
        <v>-257606.97865761485</v>
      </c>
      <c r="AB43" s="2">
        <f t="shared" si="134"/>
        <v>-303828.02523389889</v>
      </c>
      <c r="AC43" s="2">
        <f t="shared" si="134"/>
        <v>-350146.6932044829</v>
      </c>
      <c r="AD43" s="2">
        <f t="shared" si="134"/>
        <v>-396472.51287186693</v>
      </c>
      <c r="AE43" s="2">
        <f t="shared" si="134"/>
        <v>-442798.33253925096</v>
      </c>
      <c r="AF43" s="2">
        <f t="shared" si="134"/>
        <v>-544117.99740219326</v>
      </c>
      <c r="AG43" s="2">
        <f t="shared" si="134"/>
        <v>-703258.49713925226</v>
      </c>
      <c r="AH43" s="2">
        <f t="shared" si="134"/>
        <v>-867642.76451008627</v>
      </c>
      <c r="AI43" s="2">
        <f t="shared" si="134"/>
        <v>-1035629.4721088203</v>
      </c>
      <c r="AJ43" s="2">
        <f t="shared" si="134"/>
        <v>-1205178.5673905369</v>
      </c>
      <c r="AK43" s="2">
        <f t="shared" si="134"/>
        <v>-1375481.1134928521</v>
      </c>
      <c r="AL43" s="2">
        <f t="shared" si="134"/>
        <v>-1546160.3850054666</v>
      </c>
    </row>
    <row r="44" spans="1:38">
      <c r="C44" s="4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3"/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5" thickBot="1">
      <c r="B45" t="s">
        <v>2</v>
      </c>
      <c r="E45" s="5">
        <f>SUM(E37:E44)</f>
        <v>-2072.7092297175004</v>
      </c>
      <c r="F45" s="5">
        <f t="shared" ref="F45:AK45" si="135">SUM(F37:F44)</f>
        <v>-6532.1033927850012</v>
      </c>
      <c r="G45" s="5">
        <f t="shared" si="135"/>
        <v>-11396.697918150003</v>
      </c>
      <c r="H45" s="5">
        <f t="shared" si="135"/>
        <v>-16431.268679302026</v>
      </c>
      <c r="I45" s="5">
        <f t="shared" si="135"/>
        <v>-21544.591017576069</v>
      </c>
      <c r="J45" s="5">
        <f t="shared" si="135"/>
        <v>-26941.164262635117</v>
      </c>
      <c r="K45" s="5">
        <f t="shared" si="135"/>
        <v>-32709.957893487233</v>
      </c>
      <c r="L45" s="5">
        <f t="shared" si="135"/>
        <v>-37766.433625293554</v>
      </c>
      <c r="M45" s="5">
        <f t="shared" si="135"/>
        <v>-42225.091058240614</v>
      </c>
      <c r="N45" s="5">
        <f t="shared" si="135"/>
        <v>-47272.256590858669</v>
      </c>
      <c r="O45" s="5">
        <f t="shared" si="135"/>
        <v>-52734.328100655592</v>
      </c>
      <c r="P45" s="5">
        <f t="shared" si="135"/>
        <v>-58928.269690176341</v>
      </c>
      <c r="Q45" s="11">
        <f>SUM(Q37:Q44)</f>
        <v>-58928.269690176341</v>
      </c>
      <c r="R45" s="5">
        <f>SUM(R37:R44)</f>
        <v>-66067.074927800597</v>
      </c>
      <c r="S45" s="5">
        <f>SUM(S37:S44)</f>
        <v>-73735.233584672183</v>
      </c>
      <c r="T45" s="5">
        <f t="shared" si="135"/>
        <v>-82939.274210946111</v>
      </c>
      <c r="U45" s="5">
        <f t="shared" si="135"/>
        <v>-94315.349761097779</v>
      </c>
      <c r="V45" s="5">
        <f t="shared" si="135"/>
        <v>-108767.38815629898</v>
      </c>
      <c r="W45" s="5">
        <f t="shared" si="135"/>
        <v>-148552.01809856115</v>
      </c>
      <c r="X45" s="5">
        <f t="shared" si="135"/>
        <v>-210994.60527261446</v>
      </c>
      <c r="Y45" s="5">
        <f t="shared" si="135"/>
        <v>-273703.27249103686</v>
      </c>
      <c r="Z45" s="5">
        <f t="shared" si="135"/>
        <v>-336564.3297216082</v>
      </c>
      <c r="AA45" s="5">
        <f t="shared" si="135"/>
        <v>-399550.94172440114</v>
      </c>
      <c r="AB45" s="5">
        <f t="shared" si="135"/>
        <v>-462719.44059722364</v>
      </c>
      <c r="AC45" s="5">
        <f t="shared" si="135"/>
        <v>-526030.41808473109</v>
      </c>
      <c r="AD45" s="5">
        <f t="shared" si="135"/>
        <v>-589388.31716586091</v>
      </c>
      <c r="AE45" s="5">
        <f t="shared" si="135"/>
        <v>-652756.70409473369</v>
      </c>
      <c r="AF45" s="5">
        <f t="shared" si="135"/>
        <v>-771891.60386638285</v>
      </c>
      <c r="AG45" s="5">
        <f t="shared" si="135"/>
        <v>-948147.64393277944</v>
      </c>
      <c r="AH45" s="5">
        <f t="shared" si="135"/>
        <v>-1131185.7352106799</v>
      </c>
      <c r="AI45" s="5">
        <f t="shared" si="135"/>
        <v>-1318236.0697118081</v>
      </c>
      <c r="AJ45" s="5">
        <f t="shared" si="135"/>
        <v>-1506700.5126214111</v>
      </c>
      <c r="AK45" s="5">
        <f t="shared" si="135"/>
        <v>-1696695.9123666929</v>
      </c>
      <c r="AL45" s="5">
        <f>SUM(AL37:AL44)</f>
        <v>-1887191.8705548563</v>
      </c>
    </row>
    <row r="48" spans="1:38">
      <c r="A48" s="1" t="s">
        <v>18</v>
      </c>
      <c r="B48" t="s">
        <v>1</v>
      </c>
      <c r="C48" t="s">
        <v>17</v>
      </c>
      <c r="D48" s="44">
        <v>3.7499999999999999E-2</v>
      </c>
      <c r="E48" s="2">
        <f t="shared" ref="E48:P48" si="136">$P$4*$D$48/12</f>
        <v>0</v>
      </c>
      <c r="F48" s="2">
        <f t="shared" si="136"/>
        <v>0</v>
      </c>
      <c r="G48" s="2">
        <f t="shared" si="136"/>
        <v>0</v>
      </c>
      <c r="H48" s="2">
        <f t="shared" si="136"/>
        <v>0</v>
      </c>
      <c r="I48" s="2">
        <f t="shared" si="136"/>
        <v>0</v>
      </c>
      <c r="J48" s="2">
        <f t="shared" si="136"/>
        <v>0</v>
      </c>
      <c r="K48" s="2">
        <f t="shared" si="136"/>
        <v>0</v>
      </c>
      <c r="L48" s="2">
        <f t="shared" si="136"/>
        <v>0</v>
      </c>
      <c r="M48" s="2">
        <f t="shared" si="136"/>
        <v>0</v>
      </c>
      <c r="N48" s="2">
        <f t="shared" si="136"/>
        <v>0</v>
      </c>
      <c r="O48" s="2">
        <f t="shared" si="136"/>
        <v>0</v>
      </c>
      <c r="P48" s="2">
        <f t="shared" si="136"/>
        <v>0</v>
      </c>
      <c r="Q48" s="10">
        <f t="shared" ref="Q48:Q53" si="137">SUM(E48:P48)</f>
        <v>0</v>
      </c>
      <c r="R48" s="2">
        <f t="shared" ref="R48:AC48" si="138">($AC$4-$P$4)*$D$48/12</f>
        <v>420.86693749999995</v>
      </c>
      <c r="S48" s="2">
        <f t="shared" si="138"/>
        <v>420.86693749999995</v>
      </c>
      <c r="T48" s="2">
        <f t="shared" si="138"/>
        <v>420.86693749999995</v>
      </c>
      <c r="U48" s="2">
        <f t="shared" si="138"/>
        <v>420.86693749999995</v>
      </c>
      <c r="V48" s="2">
        <f t="shared" si="138"/>
        <v>420.86693749999995</v>
      </c>
      <c r="W48" s="2">
        <f t="shared" si="138"/>
        <v>420.86693749999995</v>
      </c>
      <c r="X48" s="2">
        <f t="shared" si="138"/>
        <v>420.86693749999995</v>
      </c>
      <c r="Y48" s="2">
        <f t="shared" si="138"/>
        <v>420.86693749999995</v>
      </c>
      <c r="Z48" s="2">
        <f t="shared" si="138"/>
        <v>420.86693749999995</v>
      </c>
      <c r="AA48" s="2">
        <f t="shared" si="138"/>
        <v>420.86693749999995</v>
      </c>
      <c r="AB48" s="2">
        <f t="shared" si="138"/>
        <v>420.86693749999995</v>
      </c>
      <c r="AC48" s="2">
        <f t="shared" si="138"/>
        <v>420.86693749999995</v>
      </c>
      <c r="AD48" s="2">
        <f>($AL$4-$AC$4)*$D$48/12</f>
        <v>8.7847812500000142</v>
      </c>
      <c r="AE48" s="2">
        <f t="shared" ref="AE48:AL48" si="139">($AL$4-$AC$4)*$D$48/12</f>
        <v>8.7847812500000142</v>
      </c>
      <c r="AF48" s="2">
        <f t="shared" si="139"/>
        <v>8.7847812500000142</v>
      </c>
      <c r="AG48" s="2">
        <f t="shared" si="139"/>
        <v>8.7847812500000142</v>
      </c>
      <c r="AH48" s="2">
        <f t="shared" si="139"/>
        <v>8.7847812500000142</v>
      </c>
      <c r="AI48" s="2">
        <f t="shared" si="139"/>
        <v>8.7847812500000142</v>
      </c>
      <c r="AJ48" s="2">
        <f t="shared" si="139"/>
        <v>8.7847812500000142</v>
      </c>
      <c r="AK48" s="2">
        <f t="shared" si="139"/>
        <v>8.7847812500000142</v>
      </c>
      <c r="AL48" s="2">
        <f t="shared" si="139"/>
        <v>8.7847812500000142</v>
      </c>
    </row>
    <row r="49" spans="1:38">
      <c r="C49" t="s">
        <v>14</v>
      </c>
      <c r="D49" s="44">
        <v>3.7499999999999999E-2</v>
      </c>
      <c r="E49" s="2">
        <f t="shared" ref="E49:P49" si="140">$P$5*$D$49/12</f>
        <v>449.61196957500005</v>
      </c>
      <c r="F49" s="2">
        <f t="shared" si="140"/>
        <v>449.61196957500005</v>
      </c>
      <c r="G49" s="2">
        <f t="shared" si="140"/>
        <v>449.61196957500005</v>
      </c>
      <c r="H49" s="2">
        <f t="shared" si="140"/>
        <v>449.61196957500005</v>
      </c>
      <c r="I49" s="2">
        <f t="shared" si="140"/>
        <v>449.61196957500005</v>
      </c>
      <c r="J49" s="2">
        <f t="shared" si="140"/>
        <v>449.61196957500005</v>
      </c>
      <c r="K49" s="2">
        <f t="shared" si="140"/>
        <v>449.61196957500005</v>
      </c>
      <c r="L49" s="2">
        <f t="shared" si="140"/>
        <v>449.61196957500005</v>
      </c>
      <c r="M49" s="2">
        <f t="shared" si="140"/>
        <v>449.61196957500005</v>
      </c>
      <c r="N49" s="2">
        <f t="shared" si="140"/>
        <v>449.61196957500005</v>
      </c>
      <c r="O49" s="2">
        <f t="shared" si="140"/>
        <v>449.61196957500005</v>
      </c>
      <c r="P49" s="2">
        <f t="shared" si="140"/>
        <v>449.61196957500005</v>
      </c>
      <c r="Q49" s="10">
        <f t="shared" si="137"/>
        <v>5395.3436349000003</v>
      </c>
      <c r="R49" s="2">
        <f t="shared" ref="R49:AC49" si="141">($AC$5-$P$5)*$D$49/12</f>
        <v>1174.7832026999999</v>
      </c>
      <c r="S49" s="2">
        <f t="shared" si="141"/>
        <v>1174.7832026999999</v>
      </c>
      <c r="T49" s="2">
        <f t="shared" si="141"/>
        <v>1174.7832026999999</v>
      </c>
      <c r="U49" s="2">
        <f t="shared" si="141"/>
        <v>1174.7832026999999</v>
      </c>
      <c r="V49" s="2">
        <f t="shared" si="141"/>
        <v>1174.7832026999999</v>
      </c>
      <c r="W49" s="2">
        <f t="shared" si="141"/>
        <v>1174.7832026999999</v>
      </c>
      <c r="X49" s="2">
        <f t="shared" si="141"/>
        <v>1174.7832026999999</v>
      </c>
      <c r="Y49" s="2">
        <f t="shared" si="141"/>
        <v>1174.7832026999999</v>
      </c>
      <c r="Z49" s="2">
        <f t="shared" si="141"/>
        <v>1174.7832026999999</v>
      </c>
      <c r="AA49" s="2">
        <f t="shared" si="141"/>
        <v>1174.7832026999999</v>
      </c>
      <c r="AB49" s="2">
        <f t="shared" si="141"/>
        <v>1174.7832026999999</v>
      </c>
      <c r="AC49" s="2">
        <f t="shared" si="141"/>
        <v>1174.7832026999999</v>
      </c>
      <c r="AD49" s="2">
        <f>($AL$5-$AC$5)*$D$49/12</f>
        <v>19.389891900000112</v>
      </c>
      <c r="AE49" s="2">
        <f t="shared" ref="AE49:AL49" si="142">($AL$5-$AC$5)*$D$49/12</f>
        <v>19.389891900000112</v>
      </c>
      <c r="AF49" s="2">
        <f t="shared" si="142"/>
        <v>19.389891900000112</v>
      </c>
      <c r="AG49" s="2">
        <f t="shared" si="142"/>
        <v>19.389891900000112</v>
      </c>
      <c r="AH49" s="2">
        <f t="shared" si="142"/>
        <v>19.389891900000112</v>
      </c>
      <c r="AI49" s="2">
        <f t="shared" si="142"/>
        <v>19.389891900000112</v>
      </c>
      <c r="AJ49" s="2">
        <f t="shared" si="142"/>
        <v>19.389891900000112</v>
      </c>
      <c r="AK49" s="2">
        <f t="shared" si="142"/>
        <v>19.389891900000112</v>
      </c>
      <c r="AL49" s="2">
        <f t="shared" si="142"/>
        <v>19.389891900000112</v>
      </c>
    </row>
    <row r="50" spans="1:38">
      <c r="C50" t="s">
        <v>139</v>
      </c>
      <c r="D50" s="59">
        <v>3.7499999999999999E-2</v>
      </c>
      <c r="E50" s="2">
        <f t="shared" ref="E50:P50" si="143">$P$6*$D$50/12</f>
        <v>1734.0299720250002</v>
      </c>
      <c r="F50" s="2">
        <f t="shared" si="143"/>
        <v>1734.0299720250002</v>
      </c>
      <c r="G50" s="2">
        <f t="shared" si="143"/>
        <v>1734.0299720250002</v>
      </c>
      <c r="H50" s="2">
        <f t="shared" si="143"/>
        <v>1734.0299720250002</v>
      </c>
      <c r="I50" s="2">
        <f t="shared" si="143"/>
        <v>1734.0299720250002</v>
      </c>
      <c r="J50" s="2">
        <f t="shared" si="143"/>
        <v>1734.0299720250002</v>
      </c>
      <c r="K50" s="2">
        <f t="shared" si="143"/>
        <v>1734.0299720250002</v>
      </c>
      <c r="L50" s="2">
        <f t="shared" si="143"/>
        <v>1734.0299720250002</v>
      </c>
      <c r="M50" s="2">
        <f t="shared" si="143"/>
        <v>1734.0299720250002</v>
      </c>
      <c r="N50" s="2">
        <f t="shared" si="143"/>
        <v>1734.0299720250002</v>
      </c>
      <c r="O50" s="2">
        <f t="shared" si="143"/>
        <v>1734.0299720250002</v>
      </c>
      <c r="P50" s="2">
        <f t="shared" si="143"/>
        <v>1734.0299720250002</v>
      </c>
      <c r="Q50" s="10">
        <f t="shared" si="137"/>
        <v>20808.359664300002</v>
      </c>
      <c r="R50" s="2">
        <f t="shared" ref="R50:AC50" si="144">($AC$6-$P$6)*$D$50/12</f>
        <v>5209.7536937625</v>
      </c>
      <c r="S50" s="2">
        <f t="shared" si="144"/>
        <v>5209.7536937625</v>
      </c>
      <c r="T50" s="2">
        <f t="shared" si="144"/>
        <v>5209.7536937625</v>
      </c>
      <c r="U50" s="2">
        <f t="shared" si="144"/>
        <v>5209.7536937625</v>
      </c>
      <c r="V50" s="2">
        <f t="shared" si="144"/>
        <v>5209.7536937625</v>
      </c>
      <c r="W50" s="2">
        <f t="shared" si="144"/>
        <v>5209.7536937625</v>
      </c>
      <c r="X50" s="2">
        <f t="shared" si="144"/>
        <v>5209.7536937625</v>
      </c>
      <c r="Y50" s="2">
        <f t="shared" si="144"/>
        <v>5209.7536937625</v>
      </c>
      <c r="Z50" s="2">
        <f t="shared" si="144"/>
        <v>5209.7536937625</v>
      </c>
      <c r="AA50" s="2">
        <f t="shared" si="144"/>
        <v>5209.7536937625</v>
      </c>
      <c r="AB50" s="2">
        <f t="shared" si="144"/>
        <v>5209.7536937625</v>
      </c>
      <c r="AC50" s="2">
        <f t="shared" si="144"/>
        <v>5209.7536937625</v>
      </c>
      <c r="AD50" s="2">
        <f>($AL$6-$AC$6)*$D$50/12</f>
        <v>0</v>
      </c>
      <c r="AE50" s="2">
        <f t="shared" ref="AE50:AL50" si="145">($AL$6-$AC$6)*$D$50/12</f>
        <v>0</v>
      </c>
      <c r="AF50" s="2">
        <f t="shared" si="145"/>
        <v>0</v>
      </c>
      <c r="AG50" s="2">
        <f t="shared" si="145"/>
        <v>0</v>
      </c>
      <c r="AH50" s="2">
        <f t="shared" si="145"/>
        <v>0</v>
      </c>
      <c r="AI50" s="2">
        <f t="shared" si="145"/>
        <v>0</v>
      </c>
      <c r="AJ50" s="2">
        <f t="shared" si="145"/>
        <v>0</v>
      </c>
      <c r="AK50" s="2">
        <f t="shared" si="145"/>
        <v>0</v>
      </c>
      <c r="AL50" s="2">
        <f t="shared" si="145"/>
        <v>0</v>
      </c>
    </row>
    <row r="51" spans="1:38">
      <c r="C51" t="s">
        <v>144</v>
      </c>
      <c r="D51" s="59">
        <v>3.7499999999999999E-2</v>
      </c>
      <c r="E51" s="2">
        <f>$P$7*$D$51/12</f>
        <v>1397.1327335624999</v>
      </c>
      <c r="F51" s="2">
        <f>$P$7*$D$51/12</f>
        <v>1397.1327335624999</v>
      </c>
      <c r="G51" s="2">
        <f t="shared" ref="G51:P51" si="146">$P$7*$D$51/12</f>
        <v>1397.1327335624999</v>
      </c>
      <c r="H51" s="2">
        <f t="shared" si="146"/>
        <v>1397.1327335624999</v>
      </c>
      <c r="I51" s="2">
        <f t="shared" si="146"/>
        <v>1397.1327335624999</v>
      </c>
      <c r="J51" s="2">
        <f t="shared" si="146"/>
        <v>1397.1327335624999</v>
      </c>
      <c r="K51" s="2">
        <f t="shared" si="146"/>
        <v>1397.1327335624999</v>
      </c>
      <c r="L51" s="2">
        <f t="shared" si="146"/>
        <v>1397.1327335624999</v>
      </c>
      <c r="M51" s="2">
        <f t="shared" si="146"/>
        <v>1397.1327335624999</v>
      </c>
      <c r="N51" s="2">
        <f t="shared" si="146"/>
        <v>1397.1327335624999</v>
      </c>
      <c r="O51" s="2">
        <f t="shared" si="146"/>
        <v>1397.1327335624999</v>
      </c>
      <c r="P51" s="2">
        <f t="shared" si="146"/>
        <v>1397.1327335624999</v>
      </c>
      <c r="Q51" s="10">
        <f t="shared" si="137"/>
        <v>16765.592802749994</v>
      </c>
      <c r="R51" s="2">
        <f>($AC$7-$P$7)*$D$51/12</f>
        <v>1117.0309959812496</v>
      </c>
      <c r="S51" s="2">
        <f t="shared" ref="S51:AC51" si="147">($AC$7-$P$7)*$D$51/12</f>
        <v>1117.0309959812496</v>
      </c>
      <c r="T51" s="2">
        <f t="shared" si="147"/>
        <v>1117.0309959812496</v>
      </c>
      <c r="U51" s="2">
        <f t="shared" si="147"/>
        <v>1117.0309959812496</v>
      </c>
      <c r="V51" s="2">
        <f t="shared" si="147"/>
        <v>1117.0309959812496</v>
      </c>
      <c r="W51" s="2">
        <f t="shared" si="147"/>
        <v>1117.0309959812496</v>
      </c>
      <c r="X51" s="2">
        <f t="shared" si="147"/>
        <v>1117.0309959812496</v>
      </c>
      <c r="Y51" s="2">
        <f t="shared" si="147"/>
        <v>1117.0309959812496</v>
      </c>
      <c r="Z51" s="2">
        <f t="shared" si="147"/>
        <v>1117.0309959812496</v>
      </c>
      <c r="AA51" s="2">
        <f t="shared" si="147"/>
        <v>1117.0309959812496</v>
      </c>
      <c r="AB51" s="2">
        <f t="shared" si="147"/>
        <v>1117.0309959812496</v>
      </c>
      <c r="AC51" s="2">
        <f t="shared" si="147"/>
        <v>1117.0309959812496</v>
      </c>
      <c r="AD51" s="2">
        <f>($AL$7-$AC$7)*$D$51/12</f>
        <v>0</v>
      </c>
      <c r="AE51" s="2">
        <f t="shared" ref="AE51:AL51" si="148">($AL$7-$AC$7)*$D$51/12</f>
        <v>0</v>
      </c>
      <c r="AF51" s="2">
        <f t="shared" si="148"/>
        <v>0</v>
      </c>
      <c r="AG51" s="2">
        <f t="shared" si="148"/>
        <v>0</v>
      </c>
      <c r="AH51" s="2">
        <f t="shared" si="148"/>
        <v>0</v>
      </c>
      <c r="AI51" s="2">
        <f t="shared" si="148"/>
        <v>0</v>
      </c>
      <c r="AJ51" s="2">
        <f t="shared" si="148"/>
        <v>0</v>
      </c>
      <c r="AK51" s="2">
        <f t="shared" si="148"/>
        <v>0</v>
      </c>
      <c r="AL51" s="2">
        <f t="shared" si="148"/>
        <v>0</v>
      </c>
    </row>
    <row r="52" spans="1:38">
      <c r="C52" t="s">
        <v>137</v>
      </c>
      <c r="D52" s="59">
        <v>0.1429</v>
      </c>
      <c r="E52" s="2">
        <f t="shared" ref="E52:P52" si="149">$P$8*$D$52/12</f>
        <v>5148.3369766485421</v>
      </c>
      <c r="F52" s="2">
        <f t="shared" si="149"/>
        <v>5148.3369766485421</v>
      </c>
      <c r="G52" s="2">
        <f t="shared" si="149"/>
        <v>5148.3369766485421</v>
      </c>
      <c r="H52" s="2">
        <f t="shared" si="149"/>
        <v>5148.3369766485421</v>
      </c>
      <c r="I52" s="2">
        <f t="shared" si="149"/>
        <v>5148.3369766485421</v>
      </c>
      <c r="J52" s="2">
        <f t="shared" si="149"/>
        <v>5148.3369766485421</v>
      </c>
      <c r="K52" s="2">
        <f t="shared" si="149"/>
        <v>5148.3369766485421</v>
      </c>
      <c r="L52" s="2">
        <f t="shared" si="149"/>
        <v>5148.3369766485421</v>
      </c>
      <c r="M52" s="2">
        <f t="shared" si="149"/>
        <v>5148.3369766485421</v>
      </c>
      <c r="N52" s="2">
        <f t="shared" si="149"/>
        <v>5148.3369766485421</v>
      </c>
      <c r="O52" s="2">
        <f t="shared" si="149"/>
        <v>5148.3369766485421</v>
      </c>
      <c r="P52" s="2">
        <f t="shared" si="149"/>
        <v>5148.3369766485421</v>
      </c>
      <c r="Q52" s="10">
        <f t="shared" si="137"/>
        <v>61780.043719782501</v>
      </c>
      <c r="R52" s="2">
        <f t="shared" ref="R52:AC52" si="150">($AC$8-$P$8)*$D$52/12</f>
        <v>14895.134726545069</v>
      </c>
      <c r="S52" s="2">
        <f t="shared" si="150"/>
        <v>14895.134726545069</v>
      </c>
      <c r="T52" s="2">
        <f t="shared" si="150"/>
        <v>14895.134726545069</v>
      </c>
      <c r="U52" s="2">
        <f t="shared" si="150"/>
        <v>14895.134726545069</v>
      </c>
      <c r="V52" s="2">
        <f t="shared" si="150"/>
        <v>14895.134726545069</v>
      </c>
      <c r="W52" s="2">
        <f t="shared" si="150"/>
        <v>14895.134726545069</v>
      </c>
      <c r="X52" s="2">
        <f t="shared" si="150"/>
        <v>14895.134726545069</v>
      </c>
      <c r="Y52" s="2">
        <f t="shared" si="150"/>
        <v>14895.134726545069</v>
      </c>
      <c r="Z52" s="2">
        <f t="shared" si="150"/>
        <v>14895.134726545069</v>
      </c>
      <c r="AA52" s="2">
        <f t="shared" si="150"/>
        <v>14895.134726545069</v>
      </c>
      <c r="AB52" s="2">
        <f t="shared" si="150"/>
        <v>14895.134726545069</v>
      </c>
      <c r="AC52" s="2">
        <f t="shared" si="150"/>
        <v>14895.134726545069</v>
      </c>
      <c r="AD52" s="2">
        <f>($AL$8-$AC$8)*$D$52/12</f>
        <v>183.91275376250894</v>
      </c>
      <c r="AE52" s="2">
        <f t="shared" ref="AE52:AL52" si="151">($AL$8-$AC$8)*$D$52/12</f>
        <v>183.91275376250894</v>
      </c>
      <c r="AF52" s="2">
        <f t="shared" si="151"/>
        <v>183.91275376250894</v>
      </c>
      <c r="AG52" s="2">
        <f t="shared" si="151"/>
        <v>183.91275376250894</v>
      </c>
      <c r="AH52" s="2">
        <f t="shared" si="151"/>
        <v>183.91275376250894</v>
      </c>
      <c r="AI52" s="2">
        <f t="shared" si="151"/>
        <v>183.91275376250894</v>
      </c>
      <c r="AJ52" s="2">
        <f t="shared" si="151"/>
        <v>183.91275376250894</v>
      </c>
      <c r="AK52" s="2">
        <f t="shared" si="151"/>
        <v>183.91275376250894</v>
      </c>
      <c r="AL52" s="2">
        <f t="shared" si="151"/>
        <v>183.91275376250894</v>
      </c>
    </row>
    <row r="53" spans="1:38">
      <c r="C53" t="s">
        <v>146</v>
      </c>
      <c r="D53" s="59">
        <v>0.2</v>
      </c>
      <c r="E53" s="2">
        <f>$P$9*$D$53/12</f>
        <v>543.58337850000009</v>
      </c>
      <c r="F53" s="2">
        <f>$P$9*$D$53/12</f>
        <v>543.58337850000009</v>
      </c>
      <c r="G53" s="2">
        <f t="shared" ref="G53:P53" si="152">$P$9*$D$53/12</f>
        <v>543.58337850000009</v>
      </c>
      <c r="H53" s="2">
        <f t="shared" si="152"/>
        <v>543.58337850000009</v>
      </c>
      <c r="I53" s="2">
        <f t="shared" si="152"/>
        <v>543.58337850000009</v>
      </c>
      <c r="J53" s="2">
        <f t="shared" si="152"/>
        <v>543.58337850000009</v>
      </c>
      <c r="K53" s="2">
        <f t="shared" si="152"/>
        <v>543.58337850000009</v>
      </c>
      <c r="L53" s="2">
        <f t="shared" si="152"/>
        <v>543.58337850000009</v>
      </c>
      <c r="M53" s="2">
        <f t="shared" si="152"/>
        <v>543.58337850000009</v>
      </c>
      <c r="N53" s="2">
        <f t="shared" si="152"/>
        <v>543.58337850000009</v>
      </c>
      <c r="O53" s="2">
        <f t="shared" si="152"/>
        <v>543.58337850000009</v>
      </c>
      <c r="P53" s="2">
        <f t="shared" si="152"/>
        <v>543.58337850000009</v>
      </c>
      <c r="Q53" s="10">
        <f t="shared" si="137"/>
        <v>6523.0005420000025</v>
      </c>
      <c r="R53" s="2">
        <f>($AC$9-$P$9)*$D$53/12</f>
        <v>3542.8488344767698</v>
      </c>
      <c r="S53" s="2">
        <f t="shared" ref="S53:AC53" si="153">($AC$9-$P$9)*$D$53/12</f>
        <v>3542.8488344767698</v>
      </c>
      <c r="T53" s="2">
        <f t="shared" si="153"/>
        <v>3542.8488344767698</v>
      </c>
      <c r="U53" s="2">
        <f t="shared" si="153"/>
        <v>3542.8488344767698</v>
      </c>
      <c r="V53" s="2">
        <f t="shared" si="153"/>
        <v>3542.8488344767698</v>
      </c>
      <c r="W53" s="2">
        <f t="shared" si="153"/>
        <v>3542.8488344767698</v>
      </c>
      <c r="X53" s="2">
        <f t="shared" si="153"/>
        <v>3542.8488344767698</v>
      </c>
      <c r="Y53" s="2">
        <f t="shared" si="153"/>
        <v>3542.8488344767698</v>
      </c>
      <c r="Z53" s="2">
        <f t="shared" si="153"/>
        <v>3542.8488344767698</v>
      </c>
      <c r="AA53" s="2">
        <f t="shared" si="153"/>
        <v>3542.8488344767698</v>
      </c>
      <c r="AB53" s="2">
        <f t="shared" si="153"/>
        <v>3542.8488344767698</v>
      </c>
      <c r="AC53" s="2">
        <f t="shared" si="153"/>
        <v>3542.8488344767698</v>
      </c>
      <c r="AD53" s="2">
        <f>($AL$9-$AC$9)*$D$53/12</f>
        <v>2968.1299774509812</v>
      </c>
      <c r="AE53" s="2">
        <f t="shared" ref="AE53:AL53" si="154">($AL$9-$AC$9)*$D$53/12</f>
        <v>2968.1299774509812</v>
      </c>
      <c r="AF53" s="2">
        <f t="shared" si="154"/>
        <v>2968.1299774509812</v>
      </c>
      <c r="AG53" s="2">
        <f t="shared" si="154"/>
        <v>2968.1299774509812</v>
      </c>
      <c r="AH53" s="2">
        <f t="shared" si="154"/>
        <v>2968.1299774509812</v>
      </c>
      <c r="AI53" s="2">
        <f t="shared" si="154"/>
        <v>2968.1299774509812</v>
      </c>
      <c r="AJ53" s="2">
        <f t="shared" si="154"/>
        <v>2968.1299774509812</v>
      </c>
      <c r="AK53" s="2">
        <f t="shared" si="154"/>
        <v>2968.1299774509812</v>
      </c>
      <c r="AL53" s="2">
        <f t="shared" si="154"/>
        <v>2968.1299774509812</v>
      </c>
    </row>
    <row r="54" spans="1:38">
      <c r="C54" t="s">
        <v>19</v>
      </c>
      <c r="D54" s="44">
        <v>0.16669999999999999</v>
      </c>
      <c r="E54" s="2">
        <f t="shared" ref="E54:P54" si="155">$P$10*$D$54/12</f>
        <v>1997.3061036645013</v>
      </c>
      <c r="F54" s="2">
        <f t="shared" si="155"/>
        <v>1997.3061036645013</v>
      </c>
      <c r="G54" s="2">
        <f t="shared" si="155"/>
        <v>1997.3061036645013</v>
      </c>
      <c r="H54" s="2">
        <f t="shared" si="155"/>
        <v>1997.3061036645013</v>
      </c>
      <c r="I54" s="2">
        <f t="shared" si="155"/>
        <v>1997.3061036645013</v>
      </c>
      <c r="J54" s="2">
        <f t="shared" si="155"/>
        <v>1997.3061036645013</v>
      </c>
      <c r="K54" s="2">
        <f t="shared" si="155"/>
        <v>1997.3061036645013</v>
      </c>
      <c r="L54" s="2">
        <f t="shared" si="155"/>
        <v>1997.3061036645013</v>
      </c>
      <c r="M54" s="2">
        <f t="shared" si="155"/>
        <v>1997.3061036645013</v>
      </c>
      <c r="N54" s="2">
        <f t="shared" si="155"/>
        <v>1997.3061036645013</v>
      </c>
      <c r="O54" s="2">
        <f t="shared" si="155"/>
        <v>1997.3061036645013</v>
      </c>
      <c r="P54" s="2">
        <f t="shared" si="155"/>
        <v>1997.3061036645013</v>
      </c>
      <c r="Q54" s="10">
        <f t="shared" ref="Q54" si="156">SUM(E54:P54)</f>
        <v>23967.673243974015</v>
      </c>
      <c r="R54" s="2">
        <f t="shared" ref="R54:AC54" si="157">($AC$10-$P$10)*$D$54/12</f>
        <v>36615.264589100094</v>
      </c>
      <c r="S54" s="2">
        <f t="shared" si="157"/>
        <v>36615.264589100094</v>
      </c>
      <c r="T54" s="2">
        <f t="shared" si="157"/>
        <v>36615.264589100094</v>
      </c>
      <c r="U54" s="2">
        <f t="shared" si="157"/>
        <v>36615.264589100094</v>
      </c>
      <c r="V54" s="2">
        <f t="shared" si="157"/>
        <v>36615.264589100094</v>
      </c>
      <c r="W54" s="2">
        <f t="shared" si="157"/>
        <v>36615.264589100094</v>
      </c>
      <c r="X54" s="2">
        <f t="shared" si="157"/>
        <v>36615.264589100094</v>
      </c>
      <c r="Y54" s="2">
        <f t="shared" si="157"/>
        <v>36615.264589100094</v>
      </c>
      <c r="Z54" s="2">
        <f t="shared" si="157"/>
        <v>36615.264589100094</v>
      </c>
      <c r="AA54" s="2">
        <f t="shared" si="157"/>
        <v>36615.264589100094</v>
      </c>
      <c r="AB54" s="2">
        <f t="shared" si="157"/>
        <v>36615.264589100094</v>
      </c>
      <c r="AC54" s="2">
        <f t="shared" si="157"/>
        <v>36615.264589100094</v>
      </c>
      <c r="AD54" s="2">
        <f>($AL$10-$AC$10)*$D$54/12</f>
        <v>103648.60211299958</v>
      </c>
      <c r="AE54" s="2">
        <f t="shared" ref="AE54:AL54" si="158">($AL$10-$AC$10)*$D$54/12</f>
        <v>103648.60211299958</v>
      </c>
      <c r="AF54" s="2">
        <f t="shared" si="158"/>
        <v>103648.60211299958</v>
      </c>
      <c r="AG54" s="2">
        <f t="shared" si="158"/>
        <v>103648.60211299958</v>
      </c>
      <c r="AH54" s="2">
        <f t="shared" si="158"/>
        <v>103648.60211299958</v>
      </c>
      <c r="AI54" s="2">
        <f t="shared" si="158"/>
        <v>103648.60211299958</v>
      </c>
      <c r="AJ54" s="2">
        <f t="shared" si="158"/>
        <v>103648.60211299958</v>
      </c>
      <c r="AK54" s="2">
        <f t="shared" si="158"/>
        <v>103648.60211299958</v>
      </c>
      <c r="AL54" s="2">
        <f t="shared" si="158"/>
        <v>103648.60211299958</v>
      </c>
    </row>
    <row r="55" spans="1:38">
      <c r="C55" s="4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0"/>
      <c r="R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5" thickBot="1">
      <c r="B56" t="s">
        <v>2</v>
      </c>
      <c r="E56" s="5">
        <f>SUM(E48:E55)</f>
        <v>11270.001133975544</v>
      </c>
      <c r="F56" s="5">
        <f t="shared" ref="F56:P56" si="159">SUM(F48:F55)</f>
        <v>11270.001133975544</v>
      </c>
      <c r="G56" s="5">
        <f t="shared" si="159"/>
        <v>11270.001133975544</v>
      </c>
      <c r="H56" s="5">
        <f t="shared" si="159"/>
        <v>11270.001133975544</v>
      </c>
      <c r="I56" s="5">
        <f t="shared" si="159"/>
        <v>11270.001133975544</v>
      </c>
      <c r="J56" s="5">
        <f t="shared" si="159"/>
        <v>11270.001133975544</v>
      </c>
      <c r="K56" s="5">
        <f t="shared" si="159"/>
        <v>11270.001133975544</v>
      </c>
      <c r="L56" s="5">
        <f t="shared" si="159"/>
        <v>11270.001133975544</v>
      </c>
      <c r="M56" s="5">
        <f t="shared" si="159"/>
        <v>11270.001133975544</v>
      </c>
      <c r="N56" s="5">
        <f t="shared" si="159"/>
        <v>11270.001133975544</v>
      </c>
      <c r="O56" s="5">
        <f t="shared" si="159"/>
        <v>11270.001133975544</v>
      </c>
      <c r="P56" s="5">
        <f t="shared" si="159"/>
        <v>11270.001133975544</v>
      </c>
      <c r="Q56" s="11">
        <f>SUM(Q48:Q55)</f>
        <v>135240.01360770653</v>
      </c>
      <c r="R56" s="5">
        <f>SUM(R48:R55)</f>
        <v>62975.682980065685</v>
      </c>
      <c r="S56" s="5">
        <f t="shared" ref="S56:AL56" si="160">SUM(S48:S55)</f>
        <v>62975.682980065685</v>
      </c>
      <c r="T56" s="5">
        <f t="shared" si="160"/>
        <v>62975.682980065685</v>
      </c>
      <c r="U56" s="5">
        <f t="shared" si="160"/>
        <v>62975.682980065685</v>
      </c>
      <c r="V56" s="5">
        <f t="shared" si="160"/>
        <v>62975.682980065685</v>
      </c>
      <c r="W56" s="5">
        <f t="shared" si="160"/>
        <v>62975.682980065685</v>
      </c>
      <c r="X56" s="5">
        <f t="shared" si="160"/>
        <v>62975.682980065685</v>
      </c>
      <c r="Y56" s="5">
        <f t="shared" si="160"/>
        <v>62975.682980065685</v>
      </c>
      <c r="Z56" s="5">
        <f t="shared" si="160"/>
        <v>62975.682980065685</v>
      </c>
      <c r="AA56" s="5">
        <f t="shared" si="160"/>
        <v>62975.682980065685</v>
      </c>
      <c r="AB56" s="5">
        <f t="shared" si="160"/>
        <v>62975.682980065685</v>
      </c>
      <c r="AC56" s="5">
        <f t="shared" si="160"/>
        <v>62975.682980065685</v>
      </c>
      <c r="AD56" s="5">
        <f>SUM(AD48:AD55)</f>
        <v>106828.81951736307</v>
      </c>
      <c r="AE56" s="5">
        <f t="shared" si="160"/>
        <v>106828.81951736307</v>
      </c>
      <c r="AF56" s="5">
        <f t="shared" si="160"/>
        <v>106828.81951736307</v>
      </c>
      <c r="AG56" s="5">
        <f t="shared" si="160"/>
        <v>106828.81951736307</v>
      </c>
      <c r="AH56" s="5">
        <f t="shared" si="160"/>
        <v>106828.81951736307</v>
      </c>
      <c r="AI56" s="5">
        <f t="shared" si="160"/>
        <v>106828.81951736307</v>
      </c>
      <c r="AJ56" s="5">
        <f t="shared" si="160"/>
        <v>106828.81951736307</v>
      </c>
      <c r="AK56" s="5">
        <f t="shared" si="160"/>
        <v>106828.81951736307</v>
      </c>
      <c r="AL56" s="5">
        <f t="shared" si="160"/>
        <v>106828.81951736307</v>
      </c>
    </row>
    <row r="58" spans="1:38">
      <c r="A58" s="1" t="s">
        <v>20</v>
      </c>
      <c r="B58" t="s">
        <v>1</v>
      </c>
      <c r="C58" t="s">
        <v>17</v>
      </c>
      <c r="D58" s="44">
        <v>7.2190000000000004E-2</v>
      </c>
      <c r="E58" s="2"/>
      <c r="Q58" s="10">
        <f>SUM(E58:P58)</f>
        <v>0</v>
      </c>
      <c r="R58" s="2">
        <f>$P$4*$D$58/12</f>
        <v>0</v>
      </c>
      <c r="S58" s="2">
        <f t="shared" ref="S58:AC58" si="161">$P$4*$D$58/12</f>
        <v>0</v>
      </c>
      <c r="T58" s="2">
        <f t="shared" si="161"/>
        <v>0</v>
      </c>
      <c r="U58" s="2">
        <f t="shared" si="161"/>
        <v>0</v>
      </c>
      <c r="V58" s="2">
        <f t="shared" si="161"/>
        <v>0</v>
      </c>
      <c r="W58" s="2">
        <f t="shared" si="161"/>
        <v>0</v>
      </c>
      <c r="X58" s="2">
        <f t="shared" si="161"/>
        <v>0</v>
      </c>
      <c r="Y58" s="2">
        <f t="shared" si="161"/>
        <v>0</v>
      </c>
      <c r="Z58" s="2">
        <f t="shared" si="161"/>
        <v>0</v>
      </c>
      <c r="AA58" s="2">
        <f t="shared" si="161"/>
        <v>0</v>
      </c>
      <c r="AB58" s="2">
        <f t="shared" si="161"/>
        <v>0</v>
      </c>
      <c r="AC58" s="2">
        <f t="shared" si="161"/>
        <v>0</v>
      </c>
      <c r="AD58" s="2">
        <f>($AC$4-$P$4)*$D$58/12</f>
        <v>810.19691248333322</v>
      </c>
      <c r="AE58" s="2">
        <f t="shared" ref="AE58:AL58" si="162">($AC$4-$P$4)*$D$58/12</f>
        <v>810.19691248333322</v>
      </c>
      <c r="AF58" s="2">
        <f t="shared" si="162"/>
        <v>810.19691248333322</v>
      </c>
      <c r="AG58" s="2">
        <f t="shared" si="162"/>
        <v>810.19691248333322</v>
      </c>
      <c r="AH58" s="2">
        <f t="shared" si="162"/>
        <v>810.19691248333322</v>
      </c>
      <c r="AI58" s="2">
        <f t="shared" si="162"/>
        <v>810.19691248333322</v>
      </c>
      <c r="AJ58" s="2">
        <f t="shared" si="162"/>
        <v>810.19691248333322</v>
      </c>
      <c r="AK58" s="2">
        <f t="shared" si="162"/>
        <v>810.19691248333322</v>
      </c>
      <c r="AL58" s="2">
        <f t="shared" si="162"/>
        <v>810.19691248333322</v>
      </c>
    </row>
    <row r="59" spans="1:38">
      <c r="C59" t="s">
        <v>14</v>
      </c>
      <c r="D59" s="44">
        <v>7.2190000000000004E-2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0">
        <f t="shared" ref="Q59:Q64" si="163">SUM(E59:P59)</f>
        <v>0</v>
      </c>
      <c r="R59" s="2">
        <f>$P$5*$D$59/12</f>
        <v>865.53301556318013</v>
      </c>
      <c r="S59" s="2">
        <f t="shared" ref="S59:AC59" si="164">$P$5*$D$59/12</f>
        <v>865.53301556318013</v>
      </c>
      <c r="T59" s="2">
        <f t="shared" si="164"/>
        <v>865.53301556318013</v>
      </c>
      <c r="U59" s="2">
        <f t="shared" si="164"/>
        <v>865.53301556318013</v>
      </c>
      <c r="V59" s="2">
        <f t="shared" si="164"/>
        <v>865.53301556318013</v>
      </c>
      <c r="W59" s="2">
        <f t="shared" si="164"/>
        <v>865.53301556318013</v>
      </c>
      <c r="X59" s="2">
        <f t="shared" si="164"/>
        <v>865.53301556318013</v>
      </c>
      <c r="Y59" s="2">
        <f t="shared" si="164"/>
        <v>865.53301556318013</v>
      </c>
      <c r="Z59" s="2">
        <f t="shared" si="164"/>
        <v>865.53301556318013</v>
      </c>
      <c r="AA59" s="2">
        <f t="shared" si="164"/>
        <v>865.53301556318013</v>
      </c>
      <c r="AB59" s="2">
        <f t="shared" si="164"/>
        <v>865.53301556318013</v>
      </c>
      <c r="AC59" s="2">
        <f t="shared" si="164"/>
        <v>865.53301556318013</v>
      </c>
      <c r="AD59" s="2">
        <f>($AC$5-$P$5)*$D$59/12</f>
        <v>2261.5359840776805</v>
      </c>
      <c r="AE59" s="2">
        <f t="shared" ref="AE59:AL59" si="165">($AC$5-$P$5)*$D$59/12</f>
        <v>2261.5359840776805</v>
      </c>
      <c r="AF59" s="2">
        <f t="shared" si="165"/>
        <v>2261.5359840776805</v>
      </c>
      <c r="AG59" s="2">
        <f t="shared" si="165"/>
        <v>2261.5359840776805</v>
      </c>
      <c r="AH59" s="2">
        <f t="shared" si="165"/>
        <v>2261.5359840776805</v>
      </c>
      <c r="AI59" s="2">
        <f t="shared" si="165"/>
        <v>2261.5359840776805</v>
      </c>
      <c r="AJ59" s="2">
        <f t="shared" si="165"/>
        <v>2261.5359840776805</v>
      </c>
      <c r="AK59" s="2">
        <f t="shared" si="165"/>
        <v>2261.5359840776805</v>
      </c>
      <c r="AL59" s="2">
        <f t="shared" si="165"/>
        <v>2261.5359840776805</v>
      </c>
    </row>
    <row r="60" spans="1:38">
      <c r="C60" t="s">
        <v>139</v>
      </c>
      <c r="D60" s="44">
        <v>7.2190000000000004E-2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0">
        <f t="shared" si="163"/>
        <v>0</v>
      </c>
      <c r="R60" s="2">
        <f>$P$6*$D$60/12</f>
        <v>3338.1232981462604</v>
      </c>
      <c r="S60" s="2">
        <f t="shared" ref="S60:AC60" si="166">$P$6*$D$60/12</f>
        <v>3338.1232981462604</v>
      </c>
      <c r="T60" s="2">
        <f t="shared" si="166"/>
        <v>3338.1232981462604</v>
      </c>
      <c r="U60" s="2">
        <f t="shared" si="166"/>
        <v>3338.1232981462604</v>
      </c>
      <c r="V60" s="2">
        <f t="shared" si="166"/>
        <v>3338.1232981462604</v>
      </c>
      <c r="W60" s="2">
        <f t="shared" si="166"/>
        <v>3338.1232981462604</v>
      </c>
      <c r="X60" s="2">
        <f t="shared" si="166"/>
        <v>3338.1232981462604</v>
      </c>
      <c r="Y60" s="2">
        <f t="shared" si="166"/>
        <v>3338.1232981462604</v>
      </c>
      <c r="Z60" s="2">
        <f t="shared" si="166"/>
        <v>3338.1232981462604</v>
      </c>
      <c r="AA60" s="2">
        <f t="shared" si="166"/>
        <v>3338.1232981462604</v>
      </c>
      <c r="AB60" s="2">
        <f t="shared" si="166"/>
        <v>3338.1232981462604</v>
      </c>
      <c r="AC60" s="2">
        <f t="shared" si="166"/>
        <v>3338.1232981462604</v>
      </c>
      <c r="AD60" s="2">
        <f>($AC$6-$P$6)*$D$60/12</f>
        <v>10029.123177405731</v>
      </c>
      <c r="AE60" s="2">
        <f t="shared" ref="AE60:AL60" si="167">($AC$6-$P$6)*$D$60/12</f>
        <v>10029.123177405731</v>
      </c>
      <c r="AF60" s="2">
        <f t="shared" si="167"/>
        <v>10029.123177405731</v>
      </c>
      <c r="AG60" s="2">
        <f t="shared" si="167"/>
        <v>10029.123177405731</v>
      </c>
      <c r="AH60" s="2">
        <f t="shared" si="167"/>
        <v>10029.123177405731</v>
      </c>
      <c r="AI60" s="2">
        <f t="shared" si="167"/>
        <v>10029.123177405731</v>
      </c>
      <c r="AJ60" s="2">
        <f t="shared" si="167"/>
        <v>10029.123177405731</v>
      </c>
      <c r="AK60" s="2">
        <f t="shared" si="167"/>
        <v>10029.123177405731</v>
      </c>
      <c r="AL60" s="2">
        <f t="shared" si="167"/>
        <v>10029.123177405731</v>
      </c>
    </row>
    <row r="61" spans="1:38">
      <c r="C61" t="s">
        <v>144</v>
      </c>
      <c r="D61" s="44">
        <v>7.2190000000000004E-2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0">
        <f t="shared" si="163"/>
        <v>0</v>
      </c>
      <c r="R61" s="2">
        <f>$P$7*$D$61/12</f>
        <v>2689.5736542900499</v>
      </c>
      <c r="S61" s="2">
        <f t="shared" ref="S61:AC61" si="168">$P$7*$D$61/12</f>
        <v>2689.5736542900499</v>
      </c>
      <c r="T61" s="2">
        <f t="shared" si="168"/>
        <v>2689.5736542900499</v>
      </c>
      <c r="U61" s="2">
        <f t="shared" si="168"/>
        <v>2689.5736542900499</v>
      </c>
      <c r="V61" s="2">
        <f t="shared" si="168"/>
        <v>2689.5736542900499</v>
      </c>
      <c r="W61" s="2">
        <f t="shared" si="168"/>
        <v>2689.5736542900499</v>
      </c>
      <c r="X61" s="2">
        <f t="shared" si="168"/>
        <v>2689.5736542900499</v>
      </c>
      <c r="Y61" s="2">
        <f t="shared" si="168"/>
        <v>2689.5736542900499</v>
      </c>
      <c r="Z61" s="2">
        <f t="shared" si="168"/>
        <v>2689.5736542900499</v>
      </c>
      <c r="AA61" s="2">
        <f t="shared" si="168"/>
        <v>2689.5736542900499</v>
      </c>
      <c r="AB61" s="2">
        <f t="shared" si="168"/>
        <v>2689.5736542900499</v>
      </c>
      <c r="AC61" s="2">
        <f t="shared" si="168"/>
        <v>2689.5736542900499</v>
      </c>
      <c r="AD61" s="2">
        <f>($AC$7-$P$7)*$D$61/12</f>
        <v>2150.359135996971</v>
      </c>
      <c r="AE61" s="2">
        <f t="shared" ref="AE61:AL61" si="169">($AC$7-$P$7)*$D$61/12</f>
        <v>2150.359135996971</v>
      </c>
      <c r="AF61" s="2">
        <f t="shared" si="169"/>
        <v>2150.359135996971</v>
      </c>
      <c r="AG61" s="2">
        <f t="shared" si="169"/>
        <v>2150.359135996971</v>
      </c>
      <c r="AH61" s="2">
        <f t="shared" si="169"/>
        <v>2150.359135996971</v>
      </c>
      <c r="AI61" s="2">
        <f t="shared" si="169"/>
        <v>2150.359135996971</v>
      </c>
      <c r="AJ61" s="2">
        <f t="shared" si="169"/>
        <v>2150.359135996971</v>
      </c>
      <c r="AK61" s="2">
        <f t="shared" si="169"/>
        <v>2150.359135996971</v>
      </c>
      <c r="AL61" s="2">
        <f t="shared" si="169"/>
        <v>2150.359135996971</v>
      </c>
    </row>
    <row r="62" spans="1:38">
      <c r="C62" t="s">
        <v>137</v>
      </c>
      <c r="D62" s="59">
        <v>0.24490000000000001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">
        <f t="shared" si="163"/>
        <v>0</v>
      </c>
      <c r="R62" s="2">
        <f>$P$8*$D$62/12</f>
        <v>8823.1471349281182</v>
      </c>
      <c r="S62" s="2">
        <f t="shared" ref="S62:AC62" si="170">$P$8*$D$62/12</f>
        <v>8823.1471349281182</v>
      </c>
      <c r="T62" s="2">
        <f t="shared" si="170"/>
        <v>8823.1471349281182</v>
      </c>
      <c r="U62" s="2">
        <f t="shared" si="170"/>
        <v>8823.1471349281182</v>
      </c>
      <c r="V62" s="2">
        <f t="shared" si="170"/>
        <v>8823.1471349281182</v>
      </c>
      <c r="W62" s="2">
        <f t="shared" si="170"/>
        <v>8823.1471349281182</v>
      </c>
      <c r="X62" s="2">
        <f t="shared" si="170"/>
        <v>8823.1471349281182</v>
      </c>
      <c r="Y62" s="2">
        <f t="shared" si="170"/>
        <v>8823.1471349281182</v>
      </c>
      <c r="Z62" s="2">
        <f t="shared" si="170"/>
        <v>8823.1471349281182</v>
      </c>
      <c r="AA62" s="2">
        <f t="shared" si="170"/>
        <v>8823.1471349281182</v>
      </c>
      <c r="AB62" s="2">
        <f t="shared" si="170"/>
        <v>8823.1471349281182</v>
      </c>
      <c r="AC62" s="2">
        <f t="shared" si="170"/>
        <v>8823.1471349281182</v>
      </c>
      <c r="AD62" s="2">
        <f>($AC$8-$P$8)*$D$62/12</f>
        <v>25527.071340314124</v>
      </c>
      <c r="AE62" s="2">
        <f t="shared" ref="AE62:AL62" si="171">($AC$8-$P$8)*$D$62/12</f>
        <v>25527.071340314124</v>
      </c>
      <c r="AF62" s="2">
        <f t="shared" si="171"/>
        <v>25527.071340314124</v>
      </c>
      <c r="AG62" s="2">
        <f t="shared" si="171"/>
        <v>25527.071340314124</v>
      </c>
      <c r="AH62" s="2">
        <f t="shared" si="171"/>
        <v>25527.071340314124</v>
      </c>
      <c r="AI62" s="2">
        <f t="shared" si="171"/>
        <v>25527.071340314124</v>
      </c>
      <c r="AJ62" s="2">
        <f t="shared" si="171"/>
        <v>25527.071340314124</v>
      </c>
      <c r="AK62" s="2">
        <f t="shared" si="171"/>
        <v>25527.071340314124</v>
      </c>
      <c r="AL62" s="2">
        <f t="shared" si="171"/>
        <v>25527.071340314124</v>
      </c>
    </row>
    <row r="63" spans="1:38">
      <c r="C63" t="s">
        <v>146</v>
      </c>
      <c r="D63" s="59">
        <v>0.32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0">
        <f t="shared" si="163"/>
        <v>0</v>
      </c>
      <c r="R63" s="2">
        <f>$P$9*$D$63/12</f>
        <v>869.73340560000031</v>
      </c>
      <c r="S63" s="2">
        <f t="shared" ref="S63:AC63" si="172">$P$9*$D$63/12</f>
        <v>869.73340560000031</v>
      </c>
      <c r="T63" s="2">
        <f t="shared" si="172"/>
        <v>869.73340560000031</v>
      </c>
      <c r="U63" s="2">
        <f t="shared" si="172"/>
        <v>869.73340560000031</v>
      </c>
      <c r="V63" s="2">
        <f t="shared" si="172"/>
        <v>869.73340560000031</v>
      </c>
      <c r="W63" s="2">
        <f t="shared" si="172"/>
        <v>869.73340560000031</v>
      </c>
      <c r="X63" s="2">
        <f t="shared" si="172"/>
        <v>869.73340560000031</v>
      </c>
      <c r="Y63" s="2">
        <f t="shared" si="172"/>
        <v>869.73340560000031</v>
      </c>
      <c r="Z63" s="2">
        <f t="shared" si="172"/>
        <v>869.73340560000031</v>
      </c>
      <c r="AA63" s="2">
        <f t="shared" si="172"/>
        <v>869.73340560000031</v>
      </c>
      <c r="AB63" s="2">
        <f t="shared" si="172"/>
        <v>869.73340560000031</v>
      </c>
      <c r="AC63" s="2">
        <f t="shared" si="172"/>
        <v>869.73340560000031</v>
      </c>
      <c r="AD63" s="2">
        <f>($AC$9-$P$9)*$D$63/12</f>
        <v>5668.5581351628316</v>
      </c>
      <c r="AE63" s="2">
        <f t="shared" ref="AE63:AL63" si="173">($AC$9-$P$9)*$D$63/12</f>
        <v>5668.5581351628316</v>
      </c>
      <c r="AF63" s="2">
        <f t="shared" si="173"/>
        <v>5668.5581351628316</v>
      </c>
      <c r="AG63" s="2">
        <f t="shared" si="173"/>
        <v>5668.5581351628316</v>
      </c>
      <c r="AH63" s="2">
        <f t="shared" si="173"/>
        <v>5668.5581351628316</v>
      </c>
      <c r="AI63" s="2">
        <f t="shared" si="173"/>
        <v>5668.5581351628316</v>
      </c>
      <c r="AJ63" s="2">
        <f t="shared" si="173"/>
        <v>5668.5581351628316</v>
      </c>
      <c r="AK63" s="2">
        <f t="shared" si="173"/>
        <v>5668.5581351628316</v>
      </c>
      <c r="AL63" s="2">
        <f t="shared" si="173"/>
        <v>5668.5581351628316</v>
      </c>
    </row>
    <row r="64" spans="1:38">
      <c r="C64" t="s">
        <v>19</v>
      </c>
      <c r="D64" s="44">
        <v>0.33329999999999999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>
        <f t="shared" si="163"/>
        <v>0</v>
      </c>
      <c r="R64" s="2">
        <f>$P$10*$D$64/12</f>
        <v>3993.414063295611</v>
      </c>
      <c r="S64" s="2">
        <f t="shared" ref="S64:AC64" si="174">$P$10*$D$64/12</f>
        <v>3993.414063295611</v>
      </c>
      <c r="T64" s="2">
        <f t="shared" si="174"/>
        <v>3993.414063295611</v>
      </c>
      <c r="U64" s="2">
        <f t="shared" si="174"/>
        <v>3993.414063295611</v>
      </c>
      <c r="V64" s="2">
        <f t="shared" si="174"/>
        <v>3993.414063295611</v>
      </c>
      <c r="W64" s="2">
        <f t="shared" si="174"/>
        <v>3993.414063295611</v>
      </c>
      <c r="X64" s="2">
        <f t="shared" si="174"/>
        <v>3993.414063295611</v>
      </c>
      <c r="Y64" s="2">
        <f t="shared" si="174"/>
        <v>3993.414063295611</v>
      </c>
      <c r="Z64" s="2">
        <f t="shared" si="174"/>
        <v>3993.414063295611</v>
      </c>
      <c r="AA64" s="2">
        <f t="shared" si="174"/>
        <v>3993.414063295611</v>
      </c>
      <c r="AB64" s="2">
        <f t="shared" si="174"/>
        <v>3993.414063295611</v>
      </c>
      <c r="AC64" s="2">
        <f t="shared" si="174"/>
        <v>3993.414063295611</v>
      </c>
      <c r="AD64" s="2">
        <f>($AC$10-$P$10)*$D$64/12</f>
        <v>73208.564412399879</v>
      </c>
      <c r="AE64" s="2">
        <f t="shared" ref="AE64:AL64" si="175">($AC$10-$P$10)*$D$64/12</f>
        <v>73208.564412399879</v>
      </c>
      <c r="AF64" s="2">
        <f t="shared" si="175"/>
        <v>73208.564412399879</v>
      </c>
      <c r="AG64" s="2">
        <f t="shared" si="175"/>
        <v>73208.564412399879</v>
      </c>
      <c r="AH64" s="2">
        <f t="shared" si="175"/>
        <v>73208.564412399879</v>
      </c>
      <c r="AI64" s="2">
        <f t="shared" si="175"/>
        <v>73208.564412399879</v>
      </c>
      <c r="AJ64" s="2">
        <f t="shared" si="175"/>
        <v>73208.564412399879</v>
      </c>
      <c r="AK64" s="2">
        <f t="shared" si="175"/>
        <v>73208.564412399879</v>
      </c>
      <c r="AL64" s="2">
        <f t="shared" si="175"/>
        <v>73208.564412399879</v>
      </c>
    </row>
    <row r="65" spans="1:38">
      <c r="C65" s="4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0"/>
      <c r="R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3.5" thickBot="1">
      <c r="B66" t="s">
        <v>2</v>
      </c>
      <c r="E66" s="5">
        <f>SUM(E58:E65)</f>
        <v>0</v>
      </c>
      <c r="F66" s="5">
        <f t="shared" ref="F66:P66" si="176">SUM(F58:F65)</f>
        <v>0</v>
      </c>
      <c r="G66" s="5">
        <f t="shared" si="176"/>
        <v>0</v>
      </c>
      <c r="H66" s="5">
        <f t="shared" si="176"/>
        <v>0</v>
      </c>
      <c r="I66" s="5">
        <f t="shared" si="176"/>
        <v>0</v>
      </c>
      <c r="J66" s="5">
        <f t="shared" si="176"/>
        <v>0</v>
      </c>
      <c r="K66" s="5">
        <f t="shared" si="176"/>
        <v>0</v>
      </c>
      <c r="L66" s="5">
        <f t="shared" si="176"/>
        <v>0</v>
      </c>
      <c r="M66" s="5">
        <f t="shared" si="176"/>
        <v>0</v>
      </c>
      <c r="N66" s="5">
        <f t="shared" si="176"/>
        <v>0</v>
      </c>
      <c r="O66" s="5">
        <f t="shared" si="176"/>
        <v>0</v>
      </c>
      <c r="P66" s="5">
        <f t="shared" si="176"/>
        <v>0</v>
      </c>
      <c r="Q66" s="11">
        <f>SUM(Q58:Q65)</f>
        <v>0</v>
      </c>
      <c r="R66" s="5">
        <f>SUM(R58:R65)</f>
        <v>20579.524571823222</v>
      </c>
      <c r="S66" s="5">
        <f t="shared" ref="S66:AL66" si="177">SUM(S58:S65)</f>
        <v>20579.524571823222</v>
      </c>
      <c r="T66" s="5">
        <f t="shared" si="177"/>
        <v>20579.524571823222</v>
      </c>
      <c r="U66" s="5">
        <f t="shared" si="177"/>
        <v>20579.524571823222</v>
      </c>
      <c r="V66" s="5">
        <f t="shared" si="177"/>
        <v>20579.524571823222</v>
      </c>
      <c r="W66" s="5">
        <f t="shared" si="177"/>
        <v>20579.524571823222</v>
      </c>
      <c r="X66" s="5">
        <f t="shared" si="177"/>
        <v>20579.524571823222</v>
      </c>
      <c r="Y66" s="5">
        <f t="shared" si="177"/>
        <v>20579.524571823222</v>
      </c>
      <c r="Z66" s="5">
        <f t="shared" si="177"/>
        <v>20579.524571823222</v>
      </c>
      <c r="AA66" s="5">
        <f t="shared" si="177"/>
        <v>20579.524571823222</v>
      </c>
      <c r="AB66" s="5">
        <f t="shared" si="177"/>
        <v>20579.524571823222</v>
      </c>
      <c r="AC66" s="5">
        <f t="shared" si="177"/>
        <v>20579.524571823222</v>
      </c>
      <c r="AD66" s="5">
        <f t="shared" si="177"/>
        <v>119655.40909784054</v>
      </c>
      <c r="AE66" s="5">
        <f t="shared" si="177"/>
        <v>119655.40909784054</v>
      </c>
      <c r="AF66" s="5">
        <f t="shared" si="177"/>
        <v>119655.40909784054</v>
      </c>
      <c r="AG66" s="5">
        <f t="shared" si="177"/>
        <v>119655.40909784054</v>
      </c>
      <c r="AH66" s="5">
        <f t="shared" si="177"/>
        <v>119655.40909784054</v>
      </c>
      <c r="AI66" s="5">
        <f t="shared" si="177"/>
        <v>119655.40909784054</v>
      </c>
      <c r="AJ66" s="5">
        <f t="shared" si="177"/>
        <v>119655.40909784054</v>
      </c>
      <c r="AK66" s="5">
        <f t="shared" si="177"/>
        <v>119655.40909784054</v>
      </c>
      <c r="AL66" s="5">
        <f t="shared" si="177"/>
        <v>119655.40909784054</v>
      </c>
    </row>
    <row r="68" spans="1:38">
      <c r="A68" s="1" t="s">
        <v>21</v>
      </c>
      <c r="B68" t="s">
        <v>1</v>
      </c>
      <c r="C68" t="s">
        <v>17</v>
      </c>
      <c r="D68" s="44">
        <v>6.6769999999999996E-2</v>
      </c>
      <c r="Q68" s="10">
        <f>SUM(E68:P68)</f>
        <v>0</v>
      </c>
      <c r="AD68" s="2">
        <f>$P$4*$D$68/12</f>
        <v>0</v>
      </c>
      <c r="AE68" s="2">
        <f t="shared" ref="AE68:AL68" si="178">$P$4*$D$68/12</f>
        <v>0</v>
      </c>
      <c r="AF68" s="2">
        <f t="shared" si="178"/>
        <v>0</v>
      </c>
      <c r="AG68" s="2">
        <f t="shared" si="178"/>
        <v>0</v>
      </c>
      <c r="AH68" s="2">
        <f t="shared" si="178"/>
        <v>0</v>
      </c>
      <c r="AI68" s="2">
        <f t="shared" si="178"/>
        <v>0</v>
      </c>
      <c r="AJ68" s="2">
        <f t="shared" si="178"/>
        <v>0</v>
      </c>
      <c r="AK68" s="2">
        <f t="shared" si="178"/>
        <v>0</v>
      </c>
      <c r="AL68" s="2">
        <f t="shared" si="178"/>
        <v>0</v>
      </c>
    </row>
    <row r="69" spans="1:38">
      <c r="C69" t="s">
        <v>14</v>
      </c>
      <c r="D69" s="44">
        <v>6.6769999999999996E-2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0">
        <f>SUM(E69:P69)</f>
        <v>0</v>
      </c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>$P$5*$D$69/12</f>
        <v>800.54909889394003</v>
      </c>
      <c r="AE69" s="2">
        <f t="shared" ref="AE69:AL69" si="179">$P$5*$D$69/12</f>
        <v>800.54909889394003</v>
      </c>
      <c r="AF69" s="2">
        <f t="shared" si="179"/>
        <v>800.54909889394003</v>
      </c>
      <c r="AG69" s="2">
        <f t="shared" si="179"/>
        <v>800.54909889394003</v>
      </c>
      <c r="AH69" s="2">
        <f t="shared" si="179"/>
        <v>800.54909889394003</v>
      </c>
      <c r="AI69" s="2">
        <f t="shared" si="179"/>
        <v>800.54909889394003</v>
      </c>
      <c r="AJ69" s="2">
        <f t="shared" si="179"/>
        <v>800.54909889394003</v>
      </c>
      <c r="AK69" s="2">
        <f t="shared" si="179"/>
        <v>800.54909889394003</v>
      </c>
      <c r="AL69" s="2">
        <f t="shared" si="179"/>
        <v>800.54909889394003</v>
      </c>
    </row>
    <row r="70" spans="1:38">
      <c r="C70" t="s">
        <v>139</v>
      </c>
      <c r="D70" s="44">
        <v>6.6769999999999996E-2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0">
        <f>SUM(E70:P70)</f>
        <v>0</v>
      </c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>$P$6*$D$70/12</f>
        <v>3087.4981661895799</v>
      </c>
      <c r="AE70" s="2">
        <f t="shared" ref="AE70:AL70" si="180">$P$6*$D$70/12</f>
        <v>3087.4981661895799</v>
      </c>
      <c r="AF70" s="2">
        <f t="shared" si="180"/>
        <v>3087.4981661895799</v>
      </c>
      <c r="AG70" s="2">
        <f t="shared" si="180"/>
        <v>3087.4981661895799</v>
      </c>
      <c r="AH70" s="2">
        <f t="shared" si="180"/>
        <v>3087.4981661895799</v>
      </c>
      <c r="AI70" s="2">
        <f t="shared" si="180"/>
        <v>3087.4981661895799</v>
      </c>
      <c r="AJ70" s="2">
        <f t="shared" si="180"/>
        <v>3087.4981661895799</v>
      </c>
      <c r="AK70" s="2">
        <f t="shared" si="180"/>
        <v>3087.4981661895799</v>
      </c>
      <c r="AL70" s="2">
        <f t="shared" si="180"/>
        <v>3087.4981661895799</v>
      </c>
    </row>
    <row r="71" spans="1:38">
      <c r="C71" t="s">
        <v>144</v>
      </c>
      <c r="D71" s="44">
        <v>6.6769999999999996E-2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0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f>$P$7*$D$71/12</f>
        <v>2487.6414031991499</v>
      </c>
      <c r="AE71" s="2">
        <f t="shared" ref="AE71:AL71" si="181">$P$7*$D$71/12</f>
        <v>2487.6414031991499</v>
      </c>
      <c r="AF71" s="2">
        <f t="shared" si="181"/>
        <v>2487.6414031991499</v>
      </c>
      <c r="AG71" s="2">
        <f t="shared" si="181"/>
        <v>2487.6414031991499</v>
      </c>
      <c r="AH71" s="2">
        <f t="shared" si="181"/>
        <v>2487.6414031991499</v>
      </c>
      <c r="AI71" s="2">
        <f t="shared" si="181"/>
        <v>2487.6414031991499</v>
      </c>
      <c r="AJ71" s="2">
        <f t="shared" si="181"/>
        <v>2487.6414031991499</v>
      </c>
      <c r="AK71" s="2">
        <f t="shared" si="181"/>
        <v>2487.6414031991499</v>
      </c>
      <c r="AL71" s="2">
        <f t="shared" si="181"/>
        <v>2487.6414031991499</v>
      </c>
    </row>
    <row r="72" spans="1:38">
      <c r="C72" t="s">
        <v>137</v>
      </c>
      <c r="D72" s="59">
        <v>0.1749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0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>$P$8*$D$72/12</f>
        <v>6301.2185949323311</v>
      </c>
      <c r="AE72" s="2">
        <f t="shared" ref="AE72:AL72" si="182">$P$8*$D$72/12</f>
        <v>6301.2185949323311</v>
      </c>
      <c r="AF72" s="2">
        <f t="shared" si="182"/>
        <v>6301.2185949323311</v>
      </c>
      <c r="AG72" s="2">
        <f t="shared" si="182"/>
        <v>6301.2185949323311</v>
      </c>
      <c r="AH72" s="2">
        <f t="shared" si="182"/>
        <v>6301.2185949323311</v>
      </c>
      <c r="AI72" s="2">
        <f t="shared" si="182"/>
        <v>6301.2185949323311</v>
      </c>
      <c r="AJ72" s="2">
        <f t="shared" si="182"/>
        <v>6301.2185949323311</v>
      </c>
      <c r="AK72" s="2">
        <f t="shared" si="182"/>
        <v>6301.2185949323311</v>
      </c>
      <c r="AL72" s="2">
        <f t="shared" si="182"/>
        <v>6301.2185949323311</v>
      </c>
    </row>
    <row r="73" spans="1:38">
      <c r="C73" t="s">
        <v>146</v>
      </c>
      <c r="D73" s="59">
        <v>0.192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0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f>$P$9*$D$73/12</f>
        <v>521.8400433600001</v>
      </c>
      <c r="AE73" s="2">
        <f t="shared" ref="AE73:AL73" si="183">$P$9*$D$73/12</f>
        <v>521.8400433600001</v>
      </c>
      <c r="AF73" s="2">
        <f t="shared" si="183"/>
        <v>521.8400433600001</v>
      </c>
      <c r="AG73" s="2">
        <f t="shared" si="183"/>
        <v>521.8400433600001</v>
      </c>
      <c r="AH73" s="2">
        <f t="shared" si="183"/>
        <v>521.8400433600001</v>
      </c>
      <c r="AI73" s="2">
        <f t="shared" si="183"/>
        <v>521.8400433600001</v>
      </c>
      <c r="AJ73" s="2">
        <f t="shared" si="183"/>
        <v>521.8400433600001</v>
      </c>
      <c r="AK73" s="2">
        <f t="shared" si="183"/>
        <v>521.8400433600001</v>
      </c>
      <c r="AL73" s="2">
        <f t="shared" si="183"/>
        <v>521.8400433600001</v>
      </c>
    </row>
    <row r="74" spans="1:38">
      <c r="C74" t="s">
        <v>19</v>
      </c>
      <c r="D74" s="44">
        <v>0.33329999999999999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0">
        <f t="shared" ref="Q74" si="184">SUM(E74:P74)</f>
        <v>0</v>
      </c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f>$P$10*$D$74/12</f>
        <v>3993.414063295611</v>
      </c>
      <c r="AE74" s="2">
        <f t="shared" ref="AE74:AL74" si="185">$P$10*$D$74/12</f>
        <v>3993.414063295611</v>
      </c>
      <c r="AF74" s="2">
        <f t="shared" si="185"/>
        <v>3993.414063295611</v>
      </c>
      <c r="AG74" s="2">
        <f t="shared" si="185"/>
        <v>3993.414063295611</v>
      </c>
      <c r="AH74" s="2">
        <f t="shared" si="185"/>
        <v>3993.414063295611</v>
      </c>
      <c r="AI74" s="2">
        <f t="shared" si="185"/>
        <v>3993.414063295611</v>
      </c>
      <c r="AJ74" s="2">
        <f t="shared" si="185"/>
        <v>3993.414063295611</v>
      </c>
      <c r="AK74" s="2">
        <f t="shared" si="185"/>
        <v>3993.414063295611</v>
      </c>
      <c r="AL74" s="2">
        <f t="shared" si="185"/>
        <v>3993.414063295611</v>
      </c>
    </row>
    <row r="75" spans="1:38">
      <c r="C75" s="4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0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3.5" thickBot="1">
      <c r="B76" t="s">
        <v>2</v>
      </c>
      <c r="E76" s="5">
        <f t="shared" ref="E76:AL76" si="186">SUM(E68:E75)</f>
        <v>0</v>
      </c>
      <c r="F76" s="5">
        <f t="shared" si="186"/>
        <v>0</v>
      </c>
      <c r="G76" s="5">
        <f t="shared" si="186"/>
        <v>0</v>
      </c>
      <c r="H76" s="5">
        <f t="shared" si="186"/>
        <v>0</v>
      </c>
      <c r="I76" s="5">
        <f t="shared" si="186"/>
        <v>0</v>
      </c>
      <c r="J76" s="5">
        <f t="shared" si="186"/>
        <v>0</v>
      </c>
      <c r="K76" s="5">
        <f t="shared" si="186"/>
        <v>0</v>
      </c>
      <c r="L76" s="5">
        <f t="shared" si="186"/>
        <v>0</v>
      </c>
      <c r="M76" s="5">
        <f t="shared" si="186"/>
        <v>0</v>
      </c>
      <c r="N76" s="5">
        <f t="shared" si="186"/>
        <v>0</v>
      </c>
      <c r="O76" s="5">
        <f t="shared" si="186"/>
        <v>0</v>
      </c>
      <c r="P76" s="5">
        <f t="shared" si="186"/>
        <v>0</v>
      </c>
      <c r="Q76" s="11">
        <f t="shared" si="186"/>
        <v>0</v>
      </c>
      <c r="R76" s="5">
        <f t="shared" si="186"/>
        <v>0</v>
      </c>
      <c r="S76" s="5">
        <f t="shared" si="186"/>
        <v>0</v>
      </c>
      <c r="T76" s="5">
        <f t="shared" si="186"/>
        <v>0</v>
      </c>
      <c r="U76" s="5">
        <f t="shared" si="186"/>
        <v>0</v>
      </c>
      <c r="V76" s="5">
        <f t="shared" si="186"/>
        <v>0</v>
      </c>
      <c r="W76" s="5">
        <f t="shared" si="186"/>
        <v>0</v>
      </c>
      <c r="X76" s="5">
        <f t="shared" si="186"/>
        <v>0</v>
      </c>
      <c r="Y76" s="5">
        <f t="shared" si="186"/>
        <v>0</v>
      </c>
      <c r="Z76" s="5">
        <f t="shared" si="186"/>
        <v>0</v>
      </c>
      <c r="AA76" s="5">
        <f t="shared" si="186"/>
        <v>0</v>
      </c>
      <c r="AB76" s="5">
        <f t="shared" si="186"/>
        <v>0</v>
      </c>
      <c r="AC76" s="5">
        <f t="shared" si="186"/>
        <v>0</v>
      </c>
      <c r="AD76" s="5">
        <f t="shared" si="186"/>
        <v>17192.161369870613</v>
      </c>
      <c r="AE76" s="5">
        <f t="shared" si="186"/>
        <v>17192.161369870613</v>
      </c>
      <c r="AF76" s="5">
        <f t="shared" si="186"/>
        <v>17192.161369870613</v>
      </c>
      <c r="AG76" s="5">
        <f t="shared" si="186"/>
        <v>17192.161369870613</v>
      </c>
      <c r="AH76" s="5">
        <f t="shared" si="186"/>
        <v>17192.161369870613</v>
      </c>
      <c r="AI76" s="5">
        <f t="shared" si="186"/>
        <v>17192.161369870613</v>
      </c>
      <c r="AJ76" s="5">
        <f t="shared" si="186"/>
        <v>17192.161369870613</v>
      </c>
      <c r="AK76" s="5">
        <f t="shared" si="186"/>
        <v>17192.161369870613</v>
      </c>
      <c r="AL76" s="5">
        <f t="shared" si="186"/>
        <v>17192.161369870613</v>
      </c>
    </row>
    <row r="78" spans="1:38">
      <c r="A78" s="1" t="s">
        <v>22</v>
      </c>
      <c r="B78" t="s">
        <v>1</v>
      </c>
      <c r="C78" t="s">
        <v>17</v>
      </c>
      <c r="E78" s="2">
        <f t="shared" ref="E78:P78" si="187">SUM(E48,E58,E68)</f>
        <v>0</v>
      </c>
      <c r="F78" s="2">
        <f t="shared" si="187"/>
        <v>0</v>
      </c>
      <c r="G78" s="2">
        <f t="shared" si="187"/>
        <v>0</v>
      </c>
      <c r="H78" s="2">
        <f t="shared" si="187"/>
        <v>0</v>
      </c>
      <c r="I78" s="2">
        <f t="shared" si="187"/>
        <v>0</v>
      </c>
      <c r="J78" s="2">
        <f t="shared" si="187"/>
        <v>0</v>
      </c>
      <c r="K78" s="2">
        <f t="shared" si="187"/>
        <v>0</v>
      </c>
      <c r="L78" s="2">
        <f t="shared" si="187"/>
        <v>0</v>
      </c>
      <c r="M78" s="2">
        <f t="shared" si="187"/>
        <v>0</v>
      </c>
      <c r="N78" s="2">
        <f t="shared" si="187"/>
        <v>0</v>
      </c>
      <c r="O78" s="2">
        <f t="shared" si="187"/>
        <v>0</v>
      </c>
      <c r="P78" s="2">
        <f t="shared" si="187"/>
        <v>0</v>
      </c>
      <c r="Q78" s="10">
        <f>SUM(E78:P78)</f>
        <v>0</v>
      </c>
      <c r="R78" s="2">
        <f t="shared" ref="R78:AL78" si="188">SUM(R48,R58,R68)</f>
        <v>420.86693749999995</v>
      </c>
      <c r="S78" s="2">
        <f t="shared" si="188"/>
        <v>420.86693749999995</v>
      </c>
      <c r="T78" s="2">
        <f t="shared" si="188"/>
        <v>420.86693749999995</v>
      </c>
      <c r="U78" s="2">
        <f t="shared" si="188"/>
        <v>420.86693749999995</v>
      </c>
      <c r="V78" s="2">
        <f t="shared" si="188"/>
        <v>420.86693749999995</v>
      </c>
      <c r="W78" s="2">
        <f t="shared" si="188"/>
        <v>420.86693749999995</v>
      </c>
      <c r="X78" s="2">
        <f t="shared" si="188"/>
        <v>420.86693749999995</v>
      </c>
      <c r="Y78" s="2">
        <f t="shared" si="188"/>
        <v>420.86693749999995</v>
      </c>
      <c r="Z78" s="2">
        <f t="shared" si="188"/>
        <v>420.86693749999995</v>
      </c>
      <c r="AA78" s="2">
        <f t="shared" si="188"/>
        <v>420.86693749999995</v>
      </c>
      <c r="AB78" s="2">
        <f t="shared" si="188"/>
        <v>420.86693749999995</v>
      </c>
      <c r="AC78" s="2">
        <f t="shared" si="188"/>
        <v>420.86693749999995</v>
      </c>
      <c r="AD78" s="2">
        <f t="shared" si="188"/>
        <v>818.98169373333326</v>
      </c>
      <c r="AE78" s="2">
        <f t="shared" si="188"/>
        <v>818.98169373333326</v>
      </c>
      <c r="AF78" s="2">
        <f t="shared" si="188"/>
        <v>818.98169373333326</v>
      </c>
      <c r="AG78" s="2">
        <f t="shared" si="188"/>
        <v>818.98169373333326</v>
      </c>
      <c r="AH78" s="2">
        <f t="shared" si="188"/>
        <v>818.98169373333326</v>
      </c>
      <c r="AI78" s="2">
        <f t="shared" si="188"/>
        <v>818.98169373333326</v>
      </c>
      <c r="AJ78" s="2">
        <f t="shared" si="188"/>
        <v>818.98169373333326</v>
      </c>
      <c r="AK78" s="2">
        <f t="shared" si="188"/>
        <v>818.98169373333326</v>
      </c>
      <c r="AL78" s="2">
        <f t="shared" si="188"/>
        <v>818.98169373333326</v>
      </c>
    </row>
    <row r="79" spans="1:38">
      <c r="C79" t="s">
        <v>14</v>
      </c>
      <c r="E79" s="2">
        <f t="shared" ref="E79:P79" si="189">SUM(E49,E59,E69)</f>
        <v>449.61196957500005</v>
      </c>
      <c r="F79" s="2">
        <f t="shared" si="189"/>
        <v>449.61196957500005</v>
      </c>
      <c r="G79" s="2">
        <f t="shared" si="189"/>
        <v>449.61196957500005</v>
      </c>
      <c r="H79" s="2">
        <f t="shared" si="189"/>
        <v>449.61196957500005</v>
      </c>
      <c r="I79" s="2">
        <f t="shared" si="189"/>
        <v>449.61196957500005</v>
      </c>
      <c r="J79" s="2">
        <f t="shared" si="189"/>
        <v>449.61196957500005</v>
      </c>
      <c r="K79" s="2">
        <f t="shared" si="189"/>
        <v>449.61196957500005</v>
      </c>
      <c r="L79" s="2">
        <f t="shared" si="189"/>
        <v>449.61196957500005</v>
      </c>
      <c r="M79" s="2">
        <f t="shared" si="189"/>
        <v>449.61196957500005</v>
      </c>
      <c r="N79" s="2">
        <f t="shared" si="189"/>
        <v>449.61196957500005</v>
      </c>
      <c r="O79" s="2">
        <f t="shared" si="189"/>
        <v>449.61196957500005</v>
      </c>
      <c r="P79" s="2">
        <f t="shared" si="189"/>
        <v>449.61196957500005</v>
      </c>
      <c r="Q79" s="10">
        <f t="shared" ref="Q79:Q84" si="190">SUM(E79:P79)</f>
        <v>5395.3436349000003</v>
      </c>
      <c r="R79" s="2">
        <f t="shared" ref="R79:AL79" si="191">SUM(R49,R59,R69)</f>
        <v>2040.31621826318</v>
      </c>
      <c r="S79" s="2">
        <f t="shared" si="191"/>
        <v>2040.31621826318</v>
      </c>
      <c r="T79" s="2">
        <f t="shared" si="191"/>
        <v>2040.31621826318</v>
      </c>
      <c r="U79" s="2">
        <f t="shared" si="191"/>
        <v>2040.31621826318</v>
      </c>
      <c r="V79" s="2">
        <f t="shared" si="191"/>
        <v>2040.31621826318</v>
      </c>
      <c r="W79" s="2">
        <f t="shared" si="191"/>
        <v>2040.31621826318</v>
      </c>
      <c r="X79" s="2">
        <f t="shared" si="191"/>
        <v>2040.31621826318</v>
      </c>
      <c r="Y79" s="2">
        <f t="shared" si="191"/>
        <v>2040.31621826318</v>
      </c>
      <c r="Z79" s="2">
        <f t="shared" si="191"/>
        <v>2040.31621826318</v>
      </c>
      <c r="AA79" s="2">
        <f t="shared" si="191"/>
        <v>2040.31621826318</v>
      </c>
      <c r="AB79" s="2">
        <f t="shared" si="191"/>
        <v>2040.31621826318</v>
      </c>
      <c r="AC79" s="2">
        <f t="shared" si="191"/>
        <v>2040.31621826318</v>
      </c>
      <c r="AD79" s="2">
        <f t="shared" si="191"/>
        <v>3081.4749748716208</v>
      </c>
      <c r="AE79" s="2">
        <f t="shared" si="191"/>
        <v>3081.4749748716208</v>
      </c>
      <c r="AF79" s="2">
        <f t="shared" si="191"/>
        <v>3081.4749748716208</v>
      </c>
      <c r="AG79" s="2">
        <f t="shared" si="191"/>
        <v>3081.4749748716208</v>
      </c>
      <c r="AH79" s="2">
        <f t="shared" si="191"/>
        <v>3081.4749748716208</v>
      </c>
      <c r="AI79" s="2">
        <f t="shared" si="191"/>
        <v>3081.4749748716208</v>
      </c>
      <c r="AJ79" s="2">
        <f t="shared" si="191"/>
        <v>3081.4749748716208</v>
      </c>
      <c r="AK79" s="2">
        <f t="shared" si="191"/>
        <v>3081.4749748716208</v>
      </c>
      <c r="AL79" s="2">
        <f t="shared" si="191"/>
        <v>3081.4749748716208</v>
      </c>
    </row>
    <row r="80" spans="1:38">
      <c r="C80" t="s">
        <v>139</v>
      </c>
      <c r="E80" s="2">
        <f t="shared" ref="E80:P80" si="192">SUM(E50,E60,E70)</f>
        <v>1734.0299720250002</v>
      </c>
      <c r="F80" s="2">
        <f t="shared" si="192"/>
        <v>1734.0299720250002</v>
      </c>
      <c r="G80" s="2">
        <f t="shared" si="192"/>
        <v>1734.0299720250002</v>
      </c>
      <c r="H80" s="2">
        <f t="shared" si="192"/>
        <v>1734.0299720250002</v>
      </c>
      <c r="I80" s="2">
        <f t="shared" si="192"/>
        <v>1734.0299720250002</v>
      </c>
      <c r="J80" s="2">
        <f t="shared" si="192"/>
        <v>1734.0299720250002</v>
      </c>
      <c r="K80" s="2">
        <f t="shared" si="192"/>
        <v>1734.0299720250002</v>
      </c>
      <c r="L80" s="2">
        <f t="shared" si="192"/>
        <v>1734.0299720250002</v>
      </c>
      <c r="M80" s="2">
        <f t="shared" si="192"/>
        <v>1734.0299720250002</v>
      </c>
      <c r="N80" s="2">
        <f t="shared" si="192"/>
        <v>1734.0299720250002</v>
      </c>
      <c r="O80" s="2">
        <f t="shared" si="192"/>
        <v>1734.0299720250002</v>
      </c>
      <c r="P80" s="2">
        <f t="shared" si="192"/>
        <v>1734.0299720250002</v>
      </c>
      <c r="Q80" s="10">
        <f t="shared" si="190"/>
        <v>20808.359664300002</v>
      </c>
      <c r="R80" s="2">
        <f t="shared" ref="R80:AL80" si="193">SUM(R50,R60,R70)</f>
        <v>8547.8769919087608</v>
      </c>
      <c r="S80" s="2">
        <f t="shared" si="193"/>
        <v>8547.8769919087608</v>
      </c>
      <c r="T80" s="2">
        <f t="shared" si="193"/>
        <v>8547.8769919087608</v>
      </c>
      <c r="U80" s="2">
        <f t="shared" si="193"/>
        <v>8547.8769919087608</v>
      </c>
      <c r="V80" s="2">
        <f t="shared" si="193"/>
        <v>8547.8769919087608</v>
      </c>
      <c r="W80" s="2">
        <f t="shared" si="193"/>
        <v>8547.8769919087608</v>
      </c>
      <c r="X80" s="2">
        <f t="shared" si="193"/>
        <v>8547.8769919087608</v>
      </c>
      <c r="Y80" s="2">
        <f t="shared" si="193"/>
        <v>8547.8769919087608</v>
      </c>
      <c r="Z80" s="2">
        <f t="shared" si="193"/>
        <v>8547.8769919087608</v>
      </c>
      <c r="AA80" s="2">
        <f t="shared" si="193"/>
        <v>8547.8769919087608</v>
      </c>
      <c r="AB80" s="2">
        <f t="shared" si="193"/>
        <v>8547.8769919087608</v>
      </c>
      <c r="AC80" s="2">
        <f t="shared" si="193"/>
        <v>8547.8769919087608</v>
      </c>
      <c r="AD80" s="2">
        <f t="shared" si="193"/>
        <v>13116.62134359531</v>
      </c>
      <c r="AE80" s="2">
        <f t="shared" si="193"/>
        <v>13116.62134359531</v>
      </c>
      <c r="AF80" s="2">
        <f t="shared" si="193"/>
        <v>13116.62134359531</v>
      </c>
      <c r="AG80" s="2">
        <f t="shared" si="193"/>
        <v>13116.62134359531</v>
      </c>
      <c r="AH80" s="2">
        <f t="shared" si="193"/>
        <v>13116.62134359531</v>
      </c>
      <c r="AI80" s="2">
        <f t="shared" si="193"/>
        <v>13116.62134359531</v>
      </c>
      <c r="AJ80" s="2">
        <f t="shared" si="193"/>
        <v>13116.62134359531</v>
      </c>
      <c r="AK80" s="2">
        <f t="shared" si="193"/>
        <v>13116.62134359531</v>
      </c>
      <c r="AL80" s="2">
        <f t="shared" si="193"/>
        <v>13116.62134359531</v>
      </c>
    </row>
    <row r="81" spans="1:38">
      <c r="C81" t="s">
        <v>144</v>
      </c>
      <c r="E81" s="2">
        <f t="shared" ref="E81:P81" si="194">SUM(E51,E61,E71)</f>
        <v>1397.1327335624999</v>
      </c>
      <c r="F81" s="2">
        <f t="shared" si="194"/>
        <v>1397.1327335624999</v>
      </c>
      <c r="G81" s="2">
        <f t="shared" si="194"/>
        <v>1397.1327335624999</v>
      </c>
      <c r="H81" s="2">
        <f t="shared" si="194"/>
        <v>1397.1327335624999</v>
      </c>
      <c r="I81" s="2">
        <f t="shared" si="194"/>
        <v>1397.1327335624999</v>
      </c>
      <c r="J81" s="2">
        <f t="shared" si="194"/>
        <v>1397.1327335624999</v>
      </c>
      <c r="K81" s="2">
        <f t="shared" si="194"/>
        <v>1397.1327335624999</v>
      </c>
      <c r="L81" s="2">
        <f t="shared" si="194"/>
        <v>1397.1327335624999</v>
      </c>
      <c r="M81" s="2">
        <f t="shared" si="194"/>
        <v>1397.1327335624999</v>
      </c>
      <c r="N81" s="2">
        <f t="shared" si="194"/>
        <v>1397.1327335624999</v>
      </c>
      <c r="O81" s="2">
        <f t="shared" si="194"/>
        <v>1397.1327335624999</v>
      </c>
      <c r="P81" s="2">
        <f t="shared" si="194"/>
        <v>1397.1327335624999</v>
      </c>
      <c r="Q81" s="10">
        <f t="shared" si="190"/>
        <v>16765.592802749994</v>
      </c>
      <c r="R81" s="2">
        <f t="shared" ref="R81:AL81" si="195">SUM(R51,R61,R71)</f>
        <v>3806.6046502712998</v>
      </c>
      <c r="S81" s="2">
        <f t="shared" si="195"/>
        <v>3806.6046502712998</v>
      </c>
      <c r="T81" s="2">
        <f t="shared" si="195"/>
        <v>3806.6046502712998</v>
      </c>
      <c r="U81" s="2">
        <f t="shared" si="195"/>
        <v>3806.6046502712998</v>
      </c>
      <c r="V81" s="2">
        <f t="shared" si="195"/>
        <v>3806.6046502712998</v>
      </c>
      <c r="W81" s="2">
        <f t="shared" si="195"/>
        <v>3806.6046502712998</v>
      </c>
      <c r="X81" s="2">
        <f t="shared" si="195"/>
        <v>3806.6046502712998</v>
      </c>
      <c r="Y81" s="2">
        <f t="shared" si="195"/>
        <v>3806.6046502712998</v>
      </c>
      <c r="Z81" s="2">
        <f t="shared" si="195"/>
        <v>3806.6046502712998</v>
      </c>
      <c r="AA81" s="2">
        <f t="shared" si="195"/>
        <v>3806.6046502712998</v>
      </c>
      <c r="AB81" s="2">
        <f t="shared" si="195"/>
        <v>3806.6046502712998</v>
      </c>
      <c r="AC81" s="2">
        <f t="shared" si="195"/>
        <v>3806.6046502712998</v>
      </c>
      <c r="AD81" s="2">
        <f t="shared" si="195"/>
        <v>4638.0005391961204</v>
      </c>
      <c r="AE81" s="2">
        <f t="shared" si="195"/>
        <v>4638.0005391961204</v>
      </c>
      <c r="AF81" s="2">
        <f t="shared" si="195"/>
        <v>4638.0005391961204</v>
      </c>
      <c r="AG81" s="2">
        <f t="shared" si="195"/>
        <v>4638.0005391961204</v>
      </c>
      <c r="AH81" s="2">
        <f t="shared" si="195"/>
        <v>4638.0005391961204</v>
      </c>
      <c r="AI81" s="2">
        <f t="shared" si="195"/>
        <v>4638.0005391961204</v>
      </c>
      <c r="AJ81" s="2">
        <f t="shared" si="195"/>
        <v>4638.0005391961204</v>
      </c>
      <c r="AK81" s="2">
        <f t="shared" si="195"/>
        <v>4638.0005391961204</v>
      </c>
      <c r="AL81" s="2">
        <f t="shared" si="195"/>
        <v>4638.0005391961204</v>
      </c>
    </row>
    <row r="82" spans="1:38">
      <c r="C82" t="s">
        <v>137</v>
      </c>
      <c r="E82" s="2">
        <f t="shared" ref="E82:P82" si="196">SUM(E52,E62,E72)</f>
        <v>5148.3369766485421</v>
      </c>
      <c r="F82" s="2">
        <f t="shared" si="196"/>
        <v>5148.3369766485421</v>
      </c>
      <c r="G82" s="2">
        <f t="shared" si="196"/>
        <v>5148.3369766485421</v>
      </c>
      <c r="H82" s="2">
        <f t="shared" si="196"/>
        <v>5148.3369766485421</v>
      </c>
      <c r="I82" s="2">
        <f t="shared" si="196"/>
        <v>5148.3369766485421</v>
      </c>
      <c r="J82" s="2">
        <f t="shared" si="196"/>
        <v>5148.3369766485421</v>
      </c>
      <c r="K82" s="2">
        <f t="shared" si="196"/>
        <v>5148.3369766485421</v>
      </c>
      <c r="L82" s="2">
        <f t="shared" si="196"/>
        <v>5148.3369766485421</v>
      </c>
      <c r="M82" s="2">
        <f t="shared" si="196"/>
        <v>5148.3369766485421</v>
      </c>
      <c r="N82" s="2">
        <f t="shared" si="196"/>
        <v>5148.3369766485421</v>
      </c>
      <c r="O82" s="2">
        <f t="shared" si="196"/>
        <v>5148.3369766485421</v>
      </c>
      <c r="P82" s="2">
        <f t="shared" si="196"/>
        <v>5148.3369766485421</v>
      </c>
      <c r="Q82" s="10">
        <f t="shared" si="190"/>
        <v>61780.043719782501</v>
      </c>
      <c r="R82" s="2">
        <f t="shared" ref="R82:AL82" si="197">SUM(R52,R62,R72)</f>
        <v>23718.281861473188</v>
      </c>
      <c r="S82" s="2">
        <f t="shared" si="197"/>
        <v>23718.281861473188</v>
      </c>
      <c r="T82" s="2">
        <f t="shared" si="197"/>
        <v>23718.281861473188</v>
      </c>
      <c r="U82" s="2">
        <f t="shared" si="197"/>
        <v>23718.281861473188</v>
      </c>
      <c r="V82" s="2">
        <f t="shared" si="197"/>
        <v>23718.281861473188</v>
      </c>
      <c r="W82" s="2">
        <f t="shared" si="197"/>
        <v>23718.281861473188</v>
      </c>
      <c r="X82" s="2">
        <f t="shared" si="197"/>
        <v>23718.281861473188</v>
      </c>
      <c r="Y82" s="2">
        <f t="shared" si="197"/>
        <v>23718.281861473188</v>
      </c>
      <c r="Z82" s="2">
        <f t="shared" si="197"/>
        <v>23718.281861473188</v>
      </c>
      <c r="AA82" s="2">
        <f t="shared" si="197"/>
        <v>23718.281861473188</v>
      </c>
      <c r="AB82" s="2">
        <f t="shared" si="197"/>
        <v>23718.281861473188</v>
      </c>
      <c r="AC82" s="2">
        <f t="shared" si="197"/>
        <v>23718.281861473188</v>
      </c>
      <c r="AD82" s="2">
        <f t="shared" si="197"/>
        <v>32012.202689008966</v>
      </c>
      <c r="AE82" s="2">
        <f t="shared" si="197"/>
        <v>32012.202689008966</v>
      </c>
      <c r="AF82" s="2">
        <f t="shared" si="197"/>
        <v>32012.202689008966</v>
      </c>
      <c r="AG82" s="2">
        <f t="shared" si="197"/>
        <v>32012.202689008966</v>
      </c>
      <c r="AH82" s="2">
        <f t="shared" si="197"/>
        <v>32012.202689008966</v>
      </c>
      <c r="AI82" s="2">
        <f t="shared" si="197"/>
        <v>32012.202689008966</v>
      </c>
      <c r="AJ82" s="2">
        <f t="shared" si="197"/>
        <v>32012.202689008966</v>
      </c>
      <c r="AK82" s="2">
        <f t="shared" si="197"/>
        <v>32012.202689008966</v>
      </c>
      <c r="AL82" s="2">
        <f t="shared" si="197"/>
        <v>32012.202689008966</v>
      </c>
    </row>
    <row r="83" spans="1:38">
      <c r="C83" t="s">
        <v>146</v>
      </c>
      <c r="E83" s="2">
        <f t="shared" ref="E83:P83" si="198">SUM(E53,E63,E73)</f>
        <v>543.58337850000009</v>
      </c>
      <c r="F83" s="2">
        <f t="shared" si="198"/>
        <v>543.58337850000009</v>
      </c>
      <c r="G83" s="2">
        <f t="shared" si="198"/>
        <v>543.58337850000009</v>
      </c>
      <c r="H83" s="2">
        <f t="shared" si="198"/>
        <v>543.58337850000009</v>
      </c>
      <c r="I83" s="2">
        <f t="shared" si="198"/>
        <v>543.58337850000009</v>
      </c>
      <c r="J83" s="2">
        <f t="shared" si="198"/>
        <v>543.58337850000009</v>
      </c>
      <c r="K83" s="2">
        <f t="shared" si="198"/>
        <v>543.58337850000009</v>
      </c>
      <c r="L83" s="2">
        <f t="shared" si="198"/>
        <v>543.58337850000009</v>
      </c>
      <c r="M83" s="2">
        <f t="shared" si="198"/>
        <v>543.58337850000009</v>
      </c>
      <c r="N83" s="2">
        <f t="shared" si="198"/>
        <v>543.58337850000009</v>
      </c>
      <c r="O83" s="2">
        <f t="shared" si="198"/>
        <v>543.58337850000009</v>
      </c>
      <c r="P83" s="2">
        <f t="shared" si="198"/>
        <v>543.58337850000009</v>
      </c>
      <c r="Q83" s="10">
        <f t="shared" si="190"/>
        <v>6523.0005420000025</v>
      </c>
      <c r="R83" s="2">
        <f t="shared" ref="R83:AL83" si="199">SUM(R53,R63,R73)</f>
        <v>4412.5822400767702</v>
      </c>
      <c r="S83" s="2">
        <f t="shared" si="199"/>
        <v>4412.5822400767702</v>
      </c>
      <c r="T83" s="2">
        <f t="shared" si="199"/>
        <v>4412.5822400767702</v>
      </c>
      <c r="U83" s="2">
        <f t="shared" si="199"/>
        <v>4412.5822400767702</v>
      </c>
      <c r="V83" s="2">
        <f t="shared" si="199"/>
        <v>4412.5822400767702</v>
      </c>
      <c r="W83" s="2">
        <f t="shared" si="199"/>
        <v>4412.5822400767702</v>
      </c>
      <c r="X83" s="2">
        <f t="shared" si="199"/>
        <v>4412.5822400767702</v>
      </c>
      <c r="Y83" s="2">
        <f t="shared" si="199"/>
        <v>4412.5822400767702</v>
      </c>
      <c r="Z83" s="2">
        <f t="shared" si="199"/>
        <v>4412.5822400767702</v>
      </c>
      <c r="AA83" s="2">
        <f t="shared" si="199"/>
        <v>4412.5822400767702</v>
      </c>
      <c r="AB83" s="2">
        <f t="shared" si="199"/>
        <v>4412.5822400767702</v>
      </c>
      <c r="AC83" s="2">
        <f t="shared" si="199"/>
        <v>4412.5822400767702</v>
      </c>
      <c r="AD83" s="2">
        <f t="shared" si="199"/>
        <v>9158.5281559738123</v>
      </c>
      <c r="AE83" s="2">
        <f t="shared" si="199"/>
        <v>9158.5281559738123</v>
      </c>
      <c r="AF83" s="2">
        <f t="shared" si="199"/>
        <v>9158.5281559738123</v>
      </c>
      <c r="AG83" s="2">
        <f t="shared" si="199"/>
        <v>9158.5281559738123</v>
      </c>
      <c r="AH83" s="2">
        <f t="shared" si="199"/>
        <v>9158.5281559738123</v>
      </c>
      <c r="AI83" s="2">
        <f t="shared" si="199"/>
        <v>9158.5281559738123</v>
      </c>
      <c r="AJ83" s="2">
        <f t="shared" si="199"/>
        <v>9158.5281559738123</v>
      </c>
      <c r="AK83" s="2">
        <f t="shared" si="199"/>
        <v>9158.5281559738123</v>
      </c>
      <c r="AL83" s="2">
        <f t="shared" si="199"/>
        <v>9158.5281559738123</v>
      </c>
    </row>
    <row r="84" spans="1:38">
      <c r="C84" t="s">
        <v>19</v>
      </c>
      <c r="E84" s="2">
        <f t="shared" ref="E84:P84" si="200">SUM(E54,E64,E74)</f>
        <v>1997.3061036645013</v>
      </c>
      <c r="F84" s="2">
        <f t="shared" si="200"/>
        <v>1997.3061036645013</v>
      </c>
      <c r="G84" s="2">
        <f t="shared" si="200"/>
        <v>1997.3061036645013</v>
      </c>
      <c r="H84" s="2">
        <f t="shared" si="200"/>
        <v>1997.3061036645013</v>
      </c>
      <c r="I84" s="2">
        <f t="shared" si="200"/>
        <v>1997.3061036645013</v>
      </c>
      <c r="J84" s="2">
        <f t="shared" si="200"/>
        <v>1997.3061036645013</v>
      </c>
      <c r="K84" s="2">
        <f t="shared" si="200"/>
        <v>1997.3061036645013</v>
      </c>
      <c r="L84" s="2">
        <f t="shared" si="200"/>
        <v>1997.3061036645013</v>
      </c>
      <c r="M84" s="2">
        <f t="shared" si="200"/>
        <v>1997.3061036645013</v>
      </c>
      <c r="N84" s="2">
        <f t="shared" si="200"/>
        <v>1997.3061036645013</v>
      </c>
      <c r="O84" s="2">
        <f t="shared" si="200"/>
        <v>1997.3061036645013</v>
      </c>
      <c r="P84" s="2">
        <f t="shared" si="200"/>
        <v>1997.3061036645013</v>
      </c>
      <c r="Q84" s="10">
        <f t="shared" si="190"/>
        <v>23967.673243974015</v>
      </c>
      <c r="R84" s="2">
        <f t="shared" ref="R84:AL84" si="201">SUM(R54,R64,R74)</f>
        <v>40608.678652395705</v>
      </c>
      <c r="S84" s="2">
        <f t="shared" si="201"/>
        <v>40608.678652395705</v>
      </c>
      <c r="T84" s="2">
        <f t="shared" si="201"/>
        <v>40608.678652395705</v>
      </c>
      <c r="U84" s="2">
        <f t="shared" si="201"/>
        <v>40608.678652395705</v>
      </c>
      <c r="V84" s="2">
        <f t="shared" si="201"/>
        <v>40608.678652395705</v>
      </c>
      <c r="W84" s="2">
        <f t="shared" si="201"/>
        <v>40608.678652395705</v>
      </c>
      <c r="X84" s="2">
        <f t="shared" si="201"/>
        <v>40608.678652395705</v>
      </c>
      <c r="Y84" s="2">
        <f t="shared" si="201"/>
        <v>40608.678652395705</v>
      </c>
      <c r="Z84" s="2">
        <f t="shared" si="201"/>
        <v>40608.678652395705</v>
      </c>
      <c r="AA84" s="2">
        <f t="shared" si="201"/>
        <v>40608.678652395705</v>
      </c>
      <c r="AB84" s="2">
        <f t="shared" si="201"/>
        <v>40608.678652395705</v>
      </c>
      <c r="AC84" s="2">
        <f t="shared" si="201"/>
        <v>40608.678652395705</v>
      </c>
      <c r="AD84" s="2">
        <f t="shared" si="201"/>
        <v>180850.58058869507</v>
      </c>
      <c r="AE84" s="2">
        <f t="shared" si="201"/>
        <v>180850.58058869507</v>
      </c>
      <c r="AF84" s="2">
        <f t="shared" si="201"/>
        <v>180850.58058869507</v>
      </c>
      <c r="AG84" s="2">
        <f t="shared" si="201"/>
        <v>180850.58058869507</v>
      </c>
      <c r="AH84" s="2">
        <f t="shared" si="201"/>
        <v>180850.58058869507</v>
      </c>
      <c r="AI84" s="2">
        <f t="shared" si="201"/>
        <v>180850.58058869507</v>
      </c>
      <c r="AJ84" s="2">
        <f t="shared" si="201"/>
        <v>180850.58058869507</v>
      </c>
      <c r="AK84" s="2">
        <f t="shared" si="201"/>
        <v>180850.58058869507</v>
      </c>
      <c r="AL84" s="2">
        <f t="shared" si="201"/>
        <v>180850.58058869507</v>
      </c>
    </row>
    <row r="85" spans="1:38" ht="13.5" thickBot="1">
      <c r="B85" t="s">
        <v>2</v>
      </c>
      <c r="E85" s="5">
        <f t="shared" ref="E85:O85" si="202">SUM(E78:E84)</f>
        <v>11270.001133975544</v>
      </c>
      <c r="F85" s="5">
        <f t="shared" si="202"/>
        <v>11270.001133975544</v>
      </c>
      <c r="G85" s="5">
        <f t="shared" si="202"/>
        <v>11270.001133975544</v>
      </c>
      <c r="H85" s="5">
        <f t="shared" si="202"/>
        <v>11270.001133975544</v>
      </c>
      <c r="I85" s="5">
        <f t="shared" si="202"/>
        <v>11270.001133975544</v>
      </c>
      <c r="J85" s="5">
        <f t="shared" si="202"/>
        <v>11270.001133975544</v>
      </c>
      <c r="K85" s="5">
        <f t="shared" si="202"/>
        <v>11270.001133975544</v>
      </c>
      <c r="L85" s="5">
        <f t="shared" si="202"/>
        <v>11270.001133975544</v>
      </c>
      <c r="M85" s="5">
        <f t="shared" si="202"/>
        <v>11270.001133975544</v>
      </c>
      <c r="N85" s="5">
        <f t="shared" si="202"/>
        <v>11270.001133975544</v>
      </c>
      <c r="O85" s="5">
        <f t="shared" si="202"/>
        <v>11270.001133975544</v>
      </c>
      <c r="P85" s="5">
        <f>SUM(P78:P84)</f>
        <v>11270.001133975544</v>
      </c>
      <c r="Q85" s="11">
        <f>SUM(Q78:Q84)</f>
        <v>135240.01360770653</v>
      </c>
      <c r="R85" s="5">
        <f>SUM(R78:R84)</f>
        <v>83555.207551888903</v>
      </c>
      <c r="S85" s="5">
        <f t="shared" ref="S85:AL85" si="203">SUM(S78:S84)</f>
        <v>83555.207551888903</v>
      </c>
      <c r="T85" s="5">
        <f t="shared" si="203"/>
        <v>83555.207551888903</v>
      </c>
      <c r="U85" s="5">
        <f t="shared" si="203"/>
        <v>83555.207551888903</v>
      </c>
      <c r="V85" s="5">
        <f t="shared" si="203"/>
        <v>83555.207551888903</v>
      </c>
      <c r="W85" s="5">
        <f t="shared" si="203"/>
        <v>83555.207551888903</v>
      </c>
      <c r="X85" s="5">
        <f t="shared" si="203"/>
        <v>83555.207551888903</v>
      </c>
      <c r="Y85" s="5">
        <f t="shared" si="203"/>
        <v>83555.207551888903</v>
      </c>
      <c r="Z85" s="5">
        <f t="shared" si="203"/>
        <v>83555.207551888903</v>
      </c>
      <c r="AA85" s="5">
        <f t="shared" si="203"/>
        <v>83555.207551888903</v>
      </c>
      <c r="AB85" s="5">
        <f t="shared" si="203"/>
        <v>83555.207551888903</v>
      </c>
      <c r="AC85" s="5">
        <f t="shared" si="203"/>
        <v>83555.207551888903</v>
      </c>
      <c r="AD85" s="5">
        <f t="shared" si="203"/>
        <v>243676.38998507423</v>
      </c>
      <c r="AE85" s="5">
        <f t="shared" si="203"/>
        <v>243676.38998507423</v>
      </c>
      <c r="AF85" s="5">
        <f t="shared" si="203"/>
        <v>243676.38998507423</v>
      </c>
      <c r="AG85" s="5">
        <f t="shared" si="203"/>
        <v>243676.38998507423</v>
      </c>
      <c r="AH85" s="5">
        <f t="shared" si="203"/>
        <v>243676.38998507423</v>
      </c>
      <c r="AI85" s="5">
        <f t="shared" si="203"/>
        <v>243676.38998507423</v>
      </c>
      <c r="AJ85" s="5">
        <f t="shared" si="203"/>
        <v>243676.38998507423</v>
      </c>
      <c r="AK85" s="5">
        <f t="shared" si="203"/>
        <v>243676.38998507423</v>
      </c>
      <c r="AL85" s="5">
        <f t="shared" si="203"/>
        <v>243676.38998507423</v>
      </c>
    </row>
    <row r="88" spans="1:38">
      <c r="A88" s="1" t="s">
        <v>23</v>
      </c>
      <c r="B88" t="s">
        <v>1</v>
      </c>
      <c r="C88" t="s">
        <v>17</v>
      </c>
      <c r="E88" s="2">
        <f>-E78</f>
        <v>0</v>
      </c>
      <c r="F88" s="2">
        <f t="shared" ref="F88" si="204">E88-F78</f>
        <v>0</v>
      </c>
      <c r="G88" s="2">
        <f t="shared" ref="G88:P88" si="205">F88-G78</f>
        <v>0</v>
      </c>
      <c r="H88" s="2">
        <f t="shared" si="205"/>
        <v>0</v>
      </c>
      <c r="I88" s="2">
        <f t="shared" si="205"/>
        <v>0</v>
      </c>
      <c r="J88" s="2">
        <f t="shared" si="205"/>
        <v>0</v>
      </c>
      <c r="K88" s="2">
        <f t="shared" si="205"/>
        <v>0</v>
      </c>
      <c r="L88" s="2">
        <f t="shared" si="205"/>
        <v>0</v>
      </c>
      <c r="M88" s="2">
        <f t="shared" si="205"/>
        <v>0</v>
      </c>
      <c r="N88" s="2">
        <f t="shared" si="205"/>
        <v>0</v>
      </c>
      <c r="O88" s="2">
        <f t="shared" si="205"/>
        <v>0</v>
      </c>
      <c r="P88" s="2">
        <f t="shared" si="205"/>
        <v>0</v>
      </c>
      <c r="Q88" s="10">
        <f>SUM(E88:P88)</f>
        <v>0</v>
      </c>
      <c r="R88" s="2">
        <f>P88-R78</f>
        <v>-420.86693749999995</v>
      </c>
      <c r="S88" s="2">
        <f t="shared" ref="S88" si="206">R88-S78</f>
        <v>-841.7338749999999</v>
      </c>
      <c r="T88" s="2">
        <f t="shared" ref="T88:AL88" si="207">S88-T78</f>
        <v>-1262.6008124999998</v>
      </c>
      <c r="U88" s="2">
        <f t="shared" si="207"/>
        <v>-1683.4677499999998</v>
      </c>
      <c r="V88" s="2">
        <f t="shared" si="207"/>
        <v>-2104.3346874999997</v>
      </c>
      <c r="W88" s="2">
        <f t="shared" si="207"/>
        <v>-2525.2016249999997</v>
      </c>
      <c r="X88" s="2">
        <f t="shared" si="207"/>
        <v>-2946.0685624999996</v>
      </c>
      <c r="Y88" s="2">
        <f t="shared" si="207"/>
        <v>-3366.9354999999996</v>
      </c>
      <c r="Z88" s="2">
        <f t="shared" si="207"/>
        <v>-3787.8024374999995</v>
      </c>
      <c r="AA88" s="2">
        <f t="shared" si="207"/>
        <v>-4208.6693749999995</v>
      </c>
      <c r="AB88" s="2">
        <f t="shared" si="207"/>
        <v>-4629.5363124999994</v>
      </c>
      <c r="AC88" s="2">
        <f t="shared" si="207"/>
        <v>-5050.4032499999994</v>
      </c>
      <c r="AD88" s="2">
        <f t="shared" si="207"/>
        <v>-5869.3849437333329</v>
      </c>
      <c r="AE88" s="2">
        <f t="shared" si="207"/>
        <v>-6688.3666374666664</v>
      </c>
      <c r="AF88" s="2">
        <f t="shared" si="207"/>
        <v>-7507.3483311999998</v>
      </c>
      <c r="AG88" s="2">
        <f t="shared" si="207"/>
        <v>-8326.3300249333333</v>
      </c>
      <c r="AH88" s="2">
        <f t="shared" si="207"/>
        <v>-9145.3117186666659</v>
      </c>
      <c r="AI88" s="2">
        <f t="shared" si="207"/>
        <v>-9964.2934123999985</v>
      </c>
      <c r="AJ88" s="2">
        <f t="shared" si="207"/>
        <v>-10783.275106133331</v>
      </c>
      <c r="AK88" s="2">
        <f t="shared" si="207"/>
        <v>-11602.256799866664</v>
      </c>
      <c r="AL88" s="2">
        <f t="shared" si="207"/>
        <v>-12421.238493599996</v>
      </c>
    </row>
    <row r="89" spans="1:38">
      <c r="C89" t="s">
        <v>14</v>
      </c>
      <c r="E89" s="2">
        <f t="shared" ref="E89:E94" si="208">-E79</f>
        <v>-449.61196957500005</v>
      </c>
      <c r="F89" s="2">
        <f t="shared" ref="F89:P89" si="209">E89-F79</f>
        <v>-899.22393915000009</v>
      </c>
      <c r="G89" s="2">
        <f t="shared" si="209"/>
        <v>-1348.8359087250001</v>
      </c>
      <c r="H89" s="2">
        <f t="shared" si="209"/>
        <v>-1798.4478783000002</v>
      </c>
      <c r="I89" s="2">
        <f t="shared" si="209"/>
        <v>-2248.0598478750003</v>
      </c>
      <c r="J89" s="2">
        <f t="shared" si="209"/>
        <v>-2697.6718174500002</v>
      </c>
      <c r="K89" s="2">
        <f t="shared" si="209"/>
        <v>-3147.283787025</v>
      </c>
      <c r="L89" s="2">
        <f t="shared" si="209"/>
        <v>-3596.8957565999999</v>
      </c>
      <c r="M89" s="2">
        <f t="shared" si="209"/>
        <v>-4046.5077261749998</v>
      </c>
      <c r="N89" s="2">
        <f t="shared" si="209"/>
        <v>-4496.1196957499997</v>
      </c>
      <c r="O89" s="2">
        <f t="shared" si="209"/>
        <v>-4945.731665325</v>
      </c>
      <c r="P89" s="2">
        <f t="shared" si="209"/>
        <v>-5395.3436349000003</v>
      </c>
      <c r="Q89" s="10">
        <f t="shared" ref="Q89:Q94" si="210">SUM(E89:P89)</f>
        <v>-35069.733626850008</v>
      </c>
      <c r="R89" s="2">
        <f t="shared" ref="R89:R94" si="211">P89-R79</f>
        <v>-7435.6598531631807</v>
      </c>
      <c r="S89" s="2">
        <f t="shared" ref="S89:AL89" si="212">R89-S79</f>
        <v>-9475.9760714263612</v>
      </c>
      <c r="T89" s="2">
        <f t="shared" si="212"/>
        <v>-11516.292289689542</v>
      </c>
      <c r="U89" s="2">
        <f t="shared" si="212"/>
        <v>-13556.608507952722</v>
      </c>
      <c r="V89" s="2">
        <f t="shared" si="212"/>
        <v>-15596.924726215902</v>
      </c>
      <c r="W89" s="2">
        <f t="shared" si="212"/>
        <v>-17637.240944479083</v>
      </c>
      <c r="X89" s="2">
        <f t="shared" si="212"/>
        <v>-19677.557162742261</v>
      </c>
      <c r="Y89" s="2">
        <f t="shared" si="212"/>
        <v>-21717.87338100544</v>
      </c>
      <c r="Z89" s="2">
        <f t="shared" si="212"/>
        <v>-23758.189599268619</v>
      </c>
      <c r="AA89" s="2">
        <f t="shared" si="212"/>
        <v>-25798.505817531797</v>
      </c>
      <c r="AB89" s="2">
        <f t="shared" si="212"/>
        <v>-27838.822035794976</v>
      </c>
      <c r="AC89" s="2">
        <f t="shared" si="212"/>
        <v>-29879.138254058154</v>
      </c>
      <c r="AD89" s="2">
        <f t="shared" si="212"/>
        <v>-32960.613228929775</v>
      </c>
      <c r="AE89" s="2">
        <f t="shared" si="212"/>
        <v>-36042.088203801395</v>
      </c>
      <c r="AF89" s="2">
        <f t="shared" si="212"/>
        <v>-39123.563178673015</v>
      </c>
      <c r="AG89" s="2">
        <f t="shared" si="212"/>
        <v>-42205.038153544636</v>
      </c>
      <c r="AH89" s="2">
        <f t="shared" si="212"/>
        <v>-45286.513128416256</v>
      </c>
      <c r="AI89" s="2">
        <f t="shared" si="212"/>
        <v>-48367.988103287877</v>
      </c>
      <c r="AJ89" s="2">
        <f t="shared" si="212"/>
        <v>-51449.463078159497</v>
      </c>
      <c r="AK89" s="2">
        <f t="shared" si="212"/>
        <v>-54530.938053031117</v>
      </c>
      <c r="AL89" s="2">
        <f t="shared" si="212"/>
        <v>-57612.413027902738</v>
      </c>
    </row>
    <row r="90" spans="1:38">
      <c r="C90" t="s">
        <v>139</v>
      </c>
      <c r="E90" s="2">
        <f t="shared" si="208"/>
        <v>-1734.0299720250002</v>
      </c>
      <c r="F90" s="2">
        <f t="shared" ref="F90:P90" si="213">E90-F80</f>
        <v>-3468.0599440500005</v>
      </c>
      <c r="G90" s="2">
        <f t="shared" si="213"/>
        <v>-5202.0899160750005</v>
      </c>
      <c r="H90" s="2">
        <f t="shared" si="213"/>
        <v>-6936.1198881000009</v>
      </c>
      <c r="I90" s="2">
        <f t="shared" si="213"/>
        <v>-8670.1498601250005</v>
      </c>
      <c r="J90" s="2">
        <f t="shared" si="213"/>
        <v>-10404.179832150001</v>
      </c>
      <c r="K90" s="2">
        <f t="shared" si="213"/>
        <v>-12138.209804175001</v>
      </c>
      <c r="L90" s="2">
        <f t="shared" si="213"/>
        <v>-13872.239776200002</v>
      </c>
      <c r="M90" s="2">
        <f t="shared" si="213"/>
        <v>-15606.269748225002</v>
      </c>
      <c r="N90" s="2">
        <f t="shared" si="213"/>
        <v>-17340.299720250001</v>
      </c>
      <c r="O90" s="2">
        <f t="shared" si="213"/>
        <v>-19074.329692275001</v>
      </c>
      <c r="P90" s="2">
        <f t="shared" si="213"/>
        <v>-20808.359664300002</v>
      </c>
      <c r="Q90" s="10">
        <f t="shared" si="210"/>
        <v>-135254.33781795</v>
      </c>
      <c r="R90" s="2">
        <f t="shared" si="211"/>
        <v>-29356.236656208763</v>
      </c>
      <c r="S90" s="2">
        <f t="shared" ref="S90:AL90" si="214">R90-S80</f>
        <v>-37904.11364811752</v>
      </c>
      <c r="T90" s="2">
        <f t="shared" si="214"/>
        <v>-46451.990640026284</v>
      </c>
      <c r="U90" s="2">
        <f t="shared" si="214"/>
        <v>-54999.867631935049</v>
      </c>
      <c r="V90" s="2">
        <f t="shared" si="214"/>
        <v>-63547.744623843813</v>
      </c>
      <c r="W90" s="2">
        <f t="shared" si="214"/>
        <v>-72095.621615752578</v>
      </c>
      <c r="X90" s="2">
        <f t="shared" si="214"/>
        <v>-80643.498607661342</v>
      </c>
      <c r="Y90" s="2">
        <f t="shared" si="214"/>
        <v>-89191.375599570107</v>
      </c>
      <c r="Z90" s="2">
        <f t="shared" si="214"/>
        <v>-97739.252591478871</v>
      </c>
      <c r="AA90" s="2">
        <f t="shared" si="214"/>
        <v>-106287.12958338764</v>
      </c>
      <c r="AB90" s="2">
        <f t="shared" si="214"/>
        <v>-114835.0065752964</v>
      </c>
      <c r="AC90" s="2">
        <f t="shared" si="214"/>
        <v>-123382.88356720516</v>
      </c>
      <c r="AD90" s="2">
        <f t="shared" si="214"/>
        <v>-136499.50491080049</v>
      </c>
      <c r="AE90" s="2">
        <f t="shared" si="214"/>
        <v>-149616.12625439581</v>
      </c>
      <c r="AF90" s="2">
        <f t="shared" si="214"/>
        <v>-162732.74759799114</v>
      </c>
      <c r="AG90" s="2">
        <f t="shared" si="214"/>
        <v>-175849.36894158646</v>
      </c>
      <c r="AH90" s="2">
        <f t="shared" si="214"/>
        <v>-188965.99028518179</v>
      </c>
      <c r="AI90" s="2">
        <f t="shared" si="214"/>
        <v>-202082.61162877711</v>
      </c>
      <c r="AJ90" s="2">
        <f t="shared" si="214"/>
        <v>-215199.23297237244</v>
      </c>
      <c r="AK90" s="2">
        <f t="shared" si="214"/>
        <v>-228315.85431596776</v>
      </c>
      <c r="AL90" s="2">
        <f t="shared" si="214"/>
        <v>-241432.47565956309</v>
      </c>
    </row>
    <row r="91" spans="1:38">
      <c r="C91" t="s">
        <v>144</v>
      </c>
      <c r="E91" s="2">
        <f t="shared" si="208"/>
        <v>-1397.1327335624999</v>
      </c>
      <c r="F91" s="2">
        <f t="shared" ref="F91:P91" si="215">E91-F81</f>
        <v>-2794.2654671249998</v>
      </c>
      <c r="G91" s="2">
        <f t="shared" si="215"/>
        <v>-4191.3982006874994</v>
      </c>
      <c r="H91" s="2">
        <f t="shared" si="215"/>
        <v>-5588.5309342499995</v>
      </c>
      <c r="I91" s="2">
        <f t="shared" si="215"/>
        <v>-6985.6636678124996</v>
      </c>
      <c r="J91" s="2">
        <f t="shared" si="215"/>
        <v>-8382.7964013749988</v>
      </c>
      <c r="K91" s="2">
        <f t="shared" si="215"/>
        <v>-9779.929134937498</v>
      </c>
      <c r="L91" s="2">
        <f t="shared" si="215"/>
        <v>-11177.061868499997</v>
      </c>
      <c r="M91" s="2">
        <f t="shared" si="215"/>
        <v>-12574.194602062496</v>
      </c>
      <c r="N91" s="2">
        <f t="shared" si="215"/>
        <v>-13971.327335624996</v>
      </c>
      <c r="O91" s="2">
        <f t="shared" si="215"/>
        <v>-15368.460069187495</v>
      </c>
      <c r="P91" s="2">
        <f t="shared" si="215"/>
        <v>-16765.592802749994</v>
      </c>
      <c r="Q91" s="10">
        <f t="shared" si="210"/>
        <v>-108976.35321787496</v>
      </c>
      <c r="R91" s="2">
        <f t="shared" si="211"/>
        <v>-20572.197453021294</v>
      </c>
      <c r="S91" s="2">
        <f t="shared" ref="S91:AL91" si="216">R91-S81</f>
        <v>-24378.802103292594</v>
      </c>
      <c r="T91" s="2">
        <f t="shared" si="216"/>
        <v>-28185.406753563893</v>
      </c>
      <c r="U91" s="2">
        <f t="shared" si="216"/>
        <v>-31992.011403835193</v>
      </c>
      <c r="V91" s="2">
        <f t="shared" si="216"/>
        <v>-35798.616054106489</v>
      </c>
      <c r="W91" s="2">
        <f t="shared" si="216"/>
        <v>-39605.220704377789</v>
      </c>
      <c r="X91" s="2">
        <f t="shared" si="216"/>
        <v>-43411.825354649089</v>
      </c>
      <c r="Y91" s="2">
        <f t="shared" si="216"/>
        <v>-47218.430004920388</v>
      </c>
      <c r="Z91" s="2">
        <f t="shared" si="216"/>
        <v>-51025.034655191688</v>
      </c>
      <c r="AA91" s="2">
        <f t="shared" si="216"/>
        <v>-54831.639305462988</v>
      </c>
      <c r="AB91" s="2">
        <f t="shared" si="216"/>
        <v>-58638.243955734288</v>
      </c>
      <c r="AC91" s="2">
        <f t="shared" si="216"/>
        <v>-62444.848606005587</v>
      </c>
      <c r="AD91" s="2">
        <f t="shared" si="216"/>
        <v>-67082.849145201704</v>
      </c>
      <c r="AE91" s="2">
        <f t="shared" si="216"/>
        <v>-71720.849684397821</v>
      </c>
      <c r="AF91" s="2">
        <f t="shared" si="216"/>
        <v>-76358.850223593938</v>
      </c>
      <c r="AG91" s="2">
        <f t="shared" si="216"/>
        <v>-80996.850762790054</v>
      </c>
      <c r="AH91" s="2">
        <f t="shared" si="216"/>
        <v>-85634.851301986171</v>
      </c>
      <c r="AI91" s="2">
        <f t="shared" si="216"/>
        <v>-90272.851841182288</v>
      </c>
      <c r="AJ91" s="2">
        <f t="shared" si="216"/>
        <v>-94910.852380378405</v>
      </c>
      <c r="AK91" s="2">
        <f t="shared" si="216"/>
        <v>-99548.852919574521</v>
      </c>
      <c r="AL91" s="2">
        <f t="shared" si="216"/>
        <v>-104186.85345877064</v>
      </c>
    </row>
    <row r="92" spans="1:38">
      <c r="C92" t="s">
        <v>137</v>
      </c>
      <c r="E92" s="2">
        <f t="shared" si="208"/>
        <v>-5148.3369766485421</v>
      </c>
      <c r="F92" s="2">
        <f t="shared" ref="F92:P92" si="217">E92-F82</f>
        <v>-10296.673953297084</v>
      </c>
      <c r="G92" s="2">
        <f t="shared" si="217"/>
        <v>-15445.010929945627</v>
      </c>
      <c r="H92" s="2">
        <f t="shared" si="217"/>
        <v>-20593.347906594168</v>
      </c>
      <c r="I92" s="2">
        <f t="shared" si="217"/>
        <v>-25741.684883242709</v>
      </c>
      <c r="J92" s="2">
        <f t="shared" si="217"/>
        <v>-30890.021859891251</v>
      </c>
      <c r="K92" s="2">
        <f t="shared" si="217"/>
        <v>-36038.358836539795</v>
      </c>
      <c r="L92" s="2">
        <f t="shared" si="217"/>
        <v>-41186.695813188337</v>
      </c>
      <c r="M92" s="2">
        <f t="shared" si="217"/>
        <v>-46335.032789836878</v>
      </c>
      <c r="N92" s="2">
        <f t="shared" si="217"/>
        <v>-51483.369766485419</v>
      </c>
      <c r="O92" s="2">
        <f t="shared" si="217"/>
        <v>-56631.70674313396</v>
      </c>
      <c r="P92" s="2">
        <f t="shared" si="217"/>
        <v>-61780.043719782501</v>
      </c>
      <c r="Q92" s="10">
        <f t="shared" si="210"/>
        <v>-401570.28417858627</v>
      </c>
      <c r="R92" s="2">
        <f t="shared" si="211"/>
        <v>-85498.325581255689</v>
      </c>
      <c r="S92" s="2">
        <f t="shared" ref="S92:AL92" si="218">R92-S82</f>
        <v>-109216.60744272888</v>
      </c>
      <c r="T92" s="2">
        <f t="shared" si="218"/>
        <v>-132934.88930420208</v>
      </c>
      <c r="U92" s="2">
        <f t="shared" si="218"/>
        <v>-156653.17116567527</v>
      </c>
      <c r="V92" s="2">
        <f t="shared" si="218"/>
        <v>-180371.45302714847</v>
      </c>
      <c r="W92" s="2">
        <f t="shared" si="218"/>
        <v>-204089.73488862166</v>
      </c>
      <c r="X92" s="2">
        <f t="shared" si="218"/>
        <v>-227808.01675009486</v>
      </c>
      <c r="Y92" s="2">
        <f t="shared" si="218"/>
        <v>-251526.29861156805</v>
      </c>
      <c r="Z92" s="2">
        <f t="shared" si="218"/>
        <v>-275244.58047304122</v>
      </c>
      <c r="AA92" s="2">
        <f t="shared" si="218"/>
        <v>-298962.86233451439</v>
      </c>
      <c r="AB92" s="2">
        <f t="shared" si="218"/>
        <v>-322681.14419598755</v>
      </c>
      <c r="AC92" s="2">
        <f t="shared" si="218"/>
        <v>-346399.42605746072</v>
      </c>
      <c r="AD92" s="2">
        <f t="shared" si="218"/>
        <v>-378411.62874646968</v>
      </c>
      <c r="AE92" s="2">
        <f t="shared" si="218"/>
        <v>-410423.83143547864</v>
      </c>
      <c r="AF92" s="2">
        <f t="shared" si="218"/>
        <v>-442436.0341244876</v>
      </c>
      <c r="AG92" s="2">
        <f t="shared" si="218"/>
        <v>-474448.23681349657</v>
      </c>
      <c r="AH92" s="2">
        <f t="shared" si="218"/>
        <v>-506460.43950250553</v>
      </c>
      <c r="AI92" s="2">
        <f t="shared" si="218"/>
        <v>-538472.64219151449</v>
      </c>
      <c r="AJ92" s="2">
        <f t="shared" si="218"/>
        <v>-570484.84488052351</v>
      </c>
      <c r="AK92" s="2">
        <f t="shared" si="218"/>
        <v>-602497.04756953253</v>
      </c>
      <c r="AL92" s="2">
        <f t="shared" si="218"/>
        <v>-634509.25025854155</v>
      </c>
    </row>
    <row r="93" spans="1:38">
      <c r="C93" t="s">
        <v>146</v>
      </c>
      <c r="E93" s="2">
        <f t="shared" si="208"/>
        <v>-543.58337850000009</v>
      </c>
      <c r="F93" s="2">
        <f t="shared" ref="F93:P93" si="219">E93-F83</f>
        <v>-1087.1667570000002</v>
      </c>
      <c r="G93" s="2">
        <f t="shared" si="219"/>
        <v>-1630.7501355000004</v>
      </c>
      <c r="H93" s="2">
        <f t="shared" si="219"/>
        <v>-2174.3335140000004</v>
      </c>
      <c r="I93" s="2">
        <f t="shared" si="219"/>
        <v>-2717.9168925000004</v>
      </c>
      <c r="J93" s="2">
        <f t="shared" si="219"/>
        <v>-3261.5002710000003</v>
      </c>
      <c r="K93" s="2">
        <f t="shared" si="219"/>
        <v>-3805.0836495000003</v>
      </c>
      <c r="L93" s="2">
        <f t="shared" si="219"/>
        <v>-4348.6670280000008</v>
      </c>
      <c r="M93" s="2">
        <f t="shared" si="219"/>
        <v>-4892.2504065000012</v>
      </c>
      <c r="N93" s="2">
        <f t="shared" si="219"/>
        <v>-5435.8337850000016</v>
      </c>
      <c r="O93" s="2">
        <f t="shared" si="219"/>
        <v>-5979.4171635000021</v>
      </c>
      <c r="P93" s="2">
        <f t="shared" si="219"/>
        <v>-6523.0005420000025</v>
      </c>
      <c r="Q93" s="10">
        <f t="shared" si="210"/>
        <v>-42399.503523000007</v>
      </c>
      <c r="R93" s="2">
        <f t="shared" si="211"/>
        <v>-10935.582782076774</v>
      </c>
      <c r="S93" s="2">
        <f t="shared" ref="S93:AL93" si="220">R93-S83</f>
        <v>-15348.165022153544</v>
      </c>
      <c r="T93" s="2">
        <f t="shared" si="220"/>
        <v>-19760.747262230314</v>
      </c>
      <c r="U93" s="2">
        <f t="shared" si="220"/>
        <v>-24173.329502307082</v>
      </c>
      <c r="V93" s="2">
        <f t="shared" si="220"/>
        <v>-28585.911742383854</v>
      </c>
      <c r="W93" s="2">
        <f t="shared" si="220"/>
        <v>-32998.493982460626</v>
      </c>
      <c r="X93" s="2">
        <f t="shared" si="220"/>
        <v>-37411.076222537398</v>
      </c>
      <c r="Y93" s="2">
        <f t="shared" si="220"/>
        <v>-41823.65846261417</v>
      </c>
      <c r="Z93" s="2">
        <f t="shared" si="220"/>
        <v>-46236.240702690942</v>
      </c>
      <c r="AA93" s="2">
        <f t="shared" si="220"/>
        <v>-50648.822942767714</v>
      </c>
      <c r="AB93" s="2">
        <f t="shared" si="220"/>
        <v>-55061.405182844486</v>
      </c>
      <c r="AC93" s="2">
        <f t="shared" si="220"/>
        <v>-59473.987422921258</v>
      </c>
      <c r="AD93" s="2">
        <f t="shared" si="220"/>
        <v>-68632.515578895065</v>
      </c>
      <c r="AE93" s="2">
        <f t="shared" si="220"/>
        <v>-77791.043734868872</v>
      </c>
      <c r="AF93" s="2">
        <f t="shared" si="220"/>
        <v>-86949.571890842679</v>
      </c>
      <c r="AG93" s="2">
        <f t="shared" si="220"/>
        <v>-96108.100046816486</v>
      </c>
      <c r="AH93" s="2">
        <f t="shared" si="220"/>
        <v>-105266.62820279029</v>
      </c>
      <c r="AI93" s="2">
        <f t="shared" si="220"/>
        <v>-114425.1563587641</v>
      </c>
      <c r="AJ93" s="2">
        <f t="shared" si="220"/>
        <v>-123583.68451473791</v>
      </c>
      <c r="AK93" s="2">
        <f t="shared" si="220"/>
        <v>-132742.21267071171</v>
      </c>
      <c r="AL93" s="2">
        <f t="shared" si="220"/>
        <v>-141900.74082668553</v>
      </c>
    </row>
    <row r="94" spans="1:38">
      <c r="C94" t="s">
        <v>19</v>
      </c>
      <c r="E94" s="2">
        <f t="shared" si="208"/>
        <v>-1997.3061036645013</v>
      </c>
      <c r="F94" s="2">
        <f t="shared" ref="F94:P94" si="221">E94-F84</f>
        <v>-3994.6122073290026</v>
      </c>
      <c r="G94" s="2">
        <f t="shared" si="221"/>
        <v>-5991.9183109935038</v>
      </c>
      <c r="H94" s="2">
        <f t="shared" si="221"/>
        <v>-7989.2244146580051</v>
      </c>
      <c r="I94" s="2">
        <f t="shared" si="221"/>
        <v>-9986.5305183225064</v>
      </c>
      <c r="J94" s="2">
        <f t="shared" si="221"/>
        <v>-11983.836621987008</v>
      </c>
      <c r="K94" s="2">
        <f t="shared" si="221"/>
        <v>-13981.142725651509</v>
      </c>
      <c r="L94" s="2">
        <f t="shared" si="221"/>
        <v>-15978.44882931601</v>
      </c>
      <c r="M94" s="2">
        <f t="shared" si="221"/>
        <v>-17975.754932980512</v>
      </c>
      <c r="N94" s="2">
        <f t="shared" si="221"/>
        <v>-19973.061036645013</v>
      </c>
      <c r="O94" s="2">
        <f t="shared" si="221"/>
        <v>-21970.367140309514</v>
      </c>
      <c r="P94" s="2">
        <f t="shared" si="221"/>
        <v>-23967.673243974015</v>
      </c>
      <c r="Q94" s="10">
        <f t="shared" si="210"/>
        <v>-155789.87608583111</v>
      </c>
      <c r="R94" s="2">
        <f t="shared" si="211"/>
        <v>-64576.351896369721</v>
      </c>
      <c r="S94" s="2">
        <f t="shared" ref="S94:AL94" si="222">R94-S84</f>
        <v>-105185.03054876543</v>
      </c>
      <c r="T94" s="2">
        <f t="shared" si="222"/>
        <v>-145793.70920116114</v>
      </c>
      <c r="U94" s="2">
        <f t="shared" si="222"/>
        <v>-186402.38785355684</v>
      </c>
      <c r="V94" s="2">
        <f t="shared" si="222"/>
        <v>-227011.06650595253</v>
      </c>
      <c r="W94" s="2">
        <f t="shared" si="222"/>
        <v>-267619.74515834823</v>
      </c>
      <c r="X94" s="2">
        <f t="shared" si="222"/>
        <v>-308228.42381074396</v>
      </c>
      <c r="Y94" s="2">
        <f t="shared" si="222"/>
        <v>-348837.10246313969</v>
      </c>
      <c r="Z94" s="2">
        <f t="shared" si="222"/>
        <v>-389445.78111553541</v>
      </c>
      <c r="AA94" s="2">
        <f t="shared" si="222"/>
        <v>-430054.45976793114</v>
      </c>
      <c r="AB94" s="2">
        <f t="shared" si="222"/>
        <v>-470663.13842032687</v>
      </c>
      <c r="AC94" s="2">
        <f t="shared" si="222"/>
        <v>-511271.8170727226</v>
      </c>
      <c r="AD94" s="2">
        <f t="shared" si="222"/>
        <v>-692122.39766141772</v>
      </c>
      <c r="AE94" s="2">
        <f t="shared" si="222"/>
        <v>-872972.97825011285</v>
      </c>
      <c r="AF94" s="2">
        <f t="shared" si="222"/>
        <v>-1053823.558838808</v>
      </c>
      <c r="AG94" s="2">
        <f t="shared" si="222"/>
        <v>-1234674.1394275031</v>
      </c>
      <c r="AH94" s="2">
        <f t="shared" si="222"/>
        <v>-1415524.7200161982</v>
      </c>
      <c r="AI94" s="2">
        <f t="shared" si="222"/>
        <v>-1596375.3006048934</v>
      </c>
      <c r="AJ94" s="2">
        <f t="shared" si="222"/>
        <v>-1777225.8811935885</v>
      </c>
      <c r="AK94" s="2">
        <f t="shared" si="222"/>
        <v>-1958076.4617822836</v>
      </c>
      <c r="AL94" s="2">
        <f t="shared" si="222"/>
        <v>-2138927.0423709787</v>
      </c>
    </row>
    <row r="95" spans="1:38" ht="13.5" thickBot="1">
      <c r="B95" t="s">
        <v>2</v>
      </c>
      <c r="E95" s="5">
        <f t="shared" ref="E95:O95" si="223">SUM(E88:E94)</f>
        <v>-11270.001133975544</v>
      </c>
      <c r="F95" s="5">
        <f t="shared" si="223"/>
        <v>-22540.002267951088</v>
      </c>
      <c r="G95" s="5">
        <f t="shared" si="223"/>
        <v>-33810.003401926631</v>
      </c>
      <c r="H95" s="5">
        <f t="shared" si="223"/>
        <v>-45080.004535902175</v>
      </c>
      <c r="I95" s="5">
        <f t="shared" si="223"/>
        <v>-56350.005669877712</v>
      </c>
      <c r="J95" s="5">
        <f t="shared" si="223"/>
        <v>-67620.006803853263</v>
      </c>
      <c r="K95" s="5">
        <f t="shared" si="223"/>
        <v>-78890.007937828806</v>
      </c>
      <c r="L95" s="5">
        <f t="shared" si="223"/>
        <v>-90160.00907180435</v>
      </c>
      <c r="M95" s="5">
        <f t="shared" si="223"/>
        <v>-101430.01020577989</v>
      </c>
      <c r="N95" s="5">
        <f t="shared" si="223"/>
        <v>-112700.01133975542</v>
      </c>
      <c r="O95" s="5">
        <f t="shared" si="223"/>
        <v>-123970.01247373098</v>
      </c>
      <c r="P95" s="5">
        <f>SUM(P88:P94)</f>
        <v>-135240.01360770653</v>
      </c>
      <c r="Q95" s="11">
        <f>SUM(Q88:Q94)</f>
        <v>-879060.08845009236</v>
      </c>
      <c r="R95" s="5">
        <f>SUM(R88:R94)</f>
        <v>-218795.22115959541</v>
      </c>
      <c r="S95" s="5">
        <f t="shared" ref="S95:AL95" si="224">SUM(S88:S94)</f>
        <v>-302350.4287114843</v>
      </c>
      <c r="T95" s="5">
        <f t="shared" si="224"/>
        <v>-385905.63626337325</v>
      </c>
      <c r="U95" s="5">
        <f t="shared" si="224"/>
        <v>-469460.84381526214</v>
      </c>
      <c r="V95" s="5">
        <f t="shared" si="224"/>
        <v>-553016.05136715109</v>
      </c>
      <c r="W95" s="5">
        <f t="shared" si="224"/>
        <v>-636571.25891903997</v>
      </c>
      <c r="X95" s="5">
        <f t="shared" si="224"/>
        <v>-720126.46647092886</v>
      </c>
      <c r="Y95" s="5">
        <f t="shared" si="224"/>
        <v>-803681.67402281787</v>
      </c>
      <c r="Z95" s="5">
        <f t="shared" si="224"/>
        <v>-887236.88157470676</v>
      </c>
      <c r="AA95" s="5">
        <f t="shared" si="224"/>
        <v>-970792.08912659565</v>
      </c>
      <c r="AB95" s="5">
        <f t="shared" si="224"/>
        <v>-1054347.2966784847</v>
      </c>
      <c r="AC95" s="5">
        <f t="shared" si="224"/>
        <v>-1137902.5042303735</v>
      </c>
      <c r="AD95" s="5">
        <f t="shared" si="224"/>
        <v>-1381578.8942154478</v>
      </c>
      <c r="AE95" s="5">
        <f t="shared" si="224"/>
        <v>-1625255.2842005221</v>
      </c>
      <c r="AF95" s="5">
        <f t="shared" si="224"/>
        <v>-1868931.6741855964</v>
      </c>
      <c r="AG95" s="5">
        <f t="shared" si="224"/>
        <v>-2112608.0641706707</v>
      </c>
      <c r="AH95" s="5">
        <f t="shared" si="224"/>
        <v>-2356284.454155745</v>
      </c>
      <c r="AI95" s="5">
        <f t="shared" si="224"/>
        <v>-2599960.8441408193</v>
      </c>
      <c r="AJ95" s="5">
        <f t="shared" si="224"/>
        <v>-2843637.2341258936</v>
      </c>
      <c r="AK95" s="5">
        <f t="shared" si="224"/>
        <v>-3087313.6241109679</v>
      </c>
      <c r="AL95" s="5">
        <f t="shared" si="224"/>
        <v>-3330990.0140960421</v>
      </c>
    </row>
    <row r="98" spans="1:38">
      <c r="A98" s="1" t="s">
        <v>24</v>
      </c>
      <c r="B98" t="s">
        <v>1</v>
      </c>
      <c r="C98" t="s">
        <v>17</v>
      </c>
      <c r="E98" s="2">
        <f>E88-E37</f>
        <v>0</v>
      </c>
      <c r="F98" s="2">
        <f t="shared" ref="F98:P98" si="225">F88-F37</f>
        <v>0</v>
      </c>
      <c r="G98" s="2">
        <f t="shared" si="225"/>
        <v>0</v>
      </c>
      <c r="H98" s="2">
        <f t="shared" si="225"/>
        <v>0</v>
      </c>
      <c r="I98" s="2">
        <f t="shared" si="225"/>
        <v>0</v>
      </c>
      <c r="J98" s="2">
        <f t="shared" si="225"/>
        <v>0</v>
      </c>
      <c r="K98" s="2">
        <f t="shared" si="225"/>
        <v>0</v>
      </c>
      <c r="L98" s="2">
        <f t="shared" si="225"/>
        <v>0</v>
      </c>
      <c r="M98" s="2">
        <f t="shared" si="225"/>
        <v>0</v>
      </c>
      <c r="N98" s="2">
        <f t="shared" si="225"/>
        <v>0</v>
      </c>
      <c r="O98" s="2">
        <f t="shared" si="225"/>
        <v>0</v>
      </c>
      <c r="P98" s="2">
        <f t="shared" si="225"/>
        <v>0</v>
      </c>
      <c r="Q98" s="10">
        <f>SUM(E98:P98)</f>
        <v>0</v>
      </c>
      <c r="R98" s="2">
        <f>R88-R37</f>
        <v>-420.86693749999995</v>
      </c>
      <c r="S98" s="2">
        <f t="shared" ref="S98:AL104" si="226">S88-S37</f>
        <v>-841.7338749999999</v>
      </c>
      <c r="T98" s="2">
        <f t="shared" si="226"/>
        <v>-1236.5698585416665</v>
      </c>
      <c r="U98" s="2">
        <f t="shared" si="226"/>
        <v>-1602.4205147916664</v>
      </c>
      <c r="V98" s="2">
        <f t="shared" si="226"/>
        <v>-1964.5935168749998</v>
      </c>
      <c r="W98" s="2">
        <f t="shared" si="226"/>
        <v>-2231.4977891666663</v>
      </c>
      <c r="X98" s="2">
        <f t="shared" si="226"/>
        <v>-2403.3531579166665</v>
      </c>
      <c r="Y98" s="2">
        <f t="shared" si="226"/>
        <v>-2574.4313458333327</v>
      </c>
      <c r="Z98" s="2">
        <f t="shared" si="226"/>
        <v>-2736.2150299999994</v>
      </c>
      <c r="AA98" s="2">
        <f t="shared" si="226"/>
        <v>-2888.565315833333</v>
      </c>
      <c r="AB98" s="2">
        <f t="shared" si="226"/>
        <v>-3037.4844174999998</v>
      </c>
      <c r="AC98" s="2">
        <f t="shared" si="226"/>
        <v>-3183.3849558333332</v>
      </c>
      <c r="AD98" s="2">
        <f t="shared" si="226"/>
        <v>-3727.4002504</v>
      </c>
      <c r="AE98" s="2">
        <f t="shared" si="226"/>
        <v>-4269.1381883000004</v>
      </c>
      <c r="AF98" s="2">
        <f t="shared" si="226"/>
        <v>-4808.006430991667</v>
      </c>
      <c r="AG98" s="2">
        <f t="shared" si="226"/>
        <v>-5346.2823351416673</v>
      </c>
      <c r="AH98" s="2">
        <f t="shared" si="226"/>
        <v>-5884.5582392916667</v>
      </c>
      <c r="AI98" s="2">
        <f t="shared" si="226"/>
        <v>-6422.8341434416661</v>
      </c>
      <c r="AJ98" s="2">
        <f t="shared" si="226"/>
        <v>-6961.1100475916655</v>
      </c>
      <c r="AK98" s="2">
        <f t="shared" si="226"/>
        <v>-7499.3859517416649</v>
      </c>
      <c r="AL98" s="2">
        <f t="shared" si="226"/>
        <v>-8037.6618558916643</v>
      </c>
    </row>
    <row r="99" spans="1:38">
      <c r="C99" t="s">
        <v>14</v>
      </c>
      <c r="E99" s="2">
        <f t="shared" ref="E99:P104" si="227">E89-E38</f>
        <v>-449.61196957500005</v>
      </c>
      <c r="F99" s="2">
        <f t="shared" si="227"/>
        <v>-899.22393915000009</v>
      </c>
      <c r="G99" s="2">
        <f t="shared" si="227"/>
        <v>-1348.8359087250001</v>
      </c>
      <c r="H99" s="2">
        <f t="shared" si="227"/>
        <v>-1798.4478783000002</v>
      </c>
      <c r="I99" s="2">
        <f t="shared" si="227"/>
        <v>-2248.0598478750003</v>
      </c>
      <c r="J99" s="2">
        <f t="shared" si="227"/>
        <v>-2697.6718174500002</v>
      </c>
      <c r="K99" s="2">
        <f t="shared" si="227"/>
        <v>-3147.283787025</v>
      </c>
      <c r="L99" s="2">
        <f t="shared" si="227"/>
        <v>-3510.9206920770998</v>
      </c>
      <c r="M99" s="2">
        <f t="shared" si="227"/>
        <v>-3788.5825326062995</v>
      </c>
      <c r="N99" s="2">
        <f t="shared" si="227"/>
        <v>-4032.7202329993997</v>
      </c>
      <c r="O99" s="2">
        <f t="shared" si="227"/>
        <v>-4242.5705529976003</v>
      </c>
      <c r="P99" s="2">
        <f t="shared" si="227"/>
        <v>-4448.4266566782007</v>
      </c>
      <c r="Q99" s="10">
        <f t="shared" ref="Q99:Q104" si="228">SUM(E99:P99)</f>
        <v>-32612.355815458599</v>
      </c>
      <c r="R99" s="2">
        <f t="shared" ref="R99:AG104" si="229">R89-R38</f>
        <v>-6241.5482304778807</v>
      </c>
      <c r="S99" s="2">
        <f t="shared" si="229"/>
        <v>-8037.9404951072611</v>
      </c>
      <c r="T99" s="2">
        <f t="shared" si="229"/>
        <v>-9681.7860147287411</v>
      </c>
      <c r="U99" s="2">
        <f t="shared" si="229"/>
        <v>-11013.675406293021</v>
      </c>
      <c r="V99" s="2">
        <f t="shared" si="229"/>
        <v>-12178.807370881103</v>
      </c>
      <c r="W99" s="2">
        <f t="shared" si="229"/>
        <v>-13284.155984880683</v>
      </c>
      <c r="X99" s="2">
        <f t="shared" si="229"/>
        <v>-14341.159969962362</v>
      </c>
      <c r="Y99" s="2">
        <f t="shared" si="229"/>
        <v>-15410.85883311424</v>
      </c>
      <c r="Z99" s="2">
        <f t="shared" si="229"/>
        <v>-16490.961580253319</v>
      </c>
      <c r="AA99" s="2">
        <f t="shared" si="229"/>
        <v>-17567.592966822998</v>
      </c>
      <c r="AB99" s="2">
        <f t="shared" si="229"/>
        <v>-18642.431802502579</v>
      </c>
      <c r="AC99" s="2">
        <f t="shared" si="229"/>
        <v>-19753.842122155755</v>
      </c>
      <c r="AD99" s="2">
        <f t="shared" si="229"/>
        <v>-21942.982682390975</v>
      </c>
      <c r="AE99" s="2">
        <f t="shared" si="229"/>
        <v>-24127.995565747795</v>
      </c>
      <c r="AF99" s="2">
        <f t="shared" si="229"/>
        <v>-26307.755946697616</v>
      </c>
      <c r="AG99" s="2">
        <f t="shared" si="229"/>
        <v>-28486.318247550633</v>
      </c>
      <c r="AH99" s="2">
        <f t="shared" si="226"/>
        <v>-30664.807293835453</v>
      </c>
      <c r="AI99" s="2">
        <f t="shared" si="226"/>
        <v>-32843.296340120272</v>
      </c>
      <c r="AJ99" s="2">
        <f t="shared" si="226"/>
        <v>-35021.785386405099</v>
      </c>
      <c r="AK99" s="2">
        <f t="shared" si="226"/>
        <v>-37200.274432689912</v>
      </c>
      <c r="AL99" s="2">
        <f t="shared" si="226"/>
        <v>-39378.763478974739</v>
      </c>
    </row>
    <row r="100" spans="1:38">
      <c r="C100" t="s">
        <v>139</v>
      </c>
      <c r="E100" s="2">
        <f t="shared" si="227"/>
        <v>-1734.0299720250002</v>
      </c>
      <c r="F100" s="2">
        <f t="shared" si="227"/>
        <v>-3468.0599440500005</v>
      </c>
      <c r="G100" s="2">
        <f t="shared" si="227"/>
        <v>-5202.0899160750005</v>
      </c>
      <c r="H100" s="2">
        <f t="shared" si="227"/>
        <v>-6936.1198881000009</v>
      </c>
      <c r="I100" s="2">
        <f t="shared" si="227"/>
        <v>-8670.1498601250005</v>
      </c>
      <c r="J100" s="2">
        <f t="shared" si="227"/>
        <v>-10120.928925365</v>
      </c>
      <c r="K100" s="2">
        <f t="shared" si="227"/>
        <v>-11256.751001731001</v>
      </c>
      <c r="L100" s="2">
        <f t="shared" si="227"/>
        <v>-12357.473040971003</v>
      </c>
      <c r="M100" s="2">
        <f t="shared" si="227"/>
        <v>-13309.062044434002</v>
      </c>
      <c r="N100" s="2">
        <f t="shared" si="227"/>
        <v>-14102.295527574001</v>
      </c>
      <c r="O100" s="2">
        <f t="shared" si="227"/>
        <v>-14874.269499617001</v>
      </c>
      <c r="P100" s="2">
        <f t="shared" si="227"/>
        <v>-15614.301144100002</v>
      </c>
      <c r="Q100" s="10">
        <f t="shared" si="228"/>
        <v>-117645.53076416701</v>
      </c>
      <c r="R100" s="2">
        <f t="shared" si="229"/>
        <v>-22912.66948593776</v>
      </c>
      <c r="S100" s="2">
        <f t="shared" si="226"/>
        <v>-29973.464886235521</v>
      </c>
      <c r="T100" s="2">
        <f t="shared" si="226"/>
        <v>-37036.359088337282</v>
      </c>
      <c r="U100" s="2">
        <f t="shared" si="226"/>
        <v>-43231.931622039046</v>
      </c>
      <c r="V100" s="2">
        <f t="shared" si="226"/>
        <v>-48091.913247033815</v>
      </c>
      <c r="W100" s="2">
        <f t="shared" si="226"/>
        <v>-52478.47896670358</v>
      </c>
      <c r="X100" s="2">
        <f t="shared" si="226"/>
        <v>-56890.439789876342</v>
      </c>
      <c r="Y100" s="2">
        <f t="shared" si="226"/>
        <v>-61352.516627239107</v>
      </c>
      <c r="Z100" s="2">
        <f t="shared" si="226"/>
        <v>-65823.475386947874</v>
      </c>
      <c r="AA100" s="2">
        <f t="shared" si="226"/>
        <v>-70294.434230894636</v>
      </c>
      <c r="AB100" s="2">
        <f t="shared" si="226"/>
        <v>-74768.624805541403</v>
      </c>
      <c r="AC100" s="2">
        <f t="shared" si="226"/>
        <v>-79242.815380188171</v>
      </c>
      <c r="AD100" s="2">
        <f t="shared" si="226"/>
        <v>-88285.750306521499</v>
      </c>
      <c r="AE100" s="2">
        <f t="shared" si="226"/>
        <v>-97328.685232854827</v>
      </c>
      <c r="AF100" s="2">
        <f t="shared" si="226"/>
        <v>-106371.62015918815</v>
      </c>
      <c r="AG100" s="2">
        <f t="shared" si="226"/>
        <v>-115414.55508552148</v>
      </c>
      <c r="AH100" s="2">
        <f t="shared" si="226"/>
        <v>-124457.49001185481</v>
      </c>
      <c r="AI100" s="2">
        <f t="shared" si="226"/>
        <v>-133500.42493818814</v>
      </c>
      <c r="AJ100" s="2">
        <f t="shared" si="226"/>
        <v>-142543.35986452148</v>
      </c>
      <c r="AK100" s="2">
        <f t="shared" si="226"/>
        <v>-151586.29479085479</v>
      </c>
      <c r="AL100" s="2">
        <f t="shared" si="226"/>
        <v>-160629.22971718811</v>
      </c>
    </row>
    <row r="101" spans="1:38">
      <c r="C101" t="s">
        <v>144</v>
      </c>
      <c r="E101" s="2">
        <f t="shared" si="227"/>
        <v>-1397.1327335624999</v>
      </c>
      <c r="F101" s="2">
        <f t="shared" si="227"/>
        <v>-2794.2654671249998</v>
      </c>
      <c r="G101" s="2">
        <f t="shared" si="227"/>
        <v>-4191.3982006874994</v>
      </c>
      <c r="H101" s="2">
        <f t="shared" si="227"/>
        <v>-5588.5309342499995</v>
      </c>
      <c r="I101" s="2">
        <f t="shared" si="227"/>
        <v>-6985.6636678124996</v>
      </c>
      <c r="J101" s="2">
        <f t="shared" si="227"/>
        <v>-8382.7964013749988</v>
      </c>
      <c r="K101" s="2">
        <f t="shared" si="227"/>
        <v>-9779.929134937498</v>
      </c>
      <c r="L101" s="2">
        <f t="shared" si="227"/>
        <v>-11177.061868499997</v>
      </c>
      <c r="M101" s="2">
        <f t="shared" si="227"/>
        <v>-12574.194602062496</v>
      </c>
      <c r="N101" s="2">
        <f t="shared" si="227"/>
        <v>-13971.327335624996</v>
      </c>
      <c r="O101" s="2">
        <f t="shared" si="227"/>
        <v>-15368.460069187495</v>
      </c>
      <c r="P101" s="2">
        <f t="shared" si="227"/>
        <v>-16102.420465218995</v>
      </c>
      <c r="Q101" s="10">
        <f t="shared" si="228"/>
        <v>-108313.18088034396</v>
      </c>
      <c r="R101" s="2">
        <f t="shared" si="229"/>
        <v>-18576.398123220093</v>
      </c>
      <c r="S101" s="2">
        <f t="shared" si="226"/>
        <v>-21038.889192893395</v>
      </c>
      <c r="T101" s="2">
        <f t="shared" si="226"/>
        <v>-23493.831320801095</v>
      </c>
      <c r="U101" s="2">
        <f t="shared" si="226"/>
        <v>-25945.414088030393</v>
      </c>
      <c r="V101" s="2">
        <f t="shared" si="226"/>
        <v>-28130.855625880591</v>
      </c>
      <c r="W101" s="2">
        <f t="shared" si="226"/>
        <v>-29834.041702900773</v>
      </c>
      <c r="X101" s="2">
        <f t="shared" si="226"/>
        <v>-31319.467917292488</v>
      </c>
      <c r="Y101" s="2">
        <f t="shared" si="226"/>
        <v>-32804.263190539059</v>
      </c>
      <c r="Z101" s="2">
        <f t="shared" si="226"/>
        <v>-34295.847559560621</v>
      </c>
      <c r="AA101" s="2">
        <f t="shared" si="226"/>
        <v>-35754.946900137787</v>
      </c>
      <c r="AB101" s="2">
        <f t="shared" si="226"/>
        <v>-37174.772116495558</v>
      </c>
      <c r="AC101" s="2">
        <f t="shared" si="226"/>
        <v>-38594.597332853322</v>
      </c>
      <c r="AD101" s="2">
        <f t="shared" si="226"/>
        <v>-40845.818438135902</v>
      </c>
      <c r="AE101" s="2">
        <f t="shared" si="226"/>
        <v>-43097.03954341849</v>
      </c>
      <c r="AF101" s="2">
        <f t="shared" si="226"/>
        <v>-45348.260648701078</v>
      </c>
      <c r="AG101" s="2">
        <f t="shared" si="226"/>
        <v>-47599.481753983659</v>
      </c>
      <c r="AH101" s="2">
        <f t="shared" si="226"/>
        <v>-49850.702859266239</v>
      </c>
      <c r="AI101" s="2">
        <f t="shared" si="226"/>
        <v>-52101.92396454882</v>
      </c>
      <c r="AJ101" s="2">
        <f t="shared" si="226"/>
        <v>-54353.1450698314</v>
      </c>
      <c r="AK101" s="2">
        <f t="shared" si="226"/>
        <v>-56604.366175113981</v>
      </c>
      <c r="AL101" s="2">
        <f t="shared" si="226"/>
        <v>-58855.587280396561</v>
      </c>
    </row>
    <row r="102" spans="1:38">
      <c r="C102" t="s">
        <v>137</v>
      </c>
      <c r="E102" s="2">
        <f t="shared" si="227"/>
        <v>-5148.3369766485421</v>
      </c>
      <c r="F102" s="2">
        <f t="shared" si="227"/>
        <v>-10296.673953297084</v>
      </c>
      <c r="G102" s="2">
        <f t="shared" si="227"/>
        <v>-15445.010929945627</v>
      </c>
      <c r="H102" s="2">
        <f t="shared" si="227"/>
        <v>-20593.347906594168</v>
      </c>
      <c r="I102" s="2">
        <f t="shared" si="227"/>
        <v>-25741.684883242709</v>
      </c>
      <c r="J102" s="2">
        <f t="shared" si="227"/>
        <v>-30890.021859891251</v>
      </c>
      <c r="K102" s="2">
        <f t="shared" si="227"/>
        <v>-35995.101022945724</v>
      </c>
      <c r="L102" s="2">
        <f t="shared" si="227"/>
        <v>-40846.84774019989</v>
      </c>
      <c r="M102" s="2">
        <f t="shared" si="227"/>
        <v>-45430.789826793211</v>
      </c>
      <c r="N102" s="2">
        <f t="shared" si="227"/>
        <v>-49618.103474174648</v>
      </c>
      <c r="O102" s="2">
        <f t="shared" si="227"/>
        <v>-53446.058035869108</v>
      </c>
      <c r="P102" s="2">
        <f t="shared" si="227"/>
        <v>-57241.251399248344</v>
      </c>
      <c r="Q102" s="10">
        <f t="shared" si="228"/>
        <v>-390693.22800885024</v>
      </c>
      <c r="R102" s="2">
        <f t="shared" si="229"/>
        <v>-79589.929755186022</v>
      </c>
      <c r="S102" s="2">
        <f t="shared" si="226"/>
        <v>-101655.04353091447</v>
      </c>
      <c r="T102" s="2">
        <f t="shared" si="226"/>
        <v>-123105.44975872591</v>
      </c>
      <c r="U102" s="2">
        <f t="shared" si="226"/>
        <v>-143787.97395669448</v>
      </c>
      <c r="V102" s="2">
        <f t="shared" si="226"/>
        <v>-163746.66656993318</v>
      </c>
      <c r="W102" s="2">
        <f t="shared" si="226"/>
        <v>-182960.89519124301</v>
      </c>
      <c r="X102" s="2">
        <f t="shared" si="226"/>
        <v>-201651.83169319082</v>
      </c>
      <c r="Y102" s="2">
        <f t="shared" si="226"/>
        <v>-220243.62847107285</v>
      </c>
      <c r="Z102" s="2">
        <f t="shared" si="226"/>
        <v>-238810.62045290522</v>
      </c>
      <c r="AA102" s="2">
        <f t="shared" si="226"/>
        <v>-257375.82585444755</v>
      </c>
      <c r="AB102" s="2">
        <f t="shared" si="226"/>
        <v>-275930.97870195145</v>
      </c>
      <c r="AC102" s="2">
        <f t="shared" si="226"/>
        <v>-294407.7214084302</v>
      </c>
      <c r="AD102" s="2">
        <f t="shared" si="226"/>
        <v>-321102.04356164875</v>
      </c>
      <c r="AE102" s="2">
        <f t="shared" si="226"/>
        <v>-347792.28290066932</v>
      </c>
      <c r="AF102" s="2">
        <f t="shared" si="226"/>
        <v>-374472.21515317884</v>
      </c>
      <c r="AG102" s="2">
        <f t="shared" si="226"/>
        <v>-401136.80826747115</v>
      </c>
      <c r="AH102" s="2">
        <f t="shared" si="226"/>
        <v>-427791.62283280271</v>
      </c>
      <c r="AI102" s="2">
        <f t="shared" si="226"/>
        <v>-454442.38793958991</v>
      </c>
      <c r="AJ102" s="2">
        <f t="shared" si="226"/>
        <v>-481091.25089569372</v>
      </c>
      <c r="AK102" s="2">
        <f t="shared" si="226"/>
        <v>-507739.19655258371</v>
      </c>
      <c r="AL102" s="2">
        <f t="shared" si="226"/>
        <v>-534386.68355986674</v>
      </c>
    </row>
    <row r="103" spans="1:38">
      <c r="C103" t="s">
        <v>146</v>
      </c>
      <c r="E103" s="2">
        <f t="shared" si="227"/>
        <v>-94.731330157500054</v>
      </c>
      <c r="F103" s="2">
        <f t="shared" si="227"/>
        <v>327.38187958750018</v>
      </c>
      <c r="G103" s="2">
        <f t="shared" si="227"/>
        <v>837.24259714500022</v>
      </c>
      <c r="H103" s="2">
        <f t="shared" si="227"/>
        <v>1374.3190961400001</v>
      </c>
      <c r="I103" s="2">
        <f t="shared" si="227"/>
        <v>1918.85636032</v>
      </c>
      <c r="J103" s="2">
        <f t="shared" si="227"/>
        <v>2463.3936245</v>
      </c>
      <c r="K103" s="2">
        <f t="shared" si="227"/>
        <v>3010.9638461525001</v>
      </c>
      <c r="L103" s="2">
        <f t="shared" si="227"/>
        <v>3286.2654357149995</v>
      </c>
      <c r="M103" s="2">
        <f t="shared" si="227"/>
        <v>3286.2654357149995</v>
      </c>
      <c r="N103" s="2">
        <f t="shared" si="227"/>
        <v>3286.2654357149995</v>
      </c>
      <c r="O103" s="2">
        <f t="shared" si="227"/>
        <v>3286.2654357149986</v>
      </c>
      <c r="P103" s="2">
        <f t="shared" si="227"/>
        <v>3286.2654357149977</v>
      </c>
      <c r="Q103" s="10">
        <f t="shared" si="228"/>
        <v>26268.753252262493</v>
      </c>
      <c r="R103" s="2">
        <f t="shared" si="229"/>
        <v>-582.73342586177387</v>
      </c>
      <c r="S103" s="2">
        <f t="shared" si="226"/>
        <v>-4451.7322874385445</v>
      </c>
      <c r="T103" s="2">
        <f t="shared" si="226"/>
        <v>-7583.5845664578137</v>
      </c>
      <c r="U103" s="2">
        <f t="shared" si="226"/>
        <v>-10522.906435869472</v>
      </c>
      <c r="V103" s="2">
        <f t="shared" si="226"/>
        <v>-12882.264264190448</v>
      </c>
      <c r="W103" s="2">
        <f t="shared" si="226"/>
        <v>-13385.407286014502</v>
      </c>
      <c r="X103" s="2">
        <f t="shared" si="226"/>
        <v>-13828.878999294484</v>
      </c>
      <c r="Y103" s="2">
        <f t="shared" si="226"/>
        <v>-14220.769249789446</v>
      </c>
      <c r="Z103" s="2">
        <f t="shared" si="226"/>
        <v>-14571.127643126947</v>
      </c>
      <c r="AA103" s="2">
        <f t="shared" si="226"/>
        <v>-14912.301023741951</v>
      </c>
      <c r="AB103" s="2">
        <f t="shared" si="226"/>
        <v>-15238.451050841955</v>
      </c>
      <c r="AC103" s="2">
        <f t="shared" si="226"/>
        <v>-15564.601077941959</v>
      </c>
      <c r="AD103" s="2">
        <f t="shared" si="226"/>
        <v>-20636.697020938998</v>
      </c>
      <c r="AE103" s="2">
        <f t="shared" si="226"/>
        <v>-25708.792963936037</v>
      </c>
      <c r="AF103" s="2">
        <f t="shared" si="226"/>
        <v>-30026.65054384141</v>
      </c>
      <c r="AG103" s="2">
        <f t="shared" si="226"/>
        <v>-35061.332259971779</v>
      </c>
      <c r="AH103" s="2">
        <f t="shared" si="226"/>
        <v>-38567.582201902158</v>
      </c>
      <c r="AI103" s="2">
        <f t="shared" si="226"/>
        <v>-41668.078607049189</v>
      </c>
      <c r="AJ103" s="2">
        <f t="shared" si="226"/>
        <v>-44918.756437387652</v>
      </c>
      <c r="AK103" s="2">
        <f t="shared" si="226"/>
        <v>-47392.845551859442</v>
      </c>
      <c r="AL103" s="2">
        <f t="shared" si="226"/>
        <v>-49743.560283355997</v>
      </c>
    </row>
    <row r="104" spans="1:38">
      <c r="C104" t="s">
        <v>19</v>
      </c>
      <c r="E104" s="2">
        <f t="shared" si="227"/>
        <v>-373.44892228950107</v>
      </c>
      <c r="F104" s="2">
        <f t="shared" si="227"/>
        <v>1122.9425488684983</v>
      </c>
      <c r="G104" s="2">
        <f t="shared" si="227"/>
        <v>2936.7868745114974</v>
      </c>
      <c r="H104" s="2">
        <f t="shared" si="227"/>
        <v>4893.3916545040192</v>
      </c>
      <c r="I104" s="2">
        <f t="shared" si="227"/>
        <v>6921.2872464335633</v>
      </c>
      <c r="J104" s="2">
        <f t="shared" si="227"/>
        <v>8949.1828383631073</v>
      </c>
      <c r="K104" s="2">
        <f t="shared" si="227"/>
        <v>10988.051056145152</v>
      </c>
      <c r="L104" s="2">
        <f t="shared" si="227"/>
        <v>12212.462459522198</v>
      </c>
      <c r="M104" s="2">
        <f t="shared" si="227"/>
        <v>12611.44442264174</v>
      </c>
      <c r="N104" s="2">
        <f t="shared" si="227"/>
        <v>13010.426385761282</v>
      </c>
      <c r="O104" s="2">
        <f t="shared" si="227"/>
        <v>13409.408348880825</v>
      </c>
      <c r="P104" s="2">
        <f t="shared" si="227"/>
        <v>13808.390312000367</v>
      </c>
      <c r="Q104" s="10">
        <f t="shared" si="228"/>
        <v>100490.32522534275</v>
      </c>
      <c r="R104" s="2">
        <f t="shared" si="229"/>
        <v>-24404.000273611295</v>
      </c>
      <c r="S104" s="2">
        <f t="shared" si="226"/>
        <v>-62616.390859222956</v>
      </c>
      <c r="T104" s="2">
        <f t="shared" si="226"/>
        <v>-100828.78144483463</v>
      </c>
      <c r="U104" s="2">
        <f t="shared" si="226"/>
        <v>-139041.17203044629</v>
      </c>
      <c r="V104" s="2">
        <f t="shared" si="226"/>
        <v>-177253.56261605793</v>
      </c>
      <c r="W104" s="2">
        <f t="shared" si="226"/>
        <v>-193844.76389956957</v>
      </c>
      <c r="X104" s="2">
        <f t="shared" si="226"/>
        <v>-188696.72967078126</v>
      </c>
      <c r="Y104" s="2">
        <f t="shared" si="226"/>
        <v>-183371.93381419295</v>
      </c>
      <c r="Z104" s="2">
        <f t="shared" si="226"/>
        <v>-177944.30420030461</v>
      </c>
      <c r="AA104" s="2">
        <f t="shared" si="226"/>
        <v>-172447.48111031629</v>
      </c>
      <c r="AB104" s="2">
        <f t="shared" si="226"/>
        <v>-166835.11318642797</v>
      </c>
      <c r="AC104" s="2">
        <f t="shared" si="226"/>
        <v>-161125.12386823969</v>
      </c>
      <c r="AD104" s="2">
        <f t="shared" si="226"/>
        <v>-295649.88478955079</v>
      </c>
      <c r="AE104" s="2">
        <f t="shared" si="226"/>
        <v>-430174.64571086189</v>
      </c>
      <c r="AF104" s="2">
        <f t="shared" si="226"/>
        <v>-509705.56143661472</v>
      </c>
      <c r="AG104" s="2">
        <f t="shared" si="226"/>
        <v>-531415.64228825085</v>
      </c>
      <c r="AH104" s="2">
        <f t="shared" si="226"/>
        <v>-547881.95550611196</v>
      </c>
      <c r="AI104" s="2">
        <f t="shared" si="226"/>
        <v>-560745.82849607302</v>
      </c>
      <c r="AJ104" s="2">
        <f t="shared" si="226"/>
        <v>-572047.3138030516</v>
      </c>
      <c r="AK104" s="2">
        <f t="shared" si="226"/>
        <v>-582595.34828943154</v>
      </c>
      <c r="AL104" s="2">
        <f t="shared" si="226"/>
        <v>-592766.6573655121</v>
      </c>
    </row>
    <row r="105" spans="1:38" ht="13.5" thickBot="1">
      <c r="B105" t="s">
        <v>2</v>
      </c>
      <c r="E105" s="5">
        <f t="shared" ref="E105:O105" si="230">SUM(E98:E104)</f>
        <v>-9197.2919042580434</v>
      </c>
      <c r="F105" s="5">
        <f t="shared" si="230"/>
        <v>-16007.898875166087</v>
      </c>
      <c r="G105" s="5">
        <f t="shared" si="230"/>
        <v>-22413.305483776632</v>
      </c>
      <c r="H105" s="5">
        <f t="shared" si="230"/>
        <v>-28648.735856600149</v>
      </c>
      <c r="I105" s="5">
        <f t="shared" si="230"/>
        <v>-34805.414652301639</v>
      </c>
      <c r="J105" s="5">
        <f t="shared" si="230"/>
        <v>-40678.842541218146</v>
      </c>
      <c r="K105" s="5">
        <f t="shared" si="230"/>
        <v>-46180.050044341566</v>
      </c>
      <c r="L105" s="5">
        <f t="shared" si="230"/>
        <v>-52393.575446510789</v>
      </c>
      <c r="M105" s="5">
        <f t="shared" si="230"/>
        <v>-59204.919147539273</v>
      </c>
      <c r="N105" s="5">
        <f t="shared" si="230"/>
        <v>-65427.754748896754</v>
      </c>
      <c r="O105" s="5">
        <f t="shared" si="230"/>
        <v>-71235.684373075375</v>
      </c>
      <c r="P105" s="5">
        <f>SUM(P98:P104)</f>
        <v>-76311.74391753017</v>
      </c>
      <c r="Q105" s="11">
        <f>SUM(Q98:Q104)</f>
        <v>-522505.21699121455</v>
      </c>
      <c r="R105" s="5">
        <f>SUM(R98:R104)</f>
        <v>-152728.14623179485</v>
      </c>
      <c r="S105" s="5">
        <f t="shared" ref="S105:AL105" si="231">SUM(S98:S104)</f>
        <v>-228615.19512681215</v>
      </c>
      <c r="T105" s="5">
        <f t="shared" si="231"/>
        <v>-302966.36205242714</v>
      </c>
      <c r="U105" s="5">
        <f t="shared" si="231"/>
        <v>-375145.49405416439</v>
      </c>
      <c r="V105" s="5">
        <f t="shared" si="231"/>
        <v>-444248.66321085207</v>
      </c>
      <c r="W105" s="5">
        <f t="shared" si="231"/>
        <v>-488019.24082047882</v>
      </c>
      <c r="X105" s="5">
        <f t="shared" si="231"/>
        <v>-509131.86119831447</v>
      </c>
      <c r="Y105" s="5">
        <f t="shared" si="231"/>
        <v>-529978.40153178107</v>
      </c>
      <c r="Z105" s="5">
        <f t="shared" si="231"/>
        <v>-550672.55185309856</v>
      </c>
      <c r="AA105" s="5">
        <f t="shared" si="231"/>
        <v>-571241.14740219456</v>
      </c>
      <c r="AB105" s="5">
        <f t="shared" si="231"/>
        <v>-591627.85608126083</v>
      </c>
      <c r="AC105" s="5">
        <f t="shared" si="231"/>
        <v>-611872.08614564245</v>
      </c>
      <c r="AD105" s="5">
        <f t="shared" si="231"/>
        <v>-792190.57704958692</v>
      </c>
      <c r="AE105" s="5">
        <f t="shared" si="231"/>
        <v>-972498.58010578831</v>
      </c>
      <c r="AF105" s="5">
        <f t="shared" si="231"/>
        <v>-1097040.0703192134</v>
      </c>
      <c r="AG105" s="5">
        <f t="shared" si="231"/>
        <v>-1164460.4202378914</v>
      </c>
      <c r="AH105" s="5">
        <f t="shared" si="231"/>
        <v>-1225098.718945065</v>
      </c>
      <c r="AI105" s="5">
        <f t="shared" si="231"/>
        <v>-1281724.7744290112</v>
      </c>
      <c r="AJ105" s="5">
        <f t="shared" si="231"/>
        <v>-1336936.7215044827</v>
      </c>
      <c r="AK105" s="5">
        <f t="shared" si="231"/>
        <v>-1390617.7117442749</v>
      </c>
      <c r="AL105" s="5">
        <f t="shared" si="231"/>
        <v>-1443798.1435411859</v>
      </c>
    </row>
    <row r="107" spans="1:38">
      <c r="A107" s="1" t="s">
        <v>11</v>
      </c>
      <c r="B107" t="s">
        <v>1</v>
      </c>
      <c r="C107" t="s">
        <v>17</v>
      </c>
      <c r="E107" s="2">
        <f>E98*0.21</f>
        <v>0</v>
      </c>
      <c r="F107" s="2">
        <f t="shared" ref="F107:P107" si="232">F98*0.21</f>
        <v>0</v>
      </c>
      <c r="G107" s="2">
        <f t="shared" si="232"/>
        <v>0</v>
      </c>
      <c r="H107" s="2">
        <f t="shared" si="232"/>
        <v>0</v>
      </c>
      <c r="I107" s="2">
        <f t="shared" si="232"/>
        <v>0</v>
      </c>
      <c r="J107" s="2">
        <f t="shared" si="232"/>
        <v>0</v>
      </c>
      <c r="K107" s="2">
        <f t="shared" si="232"/>
        <v>0</v>
      </c>
      <c r="L107" s="2">
        <f t="shared" si="232"/>
        <v>0</v>
      </c>
      <c r="M107" s="2">
        <f t="shared" si="232"/>
        <v>0</v>
      </c>
      <c r="N107" s="2">
        <f t="shared" si="232"/>
        <v>0</v>
      </c>
      <c r="O107" s="2">
        <f t="shared" si="232"/>
        <v>0</v>
      </c>
      <c r="P107" s="2">
        <f t="shared" si="232"/>
        <v>0</v>
      </c>
      <c r="Q107" s="10">
        <f>SUM(E107:P107)</f>
        <v>0</v>
      </c>
      <c r="R107" s="2">
        <f t="shared" ref="R107:AL107" si="233">R98*0.21</f>
        <v>-88.382056874999989</v>
      </c>
      <c r="S107" s="2">
        <f t="shared" si="233"/>
        <v>-176.76411374999998</v>
      </c>
      <c r="T107" s="2">
        <f t="shared" si="233"/>
        <v>-259.67967029374995</v>
      </c>
      <c r="U107" s="2">
        <f t="shared" si="233"/>
        <v>-336.50830810624996</v>
      </c>
      <c r="V107" s="2">
        <f t="shared" si="233"/>
        <v>-412.56463854374994</v>
      </c>
      <c r="W107" s="2">
        <f t="shared" si="233"/>
        <v>-468.61453572499988</v>
      </c>
      <c r="X107" s="2">
        <f t="shared" si="233"/>
        <v>-504.70416316249998</v>
      </c>
      <c r="Y107" s="2">
        <f t="shared" si="233"/>
        <v>-540.63058262499987</v>
      </c>
      <c r="Z107" s="2">
        <f t="shared" si="233"/>
        <v>-574.60515629999986</v>
      </c>
      <c r="AA107" s="2">
        <f t="shared" si="233"/>
        <v>-606.59871632499994</v>
      </c>
      <c r="AB107" s="2">
        <f t="shared" si="233"/>
        <v>-637.87172767499999</v>
      </c>
      <c r="AC107" s="2">
        <f t="shared" si="233"/>
        <v>-668.51084072499998</v>
      </c>
      <c r="AD107" s="2">
        <f t="shared" si="233"/>
        <v>-782.75405258399996</v>
      </c>
      <c r="AE107" s="2">
        <f t="shared" si="233"/>
        <v>-896.51901954300001</v>
      </c>
      <c r="AF107" s="2">
        <f t="shared" si="233"/>
        <v>-1009.68135050825</v>
      </c>
      <c r="AG107" s="2">
        <f t="shared" si="233"/>
        <v>-1122.7192903797502</v>
      </c>
      <c r="AH107" s="2">
        <f t="shared" si="233"/>
        <v>-1235.7572302512499</v>
      </c>
      <c r="AI107" s="2">
        <f t="shared" si="233"/>
        <v>-1348.7951701227498</v>
      </c>
      <c r="AJ107" s="2">
        <f t="shared" si="233"/>
        <v>-1461.8331099942498</v>
      </c>
      <c r="AK107" s="2">
        <f t="shared" si="233"/>
        <v>-1574.8710498657497</v>
      </c>
      <c r="AL107" s="2">
        <f t="shared" si="233"/>
        <v>-1687.9089897372494</v>
      </c>
    </row>
    <row r="108" spans="1:38">
      <c r="C108" t="s">
        <v>14</v>
      </c>
      <c r="E108" s="2">
        <f t="shared" ref="E108:P108" si="234">E99*0.21</f>
        <v>-94.418513610750011</v>
      </c>
      <c r="F108" s="2">
        <f t="shared" si="234"/>
        <v>-188.83702722150002</v>
      </c>
      <c r="G108" s="2">
        <f t="shared" si="234"/>
        <v>-283.25554083225001</v>
      </c>
      <c r="H108" s="2">
        <f t="shared" si="234"/>
        <v>-377.67405444300005</v>
      </c>
      <c r="I108" s="2">
        <f t="shared" si="234"/>
        <v>-472.09256805375003</v>
      </c>
      <c r="J108" s="2">
        <f t="shared" si="234"/>
        <v>-566.51108166450001</v>
      </c>
      <c r="K108" s="2">
        <f t="shared" si="234"/>
        <v>-660.92959527524999</v>
      </c>
      <c r="L108" s="2">
        <f t="shared" si="234"/>
        <v>-737.2933453361909</v>
      </c>
      <c r="M108" s="2">
        <f t="shared" si="234"/>
        <v>-795.60233184732283</v>
      </c>
      <c r="N108" s="2">
        <f t="shared" si="234"/>
        <v>-846.8712489298739</v>
      </c>
      <c r="O108" s="2">
        <f t="shared" si="234"/>
        <v>-890.93981612949608</v>
      </c>
      <c r="P108" s="2">
        <f t="shared" si="234"/>
        <v>-934.16959790242208</v>
      </c>
      <c r="Q108" s="10">
        <f t="shared" ref="Q108:Q113" si="235">SUM(E108:P108)</f>
        <v>-6848.5947212463052</v>
      </c>
      <c r="R108" s="2">
        <f t="shared" ref="R108:AL108" si="236">R99*0.21</f>
        <v>-1310.7251284003548</v>
      </c>
      <c r="S108" s="2">
        <f t="shared" si="236"/>
        <v>-1687.9675039725248</v>
      </c>
      <c r="T108" s="2">
        <f t="shared" si="236"/>
        <v>-2033.1750630930355</v>
      </c>
      <c r="U108" s="2">
        <f t="shared" si="236"/>
        <v>-2312.8718353215345</v>
      </c>
      <c r="V108" s="2">
        <f t="shared" si="236"/>
        <v>-2557.5495478850316</v>
      </c>
      <c r="W108" s="2">
        <f t="shared" si="236"/>
        <v>-2789.6727568249435</v>
      </c>
      <c r="X108" s="2">
        <f t="shared" si="236"/>
        <v>-3011.6435936920961</v>
      </c>
      <c r="Y108" s="2">
        <f t="shared" si="236"/>
        <v>-3236.2803549539904</v>
      </c>
      <c r="Z108" s="2">
        <f t="shared" si="236"/>
        <v>-3463.1019318531967</v>
      </c>
      <c r="AA108" s="2">
        <f t="shared" si="236"/>
        <v>-3689.1945230328297</v>
      </c>
      <c r="AB108" s="2">
        <f t="shared" si="236"/>
        <v>-3914.9106785255412</v>
      </c>
      <c r="AC108" s="2">
        <f t="shared" si="236"/>
        <v>-4148.306845652708</v>
      </c>
      <c r="AD108" s="2">
        <f t="shared" si="236"/>
        <v>-4608.026363302105</v>
      </c>
      <c r="AE108" s="2">
        <f t="shared" si="236"/>
        <v>-5066.8790688070367</v>
      </c>
      <c r="AF108" s="2">
        <f t="shared" si="236"/>
        <v>-5524.6287488064991</v>
      </c>
      <c r="AG108" s="2">
        <f t="shared" si="236"/>
        <v>-5982.1268319856326</v>
      </c>
      <c r="AH108" s="2">
        <f t="shared" si="236"/>
        <v>-6439.6095317054451</v>
      </c>
      <c r="AI108" s="2">
        <f t="shared" si="236"/>
        <v>-6897.0922314252566</v>
      </c>
      <c r="AJ108" s="2">
        <f t="shared" si="236"/>
        <v>-7354.5749311450709</v>
      </c>
      <c r="AK108" s="2">
        <f t="shared" si="236"/>
        <v>-7812.0576308648815</v>
      </c>
      <c r="AL108" s="2">
        <f t="shared" si="236"/>
        <v>-8269.5403305846958</v>
      </c>
    </row>
    <row r="109" spans="1:38">
      <c r="C109" t="s">
        <v>139</v>
      </c>
      <c r="E109" s="2">
        <f t="shared" ref="E109:P109" si="237">E100*0.21</f>
        <v>-364.14629412525005</v>
      </c>
      <c r="F109" s="2">
        <f t="shared" si="237"/>
        <v>-728.2925882505001</v>
      </c>
      <c r="G109" s="2">
        <f t="shared" si="237"/>
        <v>-1092.4388823757502</v>
      </c>
      <c r="H109" s="2">
        <f t="shared" si="237"/>
        <v>-1456.5851765010002</v>
      </c>
      <c r="I109" s="2">
        <f t="shared" si="237"/>
        <v>-1820.73147062625</v>
      </c>
      <c r="J109" s="2">
        <f t="shared" si="237"/>
        <v>-2125.39507432665</v>
      </c>
      <c r="K109" s="2">
        <f t="shared" si="237"/>
        <v>-2363.9177103635102</v>
      </c>
      <c r="L109" s="2">
        <f t="shared" si="237"/>
        <v>-2595.0693386039106</v>
      </c>
      <c r="M109" s="2">
        <f t="shared" si="237"/>
        <v>-2794.9030293311403</v>
      </c>
      <c r="N109" s="2">
        <f t="shared" si="237"/>
        <v>-2961.4820607905399</v>
      </c>
      <c r="O109" s="2">
        <f t="shared" si="237"/>
        <v>-3123.5965949195702</v>
      </c>
      <c r="P109" s="2">
        <f t="shared" si="237"/>
        <v>-3279.0032402610004</v>
      </c>
      <c r="Q109" s="10">
        <f t="shared" si="235"/>
        <v>-24705.561460475074</v>
      </c>
      <c r="R109" s="2">
        <f t="shared" ref="R109:AL109" si="238">R100*0.21</f>
        <v>-4811.6605920469292</v>
      </c>
      <c r="S109" s="2">
        <f t="shared" si="238"/>
        <v>-6294.4276261094592</v>
      </c>
      <c r="T109" s="2">
        <f t="shared" si="238"/>
        <v>-7777.6354085508292</v>
      </c>
      <c r="U109" s="2">
        <f t="shared" si="238"/>
        <v>-9078.705640628199</v>
      </c>
      <c r="V109" s="2">
        <f t="shared" si="238"/>
        <v>-10099.3017818771</v>
      </c>
      <c r="W109" s="2">
        <f t="shared" si="238"/>
        <v>-11020.480583007751</v>
      </c>
      <c r="X109" s="2">
        <f t="shared" si="238"/>
        <v>-11946.992355874032</v>
      </c>
      <c r="Y109" s="2">
        <f t="shared" si="238"/>
        <v>-12884.028491720212</v>
      </c>
      <c r="Z109" s="2">
        <f t="shared" si="238"/>
        <v>-13822.929831259053</v>
      </c>
      <c r="AA109" s="2">
        <f t="shared" si="238"/>
        <v>-14761.831188487873</v>
      </c>
      <c r="AB109" s="2">
        <f t="shared" si="238"/>
        <v>-15701.411209163694</v>
      </c>
      <c r="AC109" s="2">
        <f t="shared" si="238"/>
        <v>-16640.991229839514</v>
      </c>
      <c r="AD109" s="2">
        <f t="shared" si="238"/>
        <v>-18540.007564369513</v>
      </c>
      <c r="AE109" s="2">
        <f t="shared" si="238"/>
        <v>-20439.023898899512</v>
      </c>
      <c r="AF109" s="2">
        <f t="shared" si="238"/>
        <v>-22338.04023342951</v>
      </c>
      <c r="AG109" s="2">
        <f t="shared" si="238"/>
        <v>-24237.056567959509</v>
      </c>
      <c r="AH109" s="2">
        <f t="shared" si="238"/>
        <v>-26136.072902489508</v>
      </c>
      <c r="AI109" s="2">
        <f t="shared" si="238"/>
        <v>-28035.089237019507</v>
      </c>
      <c r="AJ109" s="2">
        <f t="shared" si="238"/>
        <v>-29934.105571549509</v>
      </c>
      <c r="AK109" s="2">
        <f t="shared" si="238"/>
        <v>-31833.121906079505</v>
      </c>
      <c r="AL109" s="2">
        <f t="shared" si="238"/>
        <v>-33732.1382406095</v>
      </c>
    </row>
    <row r="110" spans="1:38">
      <c r="C110" t="s">
        <v>144</v>
      </c>
      <c r="E110" s="2">
        <f t="shared" ref="E110:P110" si="239">E101*0.21</f>
        <v>-293.39787404812495</v>
      </c>
      <c r="F110" s="2">
        <f t="shared" si="239"/>
        <v>-586.79574809624989</v>
      </c>
      <c r="G110" s="2">
        <f t="shared" si="239"/>
        <v>-880.1936221443749</v>
      </c>
      <c r="H110" s="2">
        <f t="shared" si="239"/>
        <v>-1173.5914961924998</v>
      </c>
      <c r="I110" s="2">
        <f t="shared" si="239"/>
        <v>-1466.9893702406248</v>
      </c>
      <c r="J110" s="2">
        <f t="shared" si="239"/>
        <v>-1760.3872442887498</v>
      </c>
      <c r="K110" s="2">
        <f t="shared" si="239"/>
        <v>-2053.7851183368743</v>
      </c>
      <c r="L110" s="2">
        <f t="shared" si="239"/>
        <v>-2347.1829923849991</v>
      </c>
      <c r="M110" s="2">
        <f t="shared" si="239"/>
        <v>-2640.5808664331244</v>
      </c>
      <c r="N110" s="2">
        <f t="shared" si="239"/>
        <v>-2933.9787404812491</v>
      </c>
      <c r="O110" s="2">
        <f t="shared" si="239"/>
        <v>-3227.3766145293739</v>
      </c>
      <c r="P110" s="2">
        <f t="shared" si="239"/>
        <v>-3381.5082976959889</v>
      </c>
      <c r="Q110" s="10">
        <f t="shared" si="235"/>
        <v>-22745.767984872233</v>
      </c>
      <c r="R110" s="2">
        <f t="shared" ref="R110:AL110" si="240">R101*0.21</f>
        <v>-3901.0436058762193</v>
      </c>
      <c r="S110" s="2">
        <f t="shared" si="240"/>
        <v>-4418.1667305076126</v>
      </c>
      <c r="T110" s="2">
        <f t="shared" si="240"/>
        <v>-4933.7045773682294</v>
      </c>
      <c r="U110" s="2">
        <f t="shared" si="240"/>
        <v>-5448.536958486382</v>
      </c>
      <c r="V110" s="2">
        <f t="shared" si="240"/>
        <v>-5907.4796814349238</v>
      </c>
      <c r="W110" s="2">
        <f t="shared" si="240"/>
        <v>-6265.1487576091622</v>
      </c>
      <c r="X110" s="2">
        <f t="shared" si="240"/>
        <v>-6577.0882626314224</v>
      </c>
      <c r="Y110" s="2">
        <f t="shared" si="240"/>
        <v>-6888.8952700132022</v>
      </c>
      <c r="Z110" s="2">
        <f t="shared" si="240"/>
        <v>-7202.1279875077298</v>
      </c>
      <c r="AA110" s="2">
        <f t="shared" si="240"/>
        <v>-7508.5388490289351</v>
      </c>
      <c r="AB110" s="2">
        <f t="shared" si="240"/>
        <v>-7806.7021444640668</v>
      </c>
      <c r="AC110" s="2">
        <f t="shared" si="240"/>
        <v>-8104.8654398991976</v>
      </c>
      <c r="AD110" s="2">
        <f t="shared" si="240"/>
        <v>-8577.6218720085399</v>
      </c>
      <c r="AE110" s="2">
        <f t="shared" si="240"/>
        <v>-9050.3783041178831</v>
      </c>
      <c r="AF110" s="2">
        <f t="shared" si="240"/>
        <v>-9523.1347362272263</v>
      </c>
      <c r="AG110" s="2">
        <f t="shared" si="240"/>
        <v>-9995.8911683365677</v>
      </c>
      <c r="AH110" s="2">
        <f t="shared" si="240"/>
        <v>-10468.647600445909</v>
      </c>
      <c r="AI110" s="2">
        <f t="shared" si="240"/>
        <v>-10941.404032555252</v>
      </c>
      <c r="AJ110" s="2">
        <f t="shared" si="240"/>
        <v>-11414.160464664594</v>
      </c>
      <c r="AK110" s="2">
        <f t="shared" si="240"/>
        <v>-11886.916896773935</v>
      </c>
      <c r="AL110" s="2">
        <f t="shared" si="240"/>
        <v>-12359.673328883277</v>
      </c>
    </row>
    <row r="111" spans="1:38">
      <c r="C111" t="s">
        <v>137</v>
      </c>
      <c r="E111" s="2">
        <f t="shared" ref="E111:P111" si="241">E102*0.21</f>
        <v>-1081.1507650961937</v>
      </c>
      <c r="F111" s="2">
        <f t="shared" si="241"/>
        <v>-2162.3015301923874</v>
      </c>
      <c r="G111" s="2">
        <f t="shared" si="241"/>
        <v>-3243.4522952885814</v>
      </c>
      <c r="H111" s="2">
        <f t="shared" si="241"/>
        <v>-4324.6030603847748</v>
      </c>
      <c r="I111" s="2">
        <f t="shared" si="241"/>
        <v>-5405.7538254809688</v>
      </c>
      <c r="J111" s="2">
        <f t="shared" si="241"/>
        <v>-6486.9045905771627</v>
      </c>
      <c r="K111" s="2">
        <f t="shared" si="241"/>
        <v>-7558.9712148186018</v>
      </c>
      <c r="L111" s="2">
        <f t="shared" si="241"/>
        <v>-8577.8380254419772</v>
      </c>
      <c r="M111" s="2">
        <f t="shared" si="241"/>
        <v>-9540.465863626574</v>
      </c>
      <c r="N111" s="2">
        <f t="shared" si="241"/>
        <v>-10419.801729576675</v>
      </c>
      <c r="O111" s="2">
        <f t="shared" si="241"/>
        <v>-11223.672187532513</v>
      </c>
      <c r="P111" s="2">
        <f t="shared" si="241"/>
        <v>-12020.662793842152</v>
      </c>
      <c r="Q111" s="10">
        <f t="shared" si="235"/>
        <v>-82045.577881858568</v>
      </c>
      <c r="R111" s="2">
        <f t="shared" ref="R111:AL111" si="242">R102*0.21</f>
        <v>-16713.885248589064</v>
      </c>
      <c r="S111" s="2">
        <f t="shared" si="242"/>
        <v>-21347.559141492038</v>
      </c>
      <c r="T111" s="2">
        <f t="shared" si="242"/>
        <v>-25852.144449332442</v>
      </c>
      <c r="U111" s="2">
        <f t="shared" si="242"/>
        <v>-30195.474530905838</v>
      </c>
      <c r="V111" s="2">
        <f t="shared" si="242"/>
        <v>-34386.799979685966</v>
      </c>
      <c r="W111" s="2">
        <f t="shared" si="242"/>
        <v>-38421.787990161029</v>
      </c>
      <c r="X111" s="2">
        <f t="shared" si="242"/>
        <v>-42346.884655570073</v>
      </c>
      <c r="Y111" s="2">
        <f t="shared" si="242"/>
        <v>-46251.161978925295</v>
      </c>
      <c r="Z111" s="2">
        <f t="shared" si="242"/>
        <v>-50150.230295110094</v>
      </c>
      <c r="AA111" s="2">
        <f t="shared" si="242"/>
        <v>-54048.923429433984</v>
      </c>
      <c r="AB111" s="2">
        <f t="shared" si="242"/>
        <v>-57945.505527409805</v>
      </c>
      <c r="AC111" s="2">
        <f t="shared" si="242"/>
        <v>-61825.621495770341</v>
      </c>
      <c r="AD111" s="2">
        <f t="shared" si="242"/>
        <v>-67431.429147946241</v>
      </c>
      <c r="AE111" s="2">
        <f t="shared" si="242"/>
        <v>-73036.379409140558</v>
      </c>
      <c r="AF111" s="2">
        <f t="shared" si="242"/>
        <v>-78639.165182167548</v>
      </c>
      <c r="AG111" s="2">
        <f t="shared" si="242"/>
        <v>-84238.729736168942</v>
      </c>
      <c r="AH111" s="2">
        <f t="shared" si="242"/>
        <v>-89836.240794888567</v>
      </c>
      <c r="AI111" s="2">
        <f t="shared" si="242"/>
        <v>-95432.901467313874</v>
      </c>
      <c r="AJ111" s="2">
        <f t="shared" si="242"/>
        <v>-101029.16268809568</v>
      </c>
      <c r="AK111" s="2">
        <f t="shared" si="242"/>
        <v>-106625.23127604257</v>
      </c>
      <c r="AL111" s="2">
        <f t="shared" si="242"/>
        <v>-112221.203547572</v>
      </c>
    </row>
    <row r="112" spans="1:38">
      <c r="C112" t="s">
        <v>146</v>
      </c>
      <c r="E112" s="2">
        <f t="shared" ref="E112:P112" si="243">E103*0.21</f>
        <v>-19.89357933307501</v>
      </c>
      <c r="F112" s="2">
        <f t="shared" si="243"/>
        <v>68.750194713375038</v>
      </c>
      <c r="G112" s="2">
        <f t="shared" si="243"/>
        <v>175.82094540045003</v>
      </c>
      <c r="H112" s="2">
        <f t="shared" si="243"/>
        <v>288.6070101894</v>
      </c>
      <c r="I112" s="2">
        <f t="shared" si="243"/>
        <v>402.95983566719997</v>
      </c>
      <c r="J112" s="2">
        <f t="shared" si="243"/>
        <v>517.31266114499999</v>
      </c>
      <c r="K112" s="2">
        <f t="shared" si="243"/>
        <v>632.30240769202499</v>
      </c>
      <c r="L112" s="2">
        <f t="shared" si="243"/>
        <v>690.11574150014985</v>
      </c>
      <c r="M112" s="2">
        <f t="shared" si="243"/>
        <v>690.11574150014985</v>
      </c>
      <c r="N112" s="2">
        <f t="shared" si="243"/>
        <v>690.11574150014985</v>
      </c>
      <c r="O112" s="2">
        <f t="shared" si="243"/>
        <v>690.11574150014962</v>
      </c>
      <c r="P112" s="2">
        <f t="shared" si="243"/>
        <v>690.11574150014951</v>
      </c>
      <c r="Q112" s="10">
        <f t="shared" si="235"/>
        <v>5516.4381829751237</v>
      </c>
      <c r="R112" s="2">
        <f t="shared" ref="R112:AL112" si="244">R103*0.21</f>
        <v>-122.37401943097251</v>
      </c>
      <c r="S112" s="2">
        <f t="shared" si="244"/>
        <v>-934.8637803620943</v>
      </c>
      <c r="T112" s="2">
        <f t="shared" si="244"/>
        <v>-1592.5527589561409</v>
      </c>
      <c r="U112" s="2">
        <f t="shared" si="244"/>
        <v>-2209.8103515325893</v>
      </c>
      <c r="V112" s="2">
        <f t="shared" si="244"/>
        <v>-2705.2754954799939</v>
      </c>
      <c r="W112" s="2">
        <f t="shared" si="244"/>
        <v>-2810.9355300630455</v>
      </c>
      <c r="X112" s="2">
        <f t="shared" si="244"/>
        <v>-2904.0645898518414</v>
      </c>
      <c r="Y112" s="2">
        <f t="shared" si="244"/>
        <v>-2986.3615424557834</v>
      </c>
      <c r="Z112" s="2">
        <f t="shared" si="244"/>
        <v>-3059.9368050566586</v>
      </c>
      <c r="AA112" s="2">
        <f t="shared" si="244"/>
        <v>-3131.5832149858097</v>
      </c>
      <c r="AB112" s="2">
        <f t="shared" si="244"/>
        <v>-3200.0747206768106</v>
      </c>
      <c r="AC112" s="2">
        <f t="shared" si="244"/>
        <v>-3268.5662263678114</v>
      </c>
      <c r="AD112" s="2">
        <f t="shared" si="244"/>
        <v>-4333.7063743971894</v>
      </c>
      <c r="AE112" s="2">
        <f t="shared" si="244"/>
        <v>-5398.8465224265674</v>
      </c>
      <c r="AF112" s="2">
        <f t="shared" si="244"/>
        <v>-6305.5966142066954</v>
      </c>
      <c r="AG112" s="2">
        <f t="shared" si="244"/>
        <v>-7362.8797745940738</v>
      </c>
      <c r="AH112" s="2">
        <f t="shared" si="244"/>
        <v>-8099.1922623994533</v>
      </c>
      <c r="AI112" s="2">
        <f t="shared" si="244"/>
        <v>-8750.2965074803287</v>
      </c>
      <c r="AJ112" s="2">
        <f t="shared" si="244"/>
        <v>-9432.9388518514061</v>
      </c>
      <c r="AK112" s="2">
        <f t="shared" si="244"/>
        <v>-9952.4975658904823</v>
      </c>
      <c r="AL112" s="2">
        <f t="shared" si="244"/>
        <v>-10446.147659504759</v>
      </c>
    </row>
    <row r="113" spans="2:38">
      <c r="C113" t="s">
        <v>19</v>
      </c>
      <c r="E113" s="2">
        <f t="shared" ref="E113:P113" si="245">E104*0.21</f>
        <v>-78.424273680795224</v>
      </c>
      <c r="F113" s="2">
        <f t="shared" si="245"/>
        <v>235.81793526238462</v>
      </c>
      <c r="G113" s="2">
        <f t="shared" si="245"/>
        <v>616.72524364741446</v>
      </c>
      <c r="H113" s="2">
        <f t="shared" si="245"/>
        <v>1027.6122474458441</v>
      </c>
      <c r="I113" s="2">
        <f t="shared" si="245"/>
        <v>1453.4703217510482</v>
      </c>
      <c r="J113" s="2">
        <f t="shared" si="245"/>
        <v>1879.3283960562524</v>
      </c>
      <c r="K113" s="2">
        <f t="shared" si="245"/>
        <v>2307.490721790482</v>
      </c>
      <c r="L113" s="2">
        <f t="shared" si="245"/>
        <v>2564.6171164996613</v>
      </c>
      <c r="M113" s="2">
        <f t="shared" si="245"/>
        <v>2648.4033287547654</v>
      </c>
      <c r="N113" s="2">
        <f t="shared" si="245"/>
        <v>2732.1895410098691</v>
      </c>
      <c r="O113" s="2">
        <f t="shared" si="245"/>
        <v>2815.9757532649733</v>
      </c>
      <c r="P113" s="2">
        <f t="shared" si="245"/>
        <v>2899.761965520077</v>
      </c>
      <c r="Q113" s="10">
        <f t="shared" si="235"/>
        <v>21102.968297321979</v>
      </c>
      <c r="R113" s="2">
        <f t="shared" ref="R113:AL113" si="246">R104*0.21</f>
        <v>-5124.840057458372</v>
      </c>
      <c r="S113" s="2">
        <f t="shared" si="246"/>
        <v>-13149.44208043682</v>
      </c>
      <c r="T113" s="2">
        <f t="shared" si="246"/>
        <v>-21174.044103415272</v>
      </c>
      <c r="U113" s="2">
        <f t="shared" si="246"/>
        <v>-29198.64612639372</v>
      </c>
      <c r="V113" s="2">
        <f t="shared" si="246"/>
        <v>-37223.248149372164</v>
      </c>
      <c r="W113" s="2">
        <f t="shared" si="246"/>
        <v>-40707.400418909609</v>
      </c>
      <c r="X113" s="2">
        <f t="shared" si="246"/>
        <v>-39626.313230864063</v>
      </c>
      <c r="Y113" s="2">
        <f t="shared" si="246"/>
        <v>-38508.10610098052</v>
      </c>
      <c r="Z113" s="2">
        <f t="shared" si="246"/>
        <v>-37368.30388206397</v>
      </c>
      <c r="AA113" s="2">
        <f t="shared" si="246"/>
        <v>-36213.971033166417</v>
      </c>
      <c r="AB113" s="2">
        <f t="shared" si="246"/>
        <v>-35035.373769149875</v>
      </c>
      <c r="AC113" s="2">
        <f t="shared" si="246"/>
        <v>-33836.276012330338</v>
      </c>
      <c r="AD113" s="2">
        <f t="shared" si="246"/>
        <v>-62086.475805805661</v>
      </c>
      <c r="AE113" s="2">
        <f t="shared" si="246"/>
        <v>-90336.675599280992</v>
      </c>
      <c r="AF113" s="2">
        <f t="shared" si="246"/>
        <v>-107038.16790168908</v>
      </c>
      <c r="AG113" s="2">
        <f t="shared" si="246"/>
        <v>-111597.28488053268</v>
      </c>
      <c r="AH113" s="2">
        <f t="shared" si="246"/>
        <v>-115055.21065628351</v>
      </c>
      <c r="AI113" s="2">
        <f t="shared" si="246"/>
        <v>-117756.62398417533</v>
      </c>
      <c r="AJ113" s="2">
        <f t="shared" si="246"/>
        <v>-120129.93589864083</v>
      </c>
      <c r="AK113" s="2">
        <f t="shared" si="246"/>
        <v>-122345.02314078061</v>
      </c>
      <c r="AL113" s="2">
        <f t="shared" si="246"/>
        <v>-124480.99804675754</v>
      </c>
    </row>
    <row r="114" spans="2:38" ht="13.5" thickBot="1">
      <c r="B114" t="s">
        <v>2</v>
      </c>
      <c r="E114" s="5">
        <f t="shared" ref="E114:O114" si="247">SUM(E107:E113)</f>
        <v>-1931.4312998941889</v>
      </c>
      <c r="F114" s="5">
        <f t="shared" si="247"/>
        <v>-3361.6587637848775</v>
      </c>
      <c r="G114" s="5">
        <f t="shared" si="247"/>
        <v>-4706.7941515930916</v>
      </c>
      <c r="H114" s="5">
        <f t="shared" si="247"/>
        <v>-6016.23452988603</v>
      </c>
      <c r="I114" s="5">
        <f t="shared" si="247"/>
        <v>-7309.1370769833447</v>
      </c>
      <c r="J114" s="5">
        <f t="shared" si="247"/>
        <v>-8542.5569336558092</v>
      </c>
      <c r="K114" s="5">
        <f t="shared" si="247"/>
        <v>-9697.8105093117301</v>
      </c>
      <c r="L114" s="5">
        <f t="shared" si="247"/>
        <v>-11002.650843767266</v>
      </c>
      <c r="M114" s="5">
        <f t="shared" si="247"/>
        <v>-12433.033020983246</v>
      </c>
      <c r="N114" s="5">
        <f t="shared" si="247"/>
        <v>-13739.828497268318</v>
      </c>
      <c r="O114" s="5">
        <f t="shared" si="247"/>
        <v>-14959.49371834583</v>
      </c>
      <c r="P114" s="5">
        <f>SUM(P107:P113)</f>
        <v>-16025.466222681338</v>
      </c>
      <c r="Q114" s="11">
        <f>SUM(Q107:Q113)</f>
        <v>-109726.09556815508</v>
      </c>
      <c r="R114" s="5">
        <f>SUM(R107:R113)</f>
        <v>-32072.910708676911</v>
      </c>
      <c r="S114" s="5">
        <f t="shared" ref="S114:AL114" si="248">SUM(S107:S113)</f>
        <v>-48009.190976630554</v>
      </c>
      <c r="T114" s="5">
        <f t="shared" si="248"/>
        <v>-63622.936031009696</v>
      </c>
      <c r="U114" s="5">
        <f t="shared" si="248"/>
        <v>-78780.553751374522</v>
      </c>
      <c r="V114" s="5">
        <f t="shared" si="248"/>
        <v>-93292.219274278934</v>
      </c>
      <c r="W114" s="5">
        <f t="shared" si="248"/>
        <v>-102484.04057230054</v>
      </c>
      <c r="X114" s="5">
        <f t="shared" si="248"/>
        <v>-106917.69085164602</v>
      </c>
      <c r="Y114" s="5">
        <f t="shared" si="248"/>
        <v>-111295.46432167399</v>
      </c>
      <c r="Z114" s="5">
        <f t="shared" si="248"/>
        <v>-115641.2358891507</v>
      </c>
      <c r="AA114" s="5">
        <f t="shared" si="248"/>
        <v>-119960.64095446083</v>
      </c>
      <c r="AB114" s="5">
        <f t="shared" si="248"/>
        <v>-124241.84977706481</v>
      </c>
      <c r="AC114" s="5">
        <f t="shared" si="248"/>
        <v>-128493.13809058492</v>
      </c>
      <c r="AD114" s="5">
        <f t="shared" si="248"/>
        <v>-166360.02118041326</v>
      </c>
      <c r="AE114" s="5">
        <f t="shared" si="248"/>
        <v>-204224.70182221555</v>
      </c>
      <c r="AF114" s="5">
        <f t="shared" si="248"/>
        <v>-230378.41476703482</v>
      </c>
      <c r="AG114" s="5">
        <f t="shared" si="248"/>
        <v>-244536.68824995717</v>
      </c>
      <c r="AH114" s="5">
        <f t="shared" si="248"/>
        <v>-257270.73097846363</v>
      </c>
      <c r="AI114" s="5">
        <f t="shared" si="248"/>
        <v>-269162.20263009227</v>
      </c>
      <c r="AJ114" s="5">
        <f t="shared" si="248"/>
        <v>-280756.71151594131</v>
      </c>
      <c r="AK114" s="5">
        <f t="shared" si="248"/>
        <v>-292029.71946629777</v>
      </c>
      <c r="AL114" s="5">
        <f t="shared" si="248"/>
        <v>-303197.61014364904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AG40"/>
  <sheetViews>
    <sheetView topLeftCell="K1" workbookViewId="0">
      <selection activeCell="R17" sqref="R17"/>
    </sheetView>
  </sheetViews>
  <sheetFormatPr defaultColWidth="9.140625" defaultRowHeight="15" outlineLevelCol="1"/>
  <cols>
    <col min="1" max="1" width="5.140625" style="17" customWidth="1"/>
    <col min="2" max="2" width="37.28515625" style="17" customWidth="1"/>
    <col min="3" max="3" width="19.85546875" style="17" customWidth="1"/>
    <col min="4" max="4" width="7.85546875" style="17" customWidth="1"/>
    <col min="5" max="5" width="5.85546875" style="17" customWidth="1"/>
    <col min="6" max="6" width="8" style="17" customWidth="1"/>
    <col min="7" max="12" width="7.28515625" style="17" bestFit="1" customWidth="1"/>
    <col min="13" max="13" width="7.7109375" style="17" bestFit="1" customWidth="1"/>
    <col min="14" max="16" width="7.28515625" style="17" bestFit="1" customWidth="1"/>
    <col min="17" max="17" width="11.28515625" style="17" bestFit="1" customWidth="1"/>
    <col min="18" max="18" width="11.5703125" style="17" customWidth="1"/>
    <col min="19" max="19" width="4.5703125" style="17" customWidth="1"/>
    <col min="20" max="20" width="17.85546875" style="17" bestFit="1" customWidth="1"/>
    <col min="21" max="21" width="9" style="17" bestFit="1" customWidth="1" outlineLevel="1"/>
    <col min="22" max="23" width="8" style="17" bestFit="1" customWidth="1" outlineLevel="1"/>
    <col min="24" max="24" width="7.42578125" style="17" bestFit="1" customWidth="1" outlineLevel="1"/>
    <col min="25" max="25" width="7.42578125" style="17" customWidth="1" outlineLevel="1"/>
    <col min="26" max="26" width="9" style="17" bestFit="1" customWidth="1" outlineLevel="1"/>
    <col min="27" max="27" width="8" style="17" bestFit="1" customWidth="1" outlineLevel="1"/>
    <col min="28" max="30" width="9" style="17" bestFit="1" customWidth="1" outlineLevel="1"/>
    <col min="31" max="31" width="8" style="17" bestFit="1" customWidth="1" outlineLevel="1"/>
    <col min="32" max="32" width="9" style="17" bestFit="1" customWidth="1" outlineLevel="1"/>
    <col min="33" max="33" width="13.5703125" style="17" customWidth="1"/>
    <col min="34" max="16384" width="9.140625" style="17"/>
  </cols>
  <sheetData>
    <row r="1" spans="1:33">
      <c r="A1" s="16" t="s">
        <v>121</v>
      </c>
      <c r="F1" s="38" t="s">
        <v>113</v>
      </c>
      <c r="R1" s="32"/>
      <c r="S1" s="32"/>
      <c r="T1" s="38" t="s">
        <v>117</v>
      </c>
      <c r="U1" s="17">
        <v>1</v>
      </c>
      <c r="V1" s="17">
        <v>2</v>
      </c>
      <c r="W1" s="17">
        <v>3</v>
      </c>
      <c r="X1" s="17">
        <v>4</v>
      </c>
      <c r="Y1" s="17">
        <v>5</v>
      </c>
      <c r="Z1" s="17">
        <v>6</v>
      </c>
      <c r="AA1" s="17">
        <v>7</v>
      </c>
      <c r="AB1" s="17">
        <v>8</v>
      </c>
      <c r="AC1" s="17">
        <v>9</v>
      </c>
      <c r="AD1" s="17">
        <v>10</v>
      </c>
      <c r="AE1" s="17">
        <v>11</v>
      </c>
      <c r="AF1" s="17">
        <v>12</v>
      </c>
    </row>
    <row r="2" spans="1:33">
      <c r="F2" s="32" t="s">
        <v>43</v>
      </c>
      <c r="G2" s="32" t="s">
        <v>43</v>
      </c>
      <c r="H2" s="32" t="s">
        <v>43</v>
      </c>
      <c r="I2" s="32" t="s">
        <v>43</v>
      </c>
      <c r="J2" s="32" t="s">
        <v>43</v>
      </c>
      <c r="K2" s="32" t="s">
        <v>43</v>
      </c>
      <c r="L2" s="32" t="s">
        <v>43</v>
      </c>
      <c r="M2" s="32" t="s">
        <v>43</v>
      </c>
      <c r="N2" s="32" t="s">
        <v>43</v>
      </c>
      <c r="O2" s="32" t="s">
        <v>43</v>
      </c>
      <c r="P2" s="32" t="s">
        <v>43</v>
      </c>
      <c r="Q2" s="32" t="s">
        <v>43</v>
      </c>
      <c r="R2" s="32" t="s">
        <v>43</v>
      </c>
      <c r="S2" s="32"/>
      <c r="T2" s="32" t="s">
        <v>114</v>
      </c>
      <c r="U2" s="31" t="s">
        <v>43</v>
      </c>
      <c r="V2" s="31" t="s">
        <v>43</v>
      </c>
      <c r="W2" s="31" t="s">
        <v>43</v>
      </c>
      <c r="X2" s="31" t="s">
        <v>43</v>
      </c>
      <c r="Y2" s="31" t="s">
        <v>43</v>
      </c>
      <c r="Z2" s="31" t="s">
        <v>43</v>
      </c>
      <c r="AA2" s="31" t="s">
        <v>43</v>
      </c>
      <c r="AB2" s="31" t="s">
        <v>43</v>
      </c>
      <c r="AC2" s="31" t="s">
        <v>43</v>
      </c>
      <c r="AD2" s="31" t="s">
        <v>43</v>
      </c>
      <c r="AE2" s="31" t="s">
        <v>43</v>
      </c>
      <c r="AF2" s="31" t="s">
        <v>43</v>
      </c>
      <c r="AG2" s="35"/>
    </row>
    <row r="3" spans="1:33">
      <c r="A3" s="17" t="s">
        <v>26</v>
      </c>
      <c r="B3" s="42" t="s">
        <v>107</v>
      </c>
      <c r="C3" s="42" t="s">
        <v>106</v>
      </c>
      <c r="D3" s="42" t="s">
        <v>112</v>
      </c>
      <c r="E3" s="42" t="s">
        <v>108</v>
      </c>
      <c r="F3" s="32" t="s">
        <v>29</v>
      </c>
      <c r="G3" s="32" t="s">
        <v>30</v>
      </c>
      <c r="H3" s="32" t="s">
        <v>31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38</v>
      </c>
      <c r="P3" s="32" t="s">
        <v>39</v>
      </c>
      <c r="Q3" s="32" t="s">
        <v>40</v>
      </c>
      <c r="R3" s="37" t="s">
        <v>113</v>
      </c>
      <c r="S3" s="37"/>
      <c r="T3" s="36" t="s">
        <v>115</v>
      </c>
      <c r="U3" s="17" t="s">
        <v>29</v>
      </c>
      <c r="V3" s="17" t="s">
        <v>30</v>
      </c>
      <c r="W3" s="17" t="s">
        <v>31</v>
      </c>
      <c r="X3" s="17" t="s">
        <v>32</v>
      </c>
      <c r="Y3" s="17" t="s">
        <v>33</v>
      </c>
      <c r="Z3" s="17" t="s">
        <v>34</v>
      </c>
      <c r="AA3" s="17" t="s">
        <v>35</v>
      </c>
      <c r="AB3" s="17" t="s">
        <v>36</v>
      </c>
      <c r="AC3" s="17" t="s">
        <v>37</v>
      </c>
      <c r="AD3" s="17" t="s">
        <v>38</v>
      </c>
      <c r="AE3" s="17" t="s">
        <v>39</v>
      </c>
      <c r="AF3" s="17" t="s">
        <v>40</v>
      </c>
      <c r="AG3" s="40" t="s">
        <v>116</v>
      </c>
    </row>
    <row r="4" spans="1:33">
      <c r="A4" s="17">
        <v>7141</v>
      </c>
      <c r="B4" s="55" t="s">
        <v>129</v>
      </c>
      <c r="C4" s="56" t="s">
        <v>143</v>
      </c>
      <c r="D4" s="57" t="s">
        <v>132</v>
      </c>
      <c r="E4" s="57" t="s">
        <v>138</v>
      </c>
      <c r="F4" s="61">
        <v>0</v>
      </c>
      <c r="G4" s="62">
        <v>0</v>
      </c>
      <c r="H4" s="62">
        <v>0</v>
      </c>
      <c r="I4" s="62">
        <v>0</v>
      </c>
      <c r="J4" s="62">
        <v>0</v>
      </c>
      <c r="K4" s="62">
        <v>0</v>
      </c>
      <c r="L4" s="62">
        <v>0</v>
      </c>
      <c r="M4" s="62">
        <v>0</v>
      </c>
      <c r="N4" s="62">
        <v>73727.509999999995</v>
      </c>
      <c r="O4" s="62">
        <v>444234.48</v>
      </c>
      <c r="P4" s="62">
        <v>26820.2</v>
      </c>
      <c r="Q4" s="62">
        <v>16121.85</v>
      </c>
      <c r="R4" s="33">
        <f>+SUM(F4:Q4)</f>
        <v>560904.03999999992</v>
      </c>
      <c r="S4" s="33"/>
      <c r="T4" s="39">
        <v>0.48309143579999997</v>
      </c>
      <c r="U4" s="58">
        <f>+F4*$T4</f>
        <v>0</v>
      </c>
      <c r="V4" s="58">
        <f t="shared" ref="V4:AF4" si="0">+G4*$T4</f>
        <v>0</v>
      </c>
      <c r="W4" s="58">
        <f t="shared" si="0"/>
        <v>0</v>
      </c>
      <c r="X4" s="58">
        <f t="shared" si="0"/>
        <v>0</v>
      </c>
      <c r="Y4" s="58">
        <f t="shared" si="0"/>
        <v>0</v>
      </c>
      <c r="Z4" s="58">
        <f t="shared" si="0"/>
        <v>0</v>
      </c>
      <c r="AA4" s="58">
        <f t="shared" si="0"/>
        <v>0</v>
      </c>
      <c r="AB4" s="58">
        <f t="shared" si="0"/>
        <v>0</v>
      </c>
      <c r="AC4" s="58">
        <f t="shared" si="0"/>
        <v>35617.12866385885</v>
      </c>
      <c r="AD4" s="58">
        <f t="shared" si="0"/>
        <v>214605.87277506635</v>
      </c>
      <c r="AE4" s="58">
        <f t="shared" si="0"/>
        <v>12956.608926443159</v>
      </c>
      <c r="AF4" s="58">
        <f t="shared" si="0"/>
        <v>7788.3276642522296</v>
      </c>
      <c r="AG4" s="18">
        <f>SUM(U4:AF4)</f>
        <v>270967.93802962062</v>
      </c>
    </row>
    <row r="5" spans="1:33">
      <c r="A5" s="17">
        <v>7141</v>
      </c>
      <c r="B5" s="55" t="s">
        <v>129</v>
      </c>
      <c r="C5" s="56" t="s">
        <v>143</v>
      </c>
      <c r="D5" s="57" t="s">
        <v>111</v>
      </c>
      <c r="E5" s="57" t="s">
        <v>110</v>
      </c>
      <c r="F5" s="61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39591.279999999999</v>
      </c>
      <c r="M5" s="62">
        <v>1360.14</v>
      </c>
      <c r="N5" s="62">
        <v>1358.7799999999988</v>
      </c>
      <c r="O5" s="62">
        <v>0</v>
      </c>
      <c r="P5" s="62">
        <v>0</v>
      </c>
      <c r="Q5" s="62">
        <v>1.36</v>
      </c>
      <c r="R5" s="33">
        <f t="shared" ref="R5:R15" si="1">+SUM(F5:Q5)</f>
        <v>42311.56</v>
      </c>
      <c r="S5" s="33"/>
      <c r="T5" s="39">
        <v>0.69189000000000001</v>
      </c>
      <c r="U5" s="58">
        <f t="shared" ref="U5:U15" si="2">+F5*$T5</f>
        <v>0</v>
      </c>
      <c r="V5" s="58">
        <f t="shared" ref="V5:V15" si="3">+G5*$T5</f>
        <v>0</v>
      </c>
      <c r="W5" s="58">
        <f t="shared" ref="W5:W15" si="4">+H5*$T5</f>
        <v>0</v>
      </c>
      <c r="X5" s="58">
        <f t="shared" ref="X5:X15" si="5">+I5*$T5</f>
        <v>0</v>
      </c>
      <c r="Y5" s="58">
        <f t="shared" ref="Y5:Y15" si="6">+J5*$T5</f>
        <v>0</v>
      </c>
      <c r="Z5" s="58">
        <f t="shared" ref="Z5:Z15" si="7">+K5*$T5</f>
        <v>0</v>
      </c>
      <c r="AA5" s="58">
        <f t="shared" ref="AA5:AA15" si="8">+L5*$T5</f>
        <v>27392.810719199999</v>
      </c>
      <c r="AB5" s="58">
        <f t="shared" ref="AB5:AB15" si="9">+M5*$T5</f>
        <v>941.06726460000004</v>
      </c>
      <c r="AC5" s="58">
        <f t="shared" ref="AC5:AC15" si="10">+N5*$T5</f>
        <v>940.12629419999917</v>
      </c>
      <c r="AD5" s="58">
        <f t="shared" ref="AD5:AD15" si="11">+O5*$T5</f>
        <v>0</v>
      </c>
      <c r="AE5" s="58">
        <f t="shared" ref="AE5:AE15" si="12">+P5*$T5</f>
        <v>0</v>
      </c>
      <c r="AF5" s="58">
        <f t="shared" ref="AF5:AF15" si="13">+Q5*$T5</f>
        <v>0.9409704000000001</v>
      </c>
      <c r="AG5" s="18">
        <f t="shared" ref="AG5:AG15" si="14">SUM(U5:AF5)</f>
        <v>29274.945248399996</v>
      </c>
    </row>
    <row r="6" spans="1:33">
      <c r="A6" s="17">
        <v>7141</v>
      </c>
      <c r="B6" s="55" t="s">
        <v>129</v>
      </c>
      <c r="C6" s="56" t="s">
        <v>131</v>
      </c>
      <c r="D6" s="57" t="s">
        <v>111</v>
      </c>
      <c r="E6" s="57" t="s">
        <v>110</v>
      </c>
      <c r="F6" s="61">
        <v>0</v>
      </c>
      <c r="G6" s="62">
        <v>0</v>
      </c>
      <c r="H6" s="62">
        <v>0</v>
      </c>
      <c r="I6" s="62">
        <v>0</v>
      </c>
      <c r="J6" s="62">
        <v>0</v>
      </c>
      <c r="K6" s="62">
        <v>50488.76</v>
      </c>
      <c r="L6" s="62">
        <v>49322.07</v>
      </c>
      <c r="M6" s="62">
        <v>1471.7199999999998</v>
      </c>
      <c r="N6" s="62">
        <v>104.91999999999825</v>
      </c>
      <c r="O6" s="62">
        <v>57904.62</v>
      </c>
      <c r="P6" s="62">
        <v>13718.720000000001</v>
      </c>
      <c r="Q6" s="62">
        <v>38722.380000000005</v>
      </c>
      <c r="R6" s="33">
        <f t="shared" si="1"/>
        <v>211733.19</v>
      </c>
      <c r="S6" s="33"/>
      <c r="T6" s="39">
        <v>0.65639999999999998</v>
      </c>
      <c r="U6" s="58">
        <f t="shared" si="2"/>
        <v>0</v>
      </c>
      <c r="V6" s="58">
        <f t="shared" si="3"/>
        <v>0</v>
      </c>
      <c r="W6" s="58">
        <f t="shared" si="4"/>
        <v>0</v>
      </c>
      <c r="X6" s="58">
        <f t="shared" si="5"/>
        <v>0</v>
      </c>
      <c r="Y6" s="58">
        <f t="shared" si="6"/>
        <v>0</v>
      </c>
      <c r="Z6" s="58">
        <f t="shared" si="7"/>
        <v>33140.822064</v>
      </c>
      <c r="AA6" s="58">
        <f t="shared" si="8"/>
        <v>32375.006748</v>
      </c>
      <c r="AB6" s="58">
        <f t="shared" si="9"/>
        <v>966.0370079999999</v>
      </c>
      <c r="AC6" s="58">
        <f t="shared" si="10"/>
        <v>68.869487999998853</v>
      </c>
      <c r="AD6" s="58">
        <f t="shared" si="11"/>
        <v>38008.592568</v>
      </c>
      <c r="AE6" s="58">
        <f t="shared" si="12"/>
        <v>9004.9678080000012</v>
      </c>
      <c r="AF6" s="58">
        <f t="shared" si="13"/>
        <v>25417.370232000001</v>
      </c>
      <c r="AG6" s="18">
        <f t="shared" si="14"/>
        <v>138981.665916</v>
      </c>
    </row>
    <row r="7" spans="1:33" ht="14.25" customHeight="1">
      <c r="A7" s="17">
        <v>7141</v>
      </c>
      <c r="B7" s="55" t="s">
        <v>128</v>
      </c>
      <c r="C7" s="56" t="s">
        <v>143</v>
      </c>
      <c r="D7" s="57" t="s">
        <v>111</v>
      </c>
      <c r="E7" s="57" t="s">
        <v>110</v>
      </c>
      <c r="F7" s="61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190908.56</v>
      </c>
      <c r="N7" s="62">
        <v>0</v>
      </c>
      <c r="O7" s="62">
        <v>0</v>
      </c>
      <c r="P7" s="62">
        <v>0</v>
      </c>
      <c r="Q7" s="62">
        <v>0</v>
      </c>
      <c r="R7" s="33">
        <f t="shared" si="1"/>
        <v>190908.56</v>
      </c>
      <c r="S7" s="33"/>
      <c r="T7" s="39">
        <v>0.69189000000000001</v>
      </c>
      <c r="U7" s="58">
        <f t="shared" si="2"/>
        <v>0</v>
      </c>
      <c r="V7" s="58">
        <f t="shared" si="3"/>
        <v>0</v>
      </c>
      <c r="W7" s="58">
        <f t="shared" si="4"/>
        <v>0</v>
      </c>
      <c r="X7" s="58">
        <f t="shared" si="5"/>
        <v>0</v>
      </c>
      <c r="Y7" s="58">
        <f t="shared" si="6"/>
        <v>0</v>
      </c>
      <c r="Z7" s="58">
        <f t="shared" si="7"/>
        <v>0</v>
      </c>
      <c r="AA7" s="58">
        <f t="shared" si="8"/>
        <v>0</v>
      </c>
      <c r="AB7" s="58">
        <f t="shared" si="9"/>
        <v>132087.72357840001</v>
      </c>
      <c r="AC7" s="58">
        <f t="shared" si="10"/>
        <v>0</v>
      </c>
      <c r="AD7" s="58">
        <f t="shared" si="11"/>
        <v>0</v>
      </c>
      <c r="AE7" s="58">
        <f t="shared" si="12"/>
        <v>0</v>
      </c>
      <c r="AF7" s="58">
        <f t="shared" si="13"/>
        <v>0</v>
      </c>
      <c r="AG7" s="18">
        <f t="shared" si="14"/>
        <v>132087.72357840001</v>
      </c>
    </row>
    <row r="8" spans="1:33" ht="14.25" customHeight="1">
      <c r="A8" s="17">
        <v>7141</v>
      </c>
      <c r="B8" s="55" t="s">
        <v>128</v>
      </c>
      <c r="C8" s="56" t="s">
        <v>120</v>
      </c>
      <c r="D8" s="57" t="s">
        <v>132</v>
      </c>
      <c r="E8" s="57" t="s">
        <v>138</v>
      </c>
      <c r="F8" s="61">
        <v>0</v>
      </c>
      <c r="G8" s="62">
        <v>0</v>
      </c>
      <c r="H8" s="62">
        <v>0</v>
      </c>
      <c r="I8" s="62">
        <v>11003.93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33">
        <f t="shared" si="1"/>
        <v>11003.93</v>
      </c>
      <c r="S8" s="33"/>
      <c r="T8" s="39">
        <v>0.48309143579999997</v>
      </c>
      <c r="U8" s="58">
        <f t="shared" si="2"/>
        <v>0</v>
      </c>
      <c r="V8" s="58">
        <f t="shared" si="3"/>
        <v>0</v>
      </c>
      <c r="W8" s="58">
        <f t="shared" si="4"/>
        <v>0</v>
      </c>
      <c r="X8" s="58">
        <f t="shared" si="5"/>
        <v>5315.9043431426935</v>
      </c>
      <c r="Y8" s="58">
        <f t="shared" si="6"/>
        <v>0</v>
      </c>
      <c r="Z8" s="58">
        <f t="shared" si="7"/>
        <v>0</v>
      </c>
      <c r="AA8" s="58">
        <f t="shared" si="8"/>
        <v>0</v>
      </c>
      <c r="AB8" s="58">
        <f t="shared" si="9"/>
        <v>0</v>
      </c>
      <c r="AC8" s="58">
        <f t="shared" si="10"/>
        <v>0</v>
      </c>
      <c r="AD8" s="58">
        <f t="shared" si="11"/>
        <v>0</v>
      </c>
      <c r="AE8" s="58">
        <f t="shared" si="12"/>
        <v>0</v>
      </c>
      <c r="AF8" s="58">
        <f t="shared" si="13"/>
        <v>0</v>
      </c>
      <c r="AG8" s="18">
        <f t="shared" si="14"/>
        <v>5315.9043431426935</v>
      </c>
    </row>
    <row r="9" spans="1:33" ht="14.25" customHeight="1">
      <c r="A9" s="17">
        <v>7141</v>
      </c>
      <c r="B9" s="55" t="s">
        <v>128</v>
      </c>
      <c r="C9" s="56" t="s">
        <v>120</v>
      </c>
      <c r="D9" s="57" t="s">
        <v>111</v>
      </c>
      <c r="E9" s="57" t="s">
        <v>110</v>
      </c>
      <c r="F9" s="61">
        <v>281638.5</v>
      </c>
      <c r="G9" s="62">
        <v>42662.83</v>
      </c>
      <c r="H9" s="62">
        <v>12395.55</v>
      </c>
      <c r="I9" s="62">
        <v>4681.37</v>
      </c>
      <c r="J9" s="62">
        <v>0</v>
      </c>
      <c r="K9" s="62">
        <v>0</v>
      </c>
      <c r="L9" s="62">
        <v>1903.07</v>
      </c>
      <c r="M9" s="62">
        <v>-143160.81</v>
      </c>
      <c r="N9" s="62">
        <v>0</v>
      </c>
      <c r="O9" s="62">
        <v>0</v>
      </c>
      <c r="P9" s="62">
        <v>0</v>
      </c>
      <c r="Q9" s="62">
        <v>0</v>
      </c>
      <c r="R9" s="33">
        <f t="shared" si="1"/>
        <v>200120.51</v>
      </c>
      <c r="S9" s="33"/>
      <c r="T9" s="39">
        <v>0.69189000000000001</v>
      </c>
      <c r="U9" s="58">
        <f t="shared" si="2"/>
        <v>194862.86176500001</v>
      </c>
      <c r="V9" s="58">
        <f t="shared" si="3"/>
        <v>29517.985448700001</v>
      </c>
      <c r="W9" s="58">
        <f t="shared" si="4"/>
        <v>8576.3570894999993</v>
      </c>
      <c r="X9" s="58">
        <f t="shared" si="5"/>
        <v>3238.9930893000001</v>
      </c>
      <c r="Y9" s="58">
        <f t="shared" si="6"/>
        <v>0</v>
      </c>
      <c r="Z9" s="58">
        <f t="shared" si="7"/>
        <v>0</v>
      </c>
      <c r="AA9" s="58">
        <f t="shared" si="8"/>
        <v>1316.7151022999999</v>
      </c>
      <c r="AB9" s="58">
        <f t="shared" si="9"/>
        <v>-99051.532830900003</v>
      </c>
      <c r="AC9" s="58">
        <f t="shared" si="10"/>
        <v>0</v>
      </c>
      <c r="AD9" s="58">
        <f t="shared" si="11"/>
        <v>0</v>
      </c>
      <c r="AE9" s="58">
        <f t="shared" si="12"/>
        <v>0</v>
      </c>
      <c r="AF9" s="58">
        <f t="shared" si="13"/>
        <v>0</v>
      </c>
      <c r="AG9" s="18">
        <f t="shared" si="14"/>
        <v>138461.37966390001</v>
      </c>
    </row>
    <row r="10" spans="1:33">
      <c r="A10" s="17">
        <v>7141</v>
      </c>
      <c r="B10" s="55" t="s">
        <v>128</v>
      </c>
      <c r="C10" s="56" t="s">
        <v>145</v>
      </c>
      <c r="D10" s="57" t="s">
        <v>111</v>
      </c>
      <c r="E10" s="57" t="s">
        <v>110</v>
      </c>
      <c r="F10" s="61">
        <v>77847.990000000005</v>
      </c>
      <c r="G10" s="62">
        <v>11792.48</v>
      </c>
      <c r="H10" s="62">
        <v>3426.27</v>
      </c>
      <c r="I10" s="62">
        <v>1293.98</v>
      </c>
      <c r="J10" s="62">
        <v>0</v>
      </c>
      <c r="K10" s="62">
        <v>0</v>
      </c>
      <c r="L10" s="62">
        <v>526.03</v>
      </c>
      <c r="M10" s="62">
        <v>-47747.75</v>
      </c>
      <c r="N10" s="62">
        <v>0</v>
      </c>
      <c r="O10" s="62">
        <v>0</v>
      </c>
      <c r="P10" s="62">
        <v>0</v>
      </c>
      <c r="Q10" s="62">
        <v>0</v>
      </c>
      <c r="R10" s="33">
        <f t="shared" si="1"/>
        <v>47139</v>
      </c>
      <c r="S10" s="33"/>
      <c r="T10" s="39">
        <v>0.69189000000000001</v>
      </c>
      <c r="U10" s="58">
        <f t="shared" si="2"/>
        <v>53862.245801100005</v>
      </c>
      <c r="V10" s="58">
        <f t="shared" si="3"/>
        <v>8159.0989872</v>
      </c>
      <c r="W10" s="58">
        <f t="shared" si="4"/>
        <v>2370.6019503000002</v>
      </c>
      <c r="X10" s="58">
        <f t="shared" si="5"/>
        <v>895.29182220000007</v>
      </c>
      <c r="Y10" s="58">
        <f t="shared" si="6"/>
        <v>0</v>
      </c>
      <c r="Z10" s="58">
        <f t="shared" si="7"/>
        <v>0</v>
      </c>
      <c r="AA10" s="58">
        <f t="shared" si="8"/>
        <v>363.95489670000001</v>
      </c>
      <c r="AB10" s="58">
        <f t="shared" si="9"/>
        <v>-33036.190747499997</v>
      </c>
      <c r="AC10" s="58">
        <f t="shared" si="10"/>
        <v>0</v>
      </c>
      <c r="AD10" s="58">
        <f t="shared" si="11"/>
        <v>0</v>
      </c>
      <c r="AE10" s="58">
        <f t="shared" si="12"/>
        <v>0</v>
      </c>
      <c r="AF10" s="58">
        <f t="shared" si="13"/>
        <v>0</v>
      </c>
      <c r="AG10" s="18">
        <f t="shared" si="14"/>
        <v>32615.002710000008</v>
      </c>
    </row>
    <row r="11" spans="1:33">
      <c r="A11" s="17">
        <v>7141</v>
      </c>
      <c r="B11" s="55" t="s">
        <v>126</v>
      </c>
      <c r="C11" s="56" t="s">
        <v>131</v>
      </c>
      <c r="D11" s="57" t="s">
        <v>111</v>
      </c>
      <c r="E11" s="57" t="s">
        <v>110</v>
      </c>
      <c r="F11" s="61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240132.2</v>
      </c>
      <c r="O11" s="62">
        <v>-36989.279999999999</v>
      </c>
      <c r="P11" s="62">
        <v>645.70000000000005</v>
      </c>
      <c r="Q11" s="62">
        <v>0</v>
      </c>
      <c r="R11" s="33">
        <f t="shared" si="1"/>
        <v>203788.62000000002</v>
      </c>
      <c r="S11" s="33"/>
      <c r="T11" s="39">
        <v>0.65639999999999998</v>
      </c>
      <c r="U11" s="58">
        <f t="shared" si="2"/>
        <v>0</v>
      </c>
      <c r="V11" s="58">
        <f t="shared" si="3"/>
        <v>0</v>
      </c>
      <c r="W11" s="58">
        <f t="shared" si="4"/>
        <v>0</v>
      </c>
      <c r="X11" s="58">
        <f t="shared" si="5"/>
        <v>0</v>
      </c>
      <c r="Y11" s="58">
        <f t="shared" si="6"/>
        <v>0</v>
      </c>
      <c r="Z11" s="58">
        <f t="shared" si="7"/>
        <v>0</v>
      </c>
      <c r="AA11" s="58">
        <f t="shared" si="8"/>
        <v>0</v>
      </c>
      <c r="AB11" s="58">
        <f t="shared" si="9"/>
        <v>0</v>
      </c>
      <c r="AC11" s="58">
        <f t="shared" si="10"/>
        <v>157622.77608000001</v>
      </c>
      <c r="AD11" s="58">
        <f t="shared" si="11"/>
        <v>-24279.763391999997</v>
      </c>
      <c r="AE11" s="58">
        <f t="shared" si="12"/>
        <v>423.83748000000003</v>
      </c>
      <c r="AF11" s="58">
        <f t="shared" si="13"/>
        <v>0</v>
      </c>
      <c r="AG11" s="18">
        <f t="shared" si="14"/>
        <v>133766.850168</v>
      </c>
    </row>
    <row r="12" spans="1:33">
      <c r="A12" s="17">
        <v>7141</v>
      </c>
      <c r="B12" s="55" t="s">
        <v>127</v>
      </c>
      <c r="C12" s="56" t="s">
        <v>131</v>
      </c>
      <c r="D12" s="57" t="s">
        <v>111</v>
      </c>
      <c r="E12" s="57" t="s">
        <v>110</v>
      </c>
      <c r="F12" s="61">
        <v>0</v>
      </c>
      <c r="G12" s="62">
        <v>0</v>
      </c>
      <c r="H12" s="62">
        <v>0</v>
      </c>
      <c r="I12" s="62">
        <v>0</v>
      </c>
      <c r="J12" s="62">
        <v>0</v>
      </c>
      <c r="K12" s="62">
        <v>420262.29</v>
      </c>
      <c r="L12" s="62">
        <v>3372.1</v>
      </c>
      <c r="M12" s="62">
        <v>4168.8900000000003</v>
      </c>
      <c r="N12" s="62">
        <v>1975.08</v>
      </c>
      <c r="O12" s="62">
        <v>52.65</v>
      </c>
      <c r="P12" s="62">
        <v>0</v>
      </c>
      <c r="Q12" s="62">
        <v>0</v>
      </c>
      <c r="R12" s="33">
        <f t="shared" si="1"/>
        <v>429831.01</v>
      </c>
      <c r="S12" s="33"/>
      <c r="T12" s="39">
        <v>0.65639999999999998</v>
      </c>
      <c r="U12" s="58">
        <f t="shared" si="2"/>
        <v>0</v>
      </c>
      <c r="V12" s="58">
        <f t="shared" si="3"/>
        <v>0</v>
      </c>
      <c r="W12" s="58">
        <f t="shared" si="4"/>
        <v>0</v>
      </c>
      <c r="X12" s="58">
        <f t="shared" si="5"/>
        <v>0</v>
      </c>
      <c r="Y12" s="58">
        <f t="shared" si="6"/>
        <v>0</v>
      </c>
      <c r="Z12" s="58">
        <f t="shared" si="7"/>
        <v>275860.16715599998</v>
      </c>
      <c r="AA12" s="58">
        <f t="shared" si="8"/>
        <v>2213.4464399999997</v>
      </c>
      <c r="AB12" s="58">
        <f t="shared" si="9"/>
        <v>2736.4593960000002</v>
      </c>
      <c r="AC12" s="58">
        <f t="shared" si="10"/>
        <v>1296.4425119999999</v>
      </c>
      <c r="AD12" s="58">
        <f t="shared" si="11"/>
        <v>34.559460000000001</v>
      </c>
      <c r="AE12" s="58">
        <f t="shared" si="12"/>
        <v>0</v>
      </c>
      <c r="AF12" s="58">
        <f t="shared" si="13"/>
        <v>0</v>
      </c>
      <c r="AG12" s="18">
        <f t="shared" si="14"/>
        <v>282141.07496400003</v>
      </c>
    </row>
    <row r="13" spans="1:33">
      <c r="A13" s="17">
        <v>7141</v>
      </c>
      <c r="B13" s="55" t="s">
        <v>127</v>
      </c>
      <c r="C13" s="56" t="s">
        <v>144</v>
      </c>
      <c r="D13" s="57" t="s">
        <v>111</v>
      </c>
      <c r="E13" s="57" t="s">
        <v>110</v>
      </c>
      <c r="F13" s="61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681112.85</v>
      </c>
      <c r="R13" s="33">
        <f t="shared" si="1"/>
        <v>681112.85</v>
      </c>
      <c r="S13" s="33"/>
      <c r="T13" s="39">
        <v>0.65639999999999998</v>
      </c>
      <c r="U13" s="58">
        <f t="shared" si="2"/>
        <v>0</v>
      </c>
      <c r="V13" s="58">
        <f t="shared" si="3"/>
        <v>0</v>
      </c>
      <c r="W13" s="58">
        <f t="shared" si="4"/>
        <v>0</v>
      </c>
      <c r="X13" s="58">
        <f t="shared" si="5"/>
        <v>0</v>
      </c>
      <c r="Y13" s="58">
        <f t="shared" si="6"/>
        <v>0</v>
      </c>
      <c r="Z13" s="58">
        <f t="shared" si="7"/>
        <v>0</v>
      </c>
      <c r="AA13" s="58">
        <f t="shared" si="8"/>
        <v>0</v>
      </c>
      <c r="AB13" s="58">
        <f t="shared" si="9"/>
        <v>0</v>
      </c>
      <c r="AC13" s="58">
        <f t="shared" si="10"/>
        <v>0</v>
      </c>
      <c r="AD13" s="58">
        <f t="shared" si="11"/>
        <v>0</v>
      </c>
      <c r="AE13" s="58">
        <f t="shared" si="12"/>
        <v>0</v>
      </c>
      <c r="AF13" s="58">
        <f t="shared" si="13"/>
        <v>447082.47473999998</v>
      </c>
      <c r="AG13" s="18">
        <f t="shared" si="14"/>
        <v>447082.47473999998</v>
      </c>
    </row>
    <row r="14" spans="1:33">
      <c r="A14" s="17">
        <v>7141</v>
      </c>
      <c r="B14" s="55" t="s">
        <v>123</v>
      </c>
      <c r="C14" s="56" t="s">
        <v>42</v>
      </c>
      <c r="D14" s="57" t="s">
        <v>111</v>
      </c>
      <c r="E14" s="57" t="s">
        <v>109</v>
      </c>
      <c r="F14" s="61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33962.11</v>
      </c>
      <c r="P14" s="62">
        <v>51.9</v>
      </c>
      <c r="Q14" s="62">
        <v>270.23</v>
      </c>
      <c r="R14" s="33">
        <f t="shared" si="1"/>
        <v>34284.240000000005</v>
      </c>
      <c r="S14" s="33"/>
      <c r="T14" s="39">
        <v>0</v>
      </c>
      <c r="U14" s="58">
        <f t="shared" ref="U14" si="15">+F14*$T14</f>
        <v>0</v>
      </c>
      <c r="V14" s="58">
        <f t="shared" ref="V14" si="16">+G14*$T14</f>
        <v>0</v>
      </c>
      <c r="W14" s="58">
        <f t="shared" ref="W14" si="17">+H14*$T14</f>
        <v>0</v>
      </c>
      <c r="X14" s="58">
        <f t="shared" ref="X14" si="18">+I14*$T14</f>
        <v>0</v>
      </c>
      <c r="Y14" s="58">
        <f t="shared" ref="Y14" si="19">+J14*$T14</f>
        <v>0</v>
      </c>
      <c r="Z14" s="58">
        <f t="shared" ref="Z14" si="20">+K14*$T14</f>
        <v>0</v>
      </c>
      <c r="AA14" s="58">
        <f t="shared" ref="AA14" si="21">+L14*$T14</f>
        <v>0</v>
      </c>
      <c r="AB14" s="58">
        <f t="shared" ref="AB14" si="22">+M14*$T14</f>
        <v>0</v>
      </c>
      <c r="AC14" s="58">
        <f t="shared" ref="AC14" si="23">+N14*$T14</f>
        <v>0</v>
      </c>
      <c r="AD14" s="58">
        <f t="shared" ref="AD14" si="24">+O14*$T14</f>
        <v>0</v>
      </c>
      <c r="AE14" s="58">
        <f t="shared" ref="AE14" si="25">+P14*$T14</f>
        <v>0</v>
      </c>
      <c r="AF14" s="58">
        <f t="shared" ref="AF14" si="26">+Q14*$T14</f>
        <v>0</v>
      </c>
      <c r="AG14" s="18">
        <f t="shared" ref="AG14" si="27">SUM(U14:AF14)</f>
        <v>0</v>
      </c>
    </row>
    <row r="15" spans="1:33">
      <c r="A15" s="17">
        <v>7141</v>
      </c>
      <c r="B15" s="55" t="s">
        <v>124</v>
      </c>
      <c r="C15" s="56" t="s">
        <v>41</v>
      </c>
      <c r="D15" s="57" t="s">
        <v>111</v>
      </c>
      <c r="E15" s="57" t="s">
        <v>110</v>
      </c>
      <c r="F15" s="61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152597.69</v>
      </c>
      <c r="N15" s="62">
        <v>0</v>
      </c>
      <c r="O15" s="62">
        <v>59502.21</v>
      </c>
      <c r="P15" s="62">
        <v>1354.68</v>
      </c>
      <c r="Q15" s="62">
        <v>5734.68</v>
      </c>
      <c r="R15" s="33">
        <f t="shared" si="1"/>
        <v>219189.25999999998</v>
      </c>
      <c r="S15" s="33"/>
      <c r="T15" s="39">
        <v>0.65639999999999998</v>
      </c>
      <c r="U15" s="58">
        <f t="shared" si="2"/>
        <v>0</v>
      </c>
      <c r="V15" s="58">
        <f t="shared" si="3"/>
        <v>0</v>
      </c>
      <c r="W15" s="58">
        <f t="shared" si="4"/>
        <v>0</v>
      </c>
      <c r="X15" s="58">
        <f t="shared" si="5"/>
        <v>0</v>
      </c>
      <c r="Y15" s="58">
        <f t="shared" si="6"/>
        <v>0</v>
      </c>
      <c r="Z15" s="58">
        <f t="shared" si="7"/>
        <v>0</v>
      </c>
      <c r="AA15" s="58">
        <f t="shared" si="8"/>
        <v>0</v>
      </c>
      <c r="AB15" s="58">
        <f t="shared" si="9"/>
        <v>100165.123716</v>
      </c>
      <c r="AC15" s="58">
        <f t="shared" si="10"/>
        <v>0</v>
      </c>
      <c r="AD15" s="58">
        <f t="shared" si="11"/>
        <v>39057.250644</v>
      </c>
      <c r="AE15" s="58">
        <f t="shared" si="12"/>
        <v>889.211952</v>
      </c>
      <c r="AF15" s="58">
        <f t="shared" si="13"/>
        <v>3764.2439520000003</v>
      </c>
      <c r="AG15" s="18">
        <f t="shared" si="14"/>
        <v>143875.83026400002</v>
      </c>
    </row>
    <row r="16" spans="1:33" ht="15.75" thickBot="1">
      <c r="B16" s="41"/>
      <c r="C16" s="41"/>
      <c r="D16"/>
      <c r="E16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33"/>
      <c r="S16" s="33"/>
      <c r="T16" s="39"/>
      <c r="U16" s="75">
        <f>SUM(U4:U15)</f>
        <v>248725.10756610002</v>
      </c>
      <c r="V16" s="75">
        <f t="shared" ref="V16:AF16" si="28">SUM(V4:V15)</f>
        <v>37677.084435900004</v>
      </c>
      <c r="W16" s="75">
        <f t="shared" si="28"/>
        <v>10946.9590398</v>
      </c>
      <c r="X16" s="75">
        <f t="shared" si="28"/>
        <v>9450.1892546426934</v>
      </c>
      <c r="Y16" s="75">
        <f t="shared" si="28"/>
        <v>0</v>
      </c>
      <c r="Z16" s="75">
        <f t="shared" si="28"/>
        <v>309000.98921999999</v>
      </c>
      <c r="AA16" s="75">
        <f t="shared" si="28"/>
        <v>63661.9339062</v>
      </c>
      <c r="AB16" s="75">
        <f t="shared" si="28"/>
        <v>104808.68738460001</v>
      </c>
      <c r="AC16" s="75">
        <f t="shared" si="28"/>
        <v>195545.34303805887</v>
      </c>
      <c r="AD16" s="75">
        <f t="shared" si="28"/>
        <v>267426.51205506636</v>
      </c>
      <c r="AE16" s="75">
        <f t="shared" si="28"/>
        <v>23274.626166443159</v>
      </c>
      <c r="AF16" s="75">
        <f t="shared" si="28"/>
        <v>484053.35755865218</v>
      </c>
      <c r="AG16" s="75"/>
    </row>
    <row r="17" spans="2:33" ht="15.75" thickBot="1">
      <c r="R17" s="19">
        <f>SUM(R4:R16)</f>
        <v>2832326.77</v>
      </c>
      <c r="AG17" s="19">
        <f>SUM(AG4:AG16)</f>
        <v>1754570.7896254633</v>
      </c>
    </row>
    <row r="18" spans="2:33">
      <c r="E18" s="28"/>
      <c r="R18" s="63" t="s">
        <v>147</v>
      </c>
      <c r="AA18" s="23"/>
      <c r="AG18" s="22" t="s">
        <v>148</v>
      </c>
    </row>
    <row r="21" spans="2:33">
      <c r="B21" s="49"/>
      <c r="C21" s="90"/>
      <c r="D21" s="50"/>
      <c r="E21" s="50"/>
      <c r="F21" s="2"/>
      <c r="G21" s="2"/>
      <c r="H21" s="2"/>
      <c r="I21" s="2"/>
      <c r="J21" s="2"/>
      <c r="K21" s="2"/>
      <c r="L21" s="76"/>
      <c r="M21" s="76"/>
      <c r="N21" s="76"/>
    </row>
    <row r="22" spans="2:33">
      <c r="B22" s="49"/>
      <c r="C22" s="55"/>
      <c r="D22" s="50"/>
      <c r="E22" s="50"/>
      <c r="F22" s="2"/>
      <c r="G22" s="2"/>
      <c r="H22" s="2"/>
      <c r="I22" s="2"/>
      <c r="J22" s="2"/>
      <c r="K22" s="2"/>
      <c r="L22" s="76"/>
      <c r="M22" s="76"/>
      <c r="N22" s="76"/>
    </row>
    <row r="23" spans="2:33">
      <c r="B23" s="49"/>
      <c r="C23" s="55"/>
      <c r="D23" s="50"/>
      <c r="E23" s="50"/>
      <c r="F23" s="2"/>
      <c r="G23" s="2"/>
      <c r="H23" s="2"/>
      <c r="I23" s="2"/>
      <c r="J23" s="2"/>
      <c r="K23" s="2"/>
      <c r="L23" s="76"/>
      <c r="M23" s="76"/>
      <c r="N23" s="76"/>
    </row>
    <row r="24" spans="2:33">
      <c r="B24" s="49"/>
      <c r="C24" s="55"/>
      <c r="D24" s="50"/>
      <c r="E24" s="50"/>
      <c r="F24" s="2"/>
      <c r="G24" s="2"/>
      <c r="H24" s="2"/>
      <c r="I24" s="2"/>
      <c r="J24" s="2"/>
      <c r="K24" s="2"/>
      <c r="L24" s="76"/>
      <c r="M24" s="76"/>
      <c r="N24" s="76"/>
    </row>
    <row r="25" spans="2:33">
      <c r="B25" s="49"/>
      <c r="C25" s="91"/>
      <c r="D25" s="50"/>
      <c r="E25" s="50"/>
      <c r="F25" s="2"/>
      <c r="G25" s="2"/>
      <c r="H25" s="2"/>
      <c r="I25" s="2"/>
      <c r="J25" s="2"/>
      <c r="K25" s="2"/>
      <c r="L25" s="76"/>
      <c r="M25" s="76"/>
      <c r="N25" s="76"/>
    </row>
    <row r="26" spans="2:33">
      <c r="B26" s="49"/>
      <c r="C26" s="91"/>
      <c r="D26" s="50"/>
      <c r="E26" s="50"/>
      <c r="F26" s="2"/>
      <c r="G26" s="2"/>
      <c r="H26" s="2"/>
      <c r="I26" s="2"/>
      <c r="J26" s="2"/>
      <c r="K26" s="2"/>
      <c r="L26" s="76"/>
      <c r="M26" s="76"/>
      <c r="N26" s="76"/>
    </row>
    <row r="27" spans="2:33">
      <c r="B27" s="49"/>
      <c r="C27" s="91"/>
      <c r="D27" s="50"/>
      <c r="E27" s="50"/>
      <c r="F27" s="2"/>
      <c r="G27" s="2"/>
      <c r="H27" s="2"/>
      <c r="I27" s="2"/>
      <c r="J27" s="2"/>
      <c r="K27" s="2"/>
      <c r="L27" s="76"/>
      <c r="M27" s="76"/>
      <c r="N27" s="76"/>
    </row>
    <row r="28" spans="2:33">
      <c r="B28" s="49"/>
      <c r="C28" s="55"/>
      <c r="D28" s="50"/>
      <c r="E28" s="50"/>
      <c r="F28" s="2"/>
      <c r="G28" s="2"/>
      <c r="H28" s="2"/>
      <c r="I28" s="2"/>
      <c r="J28" s="2"/>
      <c r="K28" s="2"/>
      <c r="L28" s="76"/>
      <c r="M28" s="76"/>
      <c r="N28" s="76"/>
    </row>
    <row r="29" spans="2:33">
      <c r="B29" s="49"/>
      <c r="C29" s="55"/>
      <c r="D29" s="50"/>
      <c r="E29" s="50"/>
      <c r="F29" s="2"/>
      <c r="G29" s="2"/>
      <c r="H29" s="2"/>
      <c r="I29" s="2"/>
      <c r="J29" s="2"/>
      <c r="K29" s="2"/>
      <c r="L29" s="76"/>
      <c r="M29" s="76"/>
      <c r="N29" s="76"/>
    </row>
    <row r="30" spans="2:33">
      <c r="B30" s="49"/>
      <c r="C30" s="55"/>
      <c r="D30" s="50"/>
      <c r="E30" s="50"/>
      <c r="F30" s="2"/>
      <c r="G30" s="2"/>
      <c r="H30" s="2"/>
      <c r="I30" s="2"/>
      <c r="J30" s="2"/>
      <c r="K30" s="2"/>
      <c r="L30" s="76"/>
      <c r="M30" s="76"/>
      <c r="N30" s="76"/>
    </row>
    <row r="31" spans="2:33">
      <c r="B31" s="49"/>
      <c r="C31" s="55"/>
      <c r="D31" s="50"/>
      <c r="E31" s="50"/>
      <c r="F31" s="2"/>
      <c r="G31" s="2"/>
      <c r="H31" s="2"/>
      <c r="I31" s="2"/>
      <c r="J31" s="2"/>
      <c r="K31" s="2"/>
      <c r="L31" s="76"/>
      <c r="M31" s="76"/>
      <c r="N31" s="76"/>
    </row>
    <row r="32" spans="2:33">
      <c r="B32" s="49"/>
      <c r="C32" s="91"/>
      <c r="D32" s="50"/>
      <c r="E32" s="50"/>
      <c r="F32" s="2"/>
      <c r="G32" s="2"/>
      <c r="H32" s="2"/>
      <c r="I32" s="2"/>
      <c r="J32" s="2"/>
      <c r="K32" s="2"/>
      <c r="L32" s="76"/>
      <c r="M32" s="76"/>
      <c r="N32" s="76"/>
    </row>
    <row r="33" spans="2:14">
      <c r="B33" s="49"/>
      <c r="C33" s="55"/>
      <c r="D33" s="50"/>
      <c r="E33" s="50"/>
      <c r="F33" s="2"/>
      <c r="G33" s="2"/>
      <c r="H33" s="2"/>
      <c r="I33" s="2"/>
      <c r="J33" s="2"/>
      <c r="K33" s="2"/>
      <c r="L33" s="76"/>
      <c r="M33" s="76"/>
      <c r="N33" s="76"/>
    </row>
    <row r="34" spans="2:14">
      <c r="B34" s="49"/>
      <c r="C34" s="55"/>
      <c r="D34" s="50"/>
      <c r="E34" s="50"/>
      <c r="F34" s="2"/>
      <c r="G34" s="2"/>
      <c r="H34" s="2"/>
      <c r="I34" s="2"/>
      <c r="J34" s="2"/>
      <c r="K34" s="2"/>
      <c r="L34" s="76"/>
      <c r="M34" s="76"/>
      <c r="N34" s="76"/>
    </row>
    <row r="35" spans="2:14">
      <c r="B35" s="49"/>
      <c r="C35" s="55"/>
      <c r="D35" s="50"/>
      <c r="E35" s="50"/>
      <c r="F35" s="77"/>
      <c r="G35" s="77"/>
      <c r="H35" s="77"/>
      <c r="I35" s="77"/>
      <c r="J35" s="77"/>
      <c r="K35" s="77"/>
      <c r="L35" s="78"/>
      <c r="M35" s="78"/>
      <c r="N35" s="78"/>
    </row>
    <row r="36" spans="2:14">
      <c r="B36" s="49"/>
      <c r="C36" s="55"/>
      <c r="D36" s="50"/>
      <c r="E36" s="50"/>
      <c r="F36" s="77"/>
      <c r="G36" s="77"/>
      <c r="H36" s="77"/>
      <c r="I36" s="77"/>
      <c r="J36" s="77"/>
      <c r="K36" s="77"/>
      <c r="L36" s="76"/>
      <c r="M36" s="78"/>
      <c r="N36" s="78"/>
    </row>
    <row r="37" spans="2:14">
      <c r="B37" s="49"/>
      <c r="C37" s="55"/>
      <c r="D37" s="50"/>
      <c r="E37" s="50"/>
      <c r="F37" s="77"/>
      <c r="G37" s="77"/>
      <c r="H37" s="77"/>
      <c r="I37" s="77"/>
      <c r="J37" s="77"/>
      <c r="K37" s="77"/>
      <c r="L37" s="76"/>
      <c r="M37" s="78"/>
      <c r="N37" s="78"/>
    </row>
    <row r="38" spans="2:14">
      <c r="B38" s="49"/>
      <c r="C38" s="55"/>
      <c r="D38" s="50"/>
      <c r="E38" s="50"/>
      <c r="F38" s="77"/>
      <c r="G38" s="77"/>
      <c r="H38" s="77"/>
      <c r="I38" s="77"/>
      <c r="J38" s="77"/>
      <c r="K38" s="77"/>
      <c r="L38" s="78"/>
      <c r="M38" s="78"/>
      <c r="N38" s="78"/>
    </row>
    <row r="39" spans="2:14">
      <c r="B39" s="49"/>
      <c r="C39" s="55"/>
      <c r="D39" s="50"/>
      <c r="E39" s="50"/>
      <c r="F39" s="77"/>
      <c r="G39" s="77"/>
      <c r="H39" s="77"/>
      <c r="I39" s="77"/>
      <c r="J39" s="77"/>
      <c r="K39" s="77"/>
      <c r="L39" s="78"/>
      <c r="M39" s="78"/>
      <c r="N39" s="78"/>
    </row>
    <row r="40" spans="2:14">
      <c r="B40" s="49"/>
      <c r="C40" s="91"/>
      <c r="D40" s="50"/>
      <c r="E40" s="50"/>
      <c r="F40" s="77"/>
      <c r="G40" s="77"/>
      <c r="H40" s="77"/>
      <c r="I40" s="77"/>
      <c r="J40" s="77"/>
      <c r="K40" s="77"/>
      <c r="L40" s="78"/>
      <c r="M40" s="78"/>
      <c r="N40" s="78"/>
    </row>
  </sheetData>
  <autoFilter ref="A3:AG6" xr:uid="{00000000-0009-0000-0000-000004000000}"/>
  <phoneticPr fontId="23" type="noConversion"/>
  <pageMargins left="0.7" right="0.7" top="0.75" bottom="0.75" header="0.3" footer="0.3"/>
  <pageSetup scale="40" fitToHeight="0" orientation="landscape" r:id="rId1"/>
  <headerFooter>
    <oddHeader>&amp;CAttachment A
January 14, 2022 EIM Capital Report</oddHead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A1:AG31"/>
  <sheetViews>
    <sheetView topLeftCell="B1" workbookViewId="0">
      <selection activeCell="U22" sqref="U22"/>
    </sheetView>
  </sheetViews>
  <sheetFormatPr defaultColWidth="9.140625" defaultRowHeight="15" outlineLevelCol="1"/>
  <cols>
    <col min="1" max="1" width="6" style="17" customWidth="1"/>
    <col min="2" max="2" width="38.42578125" style="17" customWidth="1"/>
    <col min="3" max="3" width="19.140625" style="17" customWidth="1"/>
    <col min="4" max="4" width="7.28515625" style="17" customWidth="1"/>
    <col min="5" max="5" width="5.85546875" style="17" bestFit="1" customWidth="1"/>
    <col min="6" max="6" width="12.28515625" style="17" hidden="1" customWidth="1" outlineLevel="1"/>
    <col min="7" max="17" width="10.28515625" style="17" hidden="1" customWidth="1" outlineLevel="1"/>
    <col min="18" max="18" width="26.42578125" style="17" customWidth="1" collapsed="1"/>
    <col min="19" max="19" width="9" style="17" customWidth="1"/>
    <col min="20" max="20" width="16.140625" style="17" customWidth="1"/>
    <col min="21" max="21" width="11.5703125" style="17" bestFit="1" customWidth="1"/>
    <col min="22" max="22" width="14.28515625" style="17" bestFit="1" customWidth="1"/>
    <col min="23" max="26" width="11.5703125" style="17" bestFit="1" customWidth="1"/>
    <col min="27" max="32" width="8.7109375" style="17" customWidth="1"/>
    <col min="33" max="33" width="13.5703125" style="17" customWidth="1"/>
    <col min="34" max="16384" width="9.140625" style="17"/>
  </cols>
  <sheetData>
    <row r="1" spans="1:33">
      <c r="A1" s="16" t="s">
        <v>121</v>
      </c>
      <c r="F1" s="20" t="s">
        <v>118</v>
      </c>
      <c r="T1" s="20" t="s">
        <v>117</v>
      </c>
      <c r="U1" s="17">
        <v>1</v>
      </c>
      <c r="V1" s="17">
        <v>2</v>
      </c>
      <c r="W1" s="17">
        <v>3</v>
      </c>
      <c r="X1" s="17">
        <v>4</v>
      </c>
      <c r="Y1" s="17">
        <v>5</v>
      </c>
      <c r="Z1" s="17">
        <v>6</v>
      </c>
      <c r="AA1" s="17">
        <v>7</v>
      </c>
      <c r="AB1" s="17">
        <v>8</v>
      </c>
      <c r="AC1" s="17">
        <v>9</v>
      </c>
      <c r="AD1" s="17">
        <v>10</v>
      </c>
      <c r="AE1" s="17">
        <v>11</v>
      </c>
      <c r="AF1" s="17">
        <v>12</v>
      </c>
    </row>
    <row r="2" spans="1:33">
      <c r="F2" s="17" t="s">
        <v>25</v>
      </c>
      <c r="G2" s="17" t="s">
        <v>25</v>
      </c>
      <c r="H2" s="17" t="s">
        <v>25</v>
      </c>
      <c r="I2" s="17" t="s">
        <v>25</v>
      </c>
      <c r="J2" s="17" t="s">
        <v>25</v>
      </c>
      <c r="K2" s="17" t="s">
        <v>25</v>
      </c>
      <c r="L2" s="17" t="s">
        <v>25</v>
      </c>
      <c r="M2" s="17" t="s">
        <v>25</v>
      </c>
      <c r="N2" s="17" t="s">
        <v>25</v>
      </c>
      <c r="O2" s="17" t="s">
        <v>25</v>
      </c>
      <c r="P2" s="17" t="s">
        <v>25</v>
      </c>
      <c r="Q2" s="17" t="s">
        <v>25</v>
      </c>
      <c r="R2" s="37" t="s">
        <v>119</v>
      </c>
      <c r="S2" s="37"/>
      <c r="U2" s="17" t="s">
        <v>25</v>
      </c>
      <c r="V2" s="17" t="s">
        <v>25</v>
      </c>
      <c r="W2" s="17" t="s">
        <v>25</v>
      </c>
      <c r="X2" s="17" t="s">
        <v>25</v>
      </c>
      <c r="Y2" s="17" t="s">
        <v>25</v>
      </c>
      <c r="Z2" s="17" t="s">
        <v>25</v>
      </c>
      <c r="AA2" s="17" t="s">
        <v>25</v>
      </c>
      <c r="AB2" s="17" t="s">
        <v>25</v>
      </c>
      <c r="AC2" s="17" t="s">
        <v>25</v>
      </c>
      <c r="AD2" s="17" t="s">
        <v>25</v>
      </c>
      <c r="AE2" s="17" t="s">
        <v>25</v>
      </c>
      <c r="AF2" s="17" t="s">
        <v>25</v>
      </c>
      <c r="AG2" s="37" t="s">
        <v>119</v>
      </c>
    </row>
    <row r="3" spans="1:33">
      <c r="A3" s="17" t="s">
        <v>26</v>
      </c>
      <c r="B3" s="42" t="s">
        <v>107</v>
      </c>
      <c r="C3" s="17" t="s">
        <v>27</v>
      </c>
      <c r="D3" s="37" t="s">
        <v>112</v>
      </c>
      <c r="E3" s="51" t="s">
        <v>136</v>
      </c>
      <c r="F3" s="17" t="s">
        <v>29</v>
      </c>
      <c r="G3" s="17" t="s">
        <v>30</v>
      </c>
      <c r="H3" s="17" t="s">
        <v>31</v>
      </c>
      <c r="I3" s="17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7" t="s">
        <v>37</v>
      </c>
      <c r="O3" s="17" t="s">
        <v>38</v>
      </c>
      <c r="P3" s="17" t="s">
        <v>39</v>
      </c>
      <c r="Q3" s="17" t="s">
        <v>40</v>
      </c>
      <c r="R3" s="37" t="s">
        <v>113</v>
      </c>
      <c r="S3" s="37"/>
      <c r="T3" s="17" t="s">
        <v>28</v>
      </c>
      <c r="U3" s="17" t="s">
        <v>29</v>
      </c>
      <c r="V3" s="17" t="s">
        <v>30</v>
      </c>
      <c r="W3" s="17" t="s">
        <v>31</v>
      </c>
      <c r="X3" s="17" t="s">
        <v>32</v>
      </c>
      <c r="Y3" s="17" t="s">
        <v>33</v>
      </c>
      <c r="Z3" s="17" t="s">
        <v>34</v>
      </c>
      <c r="AA3" s="17" t="s">
        <v>35</v>
      </c>
      <c r="AB3" s="17" t="s">
        <v>36</v>
      </c>
      <c r="AC3" s="17" t="s">
        <v>37</v>
      </c>
      <c r="AD3" s="17" t="s">
        <v>38</v>
      </c>
      <c r="AE3" s="17" t="s">
        <v>39</v>
      </c>
      <c r="AF3" s="17" t="s">
        <v>40</v>
      </c>
      <c r="AG3" s="37" t="s">
        <v>116</v>
      </c>
    </row>
    <row r="4" spans="1:33">
      <c r="A4" s="17">
        <v>7141</v>
      </c>
      <c r="B4" s="49" t="s">
        <v>133</v>
      </c>
      <c r="C4" s="49" t="s">
        <v>42</v>
      </c>
      <c r="D4" s="50" t="s">
        <v>111</v>
      </c>
      <c r="E4" s="50" t="s">
        <v>110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270864.74277056294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4">
        <f>SUM(F4:Q4)</f>
        <v>270864.74277056294</v>
      </c>
      <c r="S4" s="24"/>
      <c r="T4" s="44">
        <v>0.69089999999999996</v>
      </c>
      <c r="U4" s="2">
        <f>+$T4*F4</f>
        <v>0</v>
      </c>
      <c r="V4" s="2">
        <f t="shared" ref="V4:AF12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187140.45078018191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4">
        <f>SUM(U4:AF4)</f>
        <v>187140.45078018191</v>
      </c>
    </row>
    <row r="5" spans="1:33">
      <c r="A5" s="17">
        <v>7141</v>
      </c>
      <c r="B5" s="49" t="s">
        <v>123</v>
      </c>
      <c r="C5" s="49" t="s">
        <v>41</v>
      </c>
      <c r="D5" s="50" t="s">
        <v>111</v>
      </c>
      <c r="E5" s="50" t="s">
        <v>110</v>
      </c>
      <c r="F5" s="2">
        <v>0</v>
      </c>
      <c r="G5" s="2">
        <v>0</v>
      </c>
      <c r="H5" s="2">
        <v>0</v>
      </c>
      <c r="I5" s="2">
        <v>162201.59944758663</v>
      </c>
      <c r="J5" s="2">
        <v>162201.59944758663</v>
      </c>
      <c r="K5" s="2">
        <v>696790.59944758669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4">
        <f t="shared" ref="R5:R12" si="1">SUM(F5:Q5)</f>
        <v>1021193.79834276</v>
      </c>
      <c r="S5" s="24"/>
      <c r="T5" s="45">
        <v>0.65639999999999998</v>
      </c>
      <c r="U5" s="2">
        <f t="shared" ref="U5:U12" si="2">+$T5*F5</f>
        <v>0</v>
      </c>
      <c r="V5" s="2">
        <f t="shared" si="0"/>
        <v>0</v>
      </c>
      <c r="W5" s="2">
        <f t="shared" si="0"/>
        <v>0</v>
      </c>
      <c r="X5" s="2">
        <f t="shared" si="0"/>
        <v>106469.12987739587</v>
      </c>
      <c r="Y5" s="2">
        <f t="shared" si="0"/>
        <v>106469.12987739587</v>
      </c>
      <c r="Z5" s="2">
        <f t="shared" si="0"/>
        <v>457373.34947739588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4">
        <f t="shared" ref="AG5:AG12" si="3">SUM(U5:AF5)</f>
        <v>670311.60923218762</v>
      </c>
    </row>
    <row r="6" spans="1:33">
      <c r="A6" s="17">
        <v>7141</v>
      </c>
      <c r="B6" s="49" t="s">
        <v>124</v>
      </c>
      <c r="C6" s="49" t="s">
        <v>41</v>
      </c>
      <c r="D6" s="50" t="s">
        <v>111</v>
      </c>
      <c r="E6" s="50" t="s">
        <v>110</v>
      </c>
      <c r="F6" s="2">
        <v>178239.24236798714</v>
      </c>
      <c r="G6" s="2">
        <v>178239.24236798714</v>
      </c>
      <c r="H6" s="2">
        <v>178239.24236798714</v>
      </c>
      <c r="I6" s="2">
        <v>178239.24236798714</v>
      </c>
      <c r="J6" s="2">
        <v>178239.24236798714</v>
      </c>
      <c r="K6" s="2">
        <v>157434.24236798714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4">
        <f t="shared" si="1"/>
        <v>1048630.4542079228</v>
      </c>
      <c r="S6" s="24"/>
      <c r="T6" s="45">
        <v>0.65639999999999998</v>
      </c>
      <c r="U6" s="2">
        <f t="shared" si="2"/>
        <v>116996.23869034676</v>
      </c>
      <c r="V6" s="2">
        <f t="shared" si="0"/>
        <v>116996.23869034676</v>
      </c>
      <c r="W6" s="2">
        <f t="shared" si="0"/>
        <v>116996.23869034676</v>
      </c>
      <c r="X6" s="2">
        <f t="shared" si="0"/>
        <v>116996.23869034676</v>
      </c>
      <c r="Y6" s="2">
        <f t="shared" si="0"/>
        <v>116996.23869034676</v>
      </c>
      <c r="Z6" s="2">
        <f t="shared" si="0"/>
        <v>103339.83669034675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4">
        <f t="shared" si="3"/>
        <v>688321.0301420805</v>
      </c>
    </row>
    <row r="7" spans="1:33">
      <c r="A7" s="17">
        <v>7141</v>
      </c>
      <c r="B7" s="49" t="s">
        <v>125</v>
      </c>
      <c r="C7" s="49" t="s">
        <v>130</v>
      </c>
      <c r="D7" s="50" t="s">
        <v>111</v>
      </c>
      <c r="E7" s="50" t="s">
        <v>110</v>
      </c>
      <c r="F7" s="34">
        <v>0</v>
      </c>
      <c r="G7" s="34">
        <v>0</v>
      </c>
      <c r="H7" s="34">
        <v>260950.63795104434</v>
      </c>
      <c r="I7" s="34">
        <v>87748.637951044322</v>
      </c>
      <c r="J7" s="34">
        <v>87748.637951044322</v>
      </c>
      <c r="K7" s="34">
        <v>87748.637951044322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24">
        <f t="shared" si="1"/>
        <v>524196.55180417729</v>
      </c>
      <c r="T7" s="45">
        <v>0.69189999999999996</v>
      </c>
      <c r="U7" s="2">
        <f t="shared" si="2"/>
        <v>0</v>
      </c>
      <c r="V7" s="2">
        <f t="shared" si="0"/>
        <v>0</v>
      </c>
      <c r="W7" s="2">
        <f t="shared" si="0"/>
        <v>180551.74639832755</v>
      </c>
      <c r="X7" s="2">
        <f t="shared" si="0"/>
        <v>60713.282598327562</v>
      </c>
      <c r="Y7" s="2">
        <f t="shared" si="0"/>
        <v>60713.282598327562</v>
      </c>
      <c r="Z7" s="2">
        <f t="shared" si="0"/>
        <v>60713.282598327562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4">
        <f t="shared" si="3"/>
        <v>362691.59419331024</v>
      </c>
    </row>
    <row r="8" spans="1:33">
      <c r="A8" s="17">
        <v>7141</v>
      </c>
      <c r="B8" s="49" t="s">
        <v>126</v>
      </c>
      <c r="C8" s="49" t="s">
        <v>131</v>
      </c>
      <c r="D8" s="50" t="s">
        <v>111</v>
      </c>
      <c r="E8" s="50" t="s">
        <v>110</v>
      </c>
      <c r="F8" s="34">
        <v>0</v>
      </c>
      <c r="G8" s="34">
        <v>0</v>
      </c>
      <c r="H8" s="34">
        <v>0</v>
      </c>
      <c r="I8" s="34">
        <v>322248.38258207403</v>
      </c>
      <c r="J8" s="34">
        <v>108248.38258207406</v>
      </c>
      <c r="K8" s="34">
        <v>409598.38258207403</v>
      </c>
      <c r="L8" s="2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24">
        <f t="shared" si="1"/>
        <v>840095.14774622209</v>
      </c>
      <c r="T8" s="45">
        <v>0.65639999999999998</v>
      </c>
      <c r="U8" s="2">
        <f t="shared" si="2"/>
        <v>0</v>
      </c>
      <c r="V8" s="2">
        <f t="shared" si="0"/>
        <v>0</v>
      </c>
      <c r="W8" s="2">
        <f t="shared" si="0"/>
        <v>0</v>
      </c>
      <c r="X8" s="2">
        <f t="shared" si="0"/>
        <v>211523.8383268734</v>
      </c>
      <c r="Y8" s="2">
        <f t="shared" si="0"/>
        <v>71054.238326873412</v>
      </c>
      <c r="Z8" s="2">
        <f t="shared" si="0"/>
        <v>268860.37832687341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4">
        <f t="shared" si="3"/>
        <v>551438.45498062018</v>
      </c>
    </row>
    <row r="9" spans="1:33">
      <c r="A9" s="17">
        <v>7141</v>
      </c>
      <c r="B9" s="49" t="s">
        <v>127</v>
      </c>
      <c r="C9" s="49" t="s">
        <v>131</v>
      </c>
      <c r="D9" s="50" t="s">
        <v>111</v>
      </c>
      <c r="E9" s="50" t="s">
        <v>110</v>
      </c>
      <c r="F9" s="34">
        <v>0</v>
      </c>
      <c r="G9" s="34">
        <v>0</v>
      </c>
      <c r="H9" s="34">
        <v>0</v>
      </c>
      <c r="I9" s="34">
        <v>698074.4441648738</v>
      </c>
      <c r="J9" s="34">
        <v>488014.4441648738</v>
      </c>
      <c r="K9" s="34">
        <v>97974.444164873799</v>
      </c>
      <c r="L9" s="2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24">
        <f t="shared" si="1"/>
        <v>1284063.3324946214</v>
      </c>
      <c r="T9" s="44">
        <v>0.65639999999999998</v>
      </c>
      <c r="U9" s="2">
        <f t="shared" si="2"/>
        <v>0</v>
      </c>
      <c r="V9" s="2">
        <f t="shared" si="0"/>
        <v>0</v>
      </c>
      <c r="W9" s="2">
        <f t="shared" si="0"/>
        <v>0</v>
      </c>
      <c r="X9" s="2">
        <f t="shared" si="0"/>
        <v>458216.06514982315</v>
      </c>
      <c r="Y9" s="2">
        <f t="shared" si="0"/>
        <v>320332.68114982313</v>
      </c>
      <c r="Z9" s="2">
        <f t="shared" si="0"/>
        <v>64310.425149823161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4">
        <f t="shared" si="3"/>
        <v>842859.17144946952</v>
      </c>
    </row>
    <row r="10" spans="1:33">
      <c r="A10" s="17">
        <v>7141</v>
      </c>
      <c r="B10" s="49" t="s">
        <v>134</v>
      </c>
      <c r="C10" s="49" t="s">
        <v>131</v>
      </c>
      <c r="D10" s="50" t="s">
        <v>111</v>
      </c>
      <c r="E10" s="50" t="s">
        <v>110</v>
      </c>
      <c r="F10" s="34">
        <v>0</v>
      </c>
      <c r="G10" s="34">
        <v>0</v>
      </c>
      <c r="H10" s="34">
        <v>0</v>
      </c>
      <c r="I10" s="34">
        <v>0</v>
      </c>
      <c r="J10" s="34">
        <v>1889933.3706181389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24">
        <f t="shared" si="1"/>
        <v>1889933.3706181389</v>
      </c>
      <c r="T10" s="39">
        <v>0.65639999999999998</v>
      </c>
      <c r="U10" s="2">
        <f t="shared" si="2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1240552.2644737463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4">
        <f t="shared" si="3"/>
        <v>1240552.2644737463</v>
      </c>
    </row>
    <row r="11" spans="1:33">
      <c r="A11" s="17">
        <v>7141</v>
      </c>
      <c r="B11" s="49" t="s">
        <v>128</v>
      </c>
      <c r="C11" s="49" t="s">
        <v>120</v>
      </c>
      <c r="D11" s="50" t="s">
        <v>111</v>
      </c>
      <c r="E11" s="50" t="s">
        <v>110</v>
      </c>
      <c r="F11" s="34">
        <v>0</v>
      </c>
      <c r="G11" s="34">
        <v>0</v>
      </c>
      <c r="H11" s="34">
        <v>0</v>
      </c>
      <c r="I11" s="34">
        <v>4091017.8719546576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24">
        <f t="shared" si="1"/>
        <v>4091017.8719546576</v>
      </c>
      <c r="T11" s="39">
        <v>0.69189999999999996</v>
      </c>
      <c r="U11" s="2">
        <f t="shared" si="2"/>
        <v>0</v>
      </c>
      <c r="V11" s="2">
        <f t="shared" si="0"/>
        <v>0</v>
      </c>
      <c r="W11" s="2">
        <f t="shared" si="0"/>
        <v>0</v>
      </c>
      <c r="X11" s="2">
        <f t="shared" si="0"/>
        <v>2830575.2656054273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4">
        <f t="shared" si="3"/>
        <v>2830575.2656054273</v>
      </c>
    </row>
    <row r="12" spans="1:33">
      <c r="A12" s="17">
        <v>7141</v>
      </c>
      <c r="B12" s="49" t="s">
        <v>129</v>
      </c>
      <c r="C12" s="49" t="s">
        <v>120</v>
      </c>
      <c r="D12" s="50" t="s">
        <v>132</v>
      </c>
      <c r="E12" s="50" t="s">
        <v>138</v>
      </c>
      <c r="F12" s="34">
        <v>233915.29167682279</v>
      </c>
      <c r="G12" s="34">
        <v>233915.29167682279</v>
      </c>
      <c r="H12" s="34">
        <v>233915.29167682279</v>
      </c>
      <c r="I12" s="34">
        <v>235397.69501015614</v>
      </c>
      <c r="J12" s="34">
        <v>235397.69501015614</v>
      </c>
      <c r="K12" s="34">
        <v>235397.69501015614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24">
        <f t="shared" si="1"/>
        <v>1407938.9600609366</v>
      </c>
      <c r="T12" s="39">
        <v>0.48309143579999997</v>
      </c>
      <c r="U12" s="2">
        <f t="shared" si="2"/>
        <v>113002.47411173211</v>
      </c>
      <c r="V12" s="2">
        <f t="shared" si="0"/>
        <v>113002.47411173211</v>
      </c>
      <c r="W12" s="2">
        <f t="shared" si="0"/>
        <v>113002.47411173211</v>
      </c>
      <c r="X12" s="2">
        <f t="shared" si="0"/>
        <v>113718.61046646682</v>
      </c>
      <c r="Y12" s="2">
        <f t="shared" si="0"/>
        <v>113718.61046646682</v>
      </c>
      <c r="Z12" s="2">
        <f t="shared" si="0"/>
        <v>113718.61046646682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4">
        <f t="shared" si="3"/>
        <v>680163.25373459689</v>
      </c>
    </row>
    <row r="13" spans="1:33">
      <c r="B13" s="49"/>
      <c r="C13" s="49"/>
      <c r="D13" s="50"/>
      <c r="E13" s="50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T13" s="3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4"/>
    </row>
    <row r="14" spans="1:33" ht="15.75" thickBot="1">
      <c r="B14" s="41"/>
      <c r="C14" s="41"/>
      <c r="D14"/>
      <c r="E1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T14" s="3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4">
        <f t="shared" ref="AG14" si="4">SUM(U14:AF14)</f>
        <v>0</v>
      </c>
    </row>
    <row r="15" spans="1:33" ht="15.75" thickBot="1"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9">
        <f>SUM(R4:R14)</f>
        <v>12377934.23</v>
      </c>
      <c r="S15" s="43"/>
      <c r="U15" s="75">
        <f>SUM(U4:U12)</f>
        <v>229998.71280207887</v>
      </c>
      <c r="V15" s="75">
        <f t="shared" ref="V15:AF15" si="5">SUM(V4:V12)</f>
        <v>229998.71280207887</v>
      </c>
      <c r="W15" s="75">
        <f t="shared" si="5"/>
        <v>410550.45920040639</v>
      </c>
      <c r="X15" s="75">
        <f t="shared" si="5"/>
        <v>3898212.4307146608</v>
      </c>
      <c r="Y15" s="75">
        <f t="shared" si="5"/>
        <v>2029836.4455829798</v>
      </c>
      <c r="Z15" s="75">
        <f t="shared" si="5"/>
        <v>1255456.3334894152</v>
      </c>
      <c r="AA15" s="75">
        <f t="shared" si="5"/>
        <v>0</v>
      </c>
      <c r="AB15" s="75">
        <f t="shared" si="5"/>
        <v>0</v>
      </c>
      <c r="AC15" s="75">
        <f t="shared" si="5"/>
        <v>0</v>
      </c>
      <c r="AD15" s="75">
        <f t="shared" si="5"/>
        <v>0</v>
      </c>
      <c r="AE15" s="75">
        <f t="shared" si="5"/>
        <v>0</v>
      </c>
      <c r="AF15" s="75">
        <f t="shared" si="5"/>
        <v>0</v>
      </c>
      <c r="AG15" s="19">
        <f>SUM(AG4:AG14)</f>
        <v>8054053.0945916204</v>
      </c>
    </row>
    <row r="16" spans="1:33">
      <c r="R16" s="47" t="s">
        <v>135</v>
      </c>
      <c r="S16" s="22"/>
      <c r="AG16" s="47" t="str">
        <f>+R16</f>
        <v>EIM 2021 PF</v>
      </c>
    </row>
    <row r="17" spans="6:33">
      <c r="R17" s="63" t="s">
        <v>147</v>
      </c>
      <c r="AG17" s="64" t="s">
        <v>149</v>
      </c>
    </row>
    <row r="18" spans="6:33">
      <c r="V18" s="34"/>
    </row>
    <row r="20" spans="6:33"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31" spans="6:33">
      <c r="AA31" s="65" t="s">
        <v>150</v>
      </c>
    </row>
  </sheetData>
  <autoFilter ref="A3:R6" xr:uid="{00000000-0009-0000-0000-000005000000}"/>
  <pageMargins left="0.7" right="0.7" top="0.75" bottom="0.75" header="0.3" footer="0.3"/>
  <pageSetup scale="47" fitToHeight="0" orientation="landscape" r:id="rId1"/>
  <headerFooter>
    <oddHeader>&amp;CAttachment A
January 14, 2022 EIM Capital Report</oddHeader>
    <oddFooter>&amp;LAvista
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AG78"/>
  <sheetViews>
    <sheetView topLeftCell="K10" workbookViewId="0">
      <selection activeCell="P41" sqref="P41"/>
    </sheetView>
  </sheetViews>
  <sheetFormatPr defaultColWidth="9.140625" defaultRowHeight="15" outlineLevelCol="1"/>
  <cols>
    <col min="1" max="1" width="6" style="17" customWidth="1"/>
    <col min="2" max="2" width="38.42578125" style="17" customWidth="1"/>
    <col min="3" max="3" width="37.7109375" style="17" bestFit="1" customWidth="1"/>
    <col min="4" max="4" width="7.28515625" style="17" customWidth="1"/>
    <col min="5" max="5" width="5.85546875" style="17" bestFit="1" customWidth="1"/>
    <col min="6" max="6" width="12.28515625" style="17" customWidth="1" outlineLevel="1"/>
    <col min="7" max="17" width="10.28515625" style="17" customWidth="1" outlineLevel="1"/>
    <col min="18" max="18" width="26.42578125" style="17" customWidth="1" outlineLevel="1"/>
    <col min="19" max="19" width="4.85546875" style="17" customWidth="1"/>
    <col min="20" max="20" width="16.140625" style="17" customWidth="1"/>
    <col min="21" max="21" width="11.5703125" style="17" bestFit="1" customWidth="1"/>
    <col min="22" max="22" width="14.42578125" style="17" bestFit="1" customWidth="1"/>
    <col min="23" max="23" width="11.7109375" style="17" bestFit="1" customWidth="1"/>
    <col min="24" max="24" width="13.28515625" style="17" bestFit="1" customWidth="1"/>
    <col min="25" max="25" width="11.7109375" style="17" bestFit="1" customWidth="1"/>
    <col min="26" max="26" width="13.28515625" style="17" bestFit="1" customWidth="1"/>
    <col min="27" max="32" width="8.7109375" style="17" customWidth="1"/>
    <col min="33" max="33" width="13.5703125" style="17" customWidth="1"/>
    <col min="34" max="16384" width="9.140625" style="17"/>
  </cols>
  <sheetData>
    <row r="1" spans="1:33">
      <c r="A1" s="16" t="s">
        <v>121</v>
      </c>
      <c r="F1" s="20" t="s">
        <v>118</v>
      </c>
      <c r="T1" s="20" t="s">
        <v>117</v>
      </c>
      <c r="U1" s="17">
        <v>1</v>
      </c>
      <c r="V1" s="17">
        <v>2</v>
      </c>
      <c r="W1" s="17">
        <v>3</v>
      </c>
      <c r="X1" s="17">
        <v>4</v>
      </c>
      <c r="Y1" s="17">
        <v>5</v>
      </c>
      <c r="Z1" s="17">
        <v>6</v>
      </c>
      <c r="AA1" s="17">
        <v>7</v>
      </c>
      <c r="AB1" s="17">
        <v>8</v>
      </c>
      <c r="AC1" s="17">
        <v>9</v>
      </c>
      <c r="AD1" s="17">
        <v>10</v>
      </c>
      <c r="AE1" s="17">
        <v>11</v>
      </c>
      <c r="AF1" s="17">
        <v>12</v>
      </c>
    </row>
    <row r="2" spans="1:33">
      <c r="F2" s="66" t="s">
        <v>151</v>
      </c>
      <c r="G2" s="66" t="s">
        <v>151</v>
      </c>
      <c r="H2" s="66" t="s">
        <v>151</v>
      </c>
      <c r="I2" s="66" t="s">
        <v>151</v>
      </c>
      <c r="J2" s="66" t="s">
        <v>151</v>
      </c>
      <c r="K2" s="66" t="s">
        <v>151</v>
      </c>
      <c r="L2" s="66" t="s">
        <v>151</v>
      </c>
      <c r="M2" s="66" t="s">
        <v>151</v>
      </c>
      <c r="N2" s="66" t="s">
        <v>151</v>
      </c>
      <c r="O2" s="66" t="s">
        <v>151</v>
      </c>
      <c r="P2" s="66" t="s">
        <v>151</v>
      </c>
      <c r="Q2" s="66" t="s">
        <v>151</v>
      </c>
      <c r="R2" s="37"/>
      <c r="S2" s="37"/>
      <c r="U2" s="66" t="s">
        <v>151</v>
      </c>
      <c r="V2" s="66" t="s">
        <v>151</v>
      </c>
      <c r="W2" s="66" t="s">
        <v>151</v>
      </c>
      <c r="X2" s="66" t="s">
        <v>151</v>
      </c>
      <c r="Y2" s="66" t="s">
        <v>151</v>
      </c>
      <c r="Z2" s="66" t="s">
        <v>151</v>
      </c>
      <c r="AA2" s="66" t="s">
        <v>151</v>
      </c>
      <c r="AB2" s="66" t="s">
        <v>151</v>
      </c>
      <c r="AC2" s="66" t="s">
        <v>151</v>
      </c>
      <c r="AD2" s="66" t="s">
        <v>151</v>
      </c>
      <c r="AE2" s="66" t="s">
        <v>151</v>
      </c>
      <c r="AF2" s="66" t="s">
        <v>151</v>
      </c>
      <c r="AG2" s="37"/>
    </row>
    <row r="3" spans="1:33">
      <c r="A3" s="17" t="s">
        <v>26</v>
      </c>
      <c r="B3" s="42" t="s">
        <v>107</v>
      </c>
      <c r="C3" s="17" t="s">
        <v>27</v>
      </c>
      <c r="D3" s="37" t="s">
        <v>112</v>
      </c>
      <c r="E3" s="51" t="s">
        <v>136</v>
      </c>
      <c r="F3" s="17" t="s">
        <v>29</v>
      </c>
      <c r="G3" s="17" t="s">
        <v>30</v>
      </c>
      <c r="H3" s="17" t="s">
        <v>31</v>
      </c>
      <c r="I3" s="17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7" t="s">
        <v>37</v>
      </c>
      <c r="O3" s="17" t="s">
        <v>38</v>
      </c>
      <c r="P3" s="17" t="s">
        <v>39</v>
      </c>
      <c r="Q3" s="17" t="s">
        <v>40</v>
      </c>
      <c r="R3" s="37" t="s">
        <v>113</v>
      </c>
      <c r="S3" s="37"/>
      <c r="T3" s="17" t="s">
        <v>28</v>
      </c>
      <c r="U3" s="17" t="s">
        <v>29</v>
      </c>
      <c r="V3" s="17" t="s">
        <v>30</v>
      </c>
      <c r="W3" s="17" t="s">
        <v>31</v>
      </c>
      <c r="X3" s="17" t="s">
        <v>32</v>
      </c>
      <c r="Y3" s="17" t="s">
        <v>33</v>
      </c>
      <c r="Z3" s="17" t="s">
        <v>34</v>
      </c>
      <c r="AA3" s="17" t="s">
        <v>35</v>
      </c>
      <c r="AB3" s="17" t="s">
        <v>36</v>
      </c>
      <c r="AC3" s="17" t="s">
        <v>37</v>
      </c>
      <c r="AD3" s="17" t="s">
        <v>38</v>
      </c>
      <c r="AE3" s="17" t="s">
        <v>39</v>
      </c>
      <c r="AF3" s="17" t="s">
        <v>40</v>
      </c>
      <c r="AG3" s="37" t="s">
        <v>116</v>
      </c>
    </row>
    <row r="4" spans="1:33">
      <c r="A4" s="17">
        <v>7141</v>
      </c>
      <c r="B4" s="49" t="s">
        <v>125</v>
      </c>
      <c r="C4" s="49" t="s">
        <v>145</v>
      </c>
      <c r="D4" s="50" t="s">
        <v>111</v>
      </c>
      <c r="E4" s="50" t="s">
        <v>110</v>
      </c>
      <c r="F4" s="2">
        <v>0</v>
      </c>
      <c r="G4" s="2">
        <v>0</v>
      </c>
      <c r="H4" s="2">
        <v>127849.20999999999</v>
      </c>
      <c r="I4" s="2">
        <v>645.29</v>
      </c>
      <c r="J4" s="2">
        <v>1053.1300000000001</v>
      </c>
      <c r="K4" s="2">
        <v>5586.21</v>
      </c>
      <c r="L4" s="2">
        <v>3013.43</v>
      </c>
      <c r="M4" s="2">
        <v>1447.92</v>
      </c>
      <c r="N4" s="2">
        <v>1302.81</v>
      </c>
      <c r="O4" s="2"/>
      <c r="P4" s="2"/>
      <c r="Q4" s="2"/>
      <c r="R4" s="24">
        <f>SUM(F4:Q4)</f>
        <v>140898</v>
      </c>
      <c r="S4" s="24"/>
      <c r="T4" s="44">
        <v>0.69189000000000001</v>
      </c>
      <c r="U4" s="2">
        <f>+$T4*F4</f>
        <v>0</v>
      </c>
      <c r="V4" s="2">
        <f t="shared" ref="V4:AF6" si="0">+$T4*G4</f>
        <v>0</v>
      </c>
      <c r="W4" s="2">
        <f t="shared" si="0"/>
        <v>88457.589906900001</v>
      </c>
      <c r="X4" s="2">
        <f t="shared" si="0"/>
        <v>446.46969809999996</v>
      </c>
      <c r="Y4" s="2">
        <f t="shared" si="0"/>
        <v>728.65011570000013</v>
      </c>
      <c r="Z4" s="2">
        <f t="shared" si="0"/>
        <v>3865.0428369000001</v>
      </c>
      <c r="AA4" s="2">
        <f t="shared" si="0"/>
        <v>2084.9620826999999</v>
      </c>
      <c r="AB4" s="2">
        <f t="shared" si="0"/>
        <v>1001.8013688000001</v>
      </c>
      <c r="AC4" s="2">
        <f t="shared" si="0"/>
        <v>901.40121090000002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4">
        <f>SUM(U4:AF4)</f>
        <v>97485.917220000018</v>
      </c>
    </row>
    <row r="5" spans="1:33">
      <c r="A5" s="17">
        <v>7141</v>
      </c>
      <c r="B5" s="49" t="s">
        <v>125</v>
      </c>
      <c r="C5" s="49" t="s">
        <v>143</v>
      </c>
      <c r="D5" s="50" t="s">
        <v>111</v>
      </c>
      <c r="E5" s="50" t="s">
        <v>110</v>
      </c>
      <c r="F5" s="2">
        <v>0</v>
      </c>
      <c r="G5" s="2">
        <v>0</v>
      </c>
      <c r="H5" s="2">
        <v>112930.32</v>
      </c>
      <c r="I5" s="2">
        <v>707.56</v>
      </c>
      <c r="J5" s="2">
        <v>1189.25</v>
      </c>
      <c r="K5" s="2">
        <v>6701.41</v>
      </c>
      <c r="L5" s="2">
        <v>3375.49</v>
      </c>
      <c r="M5" s="2">
        <v>1579.99</v>
      </c>
      <c r="N5" s="2">
        <v>969.54</v>
      </c>
      <c r="O5" s="2"/>
      <c r="P5" s="2"/>
      <c r="Q5" s="2"/>
      <c r="R5" s="24">
        <f t="shared" ref="R5:R27" si="1">SUM(F5:Q5)</f>
        <v>127453.56000000001</v>
      </c>
      <c r="S5" s="24"/>
      <c r="T5" s="44">
        <v>0.69189000000000001</v>
      </c>
      <c r="U5" s="2">
        <f t="shared" ref="U5:U6" si="2">+$T5*F5</f>
        <v>0</v>
      </c>
      <c r="V5" s="2">
        <f t="shared" si="0"/>
        <v>0</v>
      </c>
      <c r="W5" s="2">
        <f t="shared" si="0"/>
        <v>78135.359104800009</v>
      </c>
      <c r="X5" s="2">
        <f t="shared" si="0"/>
        <v>489.55368839999994</v>
      </c>
      <c r="Y5" s="2">
        <f t="shared" si="0"/>
        <v>822.83018249999998</v>
      </c>
      <c r="Z5" s="2">
        <f t="shared" si="0"/>
        <v>4636.6385649000003</v>
      </c>
      <c r="AA5" s="2">
        <f t="shared" si="0"/>
        <v>2335.4677760999998</v>
      </c>
      <c r="AB5" s="2">
        <f t="shared" si="0"/>
        <v>1093.1792811</v>
      </c>
      <c r="AC5" s="2">
        <f t="shared" si="0"/>
        <v>670.8150306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4">
        <f t="shared" ref="AG5:AG27" si="3">SUM(U5:AF5)</f>
        <v>88183.84362840002</v>
      </c>
    </row>
    <row r="6" spans="1:33">
      <c r="A6" s="17">
        <v>7141</v>
      </c>
      <c r="B6" s="49" t="s">
        <v>129</v>
      </c>
      <c r="C6" s="49" t="s">
        <v>143</v>
      </c>
      <c r="D6" s="50" t="s">
        <v>132</v>
      </c>
      <c r="E6" s="50" t="s">
        <v>138</v>
      </c>
      <c r="F6" s="2">
        <v>5452.1399999999994</v>
      </c>
      <c r="G6" s="2">
        <v>366249.67</v>
      </c>
      <c r="H6" s="2">
        <v>10980.630000000003</v>
      </c>
      <c r="I6" s="2">
        <v>315850.17</v>
      </c>
      <c r="J6" s="2">
        <v>150595.72999999998</v>
      </c>
      <c r="K6" s="2">
        <v>175618.38</v>
      </c>
      <c r="L6" s="2">
        <v>72894.849999999991</v>
      </c>
      <c r="M6" s="2">
        <v>33065.31</v>
      </c>
      <c r="N6" s="2">
        <v>10504.41</v>
      </c>
      <c r="O6" s="93">
        <v>2786.4999999999995</v>
      </c>
      <c r="P6" s="93">
        <v>5257.7400000000007</v>
      </c>
      <c r="Q6" s="93">
        <v>2595.58</v>
      </c>
      <c r="R6" s="24">
        <f t="shared" si="1"/>
        <v>1151851.1100000001</v>
      </c>
      <c r="S6" s="24"/>
      <c r="T6" s="45">
        <v>0.48309143579999997</v>
      </c>
      <c r="U6" s="2">
        <f t="shared" si="2"/>
        <v>2633.8821407826117</v>
      </c>
      <c r="V6" s="2">
        <f t="shared" si="0"/>
        <v>176932.07894157615</v>
      </c>
      <c r="W6" s="2">
        <f t="shared" si="0"/>
        <v>5304.6483126885551</v>
      </c>
      <c r="X6" s="2">
        <f t="shared" si="0"/>
        <v>152584.51212297406</v>
      </c>
      <c r="Y6" s="2">
        <f t="shared" si="0"/>
        <v>72751.507431049118</v>
      </c>
      <c r="Z6" s="2">
        <f t="shared" si="0"/>
        <v>84839.735347070004</v>
      </c>
      <c r="AA6" s="2">
        <f t="shared" si="0"/>
        <v>35214.877748925624</v>
      </c>
      <c r="AB6" s="2">
        <f t="shared" si="0"/>
        <v>15973.568083072096</v>
      </c>
      <c r="AC6" s="2">
        <f t="shared" si="0"/>
        <v>5074.5905091318773</v>
      </c>
      <c r="AD6" s="2">
        <f t="shared" si="0"/>
        <v>1346.1342858566998</v>
      </c>
      <c r="AE6" s="2">
        <f t="shared" si="0"/>
        <v>2539.9691656630921</v>
      </c>
      <c r="AF6" s="2">
        <f t="shared" si="0"/>
        <v>1253.9024689337639</v>
      </c>
      <c r="AG6" s="24">
        <f t="shared" si="3"/>
        <v>556449.40655772365</v>
      </c>
    </row>
    <row r="7" spans="1:33">
      <c r="A7" s="17">
        <v>7141</v>
      </c>
      <c r="B7" s="49" t="s">
        <v>129</v>
      </c>
      <c r="C7" s="49" t="s">
        <v>143</v>
      </c>
      <c r="D7" s="50" t="s">
        <v>111</v>
      </c>
      <c r="E7" s="50" t="s">
        <v>110</v>
      </c>
      <c r="F7" s="2">
        <v>0</v>
      </c>
      <c r="G7" s="2">
        <v>0</v>
      </c>
      <c r="H7" s="2">
        <v>0</v>
      </c>
      <c r="I7" s="2">
        <v>51849.2</v>
      </c>
      <c r="J7" s="2">
        <v>153686.39999999999</v>
      </c>
      <c r="K7" s="2">
        <v>7007.89</v>
      </c>
      <c r="L7" s="2">
        <v>8213.0400000000009</v>
      </c>
      <c r="M7" s="2">
        <v>105.22</v>
      </c>
      <c r="N7" s="2">
        <v>14.03</v>
      </c>
      <c r="O7" s="2"/>
      <c r="P7" s="2"/>
      <c r="Q7" s="2"/>
      <c r="R7" s="24">
        <f t="shared" si="1"/>
        <v>220875.78</v>
      </c>
      <c r="S7" s="24"/>
      <c r="T7" s="45">
        <v>0.69189999999999996</v>
      </c>
      <c r="U7" s="2">
        <f t="shared" ref="U7:U24" si="4">+$T7*F7</f>
        <v>0</v>
      </c>
      <c r="V7" s="2">
        <f t="shared" ref="V7:V24" si="5">+$T7*G7</f>
        <v>0</v>
      </c>
      <c r="W7" s="2">
        <f t="shared" ref="W7:W24" si="6">+$T7*H7</f>
        <v>0</v>
      </c>
      <c r="X7" s="2">
        <f t="shared" ref="X7:X24" si="7">+$T7*I7</f>
        <v>35874.461479999998</v>
      </c>
      <c r="Y7" s="2">
        <f t="shared" ref="Y7:Y24" si="8">+$T7*J7</f>
        <v>106335.62015999999</v>
      </c>
      <c r="Z7" s="2">
        <f t="shared" ref="Z7:Z24" si="9">+$T7*K7</f>
        <v>4848.7590909999999</v>
      </c>
      <c r="AA7" s="2">
        <f t="shared" ref="AA7:AA24" si="10">+$T7*L7</f>
        <v>5682.6023759999998</v>
      </c>
      <c r="AB7" s="2">
        <f t="shared" ref="AB7:AB24" si="11">+$T7*M7</f>
        <v>72.801717999999994</v>
      </c>
      <c r="AC7" s="2">
        <f t="shared" ref="AC7:AC24" si="12">+$T7*N7</f>
        <v>9.7073569999999982</v>
      </c>
      <c r="AD7" s="2">
        <f t="shared" ref="AD7:AD24" si="13">+$T7*O7</f>
        <v>0</v>
      </c>
      <c r="AE7" s="2">
        <f t="shared" ref="AE7:AE24" si="14">+$T7*P7</f>
        <v>0</v>
      </c>
      <c r="AF7" s="2">
        <f t="shared" ref="AF7:AF24" si="15">+$T7*Q7</f>
        <v>0</v>
      </c>
      <c r="AG7" s="24">
        <f t="shared" ref="AG7:AG24" si="16">SUM(U7:AF7)</f>
        <v>152823.95218200001</v>
      </c>
    </row>
    <row r="8" spans="1:33">
      <c r="A8" s="17">
        <v>7141</v>
      </c>
      <c r="B8" s="49" t="s">
        <v>129</v>
      </c>
      <c r="C8" s="49" t="s">
        <v>131</v>
      </c>
      <c r="D8" s="50" t="s">
        <v>111</v>
      </c>
      <c r="E8" s="50" t="s">
        <v>110</v>
      </c>
      <c r="F8" s="2">
        <v>362.6</v>
      </c>
      <c r="G8" s="2">
        <v>-30005.85</v>
      </c>
      <c r="H8" s="2">
        <v>403.85</v>
      </c>
      <c r="I8" s="2">
        <v>0</v>
      </c>
      <c r="J8" s="2">
        <v>0</v>
      </c>
      <c r="K8" s="2">
        <v>0</v>
      </c>
      <c r="L8" s="2">
        <v>-56553.62</v>
      </c>
      <c r="M8" s="2">
        <v>-24138.74</v>
      </c>
      <c r="N8" s="2">
        <v>-0.2</v>
      </c>
      <c r="O8" s="2"/>
      <c r="P8" s="2"/>
      <c r="Q8" s="2"/>
      <c r="R8" s="24">
        <f t="shared" si="1"/>
        <v>-109931.96</v>
      </c>
      <c r="S8" s="24"/>
      <c r="T8" s="45">
        <v>0.65639999999999998</v>
      </c>
      <c r="U8" s="2">
        <f t="shared" si="4"/>
        <v>238.01064</v>
      </c>
      <c r="V8" s="2">
        <f t="shared" si="5"/>
        <v>-19695.839939999998</v>
      </c>
      <c r="W8" s="2">
        <f t="shared" si="6"/>
        <v>265.08714000000003</v>
      </c>
      <c r="X8" s="2">
        <f t="shared" si="7"/>
        <v>0</v>
      </c>
      <c r="Y8" s="2">
        <f t="shared" si="8"/>
        <v>0</v>
      </c>
      <c r="Z8" s="2">
        <f t="shared" si="9"/>
        <v>0</v>
      </c>
      <c r="AA8" s="2">
        <f t="shared" si="10"/>
        <v>-37121.796168000001</v>
      </c>
      <c r="AB8" s="2">
        <f t="shared" si="11"/>
        <v>-15844.668936</v>
      </c>
      <c r="AC8" s="2">
        <f t="shared" si="12"/>
        <v>-0.13128000000000001</v>
      </c>
      <c r="AD8" s="2">
        <f t="shared" si="13"/>
        <v>0</v>
      </c>
      <c r="AE8" s="2">
        <f t="shared" si="14"/>
        <v>0</v>
      </c>
      <c r="AF8" s="2">
        <f t="shared" si="15"/>
        <v>0</v>
      </c>
      <c r="AG8" s="24">
        <f t="shared" si="16"/>
        <v>-72159.338543999998</v>
      </c>
    </row>
    <row r="9" spans="1:33">
      <c r="A9" s="17">
        <v>7141</v>
      </c>
      <c r="B9" s="49" t="s">
        <v>128</v>
      </c>
      <c r="C9" s="49" t="s">
        <v>120</v>
      </c>
      <c r="D9" s="50" t="s">
        <v>111</v>
      </c>
      <c r="E9" s="50" t="s">
        <v>110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3952685.43</v>
      </c>
      <c r="L9" s="2">
        <v>21580.66</v>
      </c>
      <c r="M9" s="2">
        <v>10734.08</v>
      </c>
      <c r="N9" s="2">
        <v>8065.51</v>
      </c>
      <c r="O9" s="2">
        <v>4584.1200000000008</v>
      </c>
      <c r="P9" s="2">
        <v>16539.25</v>
      </c>
      <c r="Q9" s="2">
        <v>1307.44</v>
      </c>
      <c r="R9" s="24">
        <f t="shared" si="1"/>
        <v>4015496.49</v>
      </c>
      <c r="S9" s="24"/>
      <c r="T9" s="45">
        <v>0.65639999999999998</v>
      </c>
      <c r="U9" s="2">
        <f t="shared" si="4"/>
        <v>0</v>
      </c>
      <c r="V9" s="2">
        <f t="shared" si="5"/>
        <v>0</v>
      </c>
      <c r="W9" s="2">
        <f t="shared" si="6"/>
        <v>0</v>
      </c>
      <c r="X9" s="2">
        <f t="shared" si="7"/>
        <v>0</v>
      </c>
      <c r="Y9" s="2">
        <f t="shared" si="8"/>
        <v>0</v>
      </c>
      <c r="Z9" s="2">
        <f t="shared" si="9"/>
        <v>2594542.7162520001</v>
      </c>
      <c r="AA9" s="2">
        <f t="shared" si="10"/>
        <v>14165.545224</v>
      </c>
      <c r="AB9" s="2">
        <f t="shared" si="11"/>
        <v>7045.8501120000001</v>
      </c>
      <c r="AC9" s="2">
        <f t="shared" si="12"/>
        <v>5294.2007640000002</v>
      </c>
      <c r="AD9" s="2">
        <f t="shared" si="13"/>
        <v>3009.0163680000005</v>
      </c>
      <c r="AE9" s="2">
        <f t="shared" si="14"/>
        <v>10856.3637</v>
      </c>
      <c r="AF9" s="2">
        <f t="shared" si="15"/>
        <v>858.20361600000001</v>
      </c>
      <c r="AG9" s="24">
        <f t="shared" si="16"/>
        <v>2635771.8960359995</v>
      </c>
    </row>
    <row r="10" spans="1:33">
      <c r="A10" s="17">
        <v>7141</v>
      </c>
      <c r="B10" s="49" t="s">
        <v>126</v>
      </c>
      <c r="C10" s="49" t="s">
        <v>131</v>
      </c>
      <c r="D10" s="50" t="s">
        <v>111</v>
      </c>
      <c r="E10" s="50" t="s">
        <v>110</v>
      </c>
      <c r="F10" s="2">
        <v>385562.39</v>
      </c>
      <c r="G10" s="2">
        <v>38917.06</v>
      </c>
      <c r="H10" s="2">
        <v>-14344.25</v>
      </c>
      <c r="I10" s="2">
        <v>330150.35000000003</v>
      </c>
      <c r="J10" s="2">
        <v>2505.63</v>
      </c>
      <c r="K10" s="2">
        <v>953.5400000000011</v>
      </c>
      <c r="L10" s="2">
        <v>95.02</v>
      </c>
      <c r="M10" s="2">
        <v>0</v>
      </c>
      <c r="N10" s="2">
        <v>0</v>
      </c>
      <c r="O10" s="2"/>
      <c r="P10" s="2"/>
      <c r="Q10" s="2"/>
      <c r="R10" s="24">
        <f t="shared" si="1"/>
        <v>743839.74000000011</v>
      </c>
      <c r="S10" s="24"/>
      <c r="T10" s="45">
        <v>0.65639999999999998</v>
      </c>
      <c r="U10" s="2">
        <f t="shared" si="4"/>
        <v>253083.15279600001</v>
      </c>
      <c r="V10" s="2">
        <f t="shared" si="5"/>
        <v>25545.158183999996</v>
      </c>
      <c r="W10" s="2">
        <f t="shared" si="6"/>
        <v>-9415.5656999999992</v>
      </c>
      <c r="X10" s="2">
        <f t="shared" si="7"/>
        <v>216710.68974000003</v>
      </c>
      <c r="Y10" s="2">
        <f t="shared" si="8"/>
        <v>1644.695532</v>
      </c>
      <c r="Z10" s="2">
        <f t="shared" si="9"/>
        <v>625.90365600000075</v>
      </c>
      <c r="AA10" s="2">
        <f t="shared" si="10"/>
        <v>62.371127999999999</v>
      </c>
      <c r="AB10" s="2">
        <f t="shared" si="11"/>
        <v>0</v>
      </c>
      <c r="AC10" s="2">
        <f t="shared" si="12"/>
        <v>0</v>
      </c>
      <c r="AD10" s="2">
        <f t="shared" si="13"/>
        <v>0</v>
      </c>
      <c r="AE10" s="2">
        <f t="shared" si="14"/>
        <v>0</v>
      </c>
      <c r="AF10" s="2">
        <f t="shared" si="15"/>
        <v>0</v>
      </c>
      <c r="AG10" s="24">
        <f t="shared" si="16"/>
        <v>488256.40533600008</v>
      </c>
    </row>
    <row r="11" spans="1:33">
      <c r="A11" s="17">
        <v>7141</v>
      </c>
      <c r="B11" s="49" t="s">
        <v>126</v>
      </c>
      <c r="C11" s="49" t="s">
        <v>144</v>
      </c>
      <c r="D11" s="50" t="s">
        <v>111</v>
      </c>
      <c r="E11" s="50" t="s">
        <v>110</v>
      </c>
      <c r="F11" s="2">
        <v>0</v>
      </c>
      <c r="G11" s="2">
        <v>0</v>
      </c>
      <c r="H11" s="2">
        <v>0</v>
      </c>
      <c r="I11" s="2">
        <v>0</v>
      </c>
      <c r="J11" s="2">
        <v>256277.46</v>
      </c>
      <c r="K11" s="2">
        <v>5025.17</v>
      </c>
      <c r="L11" s="2">
        <v>46.59</v>
      </c>
      <c r="M11" s="2">
        <v>0</v>
      </c>
      <c r="N11" s="2">
        <v>-6615</v>
      </c>
      <c r="O11" s="2"/>
      <c r="P11" s="2"/>
      <c r="Q11" s="2"/>
      <c r="R11" s="24">
        <f t="shared" si="1"/>
        <v>254734.22</v>
      </c>
      <c r="S11" s="24"/>
      <c r="T11" s="45">
        <v>0.69189999999999996</v>
      </c>
      <c r="U11" s="2">
        <f t="shared" si="4"/>
        <v>0</v>
      </c>
      <c r="V11" s="2">
        <f t="shared" si="5"/>
        <v>0</v>
      </c>
      <c r="W11" s="2">
        <f t="shared" si="6"/>
        <v>0</v>
      </c>
      <c r="X11" s="2">
        <f t="shared" si="7"/>
        <v>0</v>
      </c>
      <c r="Y11" s="2">
        <f t="shared" si="8"/>
        <v>177318.37457399999</v>
      </c>
      <c r="Z11" s="2">
        <f t="shared" si="9"/>
        <v>3476.9151229999998</v>
      </c>
      <c r="AA11" s="2">
        <f t="shared" si="10"/>
        <v>32.235621000000002</v>
      </c>
      <c r="AB11" s="2">
        <f t="shared" si="11"/>
        <v>0</v>
      </c>
      <c r="AC11" s="2">
        <f t="shared" si="12"/>
        <v>-4576.9184999999998</v>
      </c>
      <c r="AD11" s="2">
        <f t="shared" si="13"/>
        <v>0</v>
      </c>
      <c r="AE11" s="2">
        <f t="shared" si="14"/>
        <v>0</v>
      </c>
      <c r="AF11" s="2">
        <f t="shared" si="15"/>
        <v>0</v>
      </c>
      <c r="AG11" s="24">
        <f t="shared" si="16"/>
        <v>176250.606818</v>
      </c>
    </row>
    <row r="12" spans="1:33">
      <c r="A12" s="17">
        <v>7141</v>
      </c>
      <c r="B12" s="49" t="s">
        <v>127</v>
      </c>
      <c r="C12" s="49" t="s">
        <v>131</v>
      </c>
      <c r="D12" s="50" t="s">
        <v>111</v>
      </c>
      <c r="E12" s="50" t="s">
        <v>110</v>
      </c>
      <c r="F12" s="2">
        <v>0</v>
      </c>
      <c r="G12" s="2">
        <v>0</v>
      </c>
      <c r="H12" s="2">
        <v>1541.07</v>
      </c>
      <c r="I12" s="2">
        <v>569808.17000000004</v>
      </c>
      <c r="J12" s="2">
        <v>7672.92</v>
      </c>
      <c r="K12" s="2">
        <v>6825.54</v>
      </c>
      <c r="L12" s="2">
        <v>659.03</v>
      </c>
      <c r="M12" s="2">
        <v>0</v>
      </c>
      <c r="N12" s="2">
        <v>0</v>
      </c>
      <c r="O12" s="2"/>
      <c r="P12" s="2"/>
      <c r="Q12" s="2"/>
      <c r="R12" s="24">
        <f t="shared" si="1"/>
        <v>586506.7300000001</v>
      </c>
      <c r="S12" s="24"/>
      <c r="T12" s="39">
        <v>0.65639999999999998</v>
      </c>
      <c r="U12" s="2">
        <f t="shared" ref="U12:AF17" si="17">+$T12*F12</f>
        <v>0</v>
      </c>
      <c r="V12" s="2">
        <f t="shared" si="17"/>
        <v>0</v>
      </c>
      <c r="W12" s="2">
        <f t="shared" si="17"/>
        <v>1011.5583479999999</v>
      </c>
      <c r="X12" s="2">
        <f t="shared" si="17"/>
        <v>374022.082788</v>
      </c>
      <c r="Y12" s="2">
        <f t="shared" si="17"/>
        <v>5036.504688</v>
      </c>
      <c r="Z12" s="2">
        <f t="shared" si="17"/>
        <v>4480.2844559999994</v>
      </c>
      <c r="AA12" s="2">
        <f t="shared" si="17"/>
        <v>432.58729199999999</v>
      </c>
      <c r="AB12" s="2">
        <f t="shared" si="17"/>
        <v>0</v>
      </c>
      <c r="AC12" s="2">
        <f t="shared" si="17"/>
        <v>0</v>
      </c>
      <c r="AD12" s="2">
        <f t="shared" si="17"/>
        <v>0</v>
      </c>
      <c r="AE12" s="2">
        <f t="shared" si="17"/>
        <v>0</v>
      </c>
      <c r="AF12" s="2">
        <f t="shared" si="17"/>
        <v>0</v>
      </c>
      <c r="AG12" s="24">
        <f t="shared" si="16"/>
        <v>384983.01757200004</v>
      </c>
    </row>
    <row r="13" spans="1:33">
      <c r="A13" s="17">
        <v>7141</v>
      </c>
      <c r="B13" s="49" t="s">
        <v>127</v>
      </c>
      <c r="C13" s="49" t="s">
        <v>144</v>
      </c>
      <c r="D13" s="50" t="s">
        <v>111</v>
      </c>
      <c r="E13" s="50" t="s">
        <v>110</v>
      </c>
      <c r="F13" s="2">
        <v>6452.27</v>
      </c>
      <c r="G13" s="2">
        <v>5345.06</v>
      </c>
      <c r="H13" s="2">
        <v>2408.1</v>
      </c>
      <c r="I13" s="2">
        <v>1042.1400000000001</v>
      </c>
      <c r="J13" s="2">
        <v>2161.21</v>
      </c>
      <c r="K13" s="2">
        <v>0</v>
      </c>
      <c r="L13" s="2">
        <v>0</v>
      </c>
      <c r="M13" s="2">
        <v>0</v>
      </c>
      <c r="N13" s="2">
        <v>0</v>
      </c>
      <c r="O13" s="2"/>
      <c r="P13" s="2"/>
      <c r="Q13" s="2"/>
      <c r="R13" s="24">
        <f t="shared" si="1"/>
        <v>17408.780000000002</v>
      </c>
      <c r="S13" s="24"/>
      <c r="T13" s="39">
        <v>0.65639999999999998</v>
      </c>
      <c r="U13" s="2">
        <f t="shared" si="17"/>
        <v>4235.2700279999999</v>
      </c>
      <c r="V13" s="2">
        <f t="shared" si="17"/>
        <v>3508.4973840000002</v>
      </c>
      <c r="W13" s="2">
        <f t="shared" si="17"/>
        <v>1580.6768399999999</v>
      </c>
      <c r="X13" s="2">
        <f t="shared" si="17"/>
        <v>684.06069600000001</v>
      </c>
      <c r="Y13" s="2">
        <f t="shared" si="17"/>
        <v>1418.618244</v>
      </c>
      <c r="Z13" s="2">
        <f t="shared" si="17"/>
        <v>0</v>
      </c>
      <c r="AA13" s="2">
        <f t="shared" si="17"/>
        <v>0</v>
      </c>
      <c r="AB13" s="2">
        <f t="shared" si="17"/>
        <v>0</v>
      </c>
      <c r="AC13" s="2">
        <f t="shared" si="17"/>
        <v>0</v>
      </c>
      <c r="AD13" s="2">
        <f t="shared" si="17"/>
        <v>0</v>
      </c>
      <c r="AE13" s="2">
        <f t="shared" si="17"/>
        <v>0</v>
      </c>
      <c r="AF13" s="2">
        <f t="shared" si="17"/>
        <v>0</v>
      </c>
      <c r="AG13" s="24">
        <f t="shared" si="16"/>
        <v>11427.123191999999</v>
      </c>
    </row>
    <row r="14" spans="1:33">
      <c r="A14" s="17">
        <v>7141</v>
      </c>
      <c r="B14" s="49" t="s">
        <v>134</v>
      </c>
      <c r="C14" s="49" t="s">
        <v>131</v>
      </c>
      <c r="D14" s="50" t="s">
        <v>111</v>
      </c>
      <c r="E14" s="50" t="s">
        <v>110</v>
      </c>
      <c r="F14" s="2">
        <v>0</v>
      </c>
      <c r="G14" s="2">
        <v>0</v>
      </c>
      <c r="H14" s="2">
        <v>0</v>
      </c>
      <c r="I14" s="2">
        <v>553892.81000000006</v>
      </c>
      <c r="J14" s="2">
        <v>755665.83</v>
      </c>
      <c r="K14" s="2">
        <v>13173.79</v>
      </c>
      <c r="L14" s="2">
        <v>-7358.8899999999994</v>
      </c>
      <c r="M14" s="2">
        <v>4006.5</v>
      </c>
      <c r="N14" s="2">
        <v>5371.06</v>
      </c>
      <c r="O14" s="2">
        <v>-5371</v>
      </c>
      <c r="P14" s="2"/>
      <c r="Q14" s="2"/>
      <c r="R14" s="24">
        <f t="shared" si="1"/>
        <v>1319380.1000000003</v>
      </c>
      <c r="S14" s="24"/>
      <c r="T14" s="39">
        <v>0.65639999999999998</v>
      </c>
      <c r="U14" s="2">
        <f t="shared" si="17"/>
        <v>0</v>
      </c>
      <c r="V14" s="2">
        <f t="shared" si="17"/>
        <v>0</v>
      </c>
      <c r="W14" s="2">
        <f t="shared" si="17"/>
        <v>0</v>
      </c>
      <c r="X14" s="2">
        <f t="shared" si="17"/>
        <v>363575.24048400001</v>
      </c>
      <c r="Y14" s="2">
        <f t="shared" si="17"/>
        <v>496019.05081199994</v>
      </c>
      <c r="Z14" s="2">
        <f t="shared" si="17"/>
        <v>8647.2757560000009</v>
      </c>
      <c r="AA14" s="2">
        <f t="shared" si="17"/>
        <v>-4830.3753959999995</v>
      </c>
      <c r="AB14" s="2">
        <f t="shared" si="17"/>
        <v>2629.8665999999998</v>
      </c>
      <c r="AC14" s="2">
        <f t="shared" si="17"/>
        <v>3525.5637840000004</v>
      </c>
      <c r="AD14" s="2">
        <f t="shared" si="17"/>
        <v>-3525.5243999999998</v>
      </c>
      <c r="AE14" s="2">
        <f t="shared" si="17"/>
        <v>0</v>
      </c>
      <c r="AF14" s="2">
        <f t="shared" si="17"/>
        <v>0</v>
      </c>
      <c r="AG14" s="24">
        <f t="shared" si="16"/>
        <v>866041.09763999982</v>
      </c>
    </row>
    <row r="15" spans="1:33" s="35" customFormat="1">
      <c r="A15" s="35">
        <v>7141</v>
      </c>
      <c r="B15" s="49" t="s">
        <v>123</v>
      </c>
      <c r="C15" s="49" t="s">
        <v>42</v>
      </c>
      <c r="D15" s="50" t="s">
        <v>111</v>
      </c>
      <c r="E15" s="50" t="s">
        <v>109</v>
      </c>
      <c r="F15" s="76">
        <v>-29.64</v>
      </c>
      <c r="G15" s="76">
        <v>417.13</v>
      </c>
      <c r="H15" s="76">
        <v>45264.26</v>
      </c>
      <c r="I15" s="76">
        <v>50913.039999999994</v>
      </c>
      <c r="J15" s="76">
        <v>2091.98</v>
      </c>
      <c r="K15" s="76">
        <v>1061.71</v>
      </c>
      <c r="L15" s="76">
        <v>541.77</v>
      </c>
      <c r="M15" s="76">
        <v>-20378.84</v>
      </c>
      <c r="N15" s="76">
        <v>0</v>
      </c>
      <c r="O15" s="94">
        <v>447.15</v>
      </c>
      <c r="P15" s="76"/>
      <c r="Q15" s="76"/>
      <c r="R15" s="95">
        <f t="shared" si="1"/>
        <v>80328.56</v>
      </c>
      <c r="S15" s="95"/>
      <c r="T15" s="45">
        <v>0</v>
      </c>
      <c r="U15" s="76">
        <f t="shared" si="17"/>
        <v>0</v>
      </c>
      <c r="V15" s="76">
        <f t="shared" si="17"/>
        <v>0</v>
      </c>
      <c r="W15" s="76">
        <f t="shared" si="17"/>
        <v>0</v>
      </c>
      <c r="X15" s="76">
        <f t="shared" si="17"/>
        <v>0</v>
      </c>
      <c r="Y15" s="76">
        <f t="shared" si="17"/>
        <v>0</v>
      </c>
      <c r="Z15" s="76">
        <f t="shared" si="17"/>
        <v>0</v>
      </c>
      <c r="AA15" s="76">
        <f t="shared" si="17"/>
        <v>0</v>
      </c>
      <c r="AB15" s="76">
        <f t="shared" si="17"/>
        <v>0</v>
      </c>
      <c r="AC15" s="76">
        <f t="shared" si="17"/>
        <v>0</v>
      </c>
      <c r="AD15" s="76">
        <f t="shared" si="17"/>
        <v>0</v>
      </c>
      <c r="AE15" s="76">
        <f t="shared" si="17"/>
        <v>0</v>
      </c>
      <c r="AF15" s="76">
        <f t="shared" si="17"/>
        <v>0</v>
      </c>
      <c r="AG15" s="95">
        <f t="shared" si="16"/>
        <v>0</v>
      </c>
    </row>
    <row r="16" spans="1:33" s="35" customFormat="1">
      <c r="A16" s="35">
        <v>7141</v>
      </c>
      <c r="B16" s="49" t="s">
        <v>123</v>
      </c>
      <c r="C16" s="49" t="s">
        <v>42</v>
      </c>
      <c r="D16" s="50" t="s">
        <v>111</v>
      </c>
      <c r="E16" s="50" t="s">
        <v>156</v>
      </c>
      <c r="F16" s="76">
        <v>0</v>
      </c>
      <c r="G16" s="76">
        <v>0</v>
      </c>
      <c r="H16" s="76">
        <v>25499.71</v>
      </c>
      <c r="I16" s="76">
        <v>2894.08</v>
      </c>
      <c r="J16" s="76">
        <v>708.52</v>
      </c>
      <c r="K16" s="76">
        <v>150.59</v>
      </c>
      <c r="L16" s="76">
        <v>183.5</v>
      </c>
      <c r="M16" s="76">
        <v>77.200000000000017</v>
      </c>
      <c r="N16" s="76">
        <v>8836.6799999999985</v>
      </c>
      <c r="O16" s="94">
        <v>153.13999999999999</v>
      </c>
      <c r="P16" s="94">
        <v>2956.96</v>
      </c>
      <c r="Q16" s="76"/>
      <c r="R16" s="95">
        <f t="shared" si="1"/>
        <v>41460.379999999997</v>
      </c>
      <c r="S16" s="95"/>
      <c r="T16" s="45">
        <v>1</v>
      </c>
      <c r="U16" s="76">
        <f t="shared" si="17"/>
        <v>0</v>
      </c>
      <c r="V16" s="76">
        <f t="shared" si="17"/>
        <v>0</v>
      </c>
      <c r="W16" s="76">
        <f t="shared" si="17"/>
        <v>25499.71</v>
      </c>
      <c r="X16" s="76">
        <f t="shared" si="17"/>
        <v>2894.08</v>
      </c>
      <c r="Y16" s="76">
        <f t="shared" si="17"/>
        <v>708.52</v>
      </c>
      <c r="Z16" s="76">
        <f t="shared" si="17"/>
        <v>150.59</v>
      </c>
      <c r="AA16" s="76">
        <f t="shared" si="17"/>
        <v>183.5</v>
      </c>
      <c r="AB16" s="76">
        <f t="shared" si="17"/>
        <v>77.200000000000017</v>
      </c>
      <c r="AC16" s="76">
        <f t="shared" si="17"/>
        <v>8836.6799999999985</v>
      </c>
      <c r="AD16" s="76">
        <f t="shared" si="17"/>
        <v>153.13999999999999</v>
      </c>
      <c r="AE16" s="76">
        <f t="shared" si="17"/>
        <v>2956.96</v>
      </c>
      <c r="AF16" s="76">
        <f t="shared" si="17"/>
        <v>0</v>
      </c>
      <c r="AG16" s="95">
        <f t="shared" si="16"/>
        <v>41460.379999999997</v>
      </c>
    </row>
    <row r="17" spans="1:33" s="35" customFormat="1">
      <c r="A17" s="35">
        <v>7141</v>
      </c>
      <c r="B17" s="49" t="s">
        <v>123</v>
      </c>
      <c r="C17" s="49" t="s">
        <v>145</v>
      </c>
      <c r="D17" s="50" t="s">
        <v>132</v>
      </c>
      <c r="E17" s="50" t="s">
        <v>138</v>
      </c>
      <c r="F17" s="76">
        <v>0</v>
      </c>
      <c r="G17" s="76">
        <v>0</v>
      </c>
      <c r="H17" s="76">
        <v>0</v>
      </c>
      <c r="I17" s="76">
        <v>230007.74</v>
      </c>
      <c r="J17" s="76">
        <v>7272.11</v>
      </c>
      <c r="K17" s="76">
        <v>0</v>
      </c>
      <c r="L17" s="76">
        <v>946.3</v>
      </c>
      <c r="M17" s="76">
        <v>0</v>
      </c>
      <c r="N17" s="76">
        <v>0</v>
      </c>
      <c r="O17" s="76"/>
      <c r="P17" s="76"/>
      <c r="Q17" s="76"/>
      <c r="R17" s="95">
        <f t="shared" si="1"/>
        <v>238226.14999999997</v>
      </c>
      <c r="S17" s="95"/>
      <c r="T17" s="45">
        <v>0.48309143579999997</v>
      </c>
      <c r="U17" s="76">
        <f t="shared" si="17"/>
        <v>0</v>
      </c>
      <c r="V17" s="76">
        <f t="shared" si="17"/>
        <v>0</v>
      </c>
      <c r="W17" s="76">
        <f t="shared" si="17"/>
        <v>0</v>
      </c>
      <c r="X17" s="76">
        <f t="shared" si="17"/>
        <v>111114.76936171309</v>
      </c>
      <c r="Y17" s="76">
        <f t="shared" si="17"/>
        <v>3513.0940611955375</v>
      </c>
      <c r="Z17" s="76">
        <f t="shared" si="17"/>
        <v>0</v>
      </c>
      <c r="AA17" s="76">
        <f t="shared" si="17"/>
        <v>457.14942569753993</v>
      </c>
      <c r="AB17" s="76">
        <f t="shared" si="17"/>
        <v>0</v>
      </c>
      <c r="AC17" s="76">
        <f t="shared" si="17"/>
        <v>0</v>
      </c>
      <c r="AD17" s="76">
        <f t="shared" si="17"/>
        <v>0</v>
      </c>
      <c r="AE17" s="76">
        <f t="shared" si="17"/>
        <v>0</v>
      </c>
      <c r="AF17" s="76">
        <f t="shared" si="17"/>
        <v>0</v>
      </c>
      <c r="AG17" s="95">
        <f t="shared" si="16"/>
        <v>115085.01284860616</v>
      </c>
    </row>
    <row r="18" spans="1:33" s="35" customFormat="1">
      <c r="A18" s="35">
        <v>7141</v>
      </c>
      <c r="B18" s="49" t="s">
        <v>123</v>
      </c>
      <c r="C18" s="49" t="s">
        <v>143</v>
      </c>
      <c r="D18" s="50" t="s">
        <v>111</v>
      </c>
      <c r="E18" s="50" t="s">
        <v>110</v>
      </c>
      <c r="F18" s="76">
        <v>0</v>
      </c>
      <c r="G18" s="76">
        <v>0</v>
      </c>
      <c r="H18" s="76">
        <v>0</v>
      </c>
      <c r="I18" s="76">
        <v>2922.98</v>
      </c>
      <c r="J18" s="76">
        <v>59.52</v>
      </c>
      <c r="K18" s="76">
        <v>18.34</v>
      </c>
      <c r="L18" s="76">
        <v>-1.84</v>
      </c>
      <c r="M18" s="76">
        <v>0</v>
      </c>
      <c r="N18" s="76">
        <v>0</v>
      </c>
      <c r="O18" s="96">
        <v>1011</v>
      </c>
      <c r="P18" s="76"/>
      <c r="Q18" s="76"/>
      <c r="R18" s="95">
        <f t="shared" si="1"/>
        <v>4010</v>
      </c>
      <c r="S18" s="95"/>
      <c r="T18" s="39">
        <v>0.69189000000000001</v>
      </c>
      <c r="U18" s="76">
        <f t="shared" si="4"/>
        <v>0</v>
      </c>
      <c r="V18" s="76">
        <f t="shared" si="5"/>
        <v>0</v>
      </c>
      <c r="W18" s="76">
        <f t="shared" si="6"/>
        <v>0</v>
      </c>
      <c r="X18" s="76">
        <f t="shared" si="7"/>
        <v>2022.3806322</v>
      </c>
      <c r="Y18" s="76">
        <f t="shared" si="8"/>
        <v>41.181292800000001</v>
      </c>
      <c r="Z18" s="76">
        <f t="shared" si="9"/>
        <v>12.689262599999999</v>
      </c>
      <c r="AA18" s="76">
        <f t="shared" si="10"/>
        <v>-1.2730776000000001</v>
      </c>
      <c r="AB18" s="76">
        <f t="shared" si="11"/>
        <v>0</v>
      </c>
      <c r="AC18" s="76">
        <f t="shared" si="12"/>
        <v>0</v>
      </c>
      <c r="AD18" s="76">
        <f t="shared" si="13"/>
        <v>699.50079000000005</v>
      </c>
      <c r="AE18" s="76">
        <f t="shared" si="14"/>
        <v>0</v>
      </c>
      <c r="AF18" s="76">
        <f t="shared" si="15"/>
        <v>0</v>
      </c>
      <c r="AG18" s="95">
        <f t="shared" si="16"/>
        <v>2774.4789000000001</v>
      </c>
    </row>
    <row r="19" spans="1:33" s="35" customFormat="1">
      <c r="A19" s="35">
        <v>7141</v>
      </c>
      <c r="B19" s="49" t="s">
        <v>123</v>
      </c>
      <c r="C19" s="49" t="s">
        <v>143</v>
      </c>
      <c r="D19" s="50" t="s">
        <v>111</v>
      </c>
      <c r="E19" s="50" t="s">
        <v>156</v>
      </c>
      <c r="F19" s="76">
        <v>0</v>
      </c>
      <c r="G19" s="76">
        <v>0</v>
      </c>
      <c r="H19" s="76">
        <v>128888.63</v>
      </c>
      <c r="I19" s="76">
        <v>38912.660000000003</v>
      </c>
      <c r="J19" s="76">
        <v>4019.71</v>
      </c>
      <c r="K19" s="76">
        <v>813.19</v>
      </c>
      <c r="L19" s="76">
        <v>1194.4900000000002</v>
      </c>
      <c r="M19" s="76">
        <v>1232.1099999999999</v>
      </c>
      <c r="N19" s="76">
        <v>-8600.4900000000107</v>
      </c>
      <c r="O19" s="76"/>
      <c r="P19" s="76"/>
      <c r="Q19" s="76"/>
      <c r="R19" s="95">
        <f t="shared" si="1"/>
        <v>166460.29999999996</v>
      </c>
      <c r="S19" s="95"/>
      <c r="T19" s="45">
        <v>1</v>
      </c>
      <c r="U19" s="76">
        <f t="shared" si="4"/>
        <v>0</v>
      </c>
      <c r="V19" s="76">
        <f t="shared" si="5"/>
        <v>0</v>
      </c>
      <c r="W19" s="76">
        <f t="shared" si="6"/>
        <v>128888.63</v>
      </c>
      <c r="X19" s="76">
        <f t="shared" si="7"/>
        <v>38912.660000000003</v>
      </c>
      <c r="Y19" s="76">
        <f t="shared" si="8"/>
        <v>4019.71</v>
      </c>
      <c r="Z19" s="76">
        <f t="shared" si="9"/>
        <v>813.19</v>
      </c>
      <c r="AA19" s="76">
        <f t="shared" si="10"/>
        <v>1194.4900000000002</v>
      </c>
      <c r="AB19" s="76">
        <f t="shared" si="11"/>
        <v>1232.1099999999999</v>
      </c>
      <c r="AC19" s="76">
        <f t="shared" si="12"/>
        <v>-8600.4900000000107</v>
      </c>
      <c r="AD19" s="76">
        <f t="shared" si="13"/>
        <v>0</v>
      </c>
      <c r="AE19" s="76">
        <f t="shared" si="14"/>
        <v>0</v>
      </c>
      <c r="AF19" s="76">
        <f t="shared" si="15"/>
        <v>0</v>
      </c>
      <c r="AG19" s="95">
        <f t="shared" si="16"/>
        <v>166460.29999999996</v>
      </c>
    </row>
    <row r="20" spans="1:33" s="35" customFormat="1">
      <c r="A20" s="35">
        <v>7141</v>
      </c>
      <c r="B20" s="49" t="s">
        <v>123</v>
      </c>
      <c r="C20" s="49" t="s">
        <v>144</v>
      </c>
      <c r="D20" s="50" t="s">
        <v>111</v>
      </c>
      <c r="E20" s="50" t="s">
        <v>110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217705.87</v>
      </c>
      <c r="L20" s="76">
        <v>598.9</v>
      </c>
      <c r="M20" s="76">
        <v>0</v>
      </c>
      <c r="N20" s="76">
        <v>0</v>
      </c>
      <c r="O20" s="94">
        <v>40336.589999999997</v>
      </c>
      <c r="P20" s="76"/>
      <c r="Q20" s="76"/>
      <c r="R20" s="95">
        <f t="shared" si="1"/>
        <v>258641.36</v>
      </c>
      <c r="S20" s="95"/>
      <c r="T20" s="39">
        <v>0.65639999999999998</v>
      </c>
      <c r="U20" s="76">
        <f t="shared" si="4"/>
        <v>0</v>
      </c>
      <c r="V20" s="76">
        <f t="shared" si="5"/>
        <v>0</v>
      </c>
      <c r="W20" s="76">
        <f t="shared" si="6"/>
        <v>0</v>
      </c>
      <c r="X20" s="76">
        <f t="shared" si="7"/>
        <v>0</v>
      </c>
      <c r="Y20" s="76">
        <f t="shared" si="8"/>
        <v>0</v>
      </c>
      <c r="Z20" s="76">
        <f t="shared" si="9"/>
        <v>142902.133068</v>
      </c>
      <c r="AA20" s="76">
        <f t="shared" si="10"/>
        <v>393.11795999999998</v>
      </c>
      <c r="AB20" s="76">
        <f t="shared" si="11"/>
        <v>0</v>
      </c>
      <c r="AC20" s="76">
        <f t="shared" si="12"/>
        <v>0</v>
      </c>
      <c r="AD20" s="76">
        <f t="shared" si="13"/>
        <v>26476.937675999998</v>
      </c>
      <c r="AE20" s="76">
        <f t="shared" si="14"/>
        <v>0</v>
      </c>
      <c r="AF20" s="76">
        <f t="shared" si="15"/>
        <v>0</v>
      </c>
      <c r="AG20" s="95">
        <f t="shared" si="16"/>
        <v>169772.188704</v>
      </c>
    </row>
    <row r="21" spans="1:33" s="35" customFormat="1">
      <c r="A21" s="35">
        <v>7141</v>
      </c>
      <c r="B21" s="49" t="s">
        <v>123</v>
      </c>
      <c r="C21" s="49" t="s">
        <v>41</v>
      </c>
      <c r="D21" s="50" t="s">
        <v>111</v>
      </c>
      <c r="E21" s="50" t="s">
        <v>110</v>
      </c>
      <c r="F21" s="76">
        <v>0</v>
      </c>
      <c r="G21" s="76">
        <v>-6174</v>
      </c>
      <c r="H21" s="76">
        <v>0</v>
      </c>
      <c r="I21" s="76">
        <v>121701.98</v>
      </c>
      <c r="J21" s="76">
        <v>199.81</v>
      </c>
      <c r="K21" s="76">
        <v>1371.29</v>
      </c>
      <c r="L21" s="76">
        <v>-32.229999999999997</v>
      </c>
      <c r="M21" s="76">
        <v>524.72</v>
      </c>
      <c r="N21" s="76">
        <v>0</v>
      </c>
      <c r="O21" s="94">
        <v>1632</v>
      </c>
      <c r="P21" s="76"/>
      <c r="Q21" s="76"/>
      <c r="R21" s="95">
        <f t="shared" si="1"/>
        <v>119223.56999999999</v>
      </c>
      <c r="S21" s="95"/>
      <c r="T21" s="39">
        <v>0.65639999999999998</v>
      </c>
      <c r="U21" s="76">
        <f t="shared" si="4"/>
        <v>0</v>
      </c>
      <c r="V21" s="76">
        <f t="shared" si="5"/>
        <v>-4052.6135999999997</v>
      </c>
      <c r="W21" s="76">
        <f t="shared" si="6"/>
        <v>0</v>
      </c>
      <c r="X21" s="76">
        <f t="shared" si="7"/>
        <v>79885.179671999998</v>
      </c>
      <c r="Y21" s="76">
        <f t="shared" si="8"/>
        <v>131.15528399999999</v>
      </c>
      <c r="Z21" s="76">
        <f t="shared" si="9"/>
        <v>900.11475599999994</v>
      </c>
      <c r="AA21" s="76">
        <f t="shared" si="10"/>
        <v>-21.155771999999999</v>
      </c>
      <c r="AB21" s="76">
        <f t="shared" si="11"/>
        <v>344.42620800000003</v>
      </c>
      <c r="AC21" s="76">
        <f t="shared" si="12"/>
        <v>0</v>
      </c>
      <c r="AD21" s="76">
        <f t="shared" si="13"/>
        <v>1071.2447999999999</v>
      </c>
      <c r="AE21" s="76">
        <f t="shared" si="14"/>
        <v>0</v>
      </c>
      <c r="AF21" s="76">
        <f t="shared" si="15"/>
        <v>0</v>
      </c>
      <c r="AG21" s="95">
        <f t="shared" si="16"/>
        <v>78258.351347999997</v>
      </c>
    </row>
    <row r="22" spans="1:33">
      <c r="A22" s="17">
        <v>7141</v>
      </c>
      <c r="B22" s="49" t="s">
        <v>124</v>
      </c>
      <c r="C22" s="49" t="s">
        <v>42</v>
      </c>
      <c r="D22" s="50" t="s">
        <v>111</v>
      </c>
      <c r="E22" s="50" t="s">
        <v>109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35608.01</v>
      </c>
      <c r="L22" s="2">
        <v>279.01</v>
      </c>
      <c r="M22" s="2">
        <v>168.78</v>
      </c>
      <c r="N22" s="2">
        <v>155.01999999999998</v>
      </c>
      <c r="O22" s="2">
        <v>50.97</v>
      </c>
      <c r="P22" s="2"/>
      <c r="Q22" s="2"/>
      <c r="R22" s="24">
        <f t="shared" si="1"/>
        <v>36261.79</v>
      </c>
      <c r="S22" s="24"/>
      <c r="T22" s="45">
        <v>0</v>
      </c>
      <c r="U22" s="2">
        <f t="shared" si="4"/>
        <v>0</v>
      </c>
      <c r="V22" s="2">
        <f t="shared" si="5"/>
        <v>0</v>
      </c>
      <c r="W22" s="2">
        <f t="shared" si="6"/>
        <v>0</v>
      </c>
      <c r="X22" s="2">
        <f t="shared" si="7"/>
        <v>0</v>
      </c>
      <c r="Y22" s="2">
        <f t="shared" si="8"/>
        <v>0</v>
      </c>
      <c r="Z22" s="2">
        <f t="shared" si="9"/>
        <v>0</v>
      </c>
      <c r="AA22" s="2">
        <f t="shared" si="10"/>
        <v>0</v>
      </c>
      <c r="AB22" s="2">
        <f t="shared" si="11"/>
        <v>0</v>
      </c>
      <c r="AC22" s="2">
        <f t="shared" si="12"/>
        <v>0</v>
      </c>
      <c r="AD22" s="2">
        <f t="shared" si="13"/>
        <v>0</v>
      </c>
      <c r="AE22" s="2">
        <f t="shared" si="14"/>
        <v>0</v>
      </c>
      <c r="AF22" s="2">
        <f t="shared" si="15"/>
        <v>0</v>
      </c>
      <c r="AG22" s="24">
        <f t="shared" si="16"/>
        <v>0</v>
      </c>
    </row>
    <row r="23" spans="1:33">
      <c r="A23" s="17">
        <v>7141</v>
      </c>
      <c r="B23" s="49" t="s">
        <v>124</v>
      </c>
      <c r="C23" s="49" t="s">
        <v>42</v>
      </c>
      <c r="D23" s="50" t="s">
        <v>111</v>
      </c>
      <c r="E23" s="50" t="s">
        <v>156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92465.36</v>
      </c>
      <c r="L23" s="2">
        <v>309.68</v>
      </c>
      <c r="M23" s="2">
        <v>190.94</v>
      </c>
      <c r="N23" s="2">
        <v>0</v>
      </c>
      <c r="O23" s="2">
        <v>251.06</v>
      </c>
      <c r="P23" s="2"/>
      <c r="Q23" s="2"/>
      <c r="R23" s="24">
        <f t="shared" si="1"/>
        <v>93217.04</v>
      </c>
      <c r="S23" s="24"/>
      <c r="T23" s="45">
        <v>1</v>
      </c>
      <c r="U23" s="2">
        <f t="shared" si="4"/>
        <v>0</v>
      </c>
      <c r="V23" s="2">
        <f t="shared" si="5"/>
        <v>0</v>
      </c>
      <c r="W23" s="2">
        <f t="shared" si="6"/>
        <v>0</v>
      </c>
      <c r="X23" s="2">
        <f t="shared" si="7"/>
        <v>0</v>
      </c>
      <c r="Y23" s="2">
        <f t="shared" si="8"/>
        <v>0</v>
      </c>
      <c r="Z23" s="2">
        <f t="shared" si="9"/>
        <v>92465.36</v>
      </c>
      <c r="AA23" s="2">
        <f t="shared" si="10"/>
        <v>309.68</v>
      </c>
      <c r="AB23" s="2">
        <f t="shared" si="11"/>
        <v>190.94</v>
      </c>
      <c r="AC23" s="2">
        <f t="shared" si="12"/>
        <v>0</v>
      </c>
      <c r="AD23" s="2">
        <f t="shared" si="13"/>
        <v>251.06</v>
      </c>
      <c r="AE23" s="2">
        <f t="shared" si="14"/>
        <v>0</v>
      </c>
      <c r="AF23" s="2">
        <f t="shared" si="15"/>
        <v>0</v>
      </c>
      <c r="AG23" s="24">
        <f t="shared" si="16"/>
        <v>93217.04</v>
      </c>
    </row>
    <row r="24" spans="1:33">
      <c r="A24" s="17">
        <v>7141</v>
      </c>
      <c r="B24" s="49" t="s">
        <v>124</v>
      </c>
      <c r="C24" s="49" t="s">
        <v>143</v>
      </c>
      <c r="D24" s="50" t="s">
        <v>111</v>
      </c>
      <c r="E24" s="50" t="s">
        <v>110</v>
      </c>
      <c r="F24" s="2">
        <v>0</v>
      </c>
      <c r="G24" s="2">
        <v>0</v>
      </c>
      <c r="H24" s="2">
        <v>0</v>
      </c>
      <c r="I24" s="2">
        <v>63659.75</v>
      </c>
      <c r="J24" s="2">
        <v>669.25</v>
      </c>
      <c r="K24" s="2">
        <v>277271.31</v>
      </c>
      <c r="L24" s="2">
        <v>-69.86</v>
      </c>
      <c r="M24" s="2">
        <v>43.769999999999982</v>
      </c>
      <c r="N24" s="2">
        <v>218.18</v>
      </c>
      <c r="O24" s="3">
        <v>2572.8499999999995</v>
      </c>
      <c r="P24" s="3">
        <v>0</v>
      </c>
      <c r="Q24" s="3">
        <v>66280.75</v>
      </c>
      <c r="R24" s="24">
        <f t="shared" si="1"/>
        <v>410646</v>
      </c>
      <c r="S24" s="24"/>
      <c r="T24" s="39">
        <v>0.69189000000000001</v>
      </c>
      <c r="U24" s="2">
        <f t="shared" si="4"/>
        <v>0</v>
      </c>
      <c r="V24" s="2">
        <f t="shared" si="5"/>
        <v>0</v>
      </c>
      <c r="W24" s="2">
        <f t="shared" si="6"/>
        <v>0</v>
      </c>
      <c r="X24" s="2">
        <f t="shared" si="7"/>
        <v>44045.544427499997</v>
      </c>
      <c r="Y24" s="2">
        <f t="shared" si="8"/>
        <v>463.04738250000003</v>
      </c>
      <c r="Z24" s="2">
        <f t="shared" si="9"/>
        <v>191841.24667590001</v>
      </c>
      <c r="AA24" s="2">
        <f t="shared" si="10"/>
        <v>-48.335435400000001</v>
      </c>
      <c r="AB24" s="2">
        <f t="shared" si="11"/>
        <v>30.284025299999989</v>
      </c>
      <c r="AC24" s="2">
        <f t="shared" si="12"/>
        <v>150.95656020000001</v>
      </c>
      <c r="AD24" s="2">
        <f t="shared" si="13"/>
        <v>1780.1291864999996</v>
      </c>
      <c r="AE24" s="2">
        <f t="shared" si="14"/>
        <v>0</v>
      </c>
      <c r="AF24" s="2">
        <f t="shared" si="15"/>
        <v>45858.988117499997</v>
      </c>
      <c r="AG24" s="24">
        <f t="shared" si="16"/>
        <v>284121.86094000004</v>
      </c>
    </row>
    <row r="25" spans="1:33">
      <c r="A25" s="17">
        <v>7141</v>
      </c>
      <c r="B25" s="49" t="s">
        <v>124</v>
      </c>
      <c r="C25" s="49" t="s">
        <v>143</v>
      </c>
      <c r="D25" s="50" t="s">
        <v>111</v>
      </c>
      <c r="E25" s="50" t="s">
        <v>109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115995.17</v>
      </c>
      <c r="L25" s="34">
        <v>773.21</v>
      </c>
      <c r="M25" s="34">
        <v>557.01</v>
      </c>
      <c r="N25" s="34">
        <v>485.39</v>
      </c>
      <c r="O25" s="34"/>
      <c r="P25" s="34"/>
      <c r="Q25" s="34"/>
      <c r="R25" s="24">
        <f t="shared" si="1"/>
        <v>117810.78</v>
      </c>
      <c r="T25" s="45">
        <v>0</v>
      </c>
      <c r="U25" s="2">
        <f t="shared" ref="U25:AF27" si="18">+$T25*F25</f>
        <v>0</v>
      </c>
      <c r="V25" s="2">
        <f t="shared" si="18"/>
        <v>0</v>
      </c>
      <c r="W25" s="2">
        <f t="shared" si="18"/>
        <v>0</v>
      </c>
      <c r="X25" s="2">
        <f t="shared" si="18"/>
        <v>0</v>
      </c>
      <c r="Y25" s="2">
        <f t="shared" si="18"/>
        <v>0</v>
      </c>
      <c r="Z25" s="2">
        <f t="shared" si="18"/>
        <v>0</v>
      </c>
      <c r="AA25" s="2">
        <f t="shared" si="18"/>
        <v>0</v>
      </c>
      <c r="AB25" s="2">
        <f t="shared" si="18"/>
        <v>0</v>
      </c>
      <c r="AC25" s="2">
        <f t="shared" si="18"/>
        <v>0</v>
      </c>
      <c r="AD25" s="2">
        <f t="shared" si="18"/>
        <v>0</v>
      </c>
      <c r="AE25" s="2">
        <f t="shared" si="18"/>
        <v>0</v>
      </c>
      <c r="AF25" s="2">
        <f t="shared" si="18"/>
        <v>0</v>
      </c>
      <c r="AG25" s="24">
        <f t="shared" si="3"/>
        <v>0</v>
      </c>
    </row>
    <row r="26" spans="1:33">
      <c r="A26" s="17">
        <v>7141</v>
      </c>
      <c r="B26" s="49" t="s">
        <v>124</v>
      </c>
      <c r="C26" s="49" t="s">
        <v>143</v>
      </c>
      <c r="D26" s="50" t="s">
        <v>111</v>
      </c>
      <c r="E26" s="50" t="s">
        <v>156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2.23</v>
      </c>
      <c r="L26" s="2">
        <v>0</v>
      </c>
      <c r="M26" s="34">
        <v>0</v>
      </c>
      <c r="N26" s="34">
        <v>0</v>
      </c>
      <c r="O26" s="34"/>
      <c r="P26" s="34"/>
      <c r="Q26" s="34"/>
      <c r="R26" s="24">
        <f t="shared" si="1"/>
        <v>2.23</v>
      </c>
      <c r="T26" s="45">
        <v>1</v>
      </c>
      <c r="U26" s="2">
        <f t="shared" si="18"/>
        <v>0</v>
      </c>
      <c r="V26" s="2">
        <f t="shared" si="18"/>
        <v>0</v>
      </c>
      <c r="W26" s="2">
        <f t="shared" si="18"/>
        <v>0</v>
      </c>
      <c r="X26" s="2">
        <f t="shared" si="18"/>
        <v>0</v>
      </c>
      <c r="Y26" s="2">
        <f t="shared" si="18"/>
        <v>0</v>
      </c>
      <c r="Z26" s="2">
        <f t="shared" si="18"/>
        <v>2.23</v>
      </c>
      <c r="AA26" s="2">
        <f t="shared" si="18"/>
        <v>0</v>
      </c>
      <c r="AB26" s="2">
        <f t="shared" si="18"/>
        <v>0</v>
      </c>
      <c r="AC26" s="2">
        <f t="shared" si="18"/>
        <v>0</v>
      </c>
      <c r="AD26" s="2">
        <f t="shared" si="18"/>
        <v>0</v>
      </c>
      <c r="AE26" s="2">
        <f t="shared" si="18"/>
        <v>0</v>
      </c>
      <c r="AF26" s="2">
        <f t="shared" si="18"/>
        <v>0</v>
      </c>
      <c r="AG26" s="24">
        <f t="shared" si="3"/>
        <v>2.23</v>
      </c>
    </row>
    <row r="27" spans="1:33">
      <c r="A27" s="17">
        <v>7141</v>
      </c>
      <c r="B27" s="49" t="s">
        <v>124</v>
      </c>
      <c r="C27" s="49" t="s">
        <v>41</v>
      </c>
      <c r="D27" s="50" t="s">
        <v>111</v>
      </c>
      <c r="E27" s="50" t="s">
        <v>110</v>
      </c>
      <c r="F27" s="34">
        <v>368.83</v>
      </c>
      <c r="G27" s="34">
        <v>0</v>
      </c>
      <c r="H27" s="34">
        <v>276930.19000000006</v>
      </c>
      <c r="I27" s="34">
        <v>155060.75</v>
      </c>
      <c r="J27" s="34">
        <v>19016.280000000002</v>
      </c>
      <c r="K27" s="34">
        <v>85522.47</v>
      </c>
      <c r="L27" s="2">
        <v>-1054.3399999999999</v>
      </c>
      <c r="M27" s="34">
        <v>-21970.37000000001</v>
      </c>
      <c r="N27" s="34">
        <v>2979.73</v>
      </c>
      <c r="O27" s="93">
        <v>1549.6099999999931</v>
      </c>
      <c r="P27" s="93"/>
      <c r="Q27" s="93">
        <v>-64910.96</v>
      </c>
      <c r="R27" s="24">
        <f t="shared" si="1"/>
        <v>453492.19000000012</v>
      </c>
      <c r="T27" s="79">
        <v>0.65639999999999998</v>
      </c>
      <c r="U27" s="2">
        <f t="shared" si="18"/>
        <v>242.10001199999999</v>
      </c>
      <c r="V27" s="2">
        <f t="shared" si="18"/>
        <v>0</v>
      </c>
      <c r="W27" s="2">
        <f t="shared" si="18"/>
        <v>181776.97671600003</v>
      </c>
      <c r="X27" s="2">
        <f t="shared" si="18"/>
        <v>101781.8763</v>
      </c>
      <c r="Y27" s="2">
        <f t="shared" si="18"/>
        <v>12482.286192000001</v>
      </c>
      <c r="Z27" s="2">
        <f t="shared" si="18"/>
        <v>56136.949308000003</v>
      </c>
      <c r="AA27" s="2">
        <f t="shared" si="18"/>
        <v>-692.06877599999996</v>
      </c>
      <c r="AB27" s="2">
        <f t="shared" si="18"/>
        <v>-14421.350868000007</v>
      </c>
      <c r="AC27" s="2">
        <f t="shared" si="18"/>
        <v>1955.8947719999999</v>
      </c>
      <c r="AD27" s="2">
        <f t="shared" si="18"/>
        <v>1017.1640039999954</v>
      </c>
      <c r="AE27" s="2">
        <f t="shared" si="18"/>
        <v>0</v>
      </c>
      <c r="AF27" s="2">
        <f t="shared" si="18"/>
        <v>-42607.554144000002</v>
      </c>
      <c r="AG27" s="24">
        <f t="shared" si="3"/>
        <v>297672.27351600013</v>
      </c>
    </row>
    <row r="28" spans="1:33">
      <c r="B28" s="49"/>
      <c r="C28" s="49"/>
      <c r="D28" s="50"/>
      <c r="E28" s="50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4"/>
      <c r="T28" s="3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4"/>
    </row>
    <row r="29" spans="1:33" ht="15.75" thickBot="1">
      <c r="B29" s="41"/>
      <c r="C29" s="41"/>
      <c r="D29"/>
      <c r="E29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4"/>
      <c r="T29" s="3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4">
        <f t="shared" ref="AG29" si="19">SUM(U29:AF29)</f>
        <v>0</v>
      </c>
    </row>
    <row r="30" spans="1:33" ht="15.75" thickBot="1"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9">
        <f>SUM(R4:R29)</f>
        <v>10488292.9</v>
      </c>
      <c r="S30" s="43"/>
      <c r="U30" s="75">
        <f t="shared" ref="U30:Z30" si="20">SUM(U4:U29)</f>
        <v>260432.41561678264</v>
      </c>
      <c r="V30" s="75">
        <f t="shared" si="20"/>
        <v>182237.28096957612</v>
      </c>
      <c r="W30" s="75">
        <f t="shared" si="20"/>
        <v>501504.67066838848</v>
      </c>
      <c r="X30" s="75">
        <f t="shared" si="20"/>
        <v>1525043.5610908875</v>
      </c>
      <c r="Y30" s="75">
        <f t="shared" si="20"/>
        <v>883434.84595174459</v>
      </c>
      <c r="Z30" s="75">
        <f t="shared" si="20"/>
        <v>3195187.7741533704</v>
      </c>
      <c r="AA30" s="75">
        <f t="shared" ref="AA30:AF30" si="21">SUM(AA4:AA29)</f>
        <v>19833.582009423171</v>
      </c>
      <c r="AB30" s="75">
        <f t="shared" si="21"/>
        <v>-573.99240772791018</v>
      </c>
      <c r="AC30" s="75">
        <f t="shared" si="21"/>
        <v>13242.270207831867</v>
      </c>
      <c r="AD30" s="75">
        <f t="shared" si="21"/>
        <v>32278.802710356693</v>
      </c>
      <c r="AE30" s="75">
        <f t="shared" si="21"/>
        <v>16353.29286566309</v>
      </c>
      <c r="AF30" s="75">
        <f t="shared" si="21"/>
        <v>5363.5400584337622</v>
      </c>
      <c r="AG30" s="19">
        <f>SUM(AG4:AG29)</f>
        <v>6634338.0438947296</v>
      </c>
    </row>
    <row r="31" spans="1:33">
      <c r="R31" s="47" t="s">
        <v>135</v>
      </c>
      <c r="S31" s="22"/>
      <c r="AG31" s="47" t="str">
        <f>+R31</f>
        <v>EIM 2021 PF</v>
      </c>
    </row>
    <row r="32" spans="1:33">
      <c r="R32" s="63" t="s">
        <v>147</v>
      </c>
      <c r="AG32" s="64" t="s">
        <v>149</v>
      </c>
    </row>
    <row r="33" spans="6:27">
      <c r="V33" s="34"/>
    </row>
    <row r="35" spans="6:27"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46" spans="6:27">
      <c r="AA46" s="65" t="s">
        <v>150</v>
      </c>
    </row>
    <row r="70" spans="2:20">
      <c r="B70" s="17" t="s">
        <v>133</v>
      </c>
      <c r="C70" s="17" t="s">
        <v>42</v>
      </c>
      <c r="D70" s="17" t="s">
        <v>111</v>
      </c>
      <c r="E70" s="17" t="s">
        <v>110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270864.74277056294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270864.74277056294</v>
      </c>
      <c r="T70" s="44">
        <v>0.69089999999999996</v>
      </c>
    </row>
    <row r="71" spans="2:20">
      <c r="B71" s="17" t="s">
        <v>123</v>
      </c>
      <c r="C71" s="17" t="s">
        <v>41</v>
      </c>
      <c r="D71" s="17" t="s">
        <v>111</v>
      </c>
      <c r="E71" s="17" t="s">
        <v>110</v>
      </c>
      <c r="F71" s="17">
        <v>0</v>
      </c>
      <c r="G71" s="17">
        <v>0</v>
      </c>
      <c r="H71" s="17">
        <v>0</v>
      </c>
      <c r="I71" s="17">
        <v>162201.59944758663</v>
      </c>
      <c r="J71" s="17">
        <v>162201.59944758663</v>
      </c>
      <c r="K71" s="17">
        <v>696790.59944758669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1021193.79834276</v>
      </c>
      <c r="T71" s="45">
        <v>0.65639999999999998</v>
      </c>
    </row>
    <row r="72" spans="2:20">
      <c r="B72" s="17" t="s">
        <v>124</v>
      </c>
      <c r="C72" s="17" t="s">
        <v>41</v>
      </c>
      <c r="D72" s="17" t="s">
        <v>111</v>
      </c>
      <c r="E72" s="17" t="s">
        <v>110</v>
      </c>
      <c r="F72" s="17">
        <v>178239.24236798714</v>
      </c>
      <c r="G72" s="17">
        <v>178239.24236798714</v>
      </c>
      <c r="H72" s="17">
        <v>178239.24236798714</v>
      </c>
      <c r="I72" s="17">
        <v>178239.24236798714</v>
      </c>
      <c r="J72" s="17">
        <v>178239.24236798714</v>
      </c>
      <c r="K72" s="17">
        <v>157434.24236798714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1048630.4542079228</v>
      </c>
      <c r="T72" s="45">
        <v>0.65639999999999998</v>
      </c>
    </row>
    <row r="73" spans="2:20">
      <c r="B73" s="17" t="s">
        <v>125</v>
      </c>
      <c r="C73" s="17" t="s">
        <v>130</v>
      </c>
      <c r="D73" s="17" t="s">
        <v>111</v>
      </c>
      <c r="E73" s="17" t="s">
        <v>110</v>
      </c>
      <c r="F73" s="17">
        <v>0</v>
      </c>
      <c r="G73" s="17">
        <v>0</v>
      </c>
      <c r="H73" s="17">
        <v>260950.63795104434</v>
      </c>
      <c r="I73" s="17">
        <v>87748.637951044322</v>
      </c>
      <c r="J73" s="17">
        <v>87748.637951044322</v>
      </c>
      <c r="K73" s="17">
        <v>87748.637951044322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524196.55180417729</v>
      </c>
      <c r="T73" s="17">
        <v>0.69189999999999996</v>
      </c>
    </row>
    <row r="74" spans="2:20">
      <c r="B74" s="17" t="s">
        <v>126</v>
      </c>
      <c r="C74" s="17" t="s">
        <v>131</v>
      </c>
      <c r="D74" s="17" t="s">
        <v>111</v>
      </c>
      <c r="E74" s="17" t="s">
        <v>110</v>
      </c>
      <c r="F74" s="17">
        <v>0</v>
      </c>
      <c r="G74" s="17">
        <v>0</v>
      </c>
      <c r="H74" s="17">
        <v>0</v>
      </c>
      <c r="I74" s="17">
        <v>322248.38258207403</v>
      </c>
      <c r="J74" s="17">
        <v>108248.38258207406</v>
      </c>
      <c r="K74" s="17">
        <v>409598.38258207403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840095.14774622209</v>
      </c>
      <c r="T74" s="17">
        <v>0.65639999999999998</v>
      </c>
    </row>
    <row r="75" spans="2:20">
      <c r="B75" s="17" t="s">
        <v>127</v>
      </c>
      <c r="C75" s="17" t="s">
        <v>131</v>
      </c>
      <c r="D75" s="17" t="s">
        <v>111</v>
      </c>
      <c r="E75" s="17" t="s">
        <v>110</v>
      </c>
      <c r="F75" s="17">
        <v>0</v>
      </c>
      <c r="G75" s="17">
        <v>0</v>
      </c>
      <c r="H75" s="17">
        <v>0</v>
      </c>
      <c r="I75" s="17">
        <v>698074.4441648738</v>
      </c>
      <c r="J75" s="17">
        <v>488014.4441648738</v>
      </c>
      <c r="K75" s="17">
        <v>97974.444164873799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1284063.3324946214</v>
      </c>
      <c r="T75" s="17">
        <v>0.65639999999999998</v>
      </c>
    </row>
    <row r="76" spans="2:20">
      <c r="B76" s="17" t="s">
        <v>134</v>
      </c>
      <c r="C76" s="17" t="s">
        <v>131</v>
      </c>
      <c r="D76" s="17" t="s">
        <v>111</v>
      </c>
      <c r="E76" s="17" t="s">
        <v>110</v>
      </c>
      <c r="F76" s="17">
        <v>0</v>
      </c>
      <c r="G76" s="17">
        <v>0</v>
      </c>
      <c r="H76" s="17">
        <v>0</v>
      </c>
      <c r="I76" s="17">
        <v>0</v>
      </c>
      <c r="J76" s="17">
        <v>1889933.3706181389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1889933.3706181389</v>
      </c>
      <c r="T76" s="17">
        <v>0.65639999999999998</v>
      </c>
    </row>
    <row r="77" spans="2:20">
      <c r="B77" s="17" t="s">
        <v>128</v>
      </c>
      <c r="C77" s="17" t="s">
        <v>120</v>
      </c>
      <c r="D77" s="17" t="s">
        <v>111</v>
      </c>
      <c r="E77" s="17" t="s">
        <v>110</v>
      </c>
      <c r="F77" s="17">
        <v>0</v>
      </c>
      <c r="G77" s="17">
        <v>0</v>
      </c>
      <c r="H77" s="17">
        <v>0</v>
      </c>
      <c r="I77" s="17">
        <v>4091017.8719546576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4091017.8719546576</v>
      </c>
      <c r="T77" s="17">
        <v>0.69189999999999996</v>
      </c>
    </row>
    <row r="78" spans="2:20">
      <c r="B78" s="17" t="s">
        <v>129</v>
      </c>
      <c r="C78" s="17" t="s">
        <v>120</v>
      </c>
      <c r="D78" s="17" t="s">
        <v>132</v>
      </c>
      <c r="E78" s="17" t="s">
        <v>138</v>
      </c>
      <c r="F78" s="17">
        <v>233915.29167682279</v>
      </c>
      <c r="G78" s="17">
        <v>233915.29167682279</v>
      </c>
      <c r="H78" s="17">
        <v>233915.29167682279</v>
      </c>
      <c r="I78" s="17">
        <v>235397.69501015614</v>
      </c>
      <c r="J78" s="17">
        <v>235397.69501015614</v>
      </c>
      <c r="K78" s="17">
        <v>235397.69501015614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1407938.9600609366</v>
      </c>
      <c r="T78" s="17">
        <v>0.48309143579999997</v>
      </c>
    </row>
  </sheetData>
  <autoFilter ref="A3:AG3" xr:uid="{502296A4-4846-45EC-B0B6-31F5E1A65F75}"/>
  <pageMargins left="0.7" right="0.7" top="0.75" bottom="0.75" header="0.3" footer="0.3"/>
  <pageSetup scale="55" orientation="landscape" horizontalDpi="1200" verticalDpi="1200" r:id="rId1"/>
  <headerFooter>
    <oddHeader>&amp;CAttachment A
January 14, 2022 EIM Capital Report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</sheetPr>
  <dimension ref="A1:AG9"/>
  <sheetViews>
    <sheetView topLeftCell="H1" workbookViewId="0">
      <selection activeCell="AG6" sqref="AG6"/>
    </sheetView>
  </sheetViews>
  <sheetFormatPr defaultColWidth="9.140625" defaultRowHeight="15" outlineLevelCol="1"/>
  <cols>
    <col min="1" max="1" width="6.5703125" style="17" customWidth="1"/>
    <col min="2" max="2" width="32.42578125" style="17" customWidth="1"/>
    <col min="3" max="3" width="19.42578125" style="17" customWidth="1"/>
    <col min="4" max="4" width="7.140625" style="17" customWidth="1"/>
    <col min="5" max="5" width="6" style="17" customWidth="1"/>
    <col min="6" max="6" width="12.7109375" style="17" bestFit="1" customWidth="1" outlineLevel="1"/>
    <col min="7" max="17" width="8.42578125" style="17" bestFit="1" customWidth="1" outlineLevel="1"/>
    <col min="18" max="18" width="26.42578125" style="17" bestFit="1" customWidth="1"/>
    <col min="19" max="19" width="9" style="17" customWidth="1"/>
    <col min="20" max="20" width="16" style="17" customWidth="1"/>
    <col min="21" max="22" width="8.42578125" style="17" bestFit="1" customWidth="1"/>
    <col min="23" max="23" width="14.28515625" style="17" bestFit="1" customWidth="1"/>
    <col min="24" max="25" width="9" style="17" bestFit="1" customWidth="1"/>
    <col min="26" max="32" width="8.42578125" style="17" bestFit="1" customWidth="1"/>
    <col min="33" max="33" width="15.5703125" style="17" customWidth="1"/>
    <col min="34" max="16384" width="9.140625" style="17"/>
  </cols>
  <sheetData>
    <row r="1" spans="1:33">
      <c r="A1" s="16" t="s">
        <v>121</v>
      </c>
      <c r="F1" s="20" t="s">
        <v>118</v>
      </c>
      <c r="O1" s="40"/>
      <c r="T1" s="20" t="s">
        <v>117</v>
      </c>
      <c r="U1" s="17">
        <v>1</v>
      </c>
      <c r="V1" s="17">
        <v>2</v>
      </c>
      <c r="W1" s="17">
        <v>3</v>
      </c>
      <c r="X1" s="17">
        <v>4</v>
      </c>
      <c r="Y1" s="17">
        <v>5</v>
      </c>
      <c r="Z1" s="17">
        <v>6</v>
      </c>
      <c r="AA1" s="17">
        <v>7</v>
      </c>
      <c r="AB1" s="17">
        <v>8</v>
      </c>
      <c r="AC1" s="17">
        <v>9</v>
      </c>
      <c r="AD1" s="17">
        <v>10</v>
      </c>
      <c r="AE1" s="17">
        <v>11</v>
      </c>
      <c r="AF1" s="17">
        <v>12</v>
      </c>
    </row>
    <row r="2" spans="1:33">
      <c r="F2" s="17" t="s">
        <v>25</v>
      </c>
      <c r="G2" s="17" t="s">
        <v>25</v>
      </c>
      <c r="H2" s="17" t="s">
        <v>25</v>
      </c>
      <c r="I2" s="17" t="s">
        <v>25</v>
      </c>
      <c r="J2" s="17" t="s">
        <v>25</v>
      </c>
      <c r="K2" s="17" t="s">
        <v>25</v>
      </c>
      <c r="L2" s="17" t="s">
        <v>25</v>
      </c>
      <c r="M2" s="17" t="s">
        <v>25</v>
      </c>
      <c r="N2" s="17" t="s">
        <v>25</v>
      </c>
      <c r="O2" s="17" t="s">
        <v>25</v>
      </c>
      <c r="P2" s="17" t="s">
        <v>25</v>
      </c>
      <c r="Q2" s="17" t="s">
        <v>25</v>
      </c>
      <c r="R2" s="37" t="s">
        <v>119</v>
      </c>
      <c r="S2" s="37"/>
      <c r="U2" s="17" t="s">
        <v>25</v>
      </c>
      <c r="V2" s="17" t="s">
        <v>25</v>
      </c>
      <c r="W2" s="17" t="s">
        <v>25</v>
      </c>
      <c r="X2" s="17" t="s">
        <v>25</v>
      </c>
      <c r="Y2" s="17" t="s">
        <v>25</v>
      </c>
      <c r="Z2" s="17" t="s">
        <v>25</v>
      </c>
      <c r="AA2" s="17" t="s">
        <v>25</v>
      </c>
      <c r="AB2" s="17" t="s">
        <v>25</v>
      </c>
      <c r="AC2" s="17" t="s">
        <v>25</v>
      </c>
      <c r="AD2" s="17" t="s">
        <v>25</v>
      </c>
      <c r="AE2" s="17" t="s">
        <v>25</v>
      </c>
      <c r="AF2" s="17" t="s">
        <v>25</v>
      </c>
      <c r="AG2" s="37" t="s">
        <v>119</v>
      </c>
    </row>
    <row r="3" spans="1:33">
      <c r="A3" s="17" t="s">
        <v>26</v>
      </c>
      <c r="B3" s="42" t="s">
        <v>107</v>
      </c>
      <c r="C3" s="17" t="s">
        <v>27</v>
      </c>
      <c r="D3" s="37" t="s">
        <v>112</v>
      </c>
      <c r="E3" s="37" t="s">
        <v>108</v>
      </c>
      <c r="F3" s="17" t="s">
        <v>29</v>
      </c>
      <c r="G3" s="17" t="s">
        <v>30</v>
      </c>
      <c r="H3" s="17" t="s">
        <v>31</v>
      </c>
      <c r="I3" s="17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7" t="s">
        <v>37</v>
      </c>
      <c r="O3" s="17" t="s">
        <v>38</v>
      </c>
      <c r="P3" s="17" t="s">
        <v>39</v>
      </c>
      <c r="Q3" s="17" t="s">
        <v>40</v>
      </c>
      <c r="R3" s="37" t="s">
        <v>113</v>
      </c>
      <c r="S3" s="37"/>
      <c r="T3" s="17" t="s">
        <v>28</v>
      </c>
      <c r="U3" s="17" t="s">
        <v>29</v>
      </c>
      <c r="V3" s="17" t="s">
        <v>30</v>
      </c>
      <c r="W3" s="17" t="s">
        <v>31</v>
      </c>
      <c r="X3" s="17" t="s">
        <v>32</v>
      </c>
      <c r="Y3" s="17" t="s">
        <v>33</v>
      </c>
      <c r="Z3" s="17" t="s">
        <v>34</v>
      </c>
      <c r="AA3" s="17" t="s">
        <v>35</v>
      </c>
      <c r="AB3" s="17" t="s">
        <v>36</v>
      </c>
      <c r="AC3" s="17" t="s">
        <v>37</v>
      </c>
      <c r="AD3" s="17" t="s">
        <v>38</v>
      </c>
      <c r="AE3" s="17" t="s">
        <v>39</v>
      </c>
      <c r="AF3" s="17" t="s">
        <v>40</v>
      </c>
      <c r="AG3" s="37" t="s">
        <v>116</v>
      </c>
    </row>
    <row r="4" spans="1:33">
      <c r="A4" s="17">
        <v>7141</v>
      </c>
      <c r="B4" s="49" t="s">
        <v>128</v>
      </c>
      <c r="C4" s="53" t="s">
        <v>120</v>
      </c>
      <c r="D4" s="54" t="s">
        <v>111</v>
      </c>
      <c r="E4" s="54" t="s">
        <v>110</v>
      </c>
      <c r="F4" s="52">
        <v>0</v>
      </c>
      <c r="G4" s="52">
        <v>0</v>
      </c>
      <c r="H4" s="52">
        <v>9102148.666666666</v>
      </c>
      <c r="I4" s="52">
        <v>1217609.6666666665</v>
      </c>
      <c r="J4" s="52">
        <v>1161944.6666666665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24">
        <f>SUM(F4:Q4)</f>
        <v>11481702.999999998</v>
      </c>
      <c r="S4" s="24"/>
      <c r="T4" s="44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6297776.6624666657</v>
      </c>
      <c r="X4" s="2">
        <f t="shared" si="0"/>
        <v>842464.1283666665</v>
      </c>
      <c r="Y4" s="2">
        <f t="shared" si="0"/>
        <v>803949.51486666652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4">
        <f>SUM(U4:AF4)</f>
        <v>7944190.3056999994</v>
      </c>
    </row>
    <row r="5" spans="1:33" ht="15.75" thickBot="1">
      <c r="B5" s="41"/>
      <c r="C5" s="41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4"/>
      <c r="S5" s="24"/>
      <c r="T5" s="4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4"/>
    </row>
    <row r="6" spans="1:33" ht="15.75" thickBot="1"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1">
        <f>SUM(R4:R5)</f>
        <v>11481702.999999998</v>
      </c>
      <c r="S6" s="43"/>
      <c r="U6" s="25"/>
      <c r="V6" s="25"/>
      <c r="W6" s="21">
        <f>SUM(U4:W4)</f>
        <v>6297776.6624666657</v>
      </c>
      <c r="X6" s="25"/>
      <c r="Y6" s="25"/>
      <c r="Z6" s="25"/>
      <c r="AA6" s="25"/>
      <c r="AB6" s="25"/>
      <c r="AC6" s="25"/>
      <c r="AD6" s="25"/>
      <c r="AE6" s="25"/>
      <c r="AF6" s="25"/>
      <c r="AG6" s="19">
        <f>SUM(AG4:AG5)</f>
        <v>7944190.3056999994</v>
      </c>
    </row>
    <row r="7" spans="1:33">
      <c r="R7" s="47" t="s">
        <v>122</v>
      </c>
      <c r="S7" s="22"/>
      <c r="W7" s="47" t="s">
        <v>172</v>
      </c>
      <c r="AG7" s="47" t="str">
        <f>+R7</f>
        <v>EIM 2022 PF</v>
      </c>
    </row>
    <row r="8" spans="1:33">
      <c r="R8" s="63" t="s">
        <v>147</v>
      </c>
      <c r="W8" s="64" t="s">
        <v>149</v>
      </c>
      <c r="AG8" s="64" t="s">
        <v>149</v>
      </c>
    </row>
    <row r="9" spans="1:33" ht="15" customHeight="1">
      <c r="AG9" s="117" t="s">
        <v>184</v>
      </c>
    </row>
  </sheetData>
  <autoFilter ref="A3:R5" xr:uid="{00000000-0009-0000-0000-000007000000}"/>
  <pageMargins left="0.7" right="0.7" top="0.75" bottom="0.75" header="0.3" footer="0.3"/>
  <pageSetup scale="65" fitToHeight="0" orientation="landscape" r:id="rId1"/>
  <headerFooter>
    <oddHeader>&amp;CAttachment A
January 14, 2022 EIM Capital Report</oddHeader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AG19"/>
  <sheetViews>
    <sheetView topLeftCell="I1" workbookViewId="0">
      <selection activeCell="AF23" sqref="AF23"/>
    </sheetView>
  </sheetViews>
  <sheetFormatPr defaultColWidth="9.140625" defaultRowHeight="15" outlineLevelCol="1"/>
  <cols>
    <col min="1" max="1" width="6.5703125" style="17" customWidth="1"/>
    <col min="2" max="2" width="36" style="17" bestFit="1" customWidth="1"/>
    <col min="3" max="3" width="24" style="17" bestFit="1" customWidth="1"/>
    <col min="4" max="4" width="7.140625" style="17" customWidth="1"/>
    <col min="5" max="5" width="6" style="17" customWidth="1"/>
    <col min="6" max="6" width="12.7109375" style="17" customWidth="1" outlineLevel="1"/>
    <col min="7" max="7" width="8.42578125" style="17" customWidth="1" outlineLevel="1"/>
    <col min="8" max="8" width="9.140625" style="17" customWidth="1" outlineLevel="1"/>
    <col min="9" max="9" width="8.42578125" style="17" customWidth="1" outlineLevel="1"/>
    <col min="10" max="11" width="12.5703125" style="17" customWidth="1" outlineLevel="1"/>
    <col min="12" max="17" width="8.42578125" style="17" customWidth="1" outlineLevel="1"/>
    <col min="18" max="18" width="26.42578125" style="17" bestFit="1" customWidth="1"/>
    <col min="19" max="19" width="9" style="17" customWidth="1"/>
    <col min="20" max="20" width="16" style="17" customWidth="1"/>
    <col min="21" max="22" width="9.5703125" style="17" bestFit="1" customWidth="1"/>
    <col min="23" max="23" width="10.5703125" style="17" bestFit="1" customWidth="1"/>
    <col min="24" max="25" width="9.5703125" style="17" bestFit="1" customWidth="1"/>
    <col min="26" max="26" width="9" style="17" bestFit="1" customWidth="1"/>
    <col min="27" max="32" width="8.42578125" style="17" bestFit="1" customWidth="1"/>
    <col min="33" max="33" width="15.5703125" style="17" customWidth="1"/>
    <col min="34" max="16384" width="9.140625" style="17"/>
  </cols>
  <sheetData>
    <row r="1" spans="1:33">
      <c r="A1" s="16" t="s">
        <v>121</v>
      </c>
      <c r="F1" s="20" t="s">
        <v>118</v>
      </c>
      <c r="O1" s="40"/>
      <c r="T1" s="20" t="s">
        <v>117</v>
      </c>
      <c r="U1" s="17">
        <v>1</v>
      </c>
      <c r="V1" s="17">
        <v>2</v>
      </c>
      <c r="W1" s="17">
        <v>3</v>
      </c>
      <c r="X1" s="17">
        <v>4</v>
      </c>
      <c r="Y1" s="17">
        <v>5</v>
      </c>
      <c r="Z1" s="17">
        <v>6</v>
      </c>
      <c r="AA1" s="17">
        <v>7</v>
      </c>
      <c r="AB1" s="17">
        <v>8</v>
      </c>
      <c r="AC1" s="17">
        <v>9</v>
      </c>
      <c r="AD1" s="17">
        <v>10</v>
      </c>
      <c r="AE1" s="17">
        <v>11</v>
      </c>
      <c r="AF1" s="17">
        <v>12</v>
      </c>
    </row>
    <row r="2" spans="1:33">
      <c r="F2" s="66" t="s">
        <v>151</v>
      </c>
      <c r="G2" s="66" t="s">
        <v>151</v>
      </c>
      <c r="H2" s="66" t="s">
        <v>151</v>
      </c>
      <c r="I2" s="66" t="s">
        <v>151</v>
      </c>
      <c r="J2" s="66" t="s">
        <v>151</v>
      </c>
      <c r="K2" s="66" t="s">
        <v>151</v>
      </c>
      <c r="L2" s="116" t="s">
        <v>179</v>
      </c>
      <c r="M2" s="116" t="s">
        <v>179</v>
      </c>
      <c r="N2" s="116" t="s">
        <v>179</v>
      </c>
      <c r="O2" s="111" t="s">
        <v>179</v>
      </c>
      <c r="P2" s="111" t="s">
        <v>179</v>
      </c>
      <c r="Q2" s="111" t="s">
        <v>179</v>
      </c>
      <c r="R2" s="37"/>
      <c r="S2" s="37"/>
      <c r="U2" s="66" t="s">
        <v>151</v>
      </c>
      <c r="V2" s="66" t="s">
        <v>151</v>
      </c>
      <c r="W2" s="66" t="s">
        <v>151</v>
      </c>
      <c r="X2" s="66" t="s">
        <v>151</v>
      </c>
      <c r="Y2" s="66" t="s">
        <v>151</v>
      </c>
      <c r="Z2" s="66" t="s">
        <v>151</v>
      </c>
      <c r="AA2" s="66" t="s">
        <v>151</v>
      </c>
      <c r="AB2" s="66" t="s">
        <v>151</v>
      </c>
      <c r="AC2" s="66" t="s">
        <v>151</v>
      </c>
      <c r="AD2" s="66" t="s">
        <v>151</v>
      </c>
      <c r="AE2" s="66" t="s">
        <v>151</v>
      </c>
      <c r="AF2" s="66" t="s">
        <v>151</v>
      </c>
      <c r="AG2" s="37"/>
    </row>
    <row r="3" spans="1:33">
      <c r="A3" s="17" t="s">
        <v>26</v>
      </c>
      <c r="B3" s="42" t="s">
        <v>107</v>
      </c>
      <c r="C3" s="17" t="s">
        <v>27</v>
      </c>
      <c r="D3" s="37" t="s">
        <v>112</v>
      </c>
      <c r="E3" s="37" t="s">
        <v>108</v>
      </c>
      <c r="F3" s="17" t="s">
        <v>29</v>
      </c>
      <c r="G3" s="17" t="s">
        <v>30</v>
      </c>
      <c r="H3" s="17" t="s">
        <v>31</v>
      </c>
      <c r="I3" s="17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7" t="s">
        <v>37</v>
      </c>
      <c r="O3" s="17" t="s">
        <v>38</v>
      </c>
      <c r="P3" s="17" t="s">
        <v>39</v>
      </c>
      <c r="Q3" s="17" t="s">
        <v>40</v>
      </c>
      <c r="R3" s="37" t="s">
        <v>113</v>
      </c>
      <c r="S3" s="37"/>
      <c r="T3" s="17" t="s">
        <v>28</v>
      </c>
      <c r="U3" s="17" t="s">
        <v>29</v>
      </c>
      <c r="V3" s="17" t="s">
        <v>30</v>
      </c>
      <c r="W3" s="17" t="s">
        <v>31</v>
      </c>
      <c r="X3" s="17" t="s">
        <v>32</v>
      </c>
      <c r="Y3" s="17" t="s">
        <v>33</v>
      </c>
      <c r="Z3" s="17" t="s">
        <v>34</v>
      </c>
      <c r="AA3" s="17" t="s">
        <v>35</v>
      </c>
      <c r="AB3" s="17" t="s">
        <v>36</v>
      </c>
      <c r="AC3" s="17" t="s">
        <v>37</v>
      </c>
      <c r="AD3" s="17" t="s">
        <v>38</v>
      </c>
      <c r="AE3" s="17" t="s">
        <v>39</v>
      </c>
      <c r="AF3" s="17" t="s">
        <v>40</v>
      </c>
      <c r="AG3" s="37" t="s">
        <v>116</v>
      </c>
    </row>
    <row r="4" spans="1:33">
      <c r="A4" s="17">
        <v>7141</v>
      </c>
      <c r="B4" s="49" t="s">
        <v>129</v>
      </c>
      <c r="C4" s="49" t="s">
        <v>143</v>
      </c>
      <c r="D4" s="54" t="s">
        <v>132</v>
      </c>
      <c r="E4" s="54" t="s">
        <v>138</v>
      </c>
      <c r="F4" s="52">
        <v>2545.9699999999866</v>
      </c>
      <c r="G4" s="52">
        <v>2805.86</v>
      </c>
      <c r="H4" s="52">
        <v>5536.07</v>
      </c>
      <c r="I4" s="52">
        <v>9041.25</v>
      </c>
      <c r="J4" s="52">
        <v>3015.6</v>
      </c>
      <c r="K4" s="52">
        <v>1771.86</v>
      </c>
      <c r="L4" s="52">
        <f>$K4/$K$13*(0.5*'Sum Cost -Act vs Auth pg 3'!$AR$44)</f>
        <v>562.98045478180882</v>
      </c>
      <c r="M4" s="52">
        <f>L4</f>
        <v>562.98045478180882</v>
      </c>
      <c r="N4" s="52"/>
      <c r="O4" s="52"/>
      <c r="P4" s="52"/>
      <c r="Q4" s="52"/>
      <c r="R4" s="24">
        <f>SUM(F4:Q4)</f>
        <v>25842.570909563605</v>
      </c>
      <c r="S4" s="24"/>
      <c r="T4" s="45">
        <v>0.48309143579999997</v>
      </c>
      <c r="U4" s="2">
        <f>+$T4*F4</f>
        <v>1229.9363028037194</v>
      </c>
      <c r="V4" s="2">
        <f t="shared" ref="V4:AF4" si="0">+$T4*G4</f>
        <v>1355.486936053788</v>
      </c>
      <c r="W4" s="2">
        <f t="shared" si="0"/>
        <v>2674.4280049893055</v>
      </c>
      <c r="X4" s="2">
        <f t="shared" si="0"/>
        <v>4367.7504439267495</v>
      </c>
      <c r="Y4" s="2">
        <f t="shared" si="0"/>
        <v>1456.8105337984798</v>
      </c>
      <c r="Z4" s="2">
        <f t="shared" si="0"/>
        <v>855.97039143658787</v>
      </c>
      <c r="AA4" s="2">
        <f t="shared" si="0"/>
        <v>271.97103622788097</v>
      </c>
      <c r="AB4" s="2">
        <f t="shared" si="0"/>
        <v>271.97103622788097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4">
        <f>SUM(U4:AF4)</f>
        <v>12484.324685464391</v>
      </c>
    </row>
    <row r="5" spans="1:33">
      <c r="A5" s="17">
        <v>7141</v>
      </c>
      <c r="B5" s="49" t="s">
        <v>128</v>
      </c>
      <c r="C5" s="53" t="s">
        <v>120</v>
      </c>
      <c r="D5" s="54" t="s">
        <v>111</v>
      </c>
      <c r="E5" s="54" t="s">
        <v>110</v>
      </c>
      <c r="F5" s="52"/>
      <c r="G5" s="52"/>
      <c r="H5" s="52">
        <v>8936700.9299999997</v>
      </c>
      <c r="I5" s="52">
        <v>448349.33</v>
      </c>
      <c r="J5" s="52">
        <v>372590.54</v>
      </c>
      <c r="K5" s="52">
        <v>191642.38</v>
      </c>
      <c r="L5" s="52">
        <f>$K5/$K$13*(0.5*'Sum Cost -Act vs Auth pg 3'!$AR$44)</f>
        <v>60891.331283435618</v>
      </c>
      <c r="M5" s="52">
        <f t="shared" ref="M5" si="1">L5</f>
        <v>60891.331283435618</v>
      </c>
      <c r="N5" s="52"/>
      <c r="O5" s="52"/>
      <c r="P5" s="52"/>
      <c r="Q5" s="52"/>
      <c r="R5" s="24">
        <f t="shared" ref="R5:R11" si="2">SUM(F5:Q5)</f>
        <v>10071065.84256687</v>
      </c>
      <c r="S5" s="24"/>
      <c r="T5" s="45">
        <v>0.69189999999999996</v>
      </c>
      <c r="U5" s="2">
        <f t="shared" ref="U5:U11" si="3">+$T5*F5</f>
        <v>0</v>
      </c>
      <c r="V5" s="2">
        <f t="shared" ref="V5:V11" si="4">+$T5*G5</f>
        <v>0</v>
      </c>
      <c r="W5" s="2">
        <f t="shared" ref="W5:W11" si="5">+$T5*H5</f>
        <v>6183303.3734669993</v>
      </c>
      <c r="X5" s="2">
        <f t="shared" ref="X5:X11" si="6">+$T5*I5</f>
        <v>310212.901427</v>
      </c>
      <c r="Y5" s="2">
        <f t="shared" ref="Y5:Y11" si="7">+$T5*J5</f>
        <v>257795.39462599996</v>
      </c>
      <c r="Z5" s="2">
        <f t="shared" ref="Z5:Z11" si="8">+$T5*K5</f>
        <v>132597.36272199999</v>
      </c>
      <c r="AA5" s="2">
        <f t="shared" ref="AA5:AA11" si="9">+$T5*L5</f>
        <v>42130.712115009104</v>
      </c>
      <c r="AB5" s="2">
        <f t="shared" ref="AB5:AB11" si="10">+$T5*M5</f>
        <v>42130.712115009104</v>
      </c>
      <c r="AC5" s="2">
        <f t="shared" ref="AC5:AC11" si="11">+$T5*N5</f>
        <v>0</v>
      </c>
      <c r="AD5" s="2">
        <f t="shared" ref="AD5:AD11" si="12">+$T5*O5</f>
        <v>0</v>
      </c>
      <c r="AE5" s="2">
        <f t="shared" ref="AE5:AE11" si="13">+$T5*P5</f>
        <v>0</v>
      </c>
      <c r="AF5" s="2">
        <f t="shared" ref="AF5:AF11" si="14">+$T5*Q5</f>
        <v>0</v>
      </c>
      <c r="AG5" s="24">
        <f t="shared" ref="AG5:AG11" si="15">SUM(U5:AF5)</f>
        <v>6968170.4564720178</v>
      </c>
    </row>
    <row r="6" spans="1:33">
      <c r="A6" s="17">
        <v>7141</v>
      </c>
      <c r="B6" s="49" t="s">
        <v>128</v>
      </c>
      <c r="C6" s="49" t="s">
        <v>145</v>
      </c>
      <c r="D6" s="54" t="s">
        <v>111</v>
      </c>
      <c r="E6" s="54" t="s">
        <v>110</v>
      </c>
      <c r="F6" s="52"/>
      <c r="G6" s="52"/>
      <c r="H6" s="52">
        <v>94727.09</v>
      </c>
      <c r="I6" s="52">
        <v>3970.96</v>
      </c>
      <c r="J6" s="52">
        <v>7154.94</v>
      </c>
      <c r="K6" s="52">
        <v>66504.08</v>
      </c>
      <c r="L6" s="52">
        <f>$K6/$K$13*(0.5*'Sum Cost -Act vs Auth pg 3'!$AR$44)</f>
        <v>21130.618222233021</v>
      </c>
      <c r="M6" s="52">
        <f>L6</f>
        <v>21130.618222233021</v>
      </c>
      <c r="N6" s="52"/>
      <c r="O6" s="52"/>
      <c r="P6" s="52"/>
      <c r="Q6" s="52"/>
      <c r="R6" s="24">
        <f t="shared" si="2"/>
        <v>214618.30644446606</v>
      </c>
      <c r="S6" s="24"/>
      <c r="T6" s="45">
        <v>0.69189999999999996</v>
      </c>
      <c r="U6" s="2">
        <f t="shared" si="3"/>
        <v>0</v>
      </c>
      <c r="V6" s="2">
        <f t="shared" si="4"/>
        <v>0</v>
      </c>
      <c r="W6" s="2">
        <f t="shared" si="5"/>
        <v>65541.673570999992</v>
      </c>
      <c r="X6" s="2">
        <f t="shared" si="6"/>
        <v>2747.507224</v>
      </c>
      <c r="Y6" s="2">
        <f t="shared" si="7"/>
        <v>4950.5029859999995</v>
      </c>
      <c r="Z6" s="2">
        <f t="shared" si="8"/>
        <v>46014.172952000001</v>
      </c>
      <c r="AA6" s="2">
        <f t="shared" si="9"/>
        <v>14620.274747963027</v>
      </c>
      <c r="AB6" s="2">
        <f t="shared" si="10"/>
        <v>14620.274747963027</v>
      </c>
      <c r="AC6" s="2">
        <f t="shared" si="11"/>
        <v>0</v>
      </c>
      <c r="AD6" s="2">
        <f t="shared" si="12"/>
        <v>0</v>
      </c>
      <c r="AE6" s="2">
        <f t="shared" si="13"/>
        <v>0</v>
      </c>
      <c r="AF6" s="2">
        <f t="shared" si="14"/>
        <v>0</v>
      </c>
      <c r="AG6" s="24">
        <f t="shared" si="15"/>
        <v>148494.40622892606</v>
      </c>
    </row>
    <row r="7" spans="1:33">
      <c r="A7" s="17">
        <v>7141</v>
      </c>
      <c r="B7" s="49" t="s">
        <v>123</v>
      </c>
      <c r="C7" s="49" t="s">
        <v>41</v>
      </c>
      <c r="D7" s="50" t="s">
        <v>111</v>
      </c>
      <c r="E7" s="50" t="s">
        <v>110</v>
      </c>
      <c r="F7" s="52"/>
      <c r="G7" s="52">
        <v>7326.24</v>
      </c>
      <c r="H7" s="52">
        <v>1996.46</v>
      </c>
      <c r="I7" s="52">
        <v>130.01999999999998</v>
      </c>
      <c r="J7" s="52"/>
      <c r="K7" s="52"/>
      <c r="L7" s="52"/>
      <c r="M7" s="52"/>
      <c r="N7" s="52"/>
      <c r="O7" s="52"/>
      <c r="P7" s="52"/>
      <c r="Q7" s="52"/>
      <c r="R7" s="24">
        <f t="shared" si="2"/>
        <v>9452.7200000000012</v>
      </c>
      <c r="S7" s="24"/>
      <c r="T7" s="45">
        <v>0.65639999999999998</v>
      </c>
      <c r="U7" s="2">
        <f t="shared" si="3"/>
        <v>0</v>
      </c>
      <c r="V7" s="2">
        <f t="shared" si="4"/>
        <v>4808.9439359999997</v>
      </c>
      <c r="W7" s="2">
        <f t="shared" si="5"/>
        <v>1310.4763439999999</v>
      </c>
      <c r="X7" s="2">
        <f t="shared" si="6"/>
        <v>85.345127999999988</v>
      </c>
      <c r="Y7" s="2">
        <f t="shared" si="7"/>
        <v>0</v>
      </c>
      <c r="Z7" s="2">
        <f t="shared" si="8"/>
        <v>0</v>
      </c>
      <c r="AA7" s="2">
        <f t="shared" si="9"/>
        <v>0</v>
      </c>
      <c r="AB7" s="2">
        <f t="shared" si="10"/>
        <v>0</v>
      </c>
      <c r="AC7" s="2">
        <f t="shared" si="11"/>
        <v>0</v>
      </c>
      <c r="AD7" s="2">
        <f t="shared" si="12"/>
        <v>0</v>
      </c>
      <c r="AE7" s="2">
        <f t="shared" si="13"/>
        <v>0</v>
      </c>
      <c r="AF7" s="2">
        <f t="shared" si="14"/>
        <v>0</v>
      </c>
      <c r="AG7" s="24">
        <f t="shared" si="15"/>
        <v>6204.7654079999993</v>
      </c>
    </row>
    <row r="8" spans="1:33">
      <c r="A8" s="17">
        <v>7141</v>
      </c>
      <c r="B8" s="49" t="s">
        <v>123</v>
      </c>
      <c r="C8" s="49" t="s">
        <v>42</v>
      </c>
      <c r="D8" s="50" t="s">
        <v>111</v>
      </c>
      <c r="E8" s="50" t="s">
        <v>156</v>
      </c>
      <c r="F8" s="52"/>
      <c r="G8" s="52">
        <v>2230.88</v>
      </c>
      <c r="H8" s="52">
        <v>580.25</v>
      </c>
      <c r="I8" s="52"/>
      <c r="J8" s="52"/>
      <c r="K8" s="52"/>
      <c r="L8" s="52"/>
      <c r="M8" s="52"/>
      <c r="N8" s="52"/>
      <c r="O8" s="52"/>
      <c r="P8" s="52"/>
      <c r="Q8" s="52"/>
      <c r="R8" s="24">
        <f t="shared" si="2"/>
        <v>2811.13</v>
      </c>
      <c r="S8" s="24"/>
      <c r="T8" s="44">
        <v>1</v>
      </c>
      <c r="U8" s="2">
        <f t="shared" si="3"/>
        <v>0</v>
      </c>
      <c r="V8" s="2">
        <f t="shared" si="4"/>
        <v>2230.88</v>
      </c>
      <c r="W8" s="2">
        <f t="shared" si="5"/>
        <v>580.25</v>
      </c>
      <c r="X8" s="2">
        <f t="shared" si="6"/>
        <v>0</v>
      </c>
      <c r="Y8" s="2">
        <f t="shared" si="7"/>
        <v>0</v>
      </c>
      <c r="Z8" s="2">
        <f t="shared" si="8"/>
        <v>0</v>
      </c>
      <c r="AA8" s="2">
        <f t="shared" si="9"/>
        <v>0</v>
      </c>
      <c r="AB8" s="2">
        <f t="shared" si="10"/>
        <v>0</v>
      </c>
      <c r="AC8" s="2">
        <f t="shared" si="11"/>
        <v>0</v>
      </c>
      <c r="AD8" s="2">
        <f t="shared" si="12"/>
        <v>0</v>
      </c>
      <c r="AE8" s="2">
        <f t="shared" si="13"/>
        <v>0</v>
      </c>
      <c r="AF8" s="2">
        <f t="shared" si="14"/>
        <v>0</v>
      </c>
      <c r="AG8" s="24">
        <f t="shared" si="15"/>
        <v>2811.13</v>
      </c>
    </row>
    <row r="9" spans="1:33">
      <c r="A9" s="17">
        <v>7141</v>
      </c>
      <c r="B9" s="49" t="s">
        <v>168</v>
      </c>
      <c r="C9" s="53" t="s">
        <v>120</v>
      </c>
      <c r="D9" s="50" t="s">
        <v>111</v>
      </c>
      <c r="E9" s="50" t="s">
        <v>156</v>
      </c>
      <c r="F9" s="52"/>
      <c r="G9" s="52"/>
      <c r="H9" s="52">
        <v>415958.05</v>
      </c>
      <c r="I9" s="52">
        <v>29025.86</v>
      </c>
      <c r="J9" s="52">
        <v>32217.96</v>
      </c>
      <c r="K9" s="52">
        <v>9682.11</v>
      </c>
      <c r="L9" s="52">
        <f>$K9/$K$13*(0.5*'Sum Cost -Act vs Auth pg 3'!$AR$44)</f>
        <v>3076.3371209054326</v>
      </c>
      <c r="M9" s="52">
        <f t="shared" ref="M9:M11" si="16">L9</f>
        <v>3076.3371209054326</v>
      </c>
      <c r="N9" s="52"/>
      <c r="O9" s="52"/>
      <c r="P9" s="52"/>
      <c r="Q9" s="52"/>
      <c r="R9" s="24">
        <f t="shared" si="2"/>
        <v>493036.6542418109</v>
      </c>
      <c r="S9" s="24"/>
      <c r="T9" s="44">
        <v>1</v>
      </c>
      <c r="U9" s="2">
        <f t="shared" si="3"/>
        <v>0</v>
      </c>
      <c r="V9" s="2">
        <f t="shared" si="4"/>
        <v>0</v>
      </c>
      <c r="W9" s="2">
        <f t="shared" si="5"/>
        <v>415958.05</v>
      </c>
      <c r="X9" s="2">
        <f t="shared" si="6"/>
        <v>29025.86</v>
      </c>
      <c r="Y9" s="2">
        <f t="shared" si="7"/>
        <v>32217.96</v>
      </c>
      <c r="Z9" s="2">
        <f t="shared" si="8"/>
        <v>9682.11</v>
      </c>
      <c r="AA9" s="2">
        <f t="shared" si="9"/>
        <v>3076.3371209054326</v>
      </c>
      <c r="AB9" s="2">
        <f t="shared" si="10"/>
        <v>3076.3371209054326</v>
      </c>
      <c r="AC9" s="2">
        <f t="shared" si="11"/>
        <v>0</v>
      </c>
      <c r="AD9" s="2">
        <f t="shared" si="12"/>
        <v>0</v>
      </c>
      <c r="AE9" s="2">
        <f t="shared" si="13"/>
        <v>0</v>
      </c>
      <c r="AF9" s="2">
        <f t="shared" si="14"/>
        <v>0</v>
      </c>
      <c r="AG9" s="24">
        <f t="shared" si="15"/>
        <v>493036.6542418109</v>
      </c>
    </row>
    <row r="10" spans="1:33">
      <c r="A10" s="17">
        <v>7141</v>
      </c>
      <c r="B10" s="49" t="s">
        <v>168</v>
      </c>
      <c r="C10" s="49" t="s">
        <v>145</v>
      </c>
      <c r="D10" s="50" t="s">
        <v>111</v>
      </c>
      <c r="E10" s="50" t="s">
        <v>156</v>
      </c>
      <c r="F10" s="52"/>
      <c r="G10" s="52"/>
      <c r="H10" s="52">
        <v>24966.93</v>
      </c>
      <c r="I10" s="52">
        <v>1742.2</v>
      </c>
      <c r="J10" s="52">
        <v>1933.81</v>
      </c>
      <c r="K10" s="52">
        <v>581.15</v>
      </c>
      <c r="L10" s="52">
        <f>$K10/$K$13*(0.5*'Sum Cost -Act vs Auth pg 3'!$AR$44)</f>
        <v>184.65120906643202</v>
      </c>
      <c r="M10" s="52">
        <f t="shared" si="16"/>
        <v>184.65120906643202</v>
      </c>
      <c r="N10" s="52"/>
      <c r="O10" s="52"/>
      <c r="P10" s="52"/>
      <c r="Q10" s="52"/>
      <c r="R10" s="24">
        <f t="shared" si="2"/>
        <v>29593.392418132869</v>
      </c>
      <c r="S10" s="24"/>
      <c r="T10" s="44">
        <v>1</v>
      </c>
      <c r="U10" s="2">
        <f t="shared" si="3"/>
        <v>0</v>
      </c>
      <c r="V10" s="2">
        <f t="shared" si="4"/>
        <v>0</v>
      </c>
      <c r="W10" s="2">
        <f t="shared" si="5"/>
        <v>24966.93</v>
      </c>
      <c r="X10" s="2">
        <f t="shared" si="6"/>
        <v>1742.2</v>
      </c>
      <c r="Y10" s="2">
        <f t="shared" si="7"/>
        <v>1933.81</v>
      </c>
      <c r="Z10" s="2">
        <f t="shared" si="8"/>
        <v>581.15</v>
      </c>
      <c r="AA10" s="2">
        <f t="shared" si="9"/>
        <v>184.65120906643202</v>
      </c>
      <c r="AB10" s="2">
        <f t="shared" si="10"/>
        <v>184.65120906643202</v>
      </c>
      <c r="AC10" s="2">
        <f t="shared" si="11"/>
        <v>0</v>
      </c>
      <c r="AD10" s="2">
        <f t="shared" si="12"/>
        <v>0</v>
      </c>
      <c r="AE10" s="2">
        <f t="shared" si="13"/>
        <v>0</v>
      </c>
      <c r="AF10" s="2">
        <f t="shared" si="14"/>
        <v>0</v>
      </c>
      <c r="AG10" s="24">
        <f t="shared" si="15"/>
        <v>29593.392418132869</v>
      </c>
    </row>
    <row r="11" spans="1:33">
      <c r="A11" s="17">
        <v>7141</v>
      </c>
      <c r="B11" s="49" t="s">
        <v>168</v>
      </c>
      <c r="C11" s="49" t="s">
        <v>143</v>
      </c>
      <c r="D11" s="50" t="s">
        <v>111</v>
      </c>
      <c r="E11" s="50" t="s">
        <v>156</v>
      </c>
      <c r="F11" s="52"/>
      <c r="G11" s="52"/>
      <c r="H11" s="52">
        <v>2497</v>
      </c>
      <c r="I11" s="52">
        <v>174.26</v>
      </c>
      <c r="J11" s="52">
        <v>193.4</v>
      </c>
      <c r="K11" s="52">
        <v>58.12</v>
      </c>
      <c r="L11" s="52">
        <f>$K11/$K$13*(0.5*'Sum Cost -Act vs Auth pg 3'!$AR$44)</f>
        <v>18.466709577460257</v>
      </c>
      <c r="M11" s="52">
        <f t="shared" si="16"/>
        <v>18.466709577460257</v>
      </c>
      <c r="N11" s="52"/>
      <c r="O11" s="52"/>
      <c r="P11" s="52"/>
      <c r="Q11" s="52"/>
      <c r="R11" s="24">
        <f t="shared" si="2"/>
        <v>2959.7134191549208</v>
      </c>
      <c r="S11" s="24"/>
      <c r="T11" s="44">
        <v>1</v>
      </c>
      <c r="U11" s="2">
        <f t="shared" si="3"/>
        <v>0</v>
      </c>
      <c r="V11" s="2">
        <f t="shared" si="4"/>
        <v>0</v>
      </c>
      <c r="W11" s="2">
        <f t="shared" si="5"/>
        <v>2497</v>
      </c>
      <c r="X11" s="2">
        <f t="shared" si="6"/>
        <v>174.26</v>
      </c>
      <c r="Y11" s="2">
        <f t="shared" si="7"/>
        <v>193.4</v>
      </c>
      <c r="Z11" s="2">
        <f t="shared" si="8"/>
        <v>58.12</v>
      </c>
      <c r="AA11" s="2">
        <f t="shared" si="9"/>
        <v>18.466709577460257</v>
      </c>
      <c r="AB11" s="2">
        <f t="shared" si="10"/>
        <v>18.466709577460257</v>
      </c>
      <c r="AC11" s="2">
        <f t="shared" si="11"/>
        <v>0</v>
      </c>
      <c r="AD11" s="2">
        <f t="shared" si="12"/>
        <v>0</v>
      </c>
      <c r="AE11" s="2">
        <f t="shared" si="13"/>
        <v>0</v>
      </c>
      <c r="AF11" s="2">
        <f t="shared" si="14"/>
        <v>0</v>
      </c>
      <c r="AG11" s="24">
        <f t="shared" si="15"/>
        <v>2959.7134191549208</v>
      </c>
    </row>
    <row r="12" spans="1:33" ht="15.75" thickBot="1">
      <c r="B12" s="41"/>
      <c r="C12" s="41"/>
      <c r="D12"/>
      <c r="E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4"/>
      <c r="S12" s="24"/>
      <c r="T12" s="4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4"/>
    </row>
    <row r="13" spans="1:33" ht="15.75" thickBot="1">
      <c r="F13" s="25"/>
      <c r="G13" s="25"/>
      <c r="H13" s="25"/>
      <c r="I13" s="25"/>
      <c r="J13" s="25"/>
      <c r="K13" s="108">
        <f>SUM(K4:K11)</f>
        <v>270239.7</v>
      </c>
      <c r="L13" s="25"/>
      <c r="M13" s="25"/>
      <c r="N13" s="25"/>
      <c r="O13" s="25"/>
      <c r="P13" s="25"/>
      <c r="Q13" s="25"/>
      <c r="R13" s="21">
        <f>SUM(R4:R12)</f>
        <v>10849380.33</v>
      </c>
      <c r="S13" s="43"/>
      <c r="U13" s="75">
        <f>SUM(U4:U12)</f>
        <v>1229.9363028037194</v>
      </c>
      <c r="V13" s="75">
        <f t="shared" ref="V13:AF13" si="17">SUM(V4:V12)</f>
        <v>8395.3108720537875</v>
      </c>
      <c r="W13" s="75">
        <f t="shared" si="17"/>
        <v>6696832.1813869877</v>
      </c>
      <c r="X13" s="75">
        <f t="shared" si="17"/>
        <v>348355.82422292675</v>
      </c>
      <c r="Y13" s="75">
        <f t="shared" si="17"/>
        <v>298547.87814579846</v>
      </c>
      <c r="Z13" s="75">
        <f t="shared" si="17"/>
        <v>189788.88606543656</v>
      </c>
      <c r="AA13" s="75">
        <f t="shared" si="17"/>
        <v>60302.41293874933</v>
      </c>
      <c r="AB13" s="75">
        <f t="shared" si="17"/>
        <v>60302.41293874933</v>
      </c>
      <c r="AC13" s="75">
        <f t="shared" si="17"/>
        <v>0</v>
      </c>
      <c r="AD13" s="75">
        <f t="shared" si="17"/>
        <v>0</v>
      </c>
      <c r="AE13" s="75">
        <f t="shared" si="17"/>
        <v>0</v>
      </c>
      <c r="AF13" s="75">
        <f t="shared" si="17"/>
        <v>0</v>
      </c>
      <c r="AG13" s="19">
        <f>SUM(AG4:AG12)</f>
        <v>7663754.8428735072</v>
      </c>
    </row>
    <row r="14" spans="1:33">
      <c r="H14" s="107"/>
      <c r="I14" s="107"/>
      <c r="J14" s="107"/>
      <c r="R14" s="47" t="s">
        <v>122</v>
      </c>
      <c r="S14" s="22"/>
      <c r="AG14" s="47" t="str">
        <f>+R14</f>
        <v>EIM 2022 PF</v>
      </c>
    </row>
    <row r="15" spans="1:33">
      <c r="H15" s="107"/>
      <c r="I15" s="107"/>
      <c r="J15" s="107"/>
      <c r="R15" s="63" t="s">
        <v>147</v>
      </c>
      <c r="AG15" s="64" t="s">
        <v>149</v>
      </c>
    </row>
    <row r="16" spans="1:33" ht="15" customHeight="1">
      <c r="H16" s="107"/>
      <c r="I16" s="107"/>
      <c r="J16" s="107"/>
      <c r="AF16" s="120" t="s">
        <v>185</v>
      </c>
      <c r="AG16" s="120"/>
    </row>
    <row r="17" spans="6:33">
      <c r="K17" s="25">
        <f>SUM(F4:K11)</f>
        <v>10677651.560000001</v>
      </c>
      <c r="AF17" s="120"/>
      <c r="AG17" s="120"/>
    </row>
    <row r="18" spans="6:33">
      <c r="F18" s="108"/>
      <c r="G18" s="108"/>
      <c r="H18" s="108"/>
      <c r="I18" s="108"/>
      <c r="J18" s="108"/>
      <c r="K18" s="108"/>
      <c r="L18" s="108"/>
      <c r="M18" s="108"/>
      <c r="N18" s="108"/>
      <c r="AF18" s="120"/>
      <c r="AG18" s="120"/>
    </row>
    <row r="19" spans="6:33">
      <c r="O19" s="111" t="s">
        <v>177</v>
      </c>
    </row>
  </sheetData>
  <mergeCells count="1">
    <mergeCell ref="AF16:AG18"/>
  </mergeCells>
  <pageMargins left="0.7" right="0.7" top="0.75" bottom="0.75" header="0.3" footer="0.3"/>
  <pageSetup scale="60" orientation="landscape" horizontalDpi="1200" verticalDpi="1200" r:id="rId1"/>
  <headerFooter>
    <oddHeader>&amp;CAttachment A
January 14, 2022 EIM Capital Report</oddHead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2022-07-15T07:00:00+00:00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C5E593-693F-46C7-98F6-E86CFDA53C92}"/>
</file>

<file path=customXml/itemProps2.xml><?xml version="1.0" encoding="utf-8"?>
<ds:datastoreItem xmlns:ds="http://schemas.openxmlformats.org/officeDocument/2006/customXml" ds:itemID="{5247F146-4F16-4B9F-9373-251E9863357E}"/>
</file>

<file path=customXml/itemProps3.xml><?xml version="1.0" encoding="utf-8"?>
<ds:datastoreItem xmlns:ds="http://schemas.openxmlformats.org/officeDocument/2006/customXml" ds:itemID="{ABF2DDD9-EF00-42D8-8D24-BA0B248BA755}"/>
</file>

<file path=customXml/itemProps4.xml><?xml version="1.0" encoding="utf-8"?>
<ds:datastoreItem xmlns:ds="http://schemas.openxmlformats.org/officeDocument/2006/customXml" ds:itemID="{28DB751E-2965-4B37-9ADE-DD7172C5E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RR Model-Refund Calc pg 1</vt:lpstr>
      <vt:lpstr>ADJ-E - PF pg 2</vt:lpstr>
      <vt:lpstr>Sum Cost -Act vs Auth pg 3</vt:lpstr>
      <vt:lpstr>Summary-Cost-E - PF.PV pg 4</vt:lpstr>
      <vt:lpstr>EIM - 2020 WA E Detail - Actual</vt:lpstr>
      <vt:lpstr>EIM - 2021 WA E Detail - Auth</vt:lpstr>
      <vt:lpstr>EIM - 2021 WA E Detail - Actual</vt:lpstr>
      <vt:lpstr>EIM - 2022 WA E Detail - Auth</vt:lpstr>
      <vt:lpstr>EIM - 2022 WA E Detail - Actual</vt:lpstr>
      <vt:lpstr>'EIM - 2020 WA E Detail - Actual'!Print_Area</vt:lpstr>
      <vt:lpstr>'EIM - 2021 WA E Detail - Auth'!Print_Area</vt:lpstr>
      <vt:lpstr>'EIM - 2022 WA E Detail - Auth'!Print_Area</vt:lpstr>
      <vt:lpstr>'RR Model-Refund Calc pg 1'!Print_Area</vt:lpstr>
      <vt:lpstr>'Summary-Cost-E - PF.PV pg 4'!Print_Area</vt:lpstr>
      <vt:lpstr>'Summary-Cost-E - PF.PV pg 4'!Print_Titles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2022-07-13T20:00:45Z</cp:lastPrinted>
  <dcterms:created xsi:type="dcterms:W3CDTF">2020-05-28T13:46:58Z</dcterms:created>
  <dcterms:modified xsi:type="dcterms:W3CDTF">2022-07-13T20:00:45Z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