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6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0.xml" ContentType="application/vnd.openxmlformats-officedocument.spreadsheetml.comments+xml"/>
  <Override PartName="/xl/externalLinks/externalLink10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Schedules\Schedule 141LNG\2023 Filing\10 LNG Data Requests\Bench Request\"/>
    </mc:Choice>
  </mc:AlternateContent>
  <bookViews>
    <workbookView xWindow="0" yWindow="0" windowWidth="28800" windowHeight="11775" tabRatio="849"/>
  </bookViews>
  <sheets>
    <sheet name="Summary " sheetId="3" r:id="rId1"/>
    <sheet name="Plant Additions" sheetId="17" r:id="rId2"/>
    <sheet name="Workpaper" sheetId="23" r:id="rId3"/>
    <sheet name="G361 Additions" sheetId="24" r:id="rId4"/>
    <sheet name="G362 Additions" sheetId="25" r:id="rId5"/>
    <sheet name="G363 Additions" sheetId="26" r:id="rId6"/>
    <sheet name="G3631 Additions" sheetId="27" r:id="rId7"/>
    <sheet name="G3632 Additions" sheetId="28" r:id="rId8"/>
    <sheet name="G3633 Additions" sheetId="29" r:id="rId9"/>
    <sheet name="G3635 Additions" sheetId="30" r:id="rId10"/>
    <sheet name="G3643 Additions" sheetId="31" r:id="rId11"/>
    <sheet name="G3645 Additions" sheetId="32" r:id="rId12"/>
    <sheet name="G3646 Additions" sheetId="33" r:id="rId13"/>
    <sheet name="G3912 Additions" sheetId="34" r:id="rId14"/>
    <sheet name="G397 Additions" sheetId="35" r:id="rId15"/>
    <sheet name="G303 Additions" sheetId="36" r:id="rId16"/>
    <sheet name="Deferrals ---&gt;" sheetId="15" r:id="rId17"/>
    <sheet name="Total Deferrals" sheetId="22" r:id="rId18"/>
    <sheet name="LNG O&amp;M Deferral" sheetId="13" r:id="rId19"/>
    <sheet name="LNG Depreciation Deferral" sheetId="8" r:id="rId20"/>
    <sheet name="LNG Return Deferral" sheetId="10" r:id="rId21"/>
    <sheet name="ROR" sheetId="4" r:id="rId22"/>
    <sheet name="O&amp;M" sheetId="16" r:id="rId23"/>
    <sheet name="Gas Conv Factor" sheetId="5" r:id="rId24"/>
    <sheet name="Actuals" sheetId="19" r:id="rId25"/>
    <sheet name="Deferred Return Cal (2024)" sheetId="1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localSheetId="2" hidden="1">[1]Inputs!#REF!</definedName>
    <definedName name="__123Graph_A" hidden="1">[1]Inputs!#REF!</definedName>
    <definedName name="__123Graph_B" localSheetId="2" hidden="1">[1]Inputs!#REF!</definedName>
    <definedName name="__123Graph_B" hidden="1">[1]Inputs!#REF!</definedName>
    <definedName name="__123Graph_D" localSheetId="2" hidden="1">[1]Inputs!#REF!</definedName>
    <definedName name="__123Graph_D" hidden="1">[1]Inputs!#REF!</definedName>
    <definedName name="__123Graph_E" hidden="1">[2]Input!$E$22:$E$37</definedName>
    <definedName name="__123Graph_ECURRENT" localSheetId="25" hidden="1">[3]ConsolidatingPL!#REF!</definedName>
    <definedName name="__123Graph_ECURRENT" localSheetId="15" hidden="1">[3]ConsolidatingPL!#REF!</definedName>
    <definedName name="__123Graph_ECURRENT" localSheetId="4" hidden="1">[3]ConsolidatingPL!#REF!</definedName>
    <definedName name="__123Graph_ECURRENT" localSheetId="5" hidden="1">[3]ConsolidatingPL!#REF!</definedName>
    <definedName name="__123Graph_ECURRENT" localSheetId="6" hidden="1">[3]ConsolidatingPL!#REF!</definedName>
    <definedName name="__123Graph_ECURRENT" localSheetId="7" hidden="1">[3]ConsolidatingPL!#REF!</definedName>
    <definedName name="__123Graph_ECURRENT" localSheetId="8" hidden="1">[3]ConsolidatingPL!#REF!</definedName>
    <definedName name="__123Graph_ECURRENT" localSheetId="9" hidden="1">[3]ConsolidatingPL!#REF!</definedName>
    <definedName name="__123Graph_ECURRENT" localSheetId="10" hidden="1">[3]ConsolidatingPL!#REF!</definedName>
    <definedName name="__123Graph_ECURRENT" localSheetId="11" hidden="1">[3]ConsolidatingPL!#REF!</definedName>
    <definedName name="__123Graph_ECURRENT" localSheetId="12" hidden="1">[3]ConsolidatingPL!#REF!</definedName>
    <definedName name="__123Graph_ECURRENT" localSheetId="13" hidden="1">[3]ConsolidatingPL!#REF!</definedName>
    <definedName name="__123Graph_ECURRENT" localSheetId="14" hidden="1">[3]ConsolidatingPL!#REF!</definedName>
    <definedName name="__123Graph_ECURRENT" localSheetId="1" hidden="1">[3]ConsolidatingPL!#REF!</definedName>
    <definedName name="__123Graph_ECURRENT" localSheetId="2" hidden="1">[3]ConsolidatingPL!#REF!</definedName>
    <definedName name="__123Graph_ECURRENT" hidden="1">[3]ConsolidatingPL!#REF!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localSheetId="2" hidden="1">{"annual",#N/A,FALSE,"Pro Forma";#N/A,#N/A,FALSE,"Golf Operations"}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localSheetId="2" hidden="1">{"three",#N/A,FALSE,"Capital";"four",#N/A,FALSE,"Capital"}</definedName>
    <definedName name="_gr1" hidden="1">{"three",#N/A,FALSE,"Capital";"four",#N/A,FALSE,"Capital"}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[4]RENT!#REF!</definedName>
    <definedName name="_Key2" hidden="1">#REF!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25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Table2_Out" hidden="1">#REF!</definedName>
    <definedName name="_wr1" localSheetId="2" hidden="1">{"Output-3Column",#N/A,FALSE,"Output"}</definedName>
    <definedName name="_wr1" hidden="1">{"Output-3Column",#N/A,FALSE,"Output"}</definedName>
    <definedName name="_wrn1" localSheetId="2" hidden="1">{"Inflation-BaseYear",#N/A,FALSE,"Inputs"}</definedName>
    <definedName name="_wrn1" hidden="1">{"Inflation-BaseYear",#N/A,FALSE,"Inputs"}</definedName>
    <definedName name="a" localSheetId="25" hidden="1">{#N/A,#N/A,FALSE,"Coversheet";#N/A,#N/A,FALSE,"QA"}</definedName>
    <definedName name="a" localSheetId="1" hidden="1">{#N/A,#N/A,FALSE,"Coversheet";#N/A,#N/A,FALSE,"QA"}</definedName>
    <definedName name="a" localSheetId="2" hidden="1">{"Print_Detail",#N/A,FALSE,"Redemption_Maturity Extract"}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localSheetId="25" hidden="1">"I:\COMTREL\FINICLE\TradeSummary.mdb"</definedName>
    <definedName name="AccessDatabase" localSheetId="1" hidden="1">"I:\COMTREL\FINICLE\TradeSummary.mdb"</definedName>
    <definedName name="AccessDatabase" hidden="1">"C:\ncux\bud\rms_inv.mdb"</definedName>
    <definedName name="ACwvu.allocations." hidden="1">#REF!</definedName>
    <definedName name="ACwvu.annual._.hotel." hidden="1">[5]development!$C$5</definedName>
    <definedName name="ACwvu.bottom._.line." hidden="1">[5]development!#REF!</definedName>
    <definedName name="ACwvu.cash._.flow." hidden="1">#REF!</definedName>
    <definedName name="ACwvu.combo." hidden="1">[5]development!$B$89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localSheetId="25" hidden="1">{#N/A,#N/A,FALSE,"Coversheet";#N/A,#N/A,FALSE,"QA"}</definedName>
    <definedName name="b" localSheetId="1" hidden="1">{#N/A,#N/A,FALSE,"Coversheet";#N/A,#N/A,FALSE,"QA"}</definedName>
    <definedName name="b" localSheetId="2" hidden="1">{"One",#N/A,FALSE,"CClub";"Two",#N/A,FALSE,"CClub";"Three",#N/A,FALSE,"CClub";"Four",#N/A,FALSE,"CClub";"Five",#N/A,FALSE,"CClub"}</definedName>
    <definedName name="b" hidden="1">{"One",#N/A,FALSE,"CClub";"Two",#N/A,FALSE,"CClub";"Three",#N/A,FALSE,"CClub";"Four",#N/A,FALSE,"CClub";"Five",#N/A,FALSE,"CClub"}</definedName>
    <definedName name="bi" localSheetId="2" hidden="1">{#N/A,#N/A,FALSE,"BidCo Assumptions";#N/A,#N/A,FALSE,"Credit Stats";#N/A,#N/A,FALSE,"Bidco Summary";#N/A,#N/A,FALSE,"BIDCO Consolidated"}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BWorkbookPriority" hidden="1">-2060790043</definedName>
    <definedName name="cd" localSheetId="2" hidden="1">{"annual",#N/A,FALSE,"Pro Forma";#N/A,#N/A,FALSE,"Golf Operations"}</definedName>
    <definedName name="cd" hidden="1">{"annual",#N/A,FALSE,"Pro Forma";#N/A,#N/A,FALSE,"Golf Operations"}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wvu.annual." localSheetId="2" hidden="1">#REF!,#REF!,#REF!,#REF!,#REF!,#REF!,#REF!,#REF!,#REF!,#REF!,#REF!,#REF!,#REF!,#REF!,#REF!,#REF!,#REF!,#REF!,#REF!,#REF!,#REF!,#REF!,#REF!,#REF!</definedName>
    <definedName name="Cwvu.annual." hidden="1">#REF!,#REF!,#REF!,#REF!,#REF!,#REF!,#REF!,#REF!,#REF!,#REF!,#REF!,#REF!,#REF!,#REF!,#REF!,#REF!,#REF!,#REF!,#REF!,#REF!,#REF!,#REF!,#REF!,#REF!</definedName>
    <definedName name="Cwvu.annual._.hotel." localSheetId="2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</definedName>
    <definedName name="Cwvu.annual._.hotel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</definedName>
    <definedName name="Cwvu.bottom._.line." localSheetId="2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,[5]development!#REF!,[5]development!#REF!,[5]development!#REF!</definedName>
    <definedName name="Cwvu.bottom._.line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,[5]development!#REF!,[5]development!#REF!,[5]development!#REF!</definedName>
    <definedName name="Cwvu.cash._.flow." localSheetId="2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localSheetId="2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$85:$IV$85,[5]development!$A$89:$IV$89,[5]development!$A$91:$IV$91,[5]development!#REF!,[5]development!#REF!,[5]development!#REF!,[5]development!#REF!</definedName>
    <definedName name="Cwvu.combo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$85:$IV$85,[5]development!$A$89:$IV$89,[5]development!$A$91:$IV$91,[5]development!#REF!,[5]development!#REF!,[5]development!#REF!,[5]development!#REF!</definedName>
    <definedName name="Cwvu.GREY_ALL." hidden="1">#REF!</definedName>
    <definedName name="dd" localSheetId="2" hidden="1">{"Print_Detail",#N/A,FALSE,"Redemption_Maturity Extract"}</definedName>
    <definedName name="dd" hidden="1">{"Print_Detail",#N/A,FALSE,"Redemption_Maturity Extract"}</definedName>
    <definedName name="ddd" localSheetId="2" hidden="1">{"Full",#N/A,FALSE,"Sec MTN B Summary"}</definedName>
    <definedName name="ddd" hidden="1">{"Full",#N/A,FALSE,"Sec MTN B Summary"}</definedName>
    <definedName name="dddd" localSheetId="2" hidden="1">{"RedPrem_InitRed View",#N/A,FALSE,"Sec MTN B Summary"}</definedName>
    <definedName name="dddd" hidden="1">{"RedPrem_InitRed View",#N/A,FALSE,"Sec MTN B Summary"}</definedName>
    <definedName name="dddddd" localSheetId="2" hidden="1">{"Pivot1",#N/A,FALSE,"Redemption_Maturity Extract"}</definedName>
    <definedName name="dddddd" hidden="1">{"Pivot1",#N/A,FALSE,"Redemption_Maturity Extract"}</definedName>
    <definedName name="dddddddd" localSheetId="2" hidden="1">{"Pivot2",#N/A,FALSE,"Redemption_Maturity Extract"}</definedName>
    <definedName name="dddddddd" hidden="1">{"Pivot2",#N/A,FALSE,"Redemption_Maturity Extract"}</definedName>
    <definedName name="DELETE01" localSheetId="25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5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5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5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5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5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5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5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UDE" hidden="1">#REF!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timate" localSheetId="25" hidden="1">{#N/A,#N/A,FALSE,"Summ";#N/A,#N/A,FALSE,"General"}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" localSheetId="25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ffff" localSheetId="2" hidden="1">{"ALL",#N/A,FALSE,"A"}</definedName>
    <definedName name="fffff" hidden="1">{"ALL",#N/A,FALSE,"A"}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localSheetId="2" hidden="1">{"ALL",#N/A,FALSE,"A"}</definedName>
    <definedName name="fsdfsad" hidden="1">{"ALL",#N/A,FALSE,"A"}</definedName>
    <definedName name="gr" localSheetId="2" hidden="1">{"three",#N/A,FALSE,"Capital";"four",#N/A,FALSE,"Capital"}</definedName>
    <definedName name="gr" hidden="1">{"three",#N/A,FALSE,"Capital";"four",#N/A,FALSE,"Capital"}</definedName>
    <definedName name="help" localSheetId="2" hidden="1">{"ALL",#N/A,FALSE,"A"}</definedName>
    <definedName name="help" hidden="1">{"ALL",#N/A,FALSE,"A"}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localSheetId="2" hidden="1">{#N/A,#N/A,FALSE,"Sheet5"}</definedName>
    <definedName name="JIM" hidden="1">{#N/A,#N/A,FALSE,"Sheet5"}</definedName>
    <definedName name="June" localSheetId="2" hidden="1">{"three",#N/A,FALSE,"Capital";"four",#N/A,FALSE,"Capital"}</definedName>
    <definedName name="June" hidden="1">{"three",#N/A,FALSE,"Capital";"four",#N/A,FALSE,"Capital"}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25" hidden="1">{#N/A,#N/A,FALSE,"Summ";#N/A,#N/A,FALSE,"General"}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localSheetId="2" hidden="1">{#N/A,#N/A,FALSE,"Sheet5"}</definedName>
    <definedName name="PPPPPPPPPPPPPPPP" hidden="1">{#N/A,#N/A,FALSE,"Sheet5"}</definedName>
    <definedName name="PricingInfo" hidden="1">[6]Inputs!#REF!</definedName>
    <definedName name="_xlnm.Print_Area" localSheetId="25">'Deferred Return Cal (2024)'!$A$1:$Q$33</definedName>
    <definedName name="_xlnm.Print_Area" localSheetId="21">ROR!$H$5:$R$23</definedName>
    <definedName name="_xlnm.Print_Titles" localSheetId="19">'LNG Depreciation Deferral'!$1:$10</definedName>
    <definedName name="_xlnm.Print_Titles" localSheetId="18">'LNG O&amp;M Deferral'!$1:$10</definedName>
    <definedName name="_xlnm.Print_Titles" localSheetId="20">'LNG Return Deferral'!$1:$10</definedName>
    <definedName name="_xlnm.Print_Titles" localSheetId="22">'O&amp;M'!$A:$A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[5]development!#REF!</definedName>
    <definedName name="Rwvu.bottom._.line." hidden="1">[5]development!#REF!</definedName>
    <definedName name="Rwvu.cash._.flow." hidden="1">#REF!</definedName>
    <definedName name="Rwvu.combo." hidden="1">[5]development!#REF!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25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eadsheetBuilder_2" hidden="1">[7]Sheet2!#REF!</definedName>
    <definedName name="SpreadsheetBuilder_3" hidden="1">[8]Sheet2!#REF!</definedName>
    <definedName name="standard1" localSheetId="2" hidden="1">{"YTD-Total",#N/A,FALSE,"Provision"}</definedName>
    <definedName name="standard1" hidden="1">{"YTD-Total",#N/A,FALSE,"Provision"}</definedName>
    <definedName name="Swvu.allocations." hidden="1">#REF!</definedName>
    <definedName name="Swvu.annual._.hotel." hidden="1">[5]development!$C$5</definedName>
    <definedName name="Swvu.bottom._.line." hidden="1">[5]development!#REF!</definedName>
    <definedName name="Swvu.cash._.flow." hidden="1">#REF!</definedName>
    <definedName name="Swvu.combo." hidden="1">[5]development!$B$89</definedName>
    <definedName name="Swvu.full." hidden="1">#REF!</definedName>
    <definedName name="Swvu.offsite." hidden="1">#REF!</definedName>
    <definedName name="Swvu.onsite." hidden="1">#REF!</definedName>
    <definedName name="t" localSheetId="25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5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5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th" localSheetId="2" hidden="1">{"ALL",#N/A,FALSE,"A"}</definedName>
    <definedName name="trth" hidden="1">{"ALL",#N/A,FALSE,"A"}</definedName>
    <definedName name="u" localSheetId="25" hidden="1">{#N/A,#N/A,FALSE,"Summ";#N/A,#N/A,FALSE,"General"}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vcdv" hidden="1">#REF!</definedName>
    <definedName name="w" hidden="1">[9]Inputs!#REF!</definedName>
    <definedName name="wr" localSheetId="2" hidden="1">{"Output-3Column",#N/A,FALSE,"Output"}</definedName>
    <definedName name="wr" hidden="1">{"Output-3Column",#N/A,FALSE,"Output"}</definedName>
    <definedName name="wrn" localSheetId="2" hidden="1">{"Inflation-BaseYear",#N/A,FALSE,"Inputs"}</definedName>
    <definedName name="wrn" hidden="1">{"Inflation-BaseYear",#N/A,FALSE,"Inputs"}</definedName>
    <definedName name="wrn.1._.Bi._.Monthly._.CR." localSheetId="25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25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5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{"ALL",#N/A,FALSE,"A"}</definedName>
    <definedName name="wrn.ALL." hidden="1">{"ALL",#N/A,FALSE,"A"}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localSheetId="2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annual." localSheetId="2" hidden="1">{"annual",#N/A,FALSE,"Pro Forma"}</definedName>
    <definedName name="wrn.annual." hidden="1">{"annual",#N/A,FALSE,"Pro Forma"}</definedName>
    <definedName name="wrn.Annual._.Detail." localSheetId="2" hidden="1">{"annualsum",#N/A,FALSE,"Cost Summary";"annual1",#N/A,FALSE,"Phase_1";"annual2",#N/A,FALSE,"Phase_2";"annual3",#N/A,FALSE,"Phase_3";"annual4",#N/A,FALSE,"Phase_4"}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localSheetId="2" hidden="1">{"a_dev",#N/A,FALSE,"Golf Development";"a_memstats",#N/A,FALSE,"Golf Development";"a_opstats",#N/A,FALSE,"Golf Development";"a_rev",#N/A,FALSE,"Golf Development";"a_return",#N/A,FALSE,"Golf Development"}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localSheetId="2" hidden="1">{"annual hotel",#N/A,FALSE,"Hotel Development"}</definedName>
    <definedName name="wrn.Annual._.Hotel." hidden="1">{"annual hotel",#N/A,FALSE,"Hotel Development"}</definedName>
    <definedName name="wrn.Annual._.Land._.Sales." localSheetId="2" hidden="1">{"annual",#N/A,FALSE,"Land Sales"}</definedName>
    <definedName name="wrn.Annual._.Land._.Sales." hidden="1">{"annual",#N/A,FALSE,"Land Sales"}</definedName>
    <definedName name="wrn.Annual._.Report." localSheetId="2" hidden="1">{"annual",#N/A,FALSE,"Pro Forma";#N/A,#N/A,FALSE,"Golf Operations"}</definedName>
    <definedName name="wrn.Annual._.Report." hidden="1">{"annual",#N/A,FALSE,"Pro Forma";#N/A,#N/A,FALSE,"Golf Operations"}</definedName>
    <definedName name="wrn.Annual._.Report._.no._.releases." localSheetId="2" hidden="1">{"a_sales",#N/A,FALSE,"Summary";"a_debt",#N/A,FALSE,"Summary";"a_cash",#N/A,FALSE,"Summary";"a_accrual",#N/A,FALSE,"Summary"}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localSheetId="2" hidden="1">{"a_sales",#N/A,FALSE,"Summary";"a_debt",#N/A,FALSE,"Summary";"a_releases",#N/A,FALSE,"Summary";"a_cash",#N/A,FALSE,"Summary";"a_accrual",#N/A,FALSE,"Summary"}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localSheetId="2" hidden="1">{"ISP1Y5",#N/A,TRUE,"Template";"ISP2Y5",#N/A,TRUE,"Template";"BSY5",#N/A,TRUE,"Template";"ICFY5",#N/A,TRUE,"Template";"TPY5",#N/A,TRUE,"Template";"CtrlY5",#N/A,TRUE,"Template"}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vil." localSheetId="2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ssets." localSheetId="2" hidden="1">{"ASSETS",#N/A,FALSE,"Assets"}</definedName>
    <definedName name="wrn.Assets." hidden="1">{"ASSETS",#N/A,FALSE,"Assets"}</definedName>
    <definedName name="wrn.ASSOC_CO." localSheetId="2" hidden="1">{"ASSC_CO",#N/A,FALSE,"A"}</definedName>
    <definedName name="wrn.ASSOC_CO." hidden="1">{"ASSC_CO",#N/A,FALSE,"A"}</definedName>
    <definedName name="wrn.BidCo." localSheetId="2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S." localSheetId="2" hidden="1">{"BS",#N/A,FALSE,"A"}</definedName>
    <definedName name="wrn.BS." hidden="1">{"BS",#N/A,FALSE,"A"}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localSheetId="2" hidden="1">{#N/A,#N/A,FALSE,"Sheet5"}</definedName>
    <definedName name="wrn.CASH." hidden="1">{#N/A,#N/A,FALSE,"Sheet5"}</definedName>
    <definedName name="wrn.Cash._.and._.Accrual." localSheetId="2" hidden="1">{"a_cash",#N/A,FALSE,"Summary";"a_accrual",#N/A,FALSE,"Summary"}</definedName>
    <definedName name="wrn.Cash._.and._.Accrual." hidden="1">{"a_cash",#N/A,FALSE,"Summary";"a_accrual",#N/A,FALSE,"Summary"}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mplete._.Report." localSheetId="2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urrent._.Estimate." localSheetId="2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stomer._.Counts._.Electric." localSheetId="2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5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CF._.Valuation." localSheetId="2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etail." localSheetId="2" hidden="1">{"Print_Detail",#N/A,FALSE,"Redemption_Maturity Extract"}</definedName>
    <definedName name="wrn.Detail." hidden="1">{"Print_Detail",#N/A,FALSE,"Redemption_Maturity Extract"}</definedName>
    <definedName name="wrn.Diane._.s._.Version." localSheetId="2" hidden="1">{"Full",#N/A,FALSE,"Sec MTN B Summary"}</definedName>
    <definedName name="wrn.Diane._.s._.Version." hidden="1">{"Full",#N/A,FALSE,"Sec MTN B Summary"}</definedName>
    <definedName name="wrn.Distribution._.Version." localSheetId="2" hidden="1">{"RedPrem_InitRed View",#N/A,FALSE,"Sec MTN B Summary"}</definedName>
    <definedName name="wrn.Distribution._.Version." hidden="1">{"RedPrem_InitRed View",#N/A,FALSE,"Sec MTN B Summary"}</definedName>
    <definedName name="wrn.ESTIMATE." localSheetId="25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localSheetId="2" hidden="1">{"FCB_ALL",#N/A,FALSE,"FCB"}</definedName>
    <definedName name="wrn.FCB." hidden="1">{"FCB_ALL",#N/A,FALSE,"FCB"}</definedName>
    <definedName name="wrn.fcb2" localSheetId="2" hidden="1">{"FCB_ALL",#N/A,FALSE,"FCB"}</definedName>
    <definedName name="wrn.fcb2" hidden="1">{"FCB_ALL",#N/A,FALSE,"FCB"}</definedName>
    <definedName name="wrn.Financials." localSheetId="2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ve._.Year._.Test." localSheetId="2" hidden="1">{"Five Year Plan",#N/A,TRUE,"Monthly Summary-IIIXIILP";"Five Year Plan",#N/A,TRUE,"Cash Flow"}</definedName>
    <definedName name="wrn.Five._.Year._.Test." hidden="1">{"Five Year Plan",#N/A,TRUE,"Monthly Summary-IIIXIILP";"Five Year Plan",#N/A,TRUE,"Cash Flow"}</definedName>
    <definedName name="wrn.full._.report." localSheetId="2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Fundamental." localSheetId="25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localSheetId="2" hidden="1">{"three",#N/A,FALSE,"Capital";"four",#N/A,FALSE,"Capital"}</definedName>
    <definedName name="wrn.greg." hidden="1">{"three",#N/A,FALSE,"Capital";"four",#N/A,FALSE,"Capital"}</definedName>
    <definedName name="wrn.IEO." localSheetId="25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II._.X._.Co._.Five._.Year._.Plan." localSheetId="2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localSheetId="2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localSheetId="2" hidden="1">{"IIIXCo FY 04 Plan",#N/A,FALSE,"Monthly Summary-IIIXIILP"}</definedName>
    <definedName name="wrn.IIIXCo._.FY._.2004._.Plan." hidden="1">{"IIIXCo FY 04 Plan",#N/A,FALSE,"Monthly Summary-IIIXIILP"}</definedName>
    <definedName name="wrn.Incentive._.Overhead." localSheetId="25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puts." localSheetId="2" hidden="1">{"Inflation-BaseYear",#N/A,FALSE,"Inputs"}</definedName>
    <definedName name="wrn.Inputs." hidden="1">{"Inflation-BaseYear",#N/A,FALSE,"Inputs"}</definedName>
    <definedName name="wrn.Invested._.Capital." localSheetId="2" hidden="1">{#N/A,#N/A,FALSE,"Invested Capital-Total";#N/A,#N/A,FALSE,"Invested Capital-SEI";#N/A,#N/A,FALSE,"Invested Capital-Utah";#N/A,#N/A,FALSE,"Invested Capital-Raton"}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localSheetId="2" hidden="1">{"LIAB",#N/A,FALSE,"Liab"}</definedName>
    <definedName name="wrn.Liab." hidden="1">{"LIAB",#N/A,FALSE,"Liab"}</definedName>
    <definedName name="wrn.limit_reports." localSheetId="25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5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onthly_Yr1." localSheetId="2" hidden="1">{"ISP1Y1",#N/A,TRUE,"Template";"ISP2Y1",#N/A,TRUE,"Template";"BSY1",#N/A,TRUE,"Template";"ICFY1",#N/A,TRUE,"Template";"TPY1",#N/A,TRUE,"Template";"CtrlY1",#N/A,TRUE,"Template"}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localSheetId="2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localSheetId="2" hidden="1">{"ISP1Y2",#N/A,TRUE,"Template";"ISP2Y2",#N/A,TRUE,"Template";"BSY2",#N/A,TRUE,"Template";"ICFY2",#N/A,TRUE,"Template";"TPY2",#N/A,TRUE,"Template";"CtrlY2",#N/A,TRUE,"Template"}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unicipal._.Reports." localSheetId="2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localSheetId="2" hidden="1">{"NW",#N/A,FALSE,"STMT"}</definedName>
    <definedName name="wrn.NetWorth." hidden="1">{"NW",#N/A,FALSE,"STMT"}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localSheetId="2" hidden="1">{"Output-3Column",#N/A,FALSE,"Output"}</definedName>
    <definedName name="wrn.Output3Column." hidden="1">{"Output-3Column",#N/A,FALSE,"Output"}</definedName>
    <definedName name="wrn.OutputAll." localSheetId="2" hidden="1">{"Output-All",#N/A,FALSE,"Output"}</definedName>
    <definedName name="wrn.OutputAll." hidden="1">{"Output-All",#N/A,FALSE,"Output"}</definedName>
    <definedName name="wrn.OutputBaseYear." localSheetId="2" hidden="1">{"Output-BaseYear",#N/A,FALSE,"Output"}</definedName>
    <definedName name="wrn.OutputBaseYear." hidden="1">{"Output-BaseYear",#N/A,FALSE,"Output"}</definedName>
    <definedName name="wrn.OutputMin." localSheetId="2" hidden="1">{"Output-Min",#N/A,FALSE,"Output"}</definedName>
    <definedName name="wrn.OutputMin." hidden="1">{"Output-Min",#N/A,FALSE,"Output"}</definedName>
    <definedName name="wrn.OutputPercent." localSheetId="2" hidden="1">{"Output%",#N/A,FALSE,"Output"}</definedName>
    <definedName name="wrn.OutputPercent." hidden="1">{"Output%",#N/A,FALSE,"Output"}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d." localSheetId="2" hidden="1">{"Pfd",#N/A,FALSE,"Pfd"}</definedName>
    <definedName name="wrn.Pfd." hidden="1">{"Pfd",#N/A,FALSE,"Pfd"}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ivot1." localSheetId="2" hidden="1">{"Pivot1",#N/A,FALSE,"Redemption_Maturity Extract"}</definedName>
    <definedName name="wrn.Pivot1." hidden="1">{"Pivot1",#N/A,FALSE,"Redemption_Maturity Extract"}</definedName>
    <definedName name="wrn.Pivot2." localSheetId="2" hidden="1">{"Pivot2",#N/A,FALSE,"Redemption_Maturity Extract"}</definedName>
    <definedName name="wrn.Pivot2." hidden="1">{"Pivot2",#N/A,FALSE,"Redemption_Maturity Extract"}</definedName>
    <definedName name="wrn.Plan._.2004." localSheetId="2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All." localSheetId="2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oject._.Services." localSheetId="25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quarterly." localSheetId="2" hidden="1">{"quarterly",#N/A,FALSE,"Pro Forma"}</definedName>
    <definedName name="wrn.quarterly." hidden="1">{"quarterly",#N/A,FALSE,"Pro Forma"}</definedName>
    <definedName name="wrn.Reformat._.only." localSheetId="2" hidden="1">{#N/A,#N/A,FALSE,"Dec 1999 mapping"}</definedName>
    <definedName name="wrn.Reformat._.only." hidden="1">{#N/A,#N/A,FALSE,"Dec 1999 mapping"}</definedName>
    <definedName name="wrn.Releases._.Cash._.Accrual." localSheetId="2" hidden="1">{"a_releases",#N/A,FALSE,"Summary";"a_cash",#N/A,FALSE,"Summary";"a_accrual",#N/A,FALSE,"Summary"}</definedName>
    <definedName name="wrn.Releases._.Cash._.Accrual." hidden="1">{"a_releases",#N/A,FALSE,"Summary";"a_cash",#N/A,FALSE,"Summary";"a_accrual",#N/A,FALSE,"Summary"}</definedName>
    <definedName name="wrn.rpt96." localSheetId="2" hidden="1">{"rmrev1",#N/A,FALSE,"Forecast96";"rmrev2",#N/A,FALSE,"Forecast96";"rmrev3",#N/A,FALSE,"Forecast96"}</definedName>
    <definedName name="wrn.rpt96." hidden="1">{"rmrev1",#N/A,FALSE,"Forecast96";"rmrev2",#N/A,FALSE,"Forecast96";"rmrev3",#N/A,FALSE,"Forecast96"}</definedName>
    <definedName name="wrn.sales." localSheetId="2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_.and._.Debt." localSheetId="2" hidden="1">{"a_sales",#N/A,FALSE,"Summary";"a_debt",#N/A,FALSE,"Summary"}</definedName>
    <definedName name="wrn.Sales._.and._.Debt." hidden="1">{"a_sales",#N/A,FALSE,"Summary";"a_debt",#N/A,FALSE,"Summary"}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localSheetId="2" hidden="1">{"SCHED_B&amp;C",#N/A,FALSE,"A"}</definedName>
    <definedName name="wrn.SCHED._.BC." hidden="1">{"SCHED_B&amp;C",#N/A,FALSE,"A"}</definedName>
    <definedName name="wrn.SCHED._.DE." localSheetId="2" hidden="1">{"SCHED_D&amp;E",#N/A,FALSE,"A"}</definedName>
    <definedName name="wrn.SCHED._.DE." hidden="1">{"SCHED_D&amp;E",#N/A,FALSE,"A"}</definedName>
    <definedName name="wrn.SCHEDULE." localSheetId="25" hidden="1">{#N/A,#N/A,FALSE,"7617 Fab";#N/A,#N/A,FALSE,"7617 NSK"}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localSheetId="2" hidden="1">{"cash flow",#N/A,FALSE,"Shared Costs";"allocations",#N/A,FALSE,"Shared Costs"}</definedName>
    <definedName name="wrn.Shared._.Costs." hidden="1">{"cash flow",#N/A,FALSE,"Shared Costs";"allocations",#N/A,FALSE,"Shared Costs"}</definedName>
    <definedName name="wrn.SHEDA." localSheetId="2" hidden="1">{"SCHED_A",#N/A,FALSE,"A"}</definedName>
    <definedName name="wrn.SHEDA." hidden="1">{"SCHED_A",#N/A,FALSE,"A"}</definedName>
    <definedName name="wrn.SLB." localSheetId="25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5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25" hidden="1">{#N/A,#N/A,FALSE,"Summ";#N/A,#N/A,FALSE,"General"}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ariff99." localSheetId="2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Wacc." localSheetId="2" hidden="1">{"Area1",#N/A,FALSE,"OREWACC";"Area2",#N/A,FALSE,"OREWACC"}</definedName>
    <definedName name="wrn.Wacc." hidden="1">{"Area1",#N/A,FALSE,"OREWACC";"Area2",#N/A,FALSE,"OREWACC"}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localSheetId="2" hidden="1">{"Output-BaseYear",#N/A,FALSE,"Output"}</definedName>
    <definedName name="wrng" hidden="1">{"Output-BaseYear",#N/A,FALSE,"Output"}</definedName>
    <definedName name="wrnh" localSheetId="2" hidden="1">{"Output-All",#N/A,FALSE,"Output"}</definedName>
    <definedName name="wrnh" hidden="1">{"Output-All",#N/A,FALSE,"Output"}</definedName>
    <definedName name="wvu.allocations." localSheetId="2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localSheetId="2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localSheetId="2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localSheetId="2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localSheetId="2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localSheetId="2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localSheetId="2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localSheetId="2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localSheetId="2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localSheetId="2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6" l="1"/>
  <c r="E28" i="36"/>
  <c r="E27" i="36"/>
  <c r="E26" i="36"/>
  <c r="E25" i="36"/>
  <c r="E24" i="36"/>
  <c r="E23" i="36"/>
  <c r="E22" i="36"/>
  <c r="E21" i="36"/>
  <c r="E20" i="36"/>
  <c r="E19" i="36"/>
  <c r="E18" i="36"/>
  <c r="E17" i="36"/>
  <c r="F28" i="36"/>
  <c r="H28" i="36" s="1"/>
  <c r="D28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E16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I15" i="36"/>
  <c r="G15" i="36"/>
  <c r="D15" i="36"/>
  <c r="F15" i="36" s="1"/>
  <c r="H15" i="36" s="1"/>
  <c r="J15" i="36" s="1"/>
  <c r="K15" i="36" s="1"/>
  <c r="L15" i="36" s="1"/>
  <c r="E16" i="35"/>
  <c r="E28" i="35"/>
  <c r="D28" i="35"/>
  <c r="E27" i="35"/>
  <c r="D27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D16" i="35"/>
  <c r="G15" i="35"/>
  <c r="I15" i="35" s="1"/>
  <c r="D15" i="35"/>
  <c r="F15" i="35" s="1"/>
  <c r="H15" i="35" s="1"/>
  <c r="E16" i="34"/>
  <c r="M15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E18" i="34"/>
  <c r="D18" i="34"/>
  <c r="E17" i="34"/>
  <c r="D17" i="34"/>
  <c r="D16" i="34"/>
  <c r="I15" i="34"/>
  <c r="G15" i="34"/>
  <c r="G16" i="34" s="1"/>
  <c r="D15" i="34"/>
  <c r="F15" i="34" s="1"/>
  <c r="H15" i="34" s="1"/>
  <c r="J15" i="34" s="1"/>
  <c r="K15" i="34" s="1"/>
  <c r="L15" i="34" s="1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E18" i="33"/>
  <c r="D18" i="33"/>
  <c r="E17" i="33"/>
  <c r="D17" i="33"/>
  <c r="E16" i="33"/>
  <c r="D16" i="33"/>
  <c r="G15" i="33"/>
  <c r="I15" i="33" s="1"/>
  <c r="D15" i="33"/>
  <c r="F15" i="33" s="1"/>
  <c r="H15" i="33" s="1"/>
  <c r="E28" i="32"/>
  <c r="AO21" i="23" s="1"/>
  <c r="D28" i="32"/>
  <c r="E27" i="32"/>
  <c r="D27" i="32"/>
  <c r="E26" i="32"/>
  <c r="D26" i="32"/>
  <c r="E25" i="32"/>
  <c r="D25" i="32"/>
  <c r="E24" i="32"/>
  <c r="D24" i="32"/>
  <c r="E23" i="32"/>
  <c r="D23" i="32"/>
  <c r="E22" i="32"/>
  <c r="D22" i="32"/>
  <c r="E21" i="32"/>
  <c r="D21" i="32"/>
  <c r="E20" i="32"/>
  <c r="AO13" i="23" s="1"/>
  <c r="D20" i="32"/>
  <c r="E19" i="32"/>
  <c r="D19" i="32"/>
  <c r="E18" i="32"/>
  <c r="D18" i="32"/>
  <c r="E17" i="32"/>
  <c r="D17" i="32"/>
  <c r="F17" i="32" s="1"/>
  <c r="E16" i="32"/>
  <c r="D16" i="32"/>
  <c r="F16" i="32" s="1"/>
  <c r="H16" i="32" s="1"/>
  <c r="I15" i="32"/>
  <c r="G15" i="32"/>
  <c r="G16" i="32" s="1"/>
  <c r="F15" i="32"/>
  <c r="H15" i="32" s="1"/>
  <c r="J15" i="32" s="1"/>
  <c r="K15" i="32" s="1"/>
  <c r="L15" i="32" s="1"/>
  <c r="D15" i="32"/>
  <c r="E28" i="31"/>
  <c r="D28" i="31"/>
  <c r="E27" i="31"/>
  <c r="D27" i="31"/>
  <c r="E26" i="31"/>
  <c r="D26" i="31"/>
  <c r="E25" i="31"/>
  <c r="D25" i="31"/>
  <c r="E24" i="31"/>
  <c r="D24" i="31"/>
  <c r="E23" i="31"/>
  <c r="D23" i="31"/>
  <c r="E22" i="31"/>
  <c r="D22" i="31"/>
  <c r="E21" i="31"/>
  <c r="D21" i="31"/>
  <c r="E20" i="31"/>
  <c r="D20" i="31"/>
  <c r="E19" i="31"/>
  <c r="D19" i="31"/>
  <c r="E18" i="31"/>
  <c r="D18" i="31"/>
  <c r="E17" i="31"/>
  <c r="D17" i="31"/>
  <c r="E16" i="31"/>
  <c r="D16" i="31"/>
  <c r="G15" i="31"/>
  <c r="I15" i="31" s="1"/>
  <c r="D15" i="31"/>
  <c r="F15" i="31" s="1"/>
  <c r="H15" i="31" s="1"/>
  <c r="E28" i="30"/>
  <c r="D28" i="30"/>
  <c r="E27" i="30"/>
  <c r="D27" i="30"/>
  <c r="E26" i="30"/>
  <c r="D26" i="30"/>
  <c r="E25" i="30"/>
  <c r="D25" i="30"/>
  <c r="E24" i="30"/>
  <c r="D24" i="30"/>
  <c r="E23" i="30"/>
  <c r="D23" i="30"/>
  <c r="E22" i="30"/>
  <c r="D22" i="30"/>
  <c r="E21" i="30"/>
  <c r="D21" i="30"/>
  <c r="E20" i="30"/>
  <c r="D20" i="30"/>
  <c r="E19" i="30"/>
  <c r="D19" i="30"/>
  <c r="E18" i="30"/>
  <c r="D18" i="30"/>
  <c r="E17" i="30"/>
  <c r="D17" i="30"/>
  <c r="E16" i="30"/>
  <c r="D16" i="30"/>
  <c r="G15" i="30"/>
  <c r="I15" i="30" s="1"/>
  <c r="J15" i="30" s="1"/>
  <c r="K15" i="30" s="1"/>
  <c r="L15" i="30" s="1"/>
  <c r="D15" i="30"/>
  <c r="F15" i="30" s="1"/>
  <c r="H15" i="30" s="1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6" i="29"/>
  <c r="D16" i="29"/>
  <c r="I15" i="29"/>
  <c r="G15" i="29"/>
  <c r="G16" i="29" s="1"/>
  <c r="F15" i="29"/>
  <c r="H15" i="29" s="1"/>
  <c r="D15" i="29"/>
  <c r="E28" i="28"/>
  <c r="D28" i="28"/>
  <c r="E27" i="28"/>
  <c r="D27" i="28"/>
  <c r="E26" i="28"/>
  <c r="D26" i="28"/>
  <c r="E25" i="28"/>
  <c r="D25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E18" i="28"/>
  <c r="D18" i="28"/>
  <c r="E17" i="28"/>
  <c r="D17" i="28"/>
  <c r="E16" i="28"/>
  <c r="D16" i="28"/>
  <c r="G15" i="28"/>
  <c r="I15" i="28" s="1"/>
  <c r="D15" i="28"/>
  <c r="F15" i="28" s="1"/>
  <c r="H15" i="28" s="1"/>
  <c r="E28" i="27"/>
  <c r="D28" i="27"/>
  <c r="E27" i="27"/>
  <c r="D27" i="27"/>
  <c r="E26" i="27"/>
  <c r="D26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6" i="27"/>
  <c r="D16" i="27"/>
  <c r="G15" i="27"/>
  <c r="I15" i="27" s="1"/>
  <c r="D15" i="27"/>
  <c r="F15" i="27" s="1"/>
  <c r="H15" i="27" s="1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I15" i="26"/>
  <c r="G15" i="26"/>
  <c r="G16" i="26" s="1"/>
  <c r="D15" i="26"/>
  <c r="F15" i="26" s="1"/>
  <c r="H15" i="26" s="1"/>
  <c r="E28" i="25"/>
  <c r="D28" i="25"/>
  <c r="E27" i="25"/>
  <c r="D27" i="25"/>
  <c r="E26" i="25"/>
  <c r="D26" i="25"/>
  <c r="E25" i="25"/>
  <c r="D25" i="25"/>
  <c r="E24" i="25"/>
  <c r="D24" i="25"/>
  <c r="E23" i="25"/>
  <c r="D23" i="25"/>
  <c r="E22" i="25"/>
  <c r="D22" i="25"/>
  <c r="E21" i="25"/>
  <c r="D21" i="25"/>
  <c r="E20" i="25"/>
  <c r="D20" i="25"/>
  <c r="E19" i="25"/>
  <c r="D19" i="25"/>
  <c r="E18" i="25"/>
  <c r="D18" i="25"/>
  <c r="E17" i="25"/>
  <c r="D17" i="25"/>
  <c r="E16" i="25"/>
  <c r="G16" i="25" s="1"/>
  <c r="D16" i="25"/>
  <c r="G15" i="25"/>
  <c r="I15" i="25" s="1"/>
  <c r="F15" i="25"/>
  <c r="H15" i="25" s="1"/>
  <c r="D15" i="25"/>
  <c r="AC8" i="23"/>
  <c r="AC9" i="23"/>
  <c r="AC18" i="23"/>
  <c r="AC17" i="23"/>
  <c r="AC16" i="23"/>
  <c r="AC15" i="23"/>
  <c r="AC14" i="23"/>
  <c r="AC13" i="23"/>
  <c r="AC12" i="23"/>
  <c r="AC11" i="23"/>
  <c r="AC10" i="23"/>
  <c r="AC19" i="23"/>
  <c r="AC20" i="23"/>
  <c r="AC21" i="23"/>
  <c r="AB8" i="23"/>
  <c r="AB9" i="23"/>
  <c r="AB18" i="23"/>
  <c r="AB17" i="23"/>
  <c r="AB16" i="23"/>
  <c r="AB15" i="23"/>
  <c r="AB14" i="23"/>
  <c r="AB13" i="23"/>
  <c r="AB12" i="23"/>
  <c r="AB11" i="23"/>
  <c r="AB10" i="23"/>
  <c r="AB19" i="23"/>
  <c r="AB20" i="23"/>
  <c r="AB21" i="23"/>
  <c r="AA8" i="23"/>
  <c r="AA9" i="23"/>
  <c r="AA18" i="23"/>
  <c r="AA17" i="23"/>
  <c r="AA16" i="23"/>
  <c r="AA15" i="23"/>
  <c r="AA14" i="23"/>
  <c r="AA13" i="23"/>
  <c r="AA12" i="23"/>
  <c r="AA11" i="23"/>
  <c r="AA10" i="23"/>
  <c r="AA19" i="23"/>
  <c r="AA20" i="23"/>
  <c r="AA21" i="23"/>
  <c r="Z8" i="23"/>
  <c r="Z9" i="23"/>
  <c r="Z18" i="23"/>
  <c r="Z17" i="23"/>
  <c r="Z16" i="23"/>
  <c r="Z15" i="23"/>
  <c r="Z14" i="23"/>
  <c r="Z13" i="23"/>
  <c r="Z12" i="23"/>
  <c r="Z11" i="23"/>
  <c r="Z10" i="23"/>
  <c r="Z19" i="23"/>
  <c r="Z20" i="23"/>
  <c r="Z21" i="23"/>
  <c r="Y8" i="23"/>
  <c r="Y9" i="23"/>
  <c r="Y18" i="23"/>
  <c r="Y17" i="23"/>
  <c r="Y16" i="23"/>
  <c r="Y15" i="23"/>
  <c r="Y14" i="23"/>
  <c r="Y13" i="23"/>
  <c r="Y12" i="23"/>
  <c r="Y11" i="23"/>
  <c r="Y10" i="23"/>
  <c r="Y19" i="23"/>
  <c r="Y20" i="23"/>
  <c r="Y21" i="23"/>
  <c r="X8" i="23"/>
  <c r="X9" i="23"/>
  <c r="X18" i="23"/>
  <c r="X17" i="23"/>
  <c r="X16" i="23"/>
  <c r="X15" i="23"/>
  <c r="X14" i="23"/>
  <c r="X13" i="23"/>
  <c r="X12" i="23"/>
  <c r="X11" i="23"/>
  <c r="X10" i="23"/>
  <c r="X19" i="23"/>
  <c r="X20" i="23"/>
  <c r="X21" i="23"/>
  <c r="W8" i="23"/>
  <c r="W9" i="23"/>
  <c r="W18" i="23"/>
  <c r="W17" i="23"/>
  <c r="W16" i="23"/>
  <c r="W15" i="23"/>
  <c r="W14" i="23"/>
  <c r="W13" i="23"/>
  <c r="W12" i="23"/>
  <c r="W11" i="23"/>
  <c r="W10" i="23"/>
  <c r="W19" i="23"/>
  <c r="W20" i="23"/>
  <c r="W21" i="23"/>
  <c r="V8" i="23"/>
  <c r="V9" i="23"/>
  <c r="V18" i="23"/>
  <c r="V17" i="23"/>
  <c r="V16" i="23"/>
  <c r="V15" i="23"/>
  <c r="V14" i="23"/>
  <c r="V13" i="23"/>
  <c r="V12" i="23"/>
  <c r="V11" i="23"/>
  <c r="V10" i="23"/>
  <c r="V19" i="23"/>
  <c r="V20" i="23"/>
  <c r="V21" i="23"/>
  <c r="U8" i="23"/>
  <c r="U9" i="23"/>
  <c r="U18" i="23"/>
  <c r="U17" i="23"/>
  <c r="U16" i="23"/>
  <c r="U15" i="23"/>
  <c r="U14" i="23"/>
  <c r="U13" i="23"/>
  <c r="U12" i="23"/>
  <c r="U11" i="23"/>
  <c r="U10" i="23"/>
  <c r="U19" i="23"/>
  <c r="U20" i="23"/>
  <c r="U21" i="23"/>
  <c r="T8" i="23"/>
  <c r="T9" i="23"/>
  <c r="T18" i="23"/>
  <c r="T17" i="23"/>
  <c r="T16" i="23"/>
  <c r="T15" i="23"/>
  <c r="T14" i="23"/>
  <c r="T13" i="23"/>
  <c r="T12" i="23"/>
  <c r="T11" i="23"/>
  <c r="T10" i="23"/>
  <c r="T19" i="23"/>
  <c r="T20" i="23"/>
  <c r="T21" i="23"/>
  <c r="S8" i="23"/>
  <c r="S9" i="23"/>
  <c r="S17" i="23"/>
  <c r="S16" i="23"/>
  <c r="S15" i="23"/>
  <c r="S14" i="23"/>
  <c r="S13" i="23"/>
  <c r="S12" i="23"/>
  <c r="S11" i="23"/>
  <c r="S10" i="23"/>
  <c r="S18" i="23"/>
  <c r="S19" i="23"/>
  <c r="S20" i="23"/>
  <c r="S21" i="23"/>
  <c r="C50" i="36"/>
  <c r="E49" i="36"/>
  <c r="B49" i="36"/>
  <c r="E50" i="35"/>
  <c r="C50" i="35"/>
  <c r="E49" i="35"/>
  <c r="B49" i="35"/>
  <c r="E49" i="34"/>
  <c r="B49" i="34"/>
  <c r="C50" i="33"/>
  <c r="E49" i="33"/>
  <c r="B49" i="33"/>
  <c r="E49" i="32"/>
  <c r="B49" i="32"/>
  <c r="E49" i="31"/>
  <c r="B49" i="31"/>
  <c r="E49" i="30"/>
  <c r="B49" i="30"/>
  <c r="E49" i="29"/>
  <c r="B49" i="29"/>
  <c r="C50" i="27"/>
  <c r="E49" i="27"/>
  <c r="B49" i="27"/>
  <c r="E50" i="26"/>
  <c r="C50" i="26"/>
  <c r="E49" i="26"/>
  <c r="B49" i="26"/>
  <c r="E49" i="24"/>
  <c r="B49" i="24"/>
  <c r="AR42" i="23"/>
  <c r="AQ42" i="23"/>
  <c r="AP42" i="23"/>
  <c r="AO42" i="23"/>
  <c r="AN42" i="23"/>
  <c r="AM42" i="23"/>
  <c r="AL42" i="23"/>
  <c r="AJ42" i="23"/>
  <c r="AI42" i="23"/>
  <c r="AG42" i="23"/>
  <c r="Q42" i="23"/>
  <c r="Q41" i="23"/>
  <c r="Q40" i="23"/>
  <c r="Q39" i="23"/>
  <c r="Q38" i="23"/>
  <c r="Q37" i="23"/>
  <c r="Q36" i="23"/>
  <c r="Q35" i="23"/>
  <c r="Q34" i="23"/>
  <c r="Q33" i="23"/>
  <c r="Q32" i="23"/>
  <c r="Q31" i="23"/>
  <c r="Q30" i="23"/>
  <c r="Q29" i="23"/>
  <c r="Q28" i="23"/>
  <c r="Q27" i="23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Q8" i="23"/>
  <c r="Q43" i="23"/>
  <c r="AS42" i="23"/>
  <c r="E50" i="24"/>
  <c r="C50" i="24"/>
  <c r="E50" i="27"/>
  <c r="E50" i="29"/>
  <c r="C50" i="29"/>
  <c r="E50" i="30"/>
  <c r="C50" i="30"/>
  <c r="E50" i="31"/>
  <c r="C50" i="31"/>
  <c r="C50" i="32"/>
  <c r="E50" i="32" s="1"/>
  <c r="E50" i="33"/>
  <c r="C50" i="34"/>
  <c r="E50" i="34" s="1"/>
  <c r="E50" i="36"/>
  <c r="R8" i="23"/>
  <c r="R9" i="23"/>
  <c r="R17" i="23"/>
  <c r="R16" i="23"/>
  <c r="R15" i="23"/>
  <c r="R14" i="23"/>
  <c r="R13" i="23"/>
  <c r="R12" i="23"/>
  <c r="R11" i="23"/>
  <c r="R10" i="23"/>
  <c r="R18" i="23"/>
  <c r="R19" i="23"/>
  <c r="R20" i="23"/>
  <c r="R21" i="23"/>
  <c r="E25" i="24"/>
  <c r="E24" i="24"/>
  <c r="E23" i="24"/>
  <c r="E22" i="24"/>
  <c r="E21" i="24"/>
  <c r="E20" i="24"/>
  <c r="E19" i="24"/>
  <c r="E18" i="24"/>
  <c r="E17" i="24"/>
  <c r="E16" i="24"/>
  <c r="E26" i="24"/>
  <c r="E27" i="24"/>
  <c r="E28" i="24"/>
  <c r="J17" i="24"/>
  <c r="K17" i="24" s="1"/>
  <c r="J15" i="24"/>
  <c r="K15" i="24" s="1"/>
  <c r="L15" i="24" s="1"/>
  <c r="H21" i="24"/>
  <c r="H20" i="24"/>
  <c r="H19" i="24"/>
  <c r="H18" i="24"/>
  <c r="I17" i="24"/>
  <c r="H17" i="24"/>
  <c r="I16" i="24"/>
  <c r="J16" i="24" s="1"/>
  <c r="K16" i="24" s="1"/>
  <c r="H16" i="24"/>
  <c r="I15" i="24"/>
  <c r="H15" i="24"/>
  <c r="G15" i="24"/>
  <c r="G16" i="24" s="1"/>
  <c r="G17" i="24" s="1"/>
  <c r="F15" i="24"/>
  <c r="F16" i="24" s="1"/>
  <c r="F17" i="24" s="1"/>
  <c r="F18" i="24" s="1"/>
  <c r="F19" i="24" s="1"/>
  <c r="F20" i="24" s="1"/>
  <c r="F21" i="24" s="1"/>
  <c r="D27" i="24"/>
  <c r="D28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AO41" i="23"/>
  <c r="AO40" i="23"/>
  <c r="AO39" i="23"/>
  <c r="AO38" i="23"/>
  <c r="AO37" i="23"/>
  <c r="AO36" i="23"/>
  <c r="AO35" i="23"/>
  <c r="AO34" i="23"/>
  <c r="AO33" i="23"/>
  <c r="AO32" i="23"/>
  <c r="AO31" i="23"/>
  <c r="AO30" i="23"/>
  <c r="AO29" i="23"/>
  <c r="AO28" i="23"/>
  <c r="AO27" i="23"/>
  <c r="AO26" i="23"/>
  <c r="AO25" i="23"/>
  <c r="AO24" i="23"/>
  <c r="AO23" i="23"/>
  <c r="AO22" i="23"/>
  <c r="AO20" i="23"/>
  <c r="AO19" i="23"/>
  <c r="AO18" i="23"/>
  <c r="AO17" i="23"/>
  <c r="AO16" i="23"/>
  <c r="AO15" i="23"/>
  <c r="AO14" i="23"/>
  <c r="AO12" i="23"/>
  <c r="AO11" i="23"/>
  <c r="AO10" i="23"/>
  <c r="AO9" i="23"/>
  <c r="G16" i="36" l="1"/>
  <c r="G17" i="36" s="1"/>
  <c r="F16" i="36"/>
  <c r="F16" i="35"/>
  <c r="H16" i="35" s="1"/>
  <c r="J15" i="35"/>
  <c r="K15" i="35" s="1"/>
  <c r="L15" i="35" s="1"/>
  <c r="G16" i="35"/>
  <c r="G17" i="34"/>
  <c r="I16" i="34"/>
  <c r="F16" i="34"/>
  <c r="H16" i="34" s="1"/>
  <c r="J15" i="33"/>
  <c r="K15" i="33" s="1"/>
  <c r="L15" i="33" s="1"/>
  <c r="F16" i="33"/>
  <c r="H16" i="33" s="1"/>
  <c r="G16" i="33"/>
  <c r="F18" i="32"/>
  <c r="H17" i="32"/>
  <c r="G17" i="32"/>
  <c r="I16" i="32"/>
  <c r="J16" i="32" s="1"/>
  <c r="K16" i="32" s="1"/>
  <c r="L16" i="32" s="1"/>
  <c r="J15" i="31"/>
  <c r="K15" i="31" s="1"/>
  <c r="L15" i="31" s="1"/>
  <c r="F16" i="31"/>
  <c r="G16" i="31"/>
  <c r="F16" i="30"/>
  <c r="G16" i="30"/>
  <c r="F17" i="29"/>
  <c r="I16" i="29"/>
  <c r="J16" i="29" s="1"/>
  <c r="K16" i="29" s="1"/>
  <c r="G17" i="29"/>
  <c r="J15" i="29"/>
  <c r="K15" i="29" s="1"/>
  <c r="L15" i="29" s="1"/>
  <c r="F16" i="29"/>
  <c r="H16" i="29" s="1"/>
  <c r="J15" i="28"/>
  <c r="K15" i="28" s="1"/>
  <c r="L15" i="28" s="1"/>
  <c r="F16" i="28"/>
  <c r="H16" i="28" s="1"/>
  <c r="G16" i="28"/>
  <c r="J15" i="27"/>
  <c r="K15" i="27" s="1"/>
  <c r="L15" i="27" s="1"/>
  <c r="F16" i="27"/>
  <c r="G16" i="27"/>
  <c r="I16" i="26"/>
  <c r="G17" i="26"/>
  <c r="J15" i="26"/>
  <c r="K15" i="26" s="1"/>
  <c r="L15" i="26" s="1"/>
  <c r="F16" i="26"/>
  <c r="J15" i="25"/>
  <c r="K15" i="25" s="1"/>
  <c r="L15" i="25" s="1"/>
  <c r="G17" i="25"/>
  <c r="I16" i="25"/>
  <c r="F16" i="25"/>
  <c r="F22" i="24"/>
  <c r="G18" i="24"/>
  <c r="L17" i="24"/>
  <c r="L16" i="24"/>
  <c r="I16" i="36" l="1"/>
  <c r="G18" i="36"/>
  <c r="I17" i="36"/>
  <c r="H16" i="36"/>
  <c r="J16" i="36" s="1"/>
  <c r="K16" i="36" s="1"/>
  <c r="L16" i="36" s="1"/>
  <c r="F17" i="36"/>
  <c r="F17" i="35"/>
  <c r="F18" i="35" s="1"/>
  <c r="F19" i="35" s="1"/>
  <c r="G17" i="35"/>
  <c r="I16" i="35"/>
  <c r="J16" i="35" s="1"/>
  <c r="K16" i="35" s="1"/>
  <c r="L16" i="35" s="1"/>
  <c r="J16" i="34"/>
  <c r="K16" i="34" s="1"/>
  <c r="L16" i="34" s="1"/>
  <c r="F17" i="34"/>
  <c r="I17" i="34"/>
  <c r="G18" i="34"/>
  <c r="G17" i="33"/>
  <c r="I16" i="33"/>
  <c r="J16" i="33" s="1"/>
  <c r="K16" i="33" s="1"/>
  <c r="L16" i="33" s="1"/>
  <c r="F17" i="33"/>
  <c r="G18" i="32"/>
  <c r="I17" i="32"/>
  <c r="J17" i="32" s="1"/>
  <c r="K17" i="32" s="1"/>
  <c r="L17" i="32" s="1"/>
  <c r="F19" i="32"/>
  <c r="H18" i="32"/>
  <c r="G17" i="31"/>
  <c r="I16" i="31"/>
  <c r="H16" i="31"/>
  <c r="F17" i="31"/>
  <c r="G17" i="30"/>
  <c r="I16" i="30"/>
  <c r="H16" i="30"/>
  <c r="F17" i="30"/>
  <c r="G18" i="29"/>
  <c r="I17" i="29"/>
  <c r="L16" i="29"/>
  <c r="H17" i="29"/>
  <c r="F18" i="29"/>
  <c r="G17" i="28"/>
  <c r="I16" i="28"/>
  <c r="J16" i="28" s="1"/>
  <c r="K16" i="28" s="1"/>
  <c r="L16" i="28" s="1"/>
  <c r="F17" i="28"/>
  <c r="H16" i="27"/>
  <c r="F17" i="27"/>
  <c r="G17" i="27"/>
  <c r="I16" i="27"/>
  <c r="J16" i="27" s="1"/>
  <c r="K16" i="27" s="1"/>
  <c r="L16" i="27" s="1"/>
  <c r="F17" i="26"/>
  <c r="H16" i="26"/>
  <c r="I17" i="26"/>
  <c r="G18" i="26"/>
  <c r="J16" i="26"/>
  <c r="K16" i="26" s="1"/>
  <c r="L16" i="26" s="1"/>
  <c r="I17" i="25"/>
  <c r="G18" i="25"/>
  <c r="H16" i="25"/>
  <c r="J16" i="25" s="1"/>
  <c r="K16" i="25" s="1"/>
  <c r="L16" i="25" s="1"/>
  <c r="F17" i="25"/>
  <c r="F23" i="24"/>
  <c r="H22" i="24"/>
  <c r="G19" i="24"/>
  <c r="I18" i="24"/>
  <c r="J18" i="24" s="1"/>
  <c r="K18" i="24" s="1"/>
  <c r="L18" i="24" s="1"/>
  <c r="F18" i="36" l="1"/>
  <c r="H17" i="36"/>
  <c r="J17" i="36" s="1"/>
  <c r="K17" i="36" s="1"/>
  <c r="L17" i="36" s="1"/>
  <c r="I18" i="36"/>
  <c r="G19" i="36"/>
  <c r="H18" i="35"/>
  <c r="H17" i="35"/>
  <c r="G18" i="35"/>
  <c r="I17" i="35"/>
  <c r="J17" i="35" s="1"/>
  <c r="K17" i="35" s="1"/>
  <c r="L17" i="35" s="1"/>
  <c r="H19" i="35"/>
  <c r="F20" i="35"/>
  <c r="I18" i="34"/>
  <c r="G19" i="34"/>
  <c r="F18" i="34"/>
  <c r="H17" i="34"/>
  <c r="J17" i="34" s="1"/>
  <c r="K17" i="34" s="1"/>
  <c r="L17" i="34" s="1"/>
  <c r="H17" i="33"/>
  <c r="F18" i="33"/>
  <c r="G18" i="33"/>
  <c r="I17" i="33"/>
  <c r="J17" i="33" s="1"/>
  <c r="K17" i="33" s="1"/>
  <c r="L17" i="33" s="1"/>
  <c r="H19" i="32"/>
  <c r="F20" i="32"/>
  <c r="I18" i="32"/>
  <c r="J18" i="32" s="1"/>
  <c r="K18" i="32" s="1"/>
  <c r="L18" i="32" s="1"/>
  <c r="G19" i="32"/>
  <c r="F18" i="31"/>
  <c r="H17" i="31"/>
  <c r="J16" i="31"/>
  <c r="K16" i="31" s="1"/>
  <c r="L16" i="31" s="1"/>
  <c r="I17" i="31"/>
  <c r="J17" i="31" s="1"/>
  <c r="K17" i="31" s="1"/>
  <c r="L17" i="31" s="1"/>
  <c r="G18" i="31"/>
  <c r="F18" i="30"/>
  <c r="H17" i="30"/>
  <c r="J16" i="30"/>
  <c r="K16" i="30" s="1"/>
  <c r="L16" i="30" s="1"/>
  <c r="I17" i="30"/>
  <c r="J17" i="30" s="1"/>
  <c r="K17" i="30" s="1"/>
  <c r="L17" i="30" s="1"/>
  <c r="G18" i="30"/>
  <c r="J17" i="29"/>
  <c r="K17" i="29" s="1"/>
  <c r="L17" i="29" s="1"/>
  <c r="F19" i="29"/>
  <c r="H18" i="29"/>
  <c r="I18" i="29"/>
  <c r="J18" i="29" s="1"/>
  <c r="K18" i="29" s="1"/>
  <c r="G19" i="29"/>
  <c r="F18" i="28"/>
  <c r="H17" i="28"/>
  <c r="G18" i="28"/>
  <c r="I17" i="28"/>
  <c r="J17" i="28" s="1"/>
  <c r="K17" i="28" s="1"/>
  <c r="L17" i="28" s="1"/>
  <c r="I17" i="27"/>
  <c r="G18" i="27"/>
  <c r="F18" i="27"/>
  <c r="H17" i="27"/>
  <c r="J17" i="26"/>
  <c r="K17" i="26" s="1"/>
  <c r="L17" i="26" s="1"/>
  <c r="I18" i="26"/>
  <c r="G19" i="26"/>
  <c r="H17" i="26"/>
  <c r="F18" i="26"/>
  <c r="H17" i="25"/>
  <c r="F18" i="25"/>
  <c r="I18" i="25"/>
  <c r="G19" i="25"/>
  <c r="J17" i="25"/>
  <c r="K17" i="25" s="1"/>
  <c r="L17" i="25" s="1"/>
  <c r="F24" i="24"/>
  <c r="H23" i="24"/>
  <c r="G20" i="24"/>
  <c r="I19" i="24"/>
  <c r="J19" i="24" s="1"/>
  <c r="K19" i="24" s="1"/>
  <c r="L19" i="24" s="1"/>
  <c r="I19" i="36" l="1"/>
  <c r="G20" i="36"/>
  <c r="F19" i="36"/>
  <c r="H18" i="36"/>
  <c r="J18" i="36" s="1"/>
  <c r="K18" i="36" s="1"/>
  <c r="L18" i="36" s="1"/>
  <c r="H20" i="35"/>
  <c r="F21" i="35"/>
  <c r="I18" i="35"/>
  <c r="J18" i="35" s="1"/>
  <c r="K18" i="35" s="1"/>
  <c r="L18" i="35" s="1"/>
  <c r="G19" i="35"/>
  <c r="H18" i="34"/>
  <c r="F19" i="34"/>
  <c r="I19" i="34"/>
  <c r="G20" i="34"/>
  <c r="J18" i="34"/>
  <c r="K18" i="34" s="1"/>
  <c r="L18" i="34" s="1"/>
  <c r="F19" i="33"/>
  <c r="H18" i="33"/>
  <c r="I18" i="33"/>
  <c r="J18" i="33" s="1"/>
  <c r="K18" i="33" s="1"/>
  <c r="L18" i="33" s="1"/>
  <c r="G19" i="33"/>
  <c r="H20" i="32"/>
  <c r="F21" i="32"/>
  <c r="I19" i="32"/>
  <c r="J19" i="32" s="1"/>
  <c r="K19" i="32" s="1"/>
  <c r="L19" i="32" s="1"/>
  <c r="G20" i="32"/>
  <c r="H18" i="31"/>
  <c r="F19" i="31"/>
  <c r="I18" i="31"/>
  <c r="J18" i="31" s="1"/>
  <c r="K18" i="31" s="1"/>
  <c r="L18" i="31" s="1"/>
  <c r="G19" i="31"/>
  <c r="I18" i="30"/>
  <c r="G19" i="30"/>
  <c r="H18" i="30"/>
  <c r="F19" i="30"/>
  <c r="I19" i="29"/>
  <c r="G20" i="29"/>
  <c r="L18" i="29"/>
  <c r="H19" i="29"/>
  <c r="F20" i="29"/>
  <c r="I18" i="28"/>
  <c r="G19" i="28"/>
  <c r="F19" i="28"/>
  <c r="H18" i="28"/>
  <c r="G19" i="27"/>
  <c r="I18" i="27"/>
  <c r="H18" i="27"/>
  <c r="F19" i="27"/>
  <c r="J17" i="27"/>
  <c r="K17" i="27" s="1"/>
  <c r="L17" i="27" s="1"/>
  <c r="H18" i="26"/>
  <c r="F19" i="26"/>
  <c r="I19" i="26"/>
  <c r="G20" i="26"/>
  <c r="J18" i="26"/>
  <c r="K18" i="26" s="1"/>
  <c r="L18" i="26" s="1"/>
  <c r="I19" i="25"/>
  <c r="G20" i="25"/>
  <c r="H18" i="25"/>
  <c r="J18" i="25" s="1"/>
  <c r="K18" i="25" s="1"/>
  <c r="L18" i="25" s="1"/>
  <c r="F19" i="25"/>
  <c r="F25" i="24"/>
  <c r="H24" i="24"/>
  <c r="G21" i="24"/>
  <c r="I20" i="24"/>
  <c r="J20" i="24" s="1"/>
  <c r="K20" i="24" s="1"/>
  <c r="L20" i="24" s="1"/>
  <c r="H19" i="36" l="1"/>
  <c r="F20" i="36"/>
  <c r="G21" i="36"/>
  <c r="I20" i="36"/>
  <c r="J19" i="36"/>
  <c r="K19" i="36" s="1"/>
  <c r="L19" i="36" s="1"/>
  <c r="I19" i="35"/>
  <c r="J19" i="35" s="1"/>
  <c r="K19" i="35" s="1"/>
  <c r="L19" i="35" s="1"/>
  <c r="G20" i="35"/>
  <c r="H21" i="35"/>
  <c r="F22" i="35"/>
  <c r="G21" i="34"/>
  <c r="I20" i="34"/>
  <c r="F20" i="34"/>
  <c r="H19" i="34"/>
  <c r="J19" i="34" s="1"/>
  <c r="K19" i="34" s="1"/>
  <c r="L19" i="34" s="1"/>
  <c r="I19" i="33"/>
  <c r="G20" i="33"/>
  <c r="H19" i="33"/>
  <c r="F20" i="33"/>
  <c r="I20" i="32"/>
  <c r="J20" i="32" s="1"/>
  <c r="K20" i="32" s="1"/>
  <c r="L20" i="32" s="1"/>
  <c r="G21" i="32"/>
  <c r="H21" i="32"/>
  <c r="F22" i="32"/>
  <c r="I19" i="31"/>
  <c r="G20" i="31"/>
  <c r="F20" i="31"/>
  <c r="H19" i="31"/>
  <c r="I19" i="30"/>
  <c r="J19" i="30" s="1"/>
  <c r="K19" i="30" s="1"/>
  <c r="L19" i="30" s="1"/>
  <c r="G20" i="30"/>
  <c r="H19" i="30"/>
  <c r="F20" i="30"/>
  <c r="J18" i="30"/>
  <c r="K18" i="30" s="1"/>
  <c r="L18" i="30" s="1"/>
  <c r="I20" i="29"/>
  <c r="J20" i="29" s="1"/>
  <c r="K20" i="29" s="1"/>
  <c r="L20" i="29" s="1"/>
  <c r="G21" i="29"/>
  <c r="H20" i="29"/>
  <c r="F21" i="29"/>
  <c r="J19" i="29"/>
  <c r="K19" i="29" s="1"/>
  <c r="L19" i="29" s="1"/>
  <c r="H19" i="28"/>
  <c r="F20" i="28"/>
  <c r="I19" i="28"/>
  <c r="J19" i="28" s="1"/>
  <c r="K19" i="28" s="1"/>
  <c r="G20" i="28"/>
  <c r="J18" i="28"/>
  <c r="K18" i="28" s="1"/>
  <c r="L18" i="28" s="1"/>
  <c r="F20" i="27"/>
  <c r="H19" i="27"/>
  <c r="J18" i="27"/>
  <c r="K18" i="27" s="1"/>
  <c r="L18" i="27" s="1"/>
  <c r="I19" i="27"/>
  <c r="J19" i="27" s="1"/>
  <c r="K19" i="27" s="1"/>
  <c r="L19" i="27" s="1"/>
  <c r="G20" i="27"/>
  <c r="I20" i="26"/>
  <c r="G21" i="26"/>
  <c r="H19" i="26"/>
  <c r="F20" i="26"/>
  <c r="J19" i="26"/>
  <c r="K19" i="26" s="1"/>
  <c r="L19" i="26" s="1"/>
  <c r="H19" i="25"/>
  <c r="F20" i="25"/>
  <c r="I20" i="25"/>
  <c r="G21" i="25"/>
  <c r="J19" i="25"/>
  <c r="K19" i="25" s="1"/>
  <c r="L19" i="25" s="1"/>
  <c r="F26" i="24"/>
  <c r="H25" i="24"/>
  <c r="G22" i="24"/>
  <c r="I21" i="24"/>
  <c r="J21" i="24" s="1"/>
  <c r="K21" i="24" s="1"/>
  <c r="L21" i="24" s="1"/>
  <c r="I21" i="36" l="1"/>
  <c r="G22" i="36"/>
  <c r="H20" i="36"/>
  <c r="J20" i="36" s="1"/>
  <c r="K20" i="36" s="1"/>
  <c r="L20" i="36" s="1"/>
  <c r="F21" i="36"/>
  <c r="H22" i="35"/>
  <c r="F23" i="35"/>
  <c r="I20" i="35"/>
  <c r="J20" i="35" s="1"/>
  <c r="K20" i="35" s="1"/>
  <c r="L20" i="35" s="1"/>
  <c r="G21" i="35"/>
  <c r="H20" i="34"/>
  <c r="F21" i="34"/>
  <c r="J20" i="34"/>
  <c r="K20" i="34" s="1"/>
  <c r="L20" i="34" s="1"/>
  <c r="G22" i="34"/>
  <c r="I21" i="34"/>
  <c r="H20" i="33"/>
  <c r="F21" i="33"/>
  <c r="I20" i="33"/>
  <c r="J20" i="33" s="1"/>
  <c r="K20" i="33" s="1"/>
  <c r="G21" i="33"/>
  <c r="J19" i="33"/>
  <c r="K19" i="33" s="1"/>
  <c r="L19" i="33" s="1"/>
  <c r="H22" i="32"/>
  <c r="F23" i="32"/>
  <c r="I21" i="32"/>
  <c r="J21" i="32" s="1"/>
  <c r="K21" i="32" s="1"/>
  <c r="L21" i="32" s="1"/>
  <c r="G22" i="32"/>
  <c r="I20" i="31"/>
  <c r="G21" i="31"/>
  <c r="H20" i="31"/>
  <c r="F21" i="31"/>
  <c r="J19" i="31"/>
  <c r="K19" i="31" s="1"/>
  <c r="L19" i="31" s="1"/>
  <c r="H20" i="30"/>
  <c r="F21" i="30"/>
  <c r="I20" i="30"/>
  <c r="G21" i="30"/>
  <c r="H21" i="29"/>
  <c r="F22" i="29"/>
  <c r="G22" i="29"/>
  <c r="I21" i="29"/>
  <c r="I20" i="28"/>
  <c r="G21" i="28"/>
  <c r="H20" i="28"/>
  <c r="F21" i="28"/>
  <c r="L19" i="28"/>
  <c r="I20" i="27"/>
  <c r="G21" i="27"/>
  <c r="H20" i="27"/>
  <c r="F21" i="27"/>
  <c r="H20" i="26"/>
  <c r="F21" i="26"/>
  <c r="I21" i="26"/>
  <c r="G22" i="26"/>
  <c r="J20" i="26"/>
  <c r="K20" i="26" s="1"/>
  <c r="L20" i="26" s="1"/>
  <c r="I21" i="25"/>
  <c r="G22" i="25"/>
  <c r="H20" i="25"/>
  <c r="J20" i="25" s="1"/>
  <c r="K20" i="25" s="1"/>
  <c r="L20" i="25" s="1"/>
  <c r="F21" i="25"/>
  <c r="F27" i="24"/>
  <c r="H26" i="24"/>
  <c r="G23" i="24"/>
  <c r="I22" i="24"/>
  <c r="J22" i="24" s="1"/>
  <c r="K22" i="24" s="1"/>
  <c r="L22" i="24" s="1"/>
  <c r="H21" i="36" l="1"/>
  <c r="F22" i="36"/>
  <c r="I22" i="36"/>
  <c r="G23" i="36"/>
  <c r="J21" i="36"/>
  <c r="K21" i="36" s="1"/>
  <c r="L21" i="36" s="1"/>
  <c r="I21" i="35"/>
  <c r="J21" i="35" s="1"/>
  <c r="K21" i="35" s="1"/>
  <c r="L21" i="35" s="1"/>
  <c r="G22" i="35"/>
  <c r="H23" i="35"/>
  <c r="F24" i="35"/>
  <c r="I22" i="34"/>
  <c r="G23" i="34"/>
  <c r="H21" i="34"/>
  <c r="F22" i="34"/>
  <c r="J21" i="34"/>
  <c r="K21" i="34" s="1"/>
  <c r="L21" i="34" s="1"/>
  <c r="I21" i="33"/>
  <c r="G22" i="33"/>
  <c r="L20" i="33"/>
  <c r="H21" i="33"/>
  <c r="F22" i="33"/>
  <c r="I22" i="32"/>
  <c r="J22" i="32" s="1"/>
  <c r="K22" i="32" s="1"/>
  <c r="L22" i="32" s="1"/>
  <c r="G23" i="32"/>
  <c r="H23" i="32"/>
  <c r="F24" i="32"/>
  <c r="I21" i="31"/>
  <c r="J21" i="31" s="1"/>
  <c r="K21" i="31" s="1"/>
  <c r="G22" i="31"/>
  <c r="H21" i="31"/>
  <c r="F22" i="31"/>
  <c r="J20" i="31"/>
  <c r="K20" i="31" s="1"/>
  <c r="L20" i="31" s="1"/>
  <c r="I21" i="30"/>
  <c r="J21" i="30" s="1"/>
  <c r="K21" i="30" s="1"/>
  <c r="L21" i="30" s="1"/>
  <c r="G22" i="30"/>
  <c r="J20" i="30"/>
  <c r="K20" i="30" s="1"/>
  <c r="L20" i="30" s="1"/>
  <c r="H21" i="30"/>
  <c r="F22" i="30"/>
  <c r="J21" i="29"/>
  <c r="K21" i="29" s="1"/>
  <c r="L21" i="29" s="1"/>
  <c r="I22" i="29"/>
  <c r="G23" i="29"/>
  <c r="F23" i="29"/>
  <c r="H22" i="29"/>
  <c r="H21" i="28"/>
  <c r="F22" i="28"/>
  <c r="I21" i="28"/>
  <c r="J21" i="28" s="1"/>
  <c r="K21" i="28" s="1"/>
  <c r="G22" i="28"/>
  <c r="J20" i="28"/>
  <c r="K20" i="28" s="1"/>
  <c r="L20" i="28" s="1"/>
  <c r="H21" i="27"/>
  <c r="F22" i="27"/>
  <c r="I21" i="27"/>
  <c r="J21" i="27" s="1"/>
  <c r="K21" i="27" s="1"/>
  <c r="G22" i="27"/>
  <c r="J20" i="27"/>
  <c r="K20" i="27" s="1"/>
  <c r="L20" i="27" s="1"/>
  <c r="I22" i="26"/>
  <c r="G23" i="26"/>
  <c r="H21" i="26"/>
  <c r="J21" i="26" s="1"/>
  <c r="K21" i="26" s="1"/>
  <c r="L21" i="26" s="1"/>
  <c r="F22" i="26"/>
  <c r="H21" i="25"/>
  <c r="F22" i="25"/>
  <c r="I22" i="25"/>
  <c r="G23" i="25"/>
  <c r="J21" i="25"/>
  <c r="K21" i="25" s="1"/>
  <c r="L21" i="25" s="1"/>
  <c r="F28" i="24"/>
  <c r="H28" i="24" s="1"/>
  <c r="H27" i="24"/>
  <c r="G24" i="24"/>
  <c r="I23" i="24"/>
  <c r="J23" i="24" s="1"/>
  <c r="K23" i="24" s="1"/>
  <c r="L23" i="24" s="1"/>
  <c r="H22" i="36" l="1"/>
  <c r="F23" i="36"/>
  <c r="I23" i="36"/>
  <c r="G24" i="36"/>
  <c r="J22" i="36"/>
  <c r="K22" i="36" s="1"/>
  <c r="L22" i="36" s="1"/>
  <c r="I22" i="35"/>
  <c r="J22" i="35" s="1"/>
  <c r="K22" i="35" s="1"/>
  <c r="L22" i="35" s="1"/>
  <c r="G23" i="35"/>
  <c r="H24" i="35"/>
  <c r="F25" i="35"/>
  <c r="H22" i="34"/>
  <c r="J22" i="34" s="1"/>
  <c r="K22" i="34" s="1"/>
  <c r="L22" i="34" s="1"/>
  <c r="F23" i="34"/>
  <c r="I23" i="34"/>
  <c r="G24" i="34"/>
  <c r="H22" i="33"/>
  <c r="F23" i="33"/>
  <c r="I22" i="33"/>
  <c r="J22" i="33" s="1"/>
  <c r="K22" i="33" s="1"/>
  <c r="G23" i="33"/>
  <c r="J21" i="33"/>
  <c r="K21" i="33" s="1"/>
  <c r="L21" i="33" s="1"/>
  <c r="I23" i="32"/>
  <c r="J23" i="32" s="1"/>
  <c r="K23" i="32" s="1"/>
  <c r="L23" i="32" s="1"/>
  <c r="G24" i="32"/>
  <c r="H24" i="32"/>
  <c r="F25" i="32"/>
  <c r="H22" i="31"/>
  <c r="F23" i="31"/>
  <c r="I22" i="31"/>
  <c r="G23" i="31"/>
  <c r="L21" i="31"/>
  <c r="H22" i="30"/>
  <c r="F23" i="30"/>
  <c r="I22" i="30"/>
  <c r="J22" i="30" s="1"/>
  <c r="K22" i="30" s="1"/>
  <c r="L22" i="30" s="1"/>
  <c r="G23" i="30"/>
  <c r="H23" i="29"/>
  <c r="F24" i="29"/>
  <c r="G24" i="29"/>
  <c r="I23" i="29"/>
  <c r="J22" i="29"/>
  <c r="K22" i="29" s="1"/>
  <c r="L22" i="29" s="1"/>
  <c r="I22" i="28"/>
  <c r="G23" i="28"/>
  <c r="L21" i="28"/>
  <c r="H22" i="28"/>
  <c r="F23" i="28"/>
  <c r="I22" i="27"/>
  <c r="G23" i="27"/>
  <c r="L21" i="27"/>
  <c r="H22" i="27"/>
  <c r="F23" i="27"/>
  <c r="H22" i="26"/>
  <c r="F23" i="26"/>
  <c r="G24" i="26"/>
  <c r="I23" i="26"/>
  <c r="J22" i="26"/>
  <c r="K22" i="26" s="1"/>
  <c r="L22" i="26" s="1"/>
  <c r="I23" i="25"/>
  <c r="G24" i="25"/>
  <c r="H22" i="25"/>
  <c r="J22" i="25" s="1"/>
  <c r="K22" i="25" s="1"/>
  <c r="L22" i="25" s="1"/>
  <c r="F23" i="25"/>
  <c r="G25" i="24"/>
  <c r="I24" i="24"/>
  <c r="J24" i="24" s="1"/>
  <c r="K24" i="24" s="1"/>
  <c r="L24" i="24" s="1"/>
  <c r="G25" i="36" l="1"/>
  <c r="I24" i="36"/>
  <c r="H23" i="36"/>
  <c r="J23" i="36" s="1"/>
  <c r="K23" i="36" s="1"/>
  <c r="L23" i="36" s="1"/>
  <c r="F24" i="36"/>
  <c r="I23" i="35"/>
  <c r="J23" i="35" s="1"/>
  <c r="K23" i="35" s="1"/>
  <c r="L23" i="35" s="1"/>
  <c r="G24" i="35"/>
  <c r="H25" i="35"/>
  <c r="F26" i="35"/>
  <c r="G25" i="34"/>
  <c r="I24" i="34"/>
  <c r="H23" i="34"/>
  <c r="J23" i="34" s="1"/>
  <c r="K23" i="34" s="1"/>
  <c r="L23" i="34" s="1"/>
  <c r="F24" i="34"/>
  <c r="I23" i="33"/>
  <c r="G24" i="33"/>
  <c r="L22" i="33"/>
  <c r="H23" i="33"/>
  <c r="F24" i="33"/>
  <c r="F26" i="32"/>
  <c r="H25" i="32"/>
  <c r="G25" i="32"/>
  <c r="I24" i="32"/>
  <c r="J24" i="32" s="1"/>
  <c r="K24" i="32" s="1"/>
  <c r="L24" i="32" s="1"/>
  <c r="I23" i="31"/>
  <c r="J23" i="31" s="1"/>
  <c r="K23" i="31" s="1"/>
  <c r="L23" i="31" s="1"/>
  <c r="G24" i="31"/>
  <c r="J22" i="31"/>
  <c r="K22" i="31" s="1"/>
  <c r="L22" i="31" s="1"/>
  <c r="H23" i="31"/>
  <c r="F24" i="31"/>
  <c r="I23" i="30"/>
  <c r="G24" i="30"/>
  <c r="H23" i="30"/>
  <c r="F24" i="30"/>
  <c r="J23" i="29"/>
  <c r="K23" i="29" s="1"/>
  <c r="L23" i="29" s="1"/>
  <c r="G25" i="29"/>
  <c r="I24" i="29"/>
  <c r="H24" i="29"/>
  <c r="F25" i="29"/>
  <c r="H23" i="28"/>
  <c r="F24" i="28"/>
  <c r="I23" i="28"/>
  <c r="J23" i="28" s="1"/>
  <c r="K23" i="28" s="1"/>
  <c r="G24" i="28"/>
  <c r="J22" i="28"/>
  <c r="K22" i="28" s="1"/>
  <c r="L22" i="28" s="1"/>
  <c r="H23" i="27"/>
  <c r="F24" i="27"/>
  <c r="I23" i="27"/>
  <c r="J23" i="27" s="1"/>
  <c r="K23" i="27" s="1"/>
  <c r="G24" i="27"/>
  <c r="J22" i="27"/>
  <c r="K22" i="27" s="1"/>
  <c r="L22" i="27" s="1"/>
  <c r="I24" i="26"/>
  <c r="G25" i="26"/>
  <c r="H23" i="26"/>
  <c r="J23" i="26" s="1"/>
  <c r="K23" i="26" s="1"/>
  <c r="L23" i="26" s="1"/>
  <c r="F24" i="26"/>
  <c r="H23" i="25"/>
  <c r="F24" i="25"/>
  <c r="G25" i="25"/>
  <c r="I24" i="25"/>
  <c r="J23" i="25"/>
  <c r="K23" i="25" s="1"/>
  <c r="L23" i="25" s="1"/>
  <c r="G26" i="24"/>
  <c r="I25" i="24"/>
  <c r="J25" i="24" s="1"/>
  <c r="K25" i="24" s="1"/>
  <c r="L25" i="24" s="1"/>
  <c r="H24" i="36" l="1"/>
  <c r="J24" i="36" s="1"/>
  <c r="K24" i="36" s="1"/>
  <c r="L24" i="36" s="1"/>
  <c r="F25" i="36"/>
  <c r="I25" i="36"/>
  <c r="G26" i="36"/>
  <c r="F27" i="35"/>
  <c r="H26" i="35"/>
  <c r="G25" i="35"/>
  <c r="I24" i="35"/>
  <c r="J24" i="35" s="1"/>
  <c r="K24" i="35" s="1"/>
  <c r="L24" i="35" s="1"/>
  <c r="H24" i="34"/>
  <c r="F25" i="34"/>
  <c r="J24" i="34"/>
  <c r="K24" i="34" s="1"/>
  <c r="L24" i="34" s="1"/>
  <c r="I25" i="34"/>
  <c r="G26" i="34"/>
  <c r="H24" i="33"/>
  <c r="F25" i="33"/>
  <c r="G25" i="33"/>
  <c r="I24" i="33"/>
  <c r="J24" i="33" s="1"/>
  <c r="K24" i="33" s="1"/>
  <c r="J23" i="33"/>
  <c r="K23" i="33" s="1"/>
  <c r="L23" i="33" s="1"/>
  <c r="I25" i="32"/>
  <c r="J25" i="32" s="1"/>
  <c r="K25" i="32" s="1"/>
  <c r="L25" i="32" s="1"/>
  <c r="G26" i="32"/>
  <c r="F27" i="32"/>
  <c r="H26" i="32"/>
  <c r="H24" i="31"/>
  <c r="F25" i="31"/>
  <c r="G25" i="31"/>
  <c r="I24" i="31"/>
  <c r="J24" i="31" s="1"/>
  <c r="K24" i="31" s="1"/>
  <c r="L24" i="31" s="1"/>
  <c r="H24" i="30"/>
  <c r="F25" i="30"/>
  <c r="G25" i="30"/>
  <c r="I24" i="30"/>
  <c r="J24" i="30" s="1"/>
  <c r="K24" i="30" s="1"/>
  <c r="J23" i="30"/>
  <c r="K23" i="30" s="1"/>
  <c r="L23" i="30" s="1"/>
  <c r="H25" i="29"/>
  <c r="F26" i="29"/>
  <c r="J24" i="29"/>
  <c r="K24" i="29" s="1"/>
  <c r="L24" i="29" s="1"/>
  <c r="G26" i="29"/>
  <c r="I25" i="29"/>
  <c r="J25" i="29" s="1"/>
  <c r="K25" i="29" s="1"/>
  <c r="L25" i="29" s="1"/>
  <c r="G25" i="28"/>
  <c r="I24" i="28"/>
  <c r="L23" i="28"/>
  <c r="H24" i="28"/>
  <c r="F25" i="28"/>
  <c r="G25" i="27"/>
  <c r="I24" i="27"/>
  <c r="L23" i="27"/>
  <c r="H24" i="27"/>
  <c r="F25" i="27"/>
  <c r="F25" i="26"/>
  <c r="H24" i="26"/>
  <c r="I25" i="26"/>
  <c r="G26" i="26"/>
  <c r="J24" i="26"/>
  <c r="K24" i="26" s="1"/>
  <c r="L24" i="26" s="1"/>
  <c r="G26" i="25"/>
  <c r="I25" i="25"/>
  <c r="H24" i="25"/>
  <c r="J24" i="25" s="1"/>
  <c r="K24" i="25" s="1"/>
  <c r="L24" i="25" s="1"/>
  <c r="F25" i="25"/>
  <c r="G27" i="24"/>
  <c r="I26" i="24"/>
  <c r="J26" i="24" s="1"/>
  <c r="K26" i="24" s="1"/>
  <c r="L26" i="24" s="1"/>
  <c r="F26" i="36" l="1"/>
  <c r="H25" i="36"/>
  <c r="J25" i="36" s="1"/>
  <c r="K25" i="36" s="1"/>
  <c r="L25" i="36" s="1"/>
  <c r="I26" i="36"/>
  <c r="G27" i="36"/>
  <c r="G28" i="36" s="1"/>
  <c r="I28" i="36" s="1"/>
  <c r="J28" i="36" s="1"/>
  <c r="K28" i="36" s="1"/>
  <c r="G26" i="35"/>
  <c r="I25" i="35"/>
  <c r="J25" i="35" s="1"/>
  <c r="K25" i="35" s="1"/>
  <c r="L25" i="35" s="1"/>
  <c r="H27" i="35"/>
  <c r="F28" i="35"/>
  <c r="H28" i="35" s="1"/>
  <c r="G27" i="34"/>
  <c r="I26" i="34"/>
  <c r="F26" i="34"/>
  <c r="H25" i="34"/>
  <c r="J25" i="34"/>
  <c r="K25" i="34" s="1"/>
  <c r="L25" i="34" s="1"/>
  <c r="L24" i="33"/>
  <c r="G26" i="33"/>
  <c r="I25" i="33"/>
  <c r="H25" i="33"/>
  <c r="F26" i="33"/>
  <c r="H27" i="32"/>
  <c r="F28" i="32"/>
  <c r="H28" i="32" s="1"/>
  <c r="I26" i="32"/>
  <c r="J26" i="32" s="1"/>
  <c r="K26" i="32" s="1"/>
  <c r="L26" i="32" s="1"/>
  <c r="G27" i="32"/>
  <c r="I25" i="31"/>
  <c r="G26" i="31"/>
  <c r="F26" i="31"/>
  <c r="H25" i="31"/>
  <c r="L24" i="30"/>
  <c r="I25" i="30"/>
  <c r="G26" i="30"/>
  <c r="F26" i="30"/>
  <c r="H25" i="30"/>
  <c r="G27" i="29"/>
  <c r="I26" i="29"/>
  <c r="H26" i="29"/>
  <c r="F27" i="29"/>
  <c r="F26" i="28"/>
  <c r="H25" i="28"/>
  <c r="J24" i="28"/>
  <c r="K24" i="28" s="1"/>
  <c r="L24" i="28" s="1"/>
  <c r="G26" i="28"/>
  <c r="I25" i="28"/>
  <c r="J25" i="28" s="1"/>
  <c r="K25" i="28" s="1"/>
  <c r="L25" i="28" s="1"/>
  <c r="F26" i="27"/>
  <c r="H25" i="27"/>
  <c r="J24" i="27"/>
  <c r="K24" i="27" s="1"/>
  <c r="L24" i="27" s="1"/>
  <c r="I25" i="27"/>
  <c r="J25" i="27" s="1"/>
  <c r="K25" i="27" s="1"/>
  <c r="L25" i="27" s="1"/>
  <c r="G26" i="27"/>
  <c r="H25" i="26"/>
  <c r="J25" i="26" s="1"/>
  <c r="K25" i="26" s="1"/>
  <c r="L25" i="26" s="1"/>
  <c r="F26" i="26"/>
  <c r="I26" i="26"/>
  <c r="G27" i="26"/>
  <c r="H25" i="25"/>
  <c r="F26" i="25"/>
  <c r="J25" i="25"/>
  <c r="K25" i="25" s="1"/>
  <c r="L25" i="25" s="1"/>
  <c r="I26" i="25"/>
  <c r="G27" i="25"/>
  <c r="G28" i="24"/>
  <c r="I28" i="24" s="1"/>
  <c r="J28" i="24" s="1"/>
  <c r="K28" i="24" s="1"/>
  <c r="I27" i="24"/>
  <c r="J27" i="24" s="1"/>
  <c r="K27" i="24" s="1"/>
  <c r="L27" i="24" s="1"/>
  <c r="F27" i="36" l="1"/>
  <c r="H26" i="36"/>
  <c r="I27" i="36"/>
  <c r="J26" i="36"/>
  <c r="K26" i="36" s="1"/>
  <c r="L26" i="36" s="1"/>
  <c r="I26" i="35"/>
  <c r="J26" i="35" s="1"/>
  <c r="K26" i="35" s="1"/>
  <c r="L26" i="35" s="1"/>
  <c r="G27" i="35"/>
  <c r="H26" i="34"/>
  <c r="F27" i="34"/>
  <c r="J26" i="34"/>
  <c r="K26" i="34" s="1"/>
  <c r="L26" i="34" s="1"/>
  <c r="I27" i="34"/>
  <c r="G28" i="34"/>
  <c r="I28" i="34" s="1"/>
  <c r="F27" i="33"/>
  <c r="H26" i="33"/>
  <c r="J25" i="33"/>
  <c r="K25" i="33" s="1"/>
  <c r="L25" i="33" s="1"/>
  <c r="I26" i="33"/>
  <c r="J26" i="33" s="1"/>
  <c r="K26" i="33" s="1"/>
  <c r="L26" i="33" s="1"/>
  <c r="G27" i="33"/>
  <c r="I27" i="32"/>
  <c r="J27" i="32" s="1"/>
  <c r="K27" i="32" s="1"/>
  <c r="L27" i="32" s="1"/>
  <c r="G28" i="32"/>
  <c r="I28" i="32" s="1"/>
  <c r="J28" i="32" s="1"/>
  <c r="K28" i="32" s="1"/>
  <c r="G27" i="31"/>
  <c r="I26" i="31"/>
  <c r="H26" i="31"/>
  <c r="F27" i="31"/>
  <c r="J25" i="31"/>
  <c r="K25" i="31" s="1"/>
  <c r="L25" i="31" s="1"/>
  <c r="H26" i="30"/>
  <c r="F27" i="30"/>
  <c r="I26" i="30"/>
  <c r="J26" i="30" s="1"/>
  <c r="K26" i="30" s="1"/>
  <c r="G27" i="30"/>
  <c r="J25" i="30"/>
  <c r="K25" i="30" s="1"/>
  <c r="L25" i="30" s="1"/>
  <c r="I27" i="29"/>
  <c r="G28" i="29"/>
  <c r="I28" i="29" s="1"/>
  <c r="H27" i="29"/>
  <c r="F28" i="29"/>
  <c r="H28" i="29" s="1"/>
  <c r="J26" i="29"/>
  <c r="K26" i="29" s="1"/>
  <c r="L26" i="29" s="1"/>
  <c r="I26" i="28"/>
  <c r="G27" i="28"/>
  <c r="H26" i="28"/>
  <c r="F27" i="28"/>
  <c r="G27" i="27"/>
  <c r="I26" i="27"/>
  <c r="J26" i="27" s="1"/>
  <c r="K26" i="27" s="1"/>
  <c r="L26" i="27" s="1"/>
  <c r="H26" i="27"/>
  <c r="F27" i="27"/>
  <c r="I27" i="26"/>
  <c r="G28" i="26"/>
  <c r="I28" i="26" s="1"/>
  <c r="H26" i="26"/>
  <c r="J26" i="26" s="1"/>
  <c r="K26" i="26" s="1"/>
  <c r="L26" i="26" s="1"/>
  <c r="F27" i="26"/>
  <c r="I27" i="25"/>
  <c r="G28" i="25"/>
  <c r="I28" i="25" s="1"/>
  <c r="H26" i="25"/>
  <c r="J26" i="25" s="1"/>
  <c r="K26" i="25" s="1"/>
  <c r="L26" i="25" s="1"/>
  <c r="F27" i="25"/>
  <c r="L28" i="24"/>
  <c r="H27" i="36" l="1"/>
  <c r="J27" i="36" s="1"/>
  <c r="K27" i="36" s="1"/>
  <c r="I27" i="35"/>
  <c r="J27" i="35" s="1"/>
  <c r="K27" i="35" s="1"/>
  <c r="L27" i="35" s="1"/>
  <c r="G28" i="35"/>
  <c r="I28" i="35" s="1"/>
  <c r="J28" i="35" s="1"/>
  <c r="K28" i="35" s="1"/>
  <c r="H27" i="34"/>
  <c r="J27" i="34" s="1"/>
  <c r="K27" i="34" s="1"/>
  <c r="L27" i="34" s="1"/>
  <c r="F28" i="34"/>
  <c r="H28" i="34" s="1"/>
  <c r="J28" i="34" s="1"/>
  <c r="K28" i="34" s="1"/>
  <c r="L28" i="34" s="1"/>
  <c r="I27" i="33"/>
  <c r="G28" i="33"/>
  <c r="I28" i="33" s="1"/>
  <c r="H27" i="33"/>
  <c r="F28" i="33"/>
  <c r="H28" i="33" s="1"/>
  <c r="L28" i="32"/>
  <c r="H27" i="31"/>
  <c r="F28" i="31"/>
  <c r="H28" i="31" s="1"/>
  <c r="J26" i="31"/>
  <c r="K26" i="31" s="1"/>
  <c r="L26" i="31" s="1"/>
  <c r="I27" i="31"/>
  <c r="J27" i="31" s="1"/>
  <c r="K27" i="31" s="1"/>
  <c r="L27" i="31" s="1"/>
  <c r="G28" i="31"/>
  <c r="I28" i="31" s="1"/>
  <c r="J28" i="31" s="1"/>
  <c r="K28" i="31" s="1"/>
  <c r="L28" i="31" s="1"/>
  <c r="I27" i="30"/>
  <c r="G28" i="30"/>
  <c r="I28" i="30" s="1"/>
  <c r="L26" i="30"/>
  <c r="H27" i="30"/>
  <c r="F28" i="30"/>
  <c r="H28" i="30" s="1"/>
  <c r="J28" i="29"/>
  <c r="K28" i="29" s="1"/>
  <c r="J27" i="29"/>
  <c r="K27" i="29" s="1"/>
  <c r="L27" i="29" s="1"/>
  <c r="H27" i="28"/>
  <c r="F28" i="28"/>
  <c r="H28" i="28" s="1"/>
  <c r="I27" i="28"/>
  <c r="J27" i="28" s="1"/>
  <c r="K27" i="28" s="1"/>
  <c r="G28" i="28"/>
  <c r="I28" i="28" s="1"/>
  <c r="J28" i="28" s="1"/>
  <c r="K28" i="28" s="1"/>
  <c r="L28" i="28" s="1"/>
  <c r="J26" i="28"/>
  <c r="K26" i="28" s="1"/>
  <c r="L26" i="28" s="1"/>
  <c r="H27" i="27"/>
  <c r="F28" i="27"/>
  <c r="H28" i="27" s="1"/>
  <c r="I27" i="27"/>
  <c r="J27" i="27" s="1"/>
  <c r="K27" i="27" s="1"/>
  <c r="L27" i="27" s="1"/>
  <c r="G28" i="27"/>
  <c r="I28" i="27" s="1"/>
  <c r="J28" i="27" s="1"/>
  <c r="K28" i="27" s="1"/>
  <c r="L28" i="27" s="1"/>
  <c r="J27" i="26"/>
  <c r="K27" i="26" s="1"/>
  <c r="L27" i="26" s="1"/>
  <c r="H27" i="26"/>
  <c r="F28" i="26"/>
  <c r="H28" i="26" s="1"/>
  <c r="J28" i="26"/>
  <c r="K28" i="26" s="1"/>
  <c r="H27" i="25"/>
  <c r="F28" i="25"/>
  <c r="H28" i="25" s="1"/>
  <c r="J28" i="25"/>
  <c r="K28" i="25" s="1"/>
  <c r="J27" i="25"/>
  <c r="K27" i="25" s="1"/>
  <c r="L27" i="25" s="1"/>
  <c r="L27" i="36" l="1"/>
  <c r="L28" i="36"/>
  <c r="L28" i="35"/>
  <c r="J28" i="33"/>
  <c r="K28" i="33" s="1"/>
  <c r="J27" i="33"/>
  <c r="K27" i="33" s="1"/>
  <c r="L27" i="33" s="1"/>
  <c r="J28" i="30"/>
  <c r="K28" i="30" s="1"/>
  <c r="J27" i="30"/>
  <c r="K27" i="30" s="1"/>
  <c r="L27" i="30" s="1"/>
  <c r="L28" i="29"/>
  <c r="L27" i="28"/>
  <c r="L28" i="26"/>
  <c r="L28" i="25"/>
  <c r="L28" i="33" l="1"/>
  <c r="L28" i="30"/>
  <c r="AJ41" i="23" l="1"/>
  <c r="AJ40" i="23"/>
  <c r="AJ39" i="23"/>
  <c r="AJ38" i="23"/>
  <c r="AJ37" i="23"/>
  <c r="AJ36" i="23"/>
  <c r="AJ35" i="23"/>
  <c r="AJ34" i="23"/>
  <c r="AJ33" i="23"/>
  <c r="AJ32" i="23"/>
  <c r="AJ31" i="23"/>
  <c r="AJ30" i="23"/>
  <c r="AJ29" i="23"/>
  <c r="AJ28" i="23"/>
  <c r="AJ27" i="23"/>
  <c r="AJ26" i="23"/>
  <c r="AJ25" i="23"/>
  <c r="AJ24" i="23"/>
  <c r="AJ23" i="23"/>
  <c r="AJ22" i="23"/>
  <c r="AJ21" i="23"/>
  <c r="AJ20" i="23"/>
  <c r="AJ19" i="23"/>
  <c r="AJ18" i="23"/>
  <c r="AJ17" i="23"/>
  <c r="AJ16" i="23"/>
  <c r="AJ15" i="23"/>
  <c r="AJ14" i="23"/>
  <c r="AJ13" i="23"/>
  <c r="AJ12" i="23"/>
  <c r="AJ11" i="23"/>
  <c r="AJ10" i="23"/>
  <c r="AJ9" i="23"/>
  <c r="AJ8" i="23"/>
  <c r="AK21" i="23"/>
  <c r="AK20" i="23"/>
  <c r="AK19" i="23"/>
  <c r="AK18" i="23"/>
  <c r="AK17" i="23"/>
  <c r="AK16" i="23"/>
  <c r="AK15" i="23"/>
  <c r="AK14" i="23"/>
  <c r="AK13" i="23"/>
  <c r="AK12" i="23"/>
  <c r="AK11" i="23"/>
  <c r="AK10" i="23"/>
  <c r="AK9" i="23"/>
  <c r="AK8" i="23"/>
  <c r="AL41" i="23"/>
  <c r="AL40" i="23"/>
  <c r="AL39" i="23"/>
  <c r="AL38" i="23"/>
  <c r="AL37" i="23"/>
  <c r="AL36" i="23"/>
  <c r="AL35" i="23"/>
  <c r="AL34" i="23"/>
  <c r="AL33" i="23"/>
  <c r="AL32" i="23"/>
  <c r="AL31" i="23"/>
  <c r="AL30" i="23"/>
  <c r="AL29" i="23"/>
  <c r="AL28" i="23"/>
  <c r="AL27" i="23"/>
  <c r="AL26" i="23"/>
  <c r="AL25" i="23"/>
  <c r="AL24" i="23"/>
  <c r="AL23" i="23"/>
  <c r="AL22" i="23"/>
  <c r="AL21" i="23"/>
  <c r="AL20" i="23"/>
  <c r="AL19" i="23"/>
  <c r="AL18" i="23"/>
  <c r="AL17" i="23"/>
  <c r="AL16" i="23"/>
  <c r="AL15" i="23"/>
  <c r="AL14" i="23"/>
  <c r="AL13" i="23"/>
  <c r="AL12" i="23"/>
  <c r="AL11" i="23"/>
  <c r="AL10" i="23"/>
  <c r="AL9" i="23"/>
  <c r="AL8" i="23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18" i="23"/>
  <c r="AM17" i="23"/>
  <c r="AM16" i="23"/>
  <c r="AM15" i="23"/>
  <c r="AM14" i="23"/>
  <c r="AM13" i="23"/>
  <c r="AM12" i="23"/>
  <c r="AM11" i="23"/>
  <c r="AM10" i="23"/>
  <c r="AM9" i="23"/>
  <c r="AM8" i="23"/>
  <c r="AN41" i="23"/>
  <c r="AN40" i="23"/>
  <c r="AN39" i="23"/>
  <c r="AN38" i="23"/>
  <c r="AN37" i="23"/>
  <c r="AN36" i="23"/>
  <c r="AN35" i="23"/>
  <c r="AN34" i="23"/>
  <c r="AN33" i="23"/>
  <c r="AN32" i="23"/>
  <c r="AN31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O8" i="23"/>
  <c r="AP41" i="23"/>
  <c r="AP40" i="23"/>
  <c r="AP39" i="23"/>
  <c r="AP38" i="23"/>
  <c r="AP37" i="23"/>
  <c r="AP36" i="23"/>
  <c r="AP35" i="23"/>
  <c r="AP34" i="23"/>
  <c r="AP33" i="23"/>
  <c r="AP32" i="23"/>
  <c r="AP31" i="23"/>
  <c r="AP30" i="23"/>
  <c r="AP29" i="23"/>
  <c r="AP28" i="23"/>
  <c r="AP27" i="23"/>
  <c r="AP26" i="23"/>
  <c r="AP25" i="23"/>
  <c r="AP24" i="23"/>
  <c r="AP23" i="23"/>
  <c r="AP22" i="23"/>
  <c r="AP21" i="23"/>
  <c r="AP20" i="23"/>
  <c r="AP19" i="23"/>
  <c r="AP18" i="23"/>
  <c r="AP17" i="23"/>
  <c r="AP16" i="23"/>
  <c r="AP15" i="23"/>
  <c r="AP14" i="23"/>
  <c r="AP13" i="23"/>
  <c r="AP12" i="23"/>
  <c r="AP11" i="23"/>
  <c r="AP10" i="23"/>
  <c r="AP9" i="23"/>
  <c r="AP8" i="23"/>
  <c r="AQ41" i="23"/>
  <c r="AQ40" i="23"/>
  <c r="AQ39" i="23"/>
  <c r="AQ38" i="23"/>
  <c r="AQ37" i="23"/>
  <c r="AQ36" i="23"/>
  <c r="AQ35" i="23"/>
  <c r="AQ34" i="23"/>
  <c r="AQ33" i="23"/>
  <c r="AQ32" i="23"/>
  <c r="AQ31" i="23"/>
  <c r="AQ30" i="23"/>
  <c r="AQ29" i="23"/>
  <c r="AQ28" i="23"/>
  <c r="AQ27" i="23"/>
  <c r="AQ26" i="23"/>
  <c r="AQ25" i="23"/>
  <c r="AQ24" i="23"/>
  <c r="AQ23" i="23"/>
  <c r="AQ22" i="23"/>
  <c r="AQ21" i="23"/>
  <c r="AQ20" i="23"/>
  <c r="AQ19" i="23"/>
  <c r="AQ18" i="23"/>
  <c r="AQ17" i="23"/>
  <c r="AQ16" i="23"/>
  <c r="AQ15" i="23"/>
  <c r="AQ14" i="23"/>
  <c r="AQ13" i="23"/>
  <c r="AQ12" i="23"/>
  <c r="AQ11" i="23"/>
  <c r="AQ10" i="23"/>
  <c r="AQ9" i="23"/>
  <c r="AQ8" i="23"/>
  <c r="AR41" i="23"/>
  <c r="AR40" i="23"/>
  <c r="AR39" i="23"/>
  <c r="AR38" i="23"/>
  <c r="AR37" i="23"/>
  <c r="AR36" i="23"/>
  <c r="AR35" i="23"/>
  <c r="AR34" i="23"/>
  <c r="AR33" i="23"/>
  <c r="AR32" i="23"/>
  <c r="AR31" i="23"/>
  <c r="AR30" i="23"/>
  <c r="AR29" i="23"/>
  <c r="AR28" i="23"/>
  <c r="AR27" i="23"/>
  <c r="AR26" i="23"/>
  <c r="AR25" i="23"/>
  <c r="AR24" i="23"/>
  <c r="AR23" i="23"/>
  <c r="AR22" i="23"/>
  <c r="AR21" i="23"/>
  <c r="AR20" i="23"/>
  <c r="AR19" i="23"/>
  <c r="AR18" i="23"/>
  <c r="AR17" i="23"/>
  <c r="AR16" i="23"/>
  <c r="AR15" i="23"/>
  <c r="AR14" i="23"/>
  <c r="AR13" i="23"/>
  <c r="AR12" i="23"/>
  <c r="AR11" i="23"/>
  <c r="AR10" i="23"/>
  <c r="AR9" i="23"/>
  <c r="AR8" i="23"/>
  <c r="AS41" i="23"/>
  <c r="AS40" i="23"/>
  <c r="AS39" i="23"/>
  <c r="AS38" i="23"/>
  <c r="AS37" i="23"/>
  <c r="AS36" i="23"/>
  <c r="AS35" i="23"/>
  <c r="AS34" i="23"/>
  <c r="AS33" i="23"/>
  <c r="AS32" i="23"/>
  <c r="AS31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I41" i="23"/>
  <c r="AI40" i="23"/>
  <c r="AI39" i="23"/>
  <c r="AI38" i="23"/>
  <c r="AI37" i="23"/>
  <c r="AI36" i="23"/>
  <c r="AI35" i="23"/>
  <c r="AI34" i="23"/>
  <c r="AI33" i="23"/>
  <c r="AI32" i="23"/>
  <c r="AI31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H21" i="23"/>
  <c r="AH20" i="23"/>
  <c r="AH19" i="23"/>
  <c r="AH18" i="23"/>
  <c r="AH17" i="23"/>
  <c r="AH16" i="23"/>
  <c r="AH15" i="23"/>
  <c r="AH14" i="23"/>
  <c r="AH13" i="23"/>
  <c r="AH12" i="23"/>
  <c r="AH11" i="23"/>
  <c r="AH10" i="23"/>
  <c r="AH9" i="23"/>
  <c r="AH8" i="23"/>
  <c r="AG41" i="23"/>
  <c r="AG40" i="23"/>
  <c r="AG39" i="23"/>
  <c r="AG38" i="23"/>
  <c r="AG37" i="23"/>
  <c r="AG36" i="23"/>
  <c r="AG35" i="23"/>
  <c r="AG34" i="23"/>
  <c r="AG33" i="23"/>
  <c r="AG32" i="23"/>
  <c r="AG31" i="23"/>
  <c r="AG30" i="23"/>
  <c r="AG29" i="23"/>
  <c r="AG28" i="23"/>
  <c r="AG27" i="23"/>
  <c r="AG26" i="23"/>
  <c r="AG25" i="23"/>
  <c r="AG24" i="23"/>
  <c r="AG23" i="23"/>
  <c r="AG22" i="23"/>
  <c r="AG21" i="23"/>
  <c r="AG20" i="23"/>
  <c r="AG19" i="23"/>
  <c r="AG18" i="23"/>
  <c r="AG17" i="23"/>
  <c r="AG16" i="23"/>
  <c r="AG15" i="23"/>
  <c r="AG14" i="23"/>
  <c r="AG13" i="23"/>
  <c r="AG12" i="23"/>
  <c r="AG11" i="23"/>
  <c r="AG10" i="23"/>
  <c r="AG9" i="23"/>
  <c r="AG8" i="23"/>
  <c r="AH5" i="23"/>
  <c r="AI5" i="23" s="1"/>
  <c r="AJ5" i="23" s="1"/>
  <c r="AK5" i="23" s="1"/>
  <c r="AL5" i="23" s="1"/>
  <c r="AM5" i="23" s="1"/>
  <c r="AN5" i="23" s="1"/>
  <c r="AO5" i="23" s="1"/>
  <c r="AP5" i="23" s="1"/>
  <c r="AQ5" i="23" s="1"/>
  <c r="AR5" i="23" s="1"/>
  <c r="AS5" i="23" s="1"/>
  <c r="W6" i="36"/>
  <c r="B29" i="36"/>
  <c r="G29" i="36"/>
  <c r="I29" i="36" s="1"/>
  <c r="B30" i="36"/>
  <c r="C30" i="36"/>
  <c r="E30" i="36"/>
  <c r="C31" i="36"/>
  <c r="B65" i="36"/>
  <c r="C65" i="36"/>
  <c r="D65" i="36"/>
  <c r="E65" i="36"/>
  <c r="F65" i="36"/>
  <c r="G65" i="36"/>
  <c r="H65" i="36"/>
  <c r="I65" i="36"/>
  <c r="J65" i="36"/>
  <c r="K65" i="36"/>
  <c r="L65" i="36"/>
  <c r="B66" i="36"/>
  <c r="C66" i="36"/>
  <c r="F66" i="36"/>
  <c r="G66" i="36"/>
  <c r="H66" i="36"/>
  <c r="I66" i="36"/>
  <c r="J66" i="36"/>
  <c r="K66" i="36"/>
  <c r="B68" i="36"/>
  <c r="C68" i="36"/>
  <c r="D68" i="36"/>
  <c r="E68" i="36"/>
  <c r="F68" i="36"/>
  <c r="G68" i="36"/>
  <c r="H68" i="36"/>
  <c r="I68" i="36"/>
  <c r="J68" i="36"/>
  <c r="K68" i="36"/>
  <c r="L68" i="36"/>
  <c r="B69" i="36"/>
  <c r="C69" i="36"/>
  <c r="F69" i="36"/>
  <c r="G69" i="36"/>
  <c r="H69" i="36"/>
  <c r="I69" i="36"/>
  <c r="J69" i="36"/>
  <c r="K69" i="36"/>
  <c r="W6" i="35"/>
  <c r="B29" i="35"/>
  <c r="E29" i="35"/>
  <c r="G29" i="35"/>
  <c r="I29" i="35" s="1"/>
  <c r="B30" i="35"/>
  <c r="C30" i="35"/>
  <c r="E30" i="35"/>
  <c r="G30" i="35"/>
  <c r="G31" i="35" s="1"/>
  <c r="B31" i="35"/>
  <c r="C31" i="35"/>
  <c r="E31" i="35"/>
  <c r="C32" i="35"/>
  <c r="E32" i="35"/>
  <c r="B65" i="35"/>
  <c r="C65" i="35"/>
  <c r="D65" i="35"/>
  <c r="E65" i="35"/>
  <c r="F65" i="35"/>
  <c r="G65" i="35"/>
  <c r="H65" i="35"/>
  <c r="I65" i="35"/>
  <c r="J65" i="35"/>
  <c r="K65" i="35"/>
  <c r="L65" i="35"/>
  <c r="B66" i="35"/>
  <c r="C66" i="35"/>
  <c r="F66" i="35"/>
  <c r="G66" i="35"/>
  <c r="H66" i="35"/>
  <c r="I66" i="35"/>
  <c r="J66" i="35"/>
  <c r="K66" i="35"/>
  <c r="B68" i="35"/>
  <c r="C68" i="35"/>
  <c r="D68" i="35"/>
  <c r="E68" i="35"/>
  <c r="F68" i="35"/>
  <c r="G68" i="35"/>
  <c r="H68" i="35"/>
  <c r="I68" i="35"/>
  <c r="J68" i="35"/>
  <c r="K68" i="35"/>
  <c r="L68" i="35"/>
  <c r="B69" i="35"/>
  <c r="C69" i="35"/>
  <c r="F69" i="35"/>
  <c r="G69" i="35"/>
  <c r="H69" i="35"/>
  <c r="I69" i="35"/>
  <c r="J69" i="35"/>
  <c r="K69" i="35"/>
  <c r="W6" i="34"/>
  <c r="B29" i="34"/>
  <c r="E29" i="34"/>
  <c r="G29" i="34"/>
  <c r="I29" i="34" s="1"/>
  <c r="B30" i="34"/>
  <c r="C30" i="34"/>
  <c r="E30" i="34"/>
  <c r="B31" i="34"/>
  <c r="C31" i="34"/>
  <c r="B65" i="34"/>
  <c r="C65" i="34"/>
  <c r="D65" i="34"/>
  <c r="E65" i="34"/>
  <c r="F65" i="34"/>
  <c r="G65" i="34"/>
  <c r="H65" i="34"/>
  <c r="I65" i="34"/>
  <c r="J65" i="34"/>
  <c r="K65" i="34"/>
  <c r="L65" i="34"/>
  <c r="B66" i="34"/>
  <c r="C66" i="34"/>
  <c r="F66" i="34"/>
  <c r="G66" i="34"/>
  <c r="H66" i="34"/>
  <c r="I66" i="34"/>
  <c r="J66" i="34"/>
  <c r="K66" i="34"/>
  <c r="B68" i="34"/>
  <c r="C68" i="34"/>
  <c r="D68" i="34"/>
  <c r="E68" i="34"/>
  <c r="F68" i="34"/>
  <c r="G68" i="34"/>
  <c r="H68" i="34"/>
  <c r="I68" i="34"/>
  <c r="J68" i="34"/>
  <c r="K68" i="34"/>
  <c r="L68" i="34"/>
  <c r="B69" i="34"/>
  <c r="C69" i="34"/>
  <c r="F69" i="34"/>
  <c r="G69" i="34"/>
  <c r="H69" i="34"/>
  <c r="I69" i="34"/>
  <c r="J69" i="34"/>
  <c r="K69" i="34"/>
  <c r="W6" i="33"/>
  <c r="B29" i="33"/>
  <c r="E29" i="33"/>
  <c r="G29" i="33"/>
  <c r="C30" i="33"/>
  <c r="B65" i="33"/>
  <c r="C65" i="33"/>
  <c r="D65" i="33"/>
  <c r="E65" i="33"/>
  <c r="F65" i="33"/>
  <c r="G65" i="33"/>
  <c r="H65" i="33"/>
  <c r="I65" i="33"/>
  <c r="J65" i="33"/>
  <c r="K65" i="33"/>
  <c r="L65" i="33"/>
  <c r="B66" i="33"/>
  <c r="C66" i="33"/>
  <c r="F66" i="33"/>
  <c r="G66" i="33"/>
  <c r="H66" i="33"/>
  <c r="I66" i="33"/>
  <c r="J66" i="33"/>
  <c r="K66" i="33"/>
  <c r="B68" i="33"/>
  <c r="C68" i="33"/>
  <c r="D68" i="33"/>
  <c r="E68" i="33"/>
  <c r="F68" i="33"/>
  <c r="G68" i="33"/>
  <c r="H68" i="33"/>
  <c r="I68" i="33"/>
  <c r="J68" i="33"/>
  <c r="K68" i="33"/>
  <c r="L68" i="33"/>
  <c r="B69" i="33"/>
  <c r="C69" i="33"/>
  <c r="F69" i="33"/>
  <c r="G69" i="33"/>
  <c r="H69" i="33"/>
  <c r="I69" i="33"/>
  <c r="J69" i="33"/>
  <c r="K69" i="33"/>
  <c r="W6" i="32"/>
  <c r="B29" i="32"/>
  <c r="E29" i="32"/>
  <c r="G29" i="32" s="1"/>
  <c r="I29" i="32"/>
  <c r="B30" i="32"/>
  <c r="C30" i="32"/>
  <c r="E30" i="32"/>
  <c r="B31" i="32"/>
  <c r="C31" i="32"/>
  <c r="E31" i="32"/>
  <c r="B65" i="32"/>
  <c r="C65" i="32"/>
  <c r="D65" i="32"/>
  <c r="E65" i="32"/>
  <c r="F65" i="32"/>
  <c r="G65" i="32"/>
  <c r="H65" i="32"/>
  <c r="I65" i="32"/>
  <c r="J65" i="32"/>
  <c r="K65" i="32"/>
  <c r="L65" i="32"/>
  <c r="B66" i="32"/>
  <c r="C66" i="32"/>
  <c r="F66" i="32"/>
  <c r="G66" i="32"/>
  <c r="H66" i="32"/>
  <c r="I66" i="32"/>
  <c r="J66" i="32"/>
  <c r="K66" i="32"/>
  <c r="B68" i="32"/>
  <c r="C68" i="32"/>
  <c r="D68" i="32"/>
  <c r="E68" i="32"/>
  <c r="F68" i="32"/>
  <c r="G68" i="32"/>
  <c r="H68" i="32"/>
  <c r="I68" i="32"/>
  <c r="J68" i="32"/>
  <c r="K68" i="32"/>
  <c r="L68" i="32"/>
  <c r="B69" i="32"/>
  <c r="C69" i="32"/>
  <c r="F69" i="32"/>
  <c r="G69" i="32"/>
  <c r="H69" i="32"/>
  <c r="I69" i="32"/>
  <c r="J69" i="32"/>
  <c r="K69" i="32"/>
  <c r="W6" i="31"/>
  <c r="B29" i="31"/>
  <c r="E29" i="31"/>
  <c r="G29" i="31" s="1"/>
  <c r="I29" i="31" s="1"/>
  <c r="C30" i="31"/>
  <c r="B65" i="31"/>
  <c r="C65" i="31"/>
  <c r="D65" i="31"/>
  <c r="E65" i="31"/>
  <c r="F65" i="31"/>
  <c r="G65" i="31"/>
  <c r="H65" i="31"/>
  <c r="I65" i="31"/>
  <c r="J65" i="31"/>
  <c r="K65" i="31"/>
  <c r="L65" i="31"/>
  <c r="B66" i="31"/>
  <c r="C66" i="31"/>
  <c r="F66" i="31"/>
  <c r="G66" i="31"/>
  <c r="H66" i="31"/>
  <c r="I66" i="31"/>
  <c r="J66" i="31"/>
  <c r="K66" i="31"/>
  <c r="B68" i="31"/>
  <c r="C68" i="31"/>
  <c r="D68" i="31"/>
  <c r="E68" i="31"/>
  <c r="F68" i="31"/>
  <c r="G68" i="31"/>
  <c r="H68" i="31"/>
  <c r="I68" i="31"/>
  <c r="J68" i="31"/>
  <c r="K68" i="31"/>
  <c r="L68" i="31"/>
  <c r="B69" i="31"/>
  <c r="C69" i="31"/>
  <c r="F69" i="31"/>
  <c r="G69" i="31"/>
  <c r="H69" i="31"/>
  <c r="I69" i="31"/>
  <c r="J69" i="31"/>
  <c r="K69" i="31"/>
  <c r="W6" i="30"/>
  <c r="B29" i="30"/>
  <c r="E29" i="30"/>
  <c r="G29" i="30"/>
  <c r="C30" i="30"/>
  <c r="E30" i="30"/>
  <c r="B65" i="30"/>
  <c r="C65" i="30"/>
  <c r="D65" i="30"/>
  <c r="E65" i="30"/>
  <c r="F65" i="30"/>
  <c r="G65" i="30"/>
  <c r="H65" i="30"/>
  <c r="I65" i="30"/>
  <c r="J65" i="30"/>
  <c r="K65" i="30"/>
  <c r="L65" i="30"/>
  <c r="B66" i="30"/>
  <c r="C66" i="30"/>
  <c r="F66" i="30"/>
  <c r="G66" i="30"/>
  <c r="H66" i="30"/>
  <c r="I66" i="30"/>
  <c r="J66" i="30"/>
  <c r="K66" i="30"/>
  <c r="B68" i="30"/>
  <c r="C68" i="30"/>
  <c r="D68" i="30"/>
  <c r="E68" i="30"/>
  <c r="F68" i="30"/>
  <c r="G68" i="30"/>
  <c r="H68" i="30"/>
  <c r="I68" i="30"/>
  <c r="J68" i="30"/>
  <c r="K68" i="30"/>
  <c r="L68" i="30"/>
  <c r="B69" i="30"/>
  <c r="C69" i="30"/>
  <c r="F69" i="30"/>
  <c r="G69" i="30"/>
  <c r="H69" i="30"/>
  <c r="I69" i="30"/>
  <c r="J69" i="30"/>
  <c r="K69" i="30"/>
  <c r="W6" i="29"/>
  <c r="B29" i="29"/>
  <c r="E29" i="29"/>
  <c r="G29" i="29"/>
  <c r="G30" i="29" s="1"/>
  <c r="I30" i="29" s="1"/>
  <c r="B30" i="29"/>
  <c r="C30" i="29"/>
  <c r="E30" i="29"/>
  <c r="C31" i="29"/>
  <c r="E31" i="29"/>
  <c r="C32" i="29"/>
  <c r="B65" i="29"/>
  <c r="C65" i="29"/>
  <c r="D65" i="29"/>
  <c r="E65" i="29"/>
  <c r="F65" i="29"/>
  <c r="G65" i="29"/>
  <c r="H65" i="29"/>
  <c r="I65" i="29"/>
  <c r="J65" i="29"/>
  <c r="K65" i="29"/>
  <c r="L65" i="29"/>
  <c r="B66" i="29"/>
  <c r="C66" i="29"/>
  <c r="F66" i="29"/>
  <c r="G66" i="29"/>
  <c r="H66" i="29"/>
  <c r="I66" i="29"/>
  <c r="J66" i="29"/>
  <c r="K66" i="29"/>
  <c r="B68" i="29"/>
  <c r="C68" i="29"/>
  <c r="D68" i="29"/>
  <c r="E68" i="29"/>
  <c r="F68" i="29"/>
  <c r="G68" i="29"/>
  <c r="H68" i="29"/>
  <c r="I68" i="29"/>
  <c r="J68" i="29"/>
  <c r="K68" i="29"/>
  <c r="L68" i="29"/>
  <c r="B69" i="29"/>
  <c r="C69" i="29"/>
  <c r="F69" i="29"/>
  <c r="G69" i="29"/>
  <c r="H69" i="29"/>
  <c r="I69" i="29"/>
  <c r="J69" i="29"/>
  <c r="K69" i="29"/>
  <c r="W6" i="28"/>
  <c r="B29" i="28"/>
  <c r="E29" i="28"/>
  <c r="G29" i="28" s="1"/>
  <c r="B30" i="28"/>
  <c r="C30" i="28"/>
  <c r="B65" i="28"/>
  <c r="C65" i="28"/>
  <c r="D65" i="28"/>
  <c r="E65" i="28"/>
  <c r="F65" i="28"/>
  <c r="G65" i="28"/>
  <c r="H65" i="28"/>
  <c r="I65" i="28"/>
  <c r="J65" i="28"/>
  <c r="K65" i="28"/>
  <c r="L65" i="28"/>
  <c r="B66" i="28"/>
  <c r="C66" i="28"/>
  <c r="F66" i="28"/>
  <c r="G66" i="28"/>
  <c r="H66" i="28"/>
  <c r="I66" i="28"/>
  <c r="J66" i="28"/>
  <c r="K66" i="28"/>
  <c r="B68" i="28"/>
  <c r="C68" i="28"/>
  <c r="D68" i="28"/>
  <c r="E68" i="28"/>
  <c r="F68" i="28"/>
  <c r="G68" i="28"/>
  <c r="H68" i="28"/>
  <c r="I68" i="28"/>
  <c r="J68" i="28"/>
  <c r="K68" i="28"/>
  <c r="L68" i="28"/>
  <c r="B69" i="28"/>
  <c r="C69" i="28"/>
  <c r="F69" i="28"/>
  <c r="G69" i="28"/>
  <c r="H69" i="28"/>
  <c r="I69" i="28"/>
  <c r="J69" i="28"/>
  <c r="K69" i="28"/>
  <c r="W6" i="27"/>
  <c r="B29" i="27"/>
  <c r="E29" i="27"/>
  <c r="G29" i="27" s="1"/>
  <c r="C30" i="27"/>
  <c r="E30" i="27"/>
  <c r="B65" i="27"/>
  <c r="C65" i="27"/>
  <c r="D65" i="27"/>
  <c r="E65" i="27"/>
  <c r="F65" i="27"/>
  <c r="G65" i="27"/>
  <c r="H65" i="27"/>
  <c r="I65" i="27"/>
  <c r="J65" i="27"/>
  <c r="K65" i="27"/>
  <c r="L65" i="27"/>
  <c r="B66" i="27"/>
  <c r="C66" i="27"/>
  <c r="F66" i="27"/>
  <c r="G66" i="27"/>
  <c r="H66" i="27"/>
  <c r="I66" i="27"/>
  <c r="J66" i="27"/>
  <c r="K66" i="27"/>
  <c r="B68" i="27"/>
  <c r="C68" i="27"/>
  <c r="D68" i="27"/>
  <c r="E68" i="27"/>
  <c r="F68" i="27"/>
  <c r="G68" i="27"/>
  <c r="H68" i="27"/>
  <c r="I68" i="27"/>
  <c r="J68" i="27"/>
  <c r="K68" i="27"/>
  <c r="L68" i="27"/>
  <c r="B69" i="27"/>
  <c r="C69" i="27"/>
  <c r="F69" i="27"/>
  <c r="G69" i="27"/>
  <c r="H69" i="27"/>
  <c r="I69" i="27"/>
  <c r="J69" i="27"/>
  <c r="K69" i="27"/>
  <c r="W6" i="26"/>
  <c r="B29" i="26"/>
  <c r="E29" i="26"/>
  <c r="G29" i="26" s="1"/>
  <c r="I29" i="26" s="1"/>
  <c r="B30" i="26"/>
  <c r="C30" i="26"/>
  <c r="E30" i="26"/>
  <c r="B31" i="26"/>
  <c r="C31" i="26"/>
  <c r="E31" i="26"/>
  <c r="C32" i="26"/>
  <c r="B65" i="26"/>
  <c r="C65" i="26"/>
  <c r="D65" i="26"/>
  <c r="E65" i="26"/>
  <c r="F65" i="26"/>
  <c r="G65" i="26"/>
  <c r="H65" i="26"/>
  <c r="I65" i="26"/>
  <c r="J65" i="26"/>
  <c r="K65" i="26"/>
  <c r="L65" i="26"/>
  <c r="B66" i="26"/>
  <c r="C66" i="26"/>
  <c r="F66" i="26"/>
  <c r="G66" i="26"/>
  <c r="H66" i="26"/>
  <c r="I66" i="26"/>
  <c r="J66" i="26"/>
  <c r="K66" i="26"/>
  <c r="B68" i="26"/>
  <c r="C68" i="26"/>
  <c r="D68" i="26"/>
  <c r="E68" i="26"/>
  <c r="F68" i="26"/>
  <c r="G68" i="26"/>
  <c r="H68" i="26"/>
  <c r="I68" i="26"/>
  <c r="J68" i="26"/>
  <c r="K68" i="26"/>
  <c r="L68" i="26"/>
  <c r="B69" i="26"/>
  <c r="C69" i="26"/>
  <c r="F69" i="26"/>
  <c r="G69" i="26"/>
  <c r="H69" i="26"/>
  <c r="I69" i="26"/>
  <c r="J69" i="26"/>
  <c r="K69" i="26"/>
  <c r="W6" i="25"/>
  <c r="B29" i="25"/>
  <c r="E29" i="25"/>
  <c r="AH22" i="23" s="1"/>
  <c r="C30" i="25"/>
  <c r="C31" i="25" s="1"/>
  <c r="B65" i="25"/>
  <c r="C65" i="25"/>
  <c r="D65" i="25"/>
  <c r="E65" i="25"/>
  <c r="F65" i="25"/>
  <c r="G65" i="25"/>
  <c r="H65" i="25"/>
  <c r="I65" i="25"/>
  <c r="J65" i="25"/>
  <c r="K65" i="25"/>
  <c r="L65" i="25"/>
  <c r="B66" i="25"/>
  <c r="C66" i="25"/>
  <c r="F66" i="25"/>
  <c r="G66" i="25"/>
  <c r="H66" i="25"/>
  <c r="I66" i="25"/>
  <c r="J66" i="25"/>
  <c r="K66" i="25"/>
  <c r="B68" i="25"/>
  <c r="C68" i="25"/>
  <c r="D68" i="25"/>
  <c r="E68" i="25"/>
  <c r="F68" i="25"/>
  <c r="G68" i="25"/>
  <c r="H68" i="25"/>
  <c r="I68" i="25"/>
  <c r="J68" i="25"/>
  <c r="K68" i="25"/>
  <c r="L68" i="25"/>
  <c r="B69" i="25"/>
  <c r="C69" i="25"/>
  <c r="F69" i="25"/>
  <c r="G69" i="25"/>
  <c r="H69" i="25"/>
  <c r="I69" i="25"/>
  <c r="J69" i="25"/>
  <c r="K69" i="25"/>
  <c r="AP6" i="24"/>
  <c r="B29" i="24"/>
  <c r="E29" i="24"/>
  <c r="G29" i="24" s="1"/>
  <c r="B30" i="24"/>
  <c r="C30" i="24"/>
  <c r="E30" i="24"/>
  <c r="B31" i="24"/>
  <c r="C31" i="24"/>
  <c r="E32" i="24" s="1"/>
  <c r="E31" i="24"/>
  <c r="C32" i="24"/>
  <c r="C33" i="24" s="1"/>
  <c r="B65" i="24"/>
  <c r="C65" i="24"/>
  <c r="D65" i="24"/>
  <c r="E65" i="24"/>
  <c r="F65" i="24"/>
  <c r="G65" i="24"/>
  <c r="H65" i="24"/>
  <c r="I65" i="24"/>
  <c r="J65" i="24"/>
  <c r="K65" i="24"/>
  <c r="L65" i="24"/>
  <c r="B66" i="24"/>
  <c r="C66" i="24"/>
  <c r="F66" i="24"/>
  <c r="G66" i="24"/>
  <c r="H66" i="24"/>
  <c r="I66" i="24"/>
  <c r="J66" i="24"/>
  <c r="K66" i="24"/>
  <c r="B68" i="24"/>
  <c r="C68" i="24"/>
  <c r="D68" i="24"/>
  <c r="E68" i="24"/>
  <c r="F68" i="24"/>
  <c r="G68" i="24"/>
  <c r="H68" i="24"/>
  <c r="I68" i="24"/>
  <c r="J68" i="24"/>
  <c r="K68" i="24"/>
  <c r="L68" i="24"/>
  <c r="B69" i="24"/>
  <c r="C69" i="24"/>
  <c r="F69" i="24"/>
  <c r="G69" i="24"/>
  <c r="H69" i="24"/>
  <c r="I69" i="24"/>
  <c r="J69" i="24"/>
  <c r="K69" i="24"/>
  <c r="C20" i="17"/>
  <c r="C17" i="17"/>
  <c r="C14" i="17"/>
  <c r="C12" i="17"/>
  <c r="D21" i="17"/>
  <c r="C21" i="17" s="1"/>
  <c r="D20" i="17"/>
  <c r="D19" i="17"/>
  <c r="C19" i="17" s="1"/>
  <c r="D17" i="17"/>
  <c r="D16" i="17"/>
  <c r="C16" i="17" s="1"/>
  <c r="D14" i="17"/>
  <c r="D13" i="17"/>
  <c r="C13" i="17" s="1"/>
  <c r="D12" i="17"/>
  <c r="AC44" i="23"/>
  <c r="V44" i="23"/>
  <c r="S44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O43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O42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O41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O40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O39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O38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O37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O36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O35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O34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O33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O32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O31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O30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O29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O28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O27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O26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O25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O24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O23" i="23"/>
  <c r="AC22" i="23"/>
  <c r="AB22" i="23"/>
  <c r="AA22" i="23"/>
  <c r="Z22" i="23"/>
  <c r="Z44" i="23" s="1"/>
  <c r="Y22" i="23"/>
  <c r="Y44" i="23" s="1"/>
  <c r="X22" i="23"/>
  <c r="W22" i="23"/>
  <c r="W44" i="23" s="1"/>
  <c r="V22" i="23"/>
  <c r="U22" i="23"/>
  <c r="U44" i="23" s="1"/>
  <c r="T22" i="23"/>
  <c r="T44" i="23" s="1"/>
  <c r="S22" i="23"/>
  <c r="R22" i="23"/>
  <c r="Q44" i="23"/>
  <c r="O22" i="23"/>
  <c r="D25" i="17" s="1"/>
  <c r="AD21" i="23"/>
  <c r="E24" i="17" s="1"/>
  <c r="AE21" i="23" s="1"/>
  <c r="O21" i="23"/>
  <c r="D24" i="17" s="1"/>
  <c r="C24" i="17" s="1"/>
  <c r="AD20" i="23"/>
  <c r="E23" i="17" s="1"/>
  <c r="AE20" i="23" s="1"/>
  <c r="O20" i="23"/>
  <c r="D23" i="17" s="1"/>
  <c r="C23" i="17" s="1"/>
  <c r="AD19" i="23"/>
  <c r="E22" i="17" s="1"/>
  <c r="AE19" i="23" s="1"/>
  <c r="O19" i="23"/>
  <c r="D22" i="17" s="1"/>
  <c r="C22" i="17" s="1"/>
  <c r="AD18" i="23"/>
  <c r="E21" i="17" s="1"/>
  <c r="AE18" i="23" s="1"/>
  <c r="O18" i="23"/>
  <c r="AD17" i="23"/>
  <c r="E20" i="17" s="1"/>
  <c r="AE17" i="23" s="1"/>
  <c r="O17" i="23"/>
  <c r="AD16" i="23"/>
  <c r="E19" i="17" s="1"/>
  <c r="AE16" i="23" s="1"/>
  <c r="O16" i="23"/>
  <c r="AD15" i="23"/>
  <c r="E18" i="17" s="1"/>
  <c r="AE15" i="23" s="1"/>
  <c r="O15" i="23"/>
  <c r="D18" i="17" s="1"/>
  <c r="C18" i="17" s="1"/>
  <c r="AD14" i="23"/>
  <c r="E17" i="17" s="1"/>
  <c r="AE14" i="23" s="1"/>
  <c r="O14" i="23"/>
  <c r="AD13" i="23"/>
  <c r="E16" i="17" s="1"/>
  <c r="AE13" i="23" s="1"/>
  <c r="O13" i="23"/>
  <c r="AD12" i="23"/>
  <c r="E15" i="17" s="1"/>
  <c r="AE12" i="23" s="1"/>
  <c r="O12" i="23"/>
  <c r="D15" i="17" s="1"/>
  <c r="C15" i="17" s="1"/>
  <c r="AD11" i="23"/>
  <c r="E14" i="17" s="1"/>
  <c r="AE11" i="23" s="1"/>
  <c r="O11" i="23"/>
  <c r="AD10" i="23"/>
  <c r="E13" i="17" s="1"/>
  <c r="AE10" i="23" s="1"/>
  <c r="O10" i="23"/>
  <c r="AD9" i="23"/>
  <c r="E12" i="17" s="1"/>
  <c r="AE9" i="23" s="1"/>
  <c r="O9" i="23"/>
  <c r="AD8" i="23"/>
  <c r="E11" i="17" s="1"/>
  <c r="AE8" i="23" s="1"/>
  <c r="O8" i="23"/>
  <c r="AD7" i="23"/>
  <c r="O7" i="23"/>
  <c r="S5" i="23"/>
  <c r="T5" i="23" s="1"/>
  <c r="U5" i="23" s="1"/>
  <c r="V5" i="23" s="1"/>
  <c r="W5" i="23" s="1"/>
  <c r="X5" i="23" s="1"/>
  <c r="Y5" i="23" s="1"/>
  <c r="Z5" i="23" s="1"/>
  <c r="AA5" i="23" s="1"/>
  <c r="AB5" i="23" s="1"/>
  <c r="AC5" i="23" s="1"/>
  <c r="R5" i="23"/>
  <c r="G30" i="36" l="1"/>
  <c r="I30" i="35"/>
  <c r="G30" i="34"/>
  <c r="I29" i="29"/>
  <c r="AT9" i="23"/>
  <c r="AU9" i="23" s="1"/>
  <c r="AT17" i="23"/>
  <c r="AU17" i="23" s="1"/>
  <c r="AT10" i="23"/>
  <c r="AU10" i="23" s="1"/>
  <c r="G29" i="25"/>
  <c r="AT18" i="23"/>
  <c r="AU18" i="23" s="1"/>
  <c r="R44" i="23"/>
  <c r="AB44" i="23"/>
  <c r="E30" i="25"/>
  <c r="AH23" i="23" s="1"/>
  <c r="D26" i="17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C25" i="17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AT11" i="23"/>
  <c r="AU11" i="23" s="1"/>
  <c r="AT19" i="23"/>
  <c r="AU19" i="23" s="1"/>
  <c r="AK22" i="23"/>
  <c r="AT22" i="23" s="1"/>
  <c r="AU22" i="23" s="1"/>
  <c r="AA44" i="23"/>
  <c r="X44" i="23"/>
  <c r="I29" i="25"/>
  <c r="AT16" i="23"/>
  <c r="AU16" i="23" s="1"/>
  <c r="AD24" i="23"/>
  <c r="E27" i="17" s="1"/>
  <c r="AE24" i="23" s="1"/>
  <c r="AD28" i="23"/>
  <c r="E31" i="17" s="1"/>
  <c r="AE28" i="23" s="1"/>
  <c r="AD32" i="23"/>
  <c r="E35" i="17" s="1"/>
  <c r="AE32" i="23" s="1"/>
  <c r="AD36" i="23"/>
  <c r="E39" i="17" s="1"/>
  <c r="AE36" i="23" s="1"/>
  <c r="AD40" i="23"/>
  <c r="E43" i="17" s="1"/>
  <c r="AE40" i="23" s="1"/>
  <c r="AD23" i="23"/>
  <c r="E26" i="17" s="1"/>
  <c r="AE23" i="23" s="1"/>
  <c r="AD27" i="23"/>
  <c r="E30" i="17" s="1"/>
  <c r="AE27" i="23" s="1"/>
  <c r="AD31" i="23"/>
  <c r="E34" i="17" s="1"/>
  <c r="AE31" i="23" s="1"/>
  <c r="AD35" i="23"/>
  <c r="E38" i="17" s="1"/>
  <c r="AE35" i="23" s="1"/>
  <c r="AD39" i="23"/>
  <c r="E42" i="17" s="1"/>
  <c r="AE39" i="23" s="1"/>
  <c r="AD43" i="23"/>
  <c r="AD26" i="23"/>
  <c r="E29" i="17" s="1"/>
  <c r="AE26" i="23" s="1"/>
  <c r="AD30" i="23"/>
  <c r="E33" i="17" s="1"/>
  <c r="AE30" i="23" s="1"/>
  <c r="AD34" i="23"/>
  <c r="E37" i="17" s="1"/>
  <c r="AE34" i="23" s="1"/>
  <c r="AD38" i="23"/>
  <c r="E41" i="17" s="1"/>
  <c r="AE38" i="23" s="1"/>
  <c r="AD42" i="23"/>
  <c r="E45" i="17" s="1"/>
  <c r="AE42" i="23" s="1"/>
  <c r="AD25" i="23"/>
  <c r="E28" i="17" s="1"/>
  <c r="AE25" i="23" s="1"/>
  <c r="AD29" i="23"/>
  <c r="E32" i="17" s="1"/>
  <c r="AE29" i="23" s="1"/>
  <c r="AD33" i="23"/>
  <c r="E36" i="17" s="1"/>
  <c r="AE33" i="23" s="1"/>
  <c r="AD37" i="23"/>
  <c r="E40" i="17" s="1"/>
  <c r="AE37" i="23" s="1"/>
  <c r="AD41" i="23"/>
  <c r="E44" i="17" s="1"/>
  <c r="AE41" i="23" s="1"/>
  <c r="AT8" i="23"/>
  <c r="AU8" i="23" s="1"/>
  <c r="AT15" i="23"/>
  <c r="AU15" i="23" s="1"/>
  <c r="AT20" i="23"/>
  <c r="AU20" i="23" s="1"/>
  <c r="AT13" i="23"/>
  <c r="AU13" i="23" s="1"/>
  <c r="AT21" i="23"/>
  <c r="AU21" i="23" s="1"/>
  <c r="AT14" i="23"/>
  <c r="AU14" i="23" s="1"/>
  <c r="AT12" i="23"/>
  <c r="AU12" i="23" s="1"/>
  <c r="C32" i="25"/>
  <c r="E32" i="25" s="1"/>
  <c r="AH25" i="23" s="1"/>
  <c r="B31" i="25"/>
  <c r="B33" i="24"/>
  <c r="C34" i="24"/>
  <c r="E31" i="25"/>
  <c r="G30" i="24"/>
  <c r="I29" i="24"/>
  <c r="I29" i="27"/>
  <c r="G30" i="27"/>
  <c r="I30" i="27" s="1"/>
  <c r="C33" i="26"/>
  <c r="E33" i="26"/>
  <c r="B32" i="26"/>
  <c r="I29" i="30"/>
  <c r="G30" i="30"/>
  <c r="I30" i="30" s="1"/>
  <c r="I29" i="33"/>
  <c r="B32" i="24"/>
  <c r="E33" i="24"/>
  <c r="B30" i="25"/>
  <c r="G30" i="26"/>
  <c r="I29" i="28"/>
  <c r="B32" i="29"/>
  <c r="C33" i="29"/>
  <c r="B30" i="27"/>
  <c r="C31" i="27"/>
  <c r="E32" i="26"/>
  <c r="E32" i="29"/>
  <c r="B31" i="29"/>
  <c r="E30" i="33"/>
  <c r="G30" i="33" s="1"/>
  <c r="C31" i="33"/>
  <c r="B30" i="33"/>
  <c r="I31" i="35"/>
  <c r="G32" i="35"/>
  <c r="C31" i="28"/>
  <c r="E30" i="28"/>
  <c r="G31" i="29"/>
  <c r="G32" i="29" s="1"/>
  <c r="C31" i="30"/>
  <c r="B30" i="30"/>
  <c r="C32" i="34"/>
  <c r="E31" i="34"/>
  <c r="G30" i="32"/>
  <c r="E30" i="31"/>
  <c r="G30" i="31" s="1"/>
  <c r="C31" i="31"/>
  <c r="B30" i="31"/>
  <c r="C32" i="32"/>
  <c r="E32" i="32"/>
  <c r="I30" i="34"/>
  <c r="G31" i="34"/>
  <c r="I31" i="34" s="1"/>
  <c r="E31" i="36"/>
  <c r="C32" i="36"/>
  <c r="B31" i="36"/>
  <c r="I30" i="36"/>
  <c r="G31" i="36"/>
  <c r="C33" i="35"/>
  <c r="B32" i="35"/>
  <c r="AD22" i="23"/>
  <c r="E25" i="17" s="1"/>
  <c r="AE22" i="23" s="1"/>
  <c r="I31" i="29" l="1"/>
  <c r="G30" i="25"/>
  <c r="I30" i="25" s="1"/>
  <c r="G30" i="28"/>
  <c r="I30" i="28" s="1"/>
  <c r="AK23" i="23"/>
  <c r="AT23" i="23" s="1"/>
  <c r="AU23" i="23" s="1"/>
  <c r="G31" i="25"/>
  <c r="G32" i="25" s="1"/>
  <c r="I32" i="25" s="1"/>
  <c r="AH24" i="23"/>
  <c r="AD44" i="23"/>
  <c r="I30" i="33"/>
  <c r="C33" i="34"/>
  <c r="B32" i="34"/>
  <c r="B33" i="26"/>
  <c r="C34" i="26"/>
  <c r="E34" i="26" s="1"/>
  <c r="C32" i="28"/>
  <c r="E32" i="28"/>
  <c r="AK25" i="23" s="1"/>
  <c r="AT25" i="23" s="1"/>
  <c r="AU25" i="23" s="1"/>
  <c r="B31" i="28"/>
  <c r="E31" i="28"/>
  <c r="C32" i="30"/>
  <c r="E32" i="30"/>
  <c r="B31" i="30"/>
  <c r="E31" i="30"/>
  <c r="G31" i="30" s="1"/>
  <c r="B33" i="29"/>
  <c r="C34" i="29"/>
  <c r="E34" i="29"/>
  <c r="C34" i="35"/>
  <c r="B33" i="35"/>
  <c r="E33" i="35"/>
  <c r="B31" i="31"/>
  <c r="C32" i="31"/>
  <c r="E32" i="31" s="1"/>
  <c r="B31" i="33"/>
  <c r="C32" i="33"/>
  <c r="E32" i="33"/>
  <c r="B34" i="24"/>
  <c r="C35" i="24"/>
  <c r="C32" i="27"/>
  <c r="B31" i="27"/>
  <c r="E32" i="27"/>
  <c r="E31" i="27"/>
  <c r="G31" i="27" s="1"/>
  <c r="I30" i="32"/>
  <c r="G31" i="32"/>
  <c r="G33" i="35"/>
  <c r="I31" i="36"/>
  <c r="B32" i="36"/>
  <c r="C33" i="36"/>
  <c r="E33" i="36"/>
  <c r="E32" i="36"/>
  <c r="G32" i="36" s="1"/>
  <c r="I32" i="29"/>
  <c r="G31" i="31"/>
  <c r="I31" i="31" s="1"/>
  <c r="I30" i="31"/>
  <c r="I30" i="24"/>
  <c r="G31" i="24"/>
  <c r="C33" i="32"/>
  <c r="E33" i="32"/>
  <c r="B32" i="32"/>
  <c r="I32" i="35"/>
  <c r="E31" i="31"/>
  <c r="E32" i="34"/>
  <c r="G32" i="34" s="1"/>
  <c r="E31" i="33"/>
  <c r="G31" i="33" s="1"/>
  <c r="E33" i="29"/>
  <c r="G33" i="29" s="1"/>
  <c r="I30" i="26"/>
  <c r="G31" i="26"/>
  <c r="E34" i="24"/>
  <c r="B32" i="25"/>
  <c r="C33" i="25"/>
  <c r="E33" i="25"/>
  <c r="AH26" i="23" s="1"/>
  <c r="I31" i="25" l="1"/>
  <c r="G31" i="28"/>
  <c r="G32" i="28" s="1"/>
  <c r="I32" i="28" s="1"/>
  <c r="AK24" i="23"/>
  <c r="AT24" i="23" s="1"/>
  <c r="G32" i="30"/>
  <c r="I31" i="30"/>
  <c r="G34" i="29"/>
  <c r="G35" i="29" s="1"/>
  <c r="I33" i="29"/>
  <c r="G32" i="33"/>
  <c r="I32" i="33" s="1"/>
  <c r="I31" i="33"/>
  <c r="I32" i="34"/>
  <c r="G33" i="36"/>
  <c r="I33" i="36" s="1"/>
  <c r="I32" i="36"/>
  <c r="G32" i="27"/>
  <c r="G33" i="27" s="1"/>
  <c r="I31" i="27"/>
  <c r="C36" i="24"/>
  <c r="E36" i="24" s="1"/>
  <c r="B35" i="24"/>
  <c r="E35" i="35"/>
  <c r="B34" i="35"/>
  <c r="C35" i="35"/>
  <c r="B32" i="28"/>
  <c r="C33" i="28"/>
  <c r="E33" i="28" s="1"/>
  <c r="AK26" i="23" s="1"/>
  <c r="AT26" i="23" s="1"/>
  <c r="AU26" i="23" s="1"/>
  <c r="G33" i="25"/>
  <c r="I33" i="25" s="1"/>
  <c r="B33" i="34"/>
  <c r="C34" i="34"/>
  <c r="E35" i="24"/>
  <c r="C35" i="29"/>
  <c r="B34" i="29"/>
  <c r="E35" i="29"/>
  <c r="E34" i="32"/>
  <c r="B33" i="32"/>
  <c r="C34" i="32"/>
  <c r="E34" i="36"/>
  <c r="B33" i="36"/>
  <c r="C34" i="36"/>
  <c r="I32" i="30"/>
  <c r="C33" i="30"/>
  <c r="B32" i="30"/>
  <c r="C33" i="27"/>
  <c r="B32" i="27"/>
  <c r="E33" i="27"/>
  <c r="E34" i="35"/>
  <c r="G34" i="35" s="1"/>
  <c r="E35" i="26"/>
  <c r="B34" i="26"/>
  <c r="C35" i="26"/>
  <c r="E33" i="34"/>
  <c r="G33" i="34" s="1"/>
  <c r="G32" i="31"/>
  <c r="C34" i="25"/>
  <c r="E34" i="25" s="1"/>
  <c r="AH27" i="23" s="1"/>
  <c r="B33" i="25"/>
  <c r="B32" i="31"/>
  <c r="C33" i="31"/>
  <c r="G32" i="24"/>
  <c r="I31" i="24"/>
  <c r="I31" i="26"/>
  <c r="G32" i="26"/>
  <c r="G32" i="32"/>
  <c r="I31" i="32"/>
  <c r="B32" i="33"/>
  <c r="C33" i="33"/>
  <c r="I33" i="35"/>
  <c r="I32" i="27" l="1"/>
  <c r="AU24" i="23"/>
  <c r="I31" i="28"/>
  <c r="I33" i="34"/>
  <c r="G35" i="35"/>
  <c r="I35" i="35" s="1"/>
  <c r="I34" i="35"/>
  <c r="B33" i="31"/>
  <c r="E34" i="31"/>
  <c r="C34" i="31"/>
  <c r="C34" i="33"/>
  <c r="B33" i="33"/>
  <c r="C35" i="34"/>
  <c r="E35" i="34" s="1"/>
  <c r="B34" i="34"/>
  <c r="E33" i="33"/>
  <c r="G33" i="33" s="1"/>
  <c r="G34" i="36"/>
  <c r="G35" i="36" s="1"/>
  <c r="B33" i="30"/>
  <c r="C34" i="30"/>
  <c r="E34" i="30" s="1"/>
  <c r="E33" i="31"/>
  <c r="B36" i="24"/>
  <c r="C37" i="24"/>
  <c r="E37" i="24"/>
  <c r="C36" i="26"/>
  <c r="E36" i="26"/>
  <c r="B35" i="26"/>
  <c r="E34" i="27"/>
  <c r="G34" i="27" s="1"/>
  <c r="I33" i="27"/>
  <c r="B33" i="27"/>
  <c r="C34" i="27"/>
  <c r="G33" i="28"/>
  <c r="G33" i="26"/>
  <c r="I32" i="26"/>
  <c r="E33" i="30"/>
  <c r="G33" i="30" s="1"/>
  <c r="G33" i="32"/>
  <c r="I32" i="32"/>
  <c r="C35" i="36"/>
  <c r="B34" i="36"/>
  <c r="E35" i="36"/>
  <c r="C35" i="32"/>
  <c r="E35" i="32"/>
  <c r="B34" i="32"/>
  <c r="I34" i="29"/>
  <c r="E34" i="34"/>
  <c r="G34" i="34" s="1"/>
  <c r="B35" i="35"/>
  <c r="C36" i="35"/>
  <c r="E36" i="35" s="1"/>
  <c r="G33" i="31"/>
  <c r="B33" i="28"/>
  <c r="C34" i="28"/>
  <c r="E34" i="28"/>
  <c r="AK27" i="23" s="1"/>
  <c r="AT27" i="23" s="1"/>
  <c r="G33" i="24"/>
  <c r="I32" i="24"/>
  <c r="I32" i="31"/>
  <c r="C35" i="25"/>
  <c r="E35" i="25" s="1"/>
  <c r="AH28" i="23" s="1"/>
  <c r="B34" i="25"/>
  <c r="C36" i="29"/>
  <c r="B35" i="29"/>
  <c r="E36" i="29"/>
  <c r="G36" i="29" s="1"/>
  <c r="I35" i="29"/>
  <c r="G34" i="25"/>
  <c r="I34" i="25" s="1"/>
  <c r="AU27" i="23" l="1"/>
  <c r="G35" i="34"/>
  <c r="I34" i="34"/>
  <c r="G34" i="30"/>
  <c r="I34" i="30" s="1"/>
  <c r="I33" i="30"/>
  <c r="G34" i="33"/>
  <c r="G35" i="33" s="1"/>
  <c r="I33" i="33"/>
  <c r="B35" i="32"/>
  <c r="C36" i="32"/>
  <c r="C38" i="24"/>
  <c r="E38" i="24"/>
  <c r="B37" i="24"/>
  <c r="G34" i="28"/>
  <c r="I34" i="28" s="1"/>
  <c r="B35" i="25"/>
  <c r="C36" i="25"/>
  <c r="E36" i="25" s="1"/>
  <c r="AH29" i="23" s="1"/>
  <c r="I34" i="36"/>
  <c r="G36" i="35"/>
  <c r="B34" i="30"/>
  <c r="C35" i="30"/>
  <c r="E35" i="30"/>
  <c r="G34" i="32"/>
  <c r="I33" i="32"/>
  <c r="G35" i="25"/>
  <c r="I35" i="25" s="1"/>
  <c r="B36" i="35"/>
  <c r="I36" i="35"/>
  <c r="C37" i="35"/>
  <c r="E37" i="35"/>
  <c r="G34" i="26"/>
  <c r="I33" i="26"/>
  <c r="B34" i="33"/>
  <c r="C35" i="33"/>
  <c r="E35" i="33"/>
  <c r="B34" i="28"/>
  <c r="C35" i="28"/>
  <c r="B36" i="26"/>
  <c r="E37" i="26"/>
  <c r="C37" i="26"/>
  <c r="G34" i="24"/>
  <c r="I33" i="24"/>
  <c r="B34" i="31"/>
  <c r="C35" i="31"/>
  <c r="I36" i="29"/>
  <c r="C37" i="29"/>
  <c r="B36" i="29"/>
  <c r="I33" i="28"/>
  <c r="I35" i="36"/>
  <c r="B35" i="36"/>
  <c r="C36" i="36"/>
  <c r="E36" i="36" s="1"/>
  <c r="G36" i="36" s="1"/>
  <c r="B35" i="34"/>
  <c r="I35" i="34"/>
  <c r="C36" i="34"/>
  <c r="G34" i="31"/>
  <c r="I34" i="31" s="1"/>
  <c r="I34" i="27"/>
  <c r="B34" i="27"/>
  <c r="C35" i="27"/>
  <c r="E35" i="27" s="1"/>
  <c r="G35" i="27" s="1"/>
  <c r="E34" i="33"/>
  <c r="I33" i="31"/>
  <c r="E37" i="32" l="1"/>
  <c r="B36" i="32"/>
  <c r="C37" i="32"/>
  <c r="B35" i="30"/>
  <c r="C36" i="30"/>
  <c r="E36" i="30"/>
  <c r="E37" i="34"/>
  <c r="B36" i="34"/>
  <c r="C37" i="34"/>
  <c r="C36" i="31"/>
  <c r="B35" i="31"/>
  <c r="E36" i="31"/>
  <c r="G35" i="32"/>
  <c r="I34" i="32"/>
  <c r="C38" i="29"/>
  <c r="E38" i="29"/>
  <c r="B37" i="29"/>
  <c r="C36" i="33"/>
  <c r="E36" i="33"/>
  <c r="G36" i="33" s="1"/>
  <c r="I35" i="33"/>
  <c r="B35" i="33"/>
  <c r="C37" i="36"/>
  <c r="E37" i="36" s="1"/>
  <c r="G37" i="36" s="1"/>
  <c r="B36" i="36"/>
  <c r="I36" i="36"/>
  <c r="E37" i="29"/>
  <c r="G37" i="29" s="1"/>
  <c r="G38" i="29" s="1"/>
  <c r="I34" i="33"/>
  <c r="E36" i="32"/>
  <c r="G35" i="30"/>
  <c r="G35" i="26"/>
  <c r="I34" i="26"/>
  <c r="B37" i="35"/>
  <c r="C38" i="35"/>
  <c r="E38" i="35"/>
  <c r="C36" i="28"/>
  <c r="B35" i="28"/>
  <c r="E35" i="28"/>
  <c r="G37" i="35"/>
  <c r="G38" i="35" s="1"/>
  <c r="C37" i="25"/>
  <c r="E37" i="25"/>
  <c r="AH30" i="23" s="1"/>
  <c r="B36" i="25"/>
  <c r="B35" i="27"/>
  <c r="C36" i="27"/>
  <c r="I35" i="27"/>
  <c r="E35" i="31"/>
  <c r="G35" i="31" s="1"/>
  <c r="G36" i="25"/>
  <c r="G35" i="24"/>
  <c r="I34" i="24"/>
  <c r="E36" i="34"/>
  <c r="C38" i="26"/>
  <c r="E38" i="26"/>
  <c r="B37" i="26"/>
  <c r="C39" i="24"/>
  <c r="E39" i="24" s="1"/>
  <c r="B38" i="24"/>
  <c r="G36" i="34"/>
  <c r="G37" i="34" s="1"/>
  <c r="G37" i="25" l="1"/>
  <c r="G35" i="28"/>
  <c r="AK28" i="23"/>
  <c r="AT28" i="23" s="1"/>
  <c r="I35" i="28"/>
  <c r="G36" i="31"/>
  <c r="I35" i="31"/>
  <c r="G37" i="33"/>
  <c r="C37" i="28"/>
  <c r="B36" i="28"/>
  <c r="I36" i="34"/>
  <c r="C37" i="33"/>
  <c r="E37" i="33"/>
  <c r="B36" i="33"/>
  <c r="I36" i="33"/>
  <c r="C39" i="26"/>
  <c r="B38" i="26"/>
  <c r="I38" i="35"/>
  <c r="B38" i="35"/>
  <c r="C39" i="35"/>
  <c r="E39" i="35"/>
  <c r="G39" i="35" s="1"/>
  <c r="G36" i="30"/>
  <c r="I37" i="29"/>
  <c r="C37" i="31"/>
  <c r="I36" i="31"/>
  <c r="E37" i="31"/>
  <c r="B36" i="31"/>
  <c r="I35" i="30"/>
  <c r="B36" i="27"/>
  <c r="C37" i="27"/>
  <c r="E37" i="27"/>
  <c r="I36" i="27"/>
  <c r="D35" i="24"/>
  <c r="D31" i="24"/>
  <c r="D30" i="24"/>
  <c r="D38" i="24"/>
  <c r="D33" i="24"/>
  <c r="D37" i="24"/>
  <c r="D36" i="24"/>
  <c r="D34" i="24"/>
  <c r="D29" i="24"/>
  <c r="F29" i="24" s="1"/>
  <c r="H29" i="24" s="1"/>
  <c r="J29" i="24" s="1"/>
  <c r="K29" i="24" s="1"/>
  <c r="L29" i="24" s="1"/>
  <c r="D32" i="24"/>
  <c r="E36" i="27"/>
  <c r="G36" i="27" s="1"/>
  <c r="G36" i="26"/>
  <c r="I35" i="26"/>
  <c r="I37" i="36"/>
  <c r="C38" i="36"/>
  <c r="B37" i="36"/>
  <c r="I36" i="25"/>
  <c r="E36" i="28"/>
  <c r="B38" i="29"/>
  <c r="I38" i="29"/>
  <c r="C39" i="29"/>
  <c r="E39" i="29"/>
  <c r="G39" i="29" s="1"/>
  <c r="C37" i="30"/>
  <c r="E37" i="30"/>
  <c r="I36" i="30"/>
  <c r="B36" i="30"/>
  <c r="G36" i="32"/>
  <c r="I35" i="32"/>
  <c r="B39" i="24"/>
  <c r="C40" i="24"/>
  <c r="I37" i="35"/>
  <c r="C38" i="32"/>
  <c r="B37" i="32"/>
  <c r="E38" i="32"/>
  <c r="G36" i="24"/>
  <c r="I35" i="24"/>
  <c r="B37" i="25"/>
  <c r="C38" i="25"/>
  <c r="E38" i="25" s="1"/>
  <c r="AH31" i="23" s="1"/>
  <c r="I37" i="25"/>
  <c r="C38" i="34"/>
  <c r="B37" i="34"/>
  <c r="E38" i="34"/>
  <c r="G38" i="34" s="1"/>
  <c r="I37" i="34"/>
  <c r="F30" i="24" l="1"/>
  <c r="H30" i="24" s="1"/>
  <c r="J30" i="24" s="1"/>
  <c r="K30" i="24" s="1"/>
  <c r="G38" i="25"/>
  <c r="G36" i="28"/>
  <c r="AK29" i="23"/>
  <c r="AT29" i="23" s="1"/>
  <c r="AU29" i="23" s="1"/>
  <c r="AU28" i="23"/>
  <c r="L30" i="24"/>
  <c r="I36" i="28"/>
  <c r="I39" i="35"/>
  <c r="B39" i="35"/>
  <c r="C40" i="35"/>
  <c r="E40" i="35" s="1"/>
  <c r="G40" i="35" s="1"/>
  <c r="I38" i="34"/>
  <c r="B38" i="34"/>
  <c r="C39" i="34"/>
  <c r="E39" i="34" s="1"/>
  <c r="G39" i="34" s="1"/>
  <c r="D30" i="35"/>
  <c r="D38" i="35"/>
  <c r="D31" i="35"/>
  <c r="D29" i="35"/>
  <c r="F29" i="35" s="1"/>
  <c r="H29" i="35" s="1"/>
  <c r="J29" i="35" s="1"/>
  <c r="K29" i="35" s="1"/>
  <c r="L29" i="35" s="1"/>
  <c r="D32" i="35"/>
  <c r="D33" i="35"/>
  <c r="D34" i="35"/>
  <c r="D36" i="35"/>
  <c r="D37" i="35"/>
  <c r="D35" i="35"/>
  <c r="I37" i="30"/>
  <c r="C38" i="30"/>
  <c r="E38" i="30" s="1"/>
  <c r="B37" i="30"/>
  <c r="G37" i="26"/>
  <c r="I36" i="26"/>
  <c r="F31" i="24"/>
  <c r="H31" i="24" s="1"/>
  <c r="J31" i="24" s="1"/>
  <c r="K31" i="24" s="1"/>
  <c r="L31" i="24" s="1"/>
  <c r="G37" i="31"/>
  <c r="E40" i="26"/>
  <c r="B39" i="26"/>
  <c r="C40" i="26"/>
  <c r="C38" i="27"/>
  <c r="E38" i="27" s="1"/>
  <c r="B37" i="27"/>
  <c r="B39" i="29"/>
  <c r="C40" i="29"/>
  <c r="I39" i="29"/>
  <c r="E39" i="36"/>
  <c r="B38" i="36"/>
  <c r="C39" i="36"/>
  <c r="G37" i="32"/>
  <c r="I36" i="32"/>
  <c r="E39" i="26"/>
  <c r="I37" i="33"/>
  <c r="B37" i="33"/>
  <c r="C38" i="33"/>
  <c r="C41" i="24"/>
  <c r="B40" i="24"/>
  <c r="B37" i="28"/>
  <c r="C38" i="28"/>
  <c r="E38" i="28" s="1"/>
  <c r="AK31" i="23" s="1"/>
  <c r="AT31" i="23" s="1"/>
  <c r="AU31" i="23" s="1"/>
  <c r="G37" i="24"/>
  <c r="I36" i="24"/>
  <c r="E40" i="24"/>
  <c r="G37" i="27"/>
  <c r="I37" i="27" s="1"/>
  <c r="I37" i="31"/>
  <c r="B37" i="31"/>
  <c r="C38" i="31"/>
  <c r="E38" i="31"/>
  <c r="B38" i="32"/>
  <c r="C39" i="32"/>
  <c r="E39" i="25"/>
  <c r="I38" i="25"/>
  <c r="B38" i="25"/>
  <c r="C39" i="25"/>
  <c r="D32" i="29"/>
  <c r="D35" i="29"/>
  <c r="D33" i="29"/>
  <c r="D36" i="29"/>
  <c r="D38" i="29"/>
  <c r="D31" i="29"/>
  <c r="D29" i="29"/>
  <c r="F29" i="29" s="1"/>
  <c r="H29" i="29" s="1"/>
  <c r="J29" i="29" s="1"/>
  <c r="K29" i="29" s="1"/>
  <c r="L29" i="29" s="1"/>
  <c r="D37" i="29"/>
  <c r="D30" i="29"/>
  <c r="D34" i="29"/>
  <c r="E38" i="36"/>
  <c r="G38" i="36" s="1"/>
  <c r="G39" i="36" s="1"/>
  <c r="G37" i="30"/>
  <c r="D35" i="26"/>
  <c r="D30" i="26"/>
  <c r="F30" i="26" s="1"/>
  <c r="H30" i="26" s="1"/>
  <c r="J30" i="26" s="1"/>
  <c r="K30" i="26" s="1"/>
  <c r="L30" i="26" s="1"/>
  <c r="D38" i="26"/>
  <c r="D33" i="26"/>
  <c r="D36" i="26"/>
  <c r="D32" i="26"/>
  <c r="D31" i="26"/>
  <c r="D34" i="26"/>
  <c r="D29" i="26"/>
  <c r="F29" i="26" s="1"/>
  <c r="H29" i="26" s="1"/>
  <c r="J29" i="26" s="1"/>
  <c r="K29" i="26" s="1"/>
  <c r="L29" i="26" s="1"/>
  <c r="D37" i="26"/>
  <c r="E37" i="28"/>
  <c r="G39" i="25" l="1"/>
  <c r="AH32" i="23"/>
  <c r="G37" i="28"/>
  <c r="AK30" i="23"/>
  <c r="AT30" i="23" s="1"/>
  <c r="G38" i="28"/>
  <c r="I37" i="28"/>
  <c r="B41" i="24"/>
  <c r="C42" i="24"/>
  <c r="E42" i="24" s="1"/>
  <c r="C40" i="32"/>
  <c r="E40" i="32"/>
  <c r="B39" i="32"/>
  <c r="F32" i="24"/>
  <c r="C41" i="29"/>
  <c r="B40" i="29"/>
  <c r="I40" i="29"/>
  <c r="E41" i="29"/>
  <c r="G38" i="26"/>
  <c r="I37" i="26"/>
  <c r="D29" i="32"/>
  <c r="F29" i="32" s="1"/>
  <c r="H29" i="32" s="1"/>
  <c r="J29" i="32" s="1"/>
  <c r="K29" i="32" s="1"/>
  <c r="L29" i="32" s="1"/>
  <c r="D37" i="32"/>
  <c r="D32" i="32"/>
  <c r="D35" i="32"/>
  <c r="D30" i="32"/>
  <c r="D38" i="32"/>
  <c r="D31" i="32"/>
  <c r="D33" i="32"/>
  <c r="D36" i="32"/>
  <c r="D34" i="32"/>
  <c r="C39" i="33"/>
  <c r="B38" i="33"/>
  <c r="G38" i="31"/>
  <c r="I38" i="31" s="1"/>
  <c r="C40" i="34"/>
  <c r="E40" i="34" s="1"/>
  <c r="G40" i="34" s="1"/>
  <c r="I39" i="34"/>
  <c r="B39" i="34"/>
  <c r="E39" i="32"/>
  <c r="E40" i="29"/>
  <c r="G40" i="29" s="1"/>
  <c r="F30" i="35"/>
  <c r="H30" i="35" s="1"/>
  <c r="J30" i="35" s="1"/>
  <c r="K30" i="35" s="1"/>
  <c r="L30" i="35" s="1"/>
  <c r="C41" i="35"/>
  <c r="I40" i="35"/>
  <c r="B40" i="35"/>
  <c r="I38" i="36"/>
  <c r="G38" i="27"/>
  <c r="G39" i="27" s="1"/>
  <c r="D29" i="34"/>
  <c r="F29" i="34" s="1"/>
  <c r="H29" i="34" s="1"/>
  <c r="J29" i="34" s="1"/>
  <c r="K29" i="34" s="1"/>
  <c r="L29" i="34" s="1"/>
  <c r="D37" i="34"/>
  <c r="D32" i="34"/>
  <c r="D35" i="34"/>
  <c r="D30" i="34"/>
  <c r="F30" i="34" s="1"/>
  <c r="H30" i="34" s="1"/>
  <c r="J30" i="34" s="1"/>
  <c r="K30" i="34" s="1"/>
  <c r="L30" i="34" s="1"/>
  <c r="D31" i="34"/>
  <c r="F31" i="34" s="1"/>
  <c r="H31" i="34" s="1"/>
  <c r="J31" i="34" s="1"/>
  <c r="K31" i="34" s="1"/>
  <c r="L31" i="34" s="1"/>
  <c r="D38" i="34"/>
  <c r="D34" i="34"/>
  <c r="D33" i="34"/>
  <c r="D36" i="34"/>
  <c r="C40" i="25"/>
  <c r="B39" i="25"/>
  <c r="E40" i="25"/>
  <c r="I39" i="25"/>
  <c r="G38" i="32"/>
  <c r="I37" i="32"/>
  <c r="C39" i="27"/>
  <c r="E39" i="27"/>
  <c r="B38" i="27"/>
  <c r="G38" i="30"/>
  <c r="I38" i="30" s="1"/>
  <c r="D31" i="25"/>
  <c r="D35" i="25"/>
  <c r="D30" i="25"/>
  <c r="D38" i="25"/>
  <c r="D34" i="25"/>
  <c r="D29" i="25"/>
  <c r="F29" i="25" s="1"/>
  <c r="H29" i="25" s="1"/>
  <c r="J29" i="25" s="1"/>
  <c r="K29" i="25" s="1"/>
  <c r="L29" i="25" s="1"/>
  <c r="D37" i="25"/>
  <c r="D33" i="25"/>
  <c r="D32" i="25"/>
  <c r="D36" i="25"/>
  <c r="G38" i="24"/>
  <c r="I37" i="24"/>
  <c r="C40" i="36"/>
  <c r="B39" i="36"/>
  <c r="E40" i="36"/>
  <c r="I39" i="36"/>
  <c r="C41" i="26"/>
  <c r="E41" i="26"/>
  <c r="B40" i="26"/>
  <c r="G40" i="36"/>
  <c r="C39" i="30"/>
  <c r="B38" i="30"/>
  <c r="F31" i="26"/>
  <c r="H31" i="26" s="1"/>
  <c r="J31" i="26" s="1"/>
  <c r="K31" i="26" s="1"/>
  <c r="L31" i="26" s="1"/>
  <c r="F30" i="29"/>
  <c r="H30" i="29" s="1"/>
  <c r="J30" i="29" s="1"/>
  <c r="K30" i="29" s="1"/>
  <c r="L30" i="29" s="1"/>
  <c r="B38" i="31"/>
  <c r="C39" i="31"/>
  <c r="C39" i="28"/>
  <c r="E39" i="28"/>
  <c r="AK32" i="23" s="1"/>
  <c r="B38" i="28"/>
  <c r="I38" i="28"/>
  <c r="E41" i="24"/>
  <c r="E38" i="33"/>
  <c r="G38" i="33" s="1"/>
  <c r="I38" i="33" s="1"/>
  <c r="D34" i="36"/>
  <c r="D37" i="36"/>
  <c r="D29" i="36"/>
  <c r="F29" i="36" s="1"/>
  <c r="H29" i="36" s="1"/>
  <c r="J29" i="36" s="1"/>
  <c r="K29" i="36" s="1"/>
  <c r="L29" i="36" s="1"/>
  <c r="D32" i="36"/>
  <c r="D33" i="36"/>
  <c r="D30" i="36"/>
  <c r="F30" i="36" s="1"/>
  <c r="H30" i="36" s="1"/>
  <c r="J30" i="36" s="1"/>
  <c r="K30" i="36" s="1"/>
  <c r="L30" i="36" s="1"/>
  <c r="D36" i="36"/>
  <c r="D38" i="36"/>
  <c r="D31" i="36"/>
  <c r="D35" i="36"/>
  <c r="AU30" i="23" l="1"/>
  <c r="AT32" i="23"/>
  <c r="AU32" i="23" s="1"/>
  <c r="G40" i="25"/>
  <c r="AH33" i="23"/>
  <c r="F32" i="34"/>
  <c r="H32" i="34" s="1"/>
  <c r="J32" i="34" s="1"/>
  <c r="K32" i="34" s="1"/>
  <c r="L32" i="34" s="1"/>
  <c r="F33" i="34"/>
  <c r="H33" i="34" s="1"/>
  <c r="J33" i="34" s="1"/>
  <c r="K33" i="34" s="1"/>
  <c r="L33" i="34" s="1"/>
  <c r="B39" i="31"/>
  <c r="C40" i="31"/>
  <c r="E40" i="31"/>
  <c r="C42" i="35"/>
  <c r="E42" i="35" s="1"/>
  <c r="B41" i="35"/>
  <c r="G41" i="36"/>
  <c r="B41" i="29"/>
  <c r="C42" i="29"/>
  <c r="E42" i="29"/>
  <c r="G41" i="29"/>
  <c r="G39" i="28"/>
  <c r="G39" i="24"/>
  <c r="I38" i="24"/>
  <c r="G39" i="31"/>
  <c r="I39" i="31" s="1"/>
  <c r="D31" i="28"/>
  <c r="D29" i="28"/>
  <c r="F29" i="28" s="1"/>
  <c r="H29" i="28" s="1"/>
  <c r="J29" i="28" s="1"/>
  <c r="K29" i="28" s="1"/>
  <c r="L29" i="28" s="1"/>
  <c r="D33" i="28"/>
  <c r="D36" i="28"/>
  <c r="D34" i="28"/>
  <c r="D30" i="28"/>
  <c r="D32" i="28"/>
  <c r="D37" i="28"/>
  <c r="D38" i="28"/>
  <c r="D35" i="28"/>
  <c r="G39" i="32"/>
  <c r="I38" i="32"/>
  <c r="H32" i="24"/>
  <c r="J32" i="24" s="1"/>
  <c r="K32" i="24" s="1"/>
  <c r="L32" i="24" s="1"/>
  <c r="F33" i="24"/>
  <c r="B39" i="33"/>
  <c r="C40" i="33"/>
  <c r="E40" i="33"/>
  <c r="C40" i="27"/>
  <c r="I39" i="27"/>
  <c r="E40" i="27"/>
  <c r="G40" i="27" s="1"/>
  <c r="B39" i="27"/>
  <c r="I40" i="25"/>
  <c r="B40" i="25"/>
  <c r="C41" i="25"/>
  <c r="E41" i="25" s="1"/>
  <c r="F31" i="35"/>
  <c r="C41" i="32"/>
  <c r="B40" i="32"/>
  <c r="D33" i="31"/>
  <c r="D36" i="31"/>
  <c r="D34" i="31"/>
  <c r="D31" i="31"/>
  <c r="D38" i="31"/>
  <c r="D30" i="31"/>
  <c r="D37" i="31"/>
  <c r="D29" i="31"/>
  <c r="F29" i="31" s="1"/>
  <c r="H29" i="31" s="1"/>
  <c r="J29" i="31" s="1"/>
  <c r="K29" i="31" s="1"/>
  <c r="L29" i="31" s="1"/>
  <c r="D35" i="31"/>
  <c r="D32" i="31"/>
  <c r="F32" i="26"/>
  <c r="D36" i="30"/>
  <c r="D29" i="30"/>
  <c r="F29" i="30" s="1"/>
  <c r="H29" i="30" s="1"/>
  <c r="J29" i="30" s="1"/>
  <c r="K29" i="30" s="1"/>
  <c r="L29" i="30" s="1"/>
  <c r="D37" i="30"/>
  <c r="D30" i="30"/>
  <c r="D33" i="30"/>
  <c r="D32" i="30"/>
  <c r="D35" i="30"/>
  <c r="D38" i="30"/>
  <c r="D34" i="30"/>
  <c r="D31" i="30"/>
  <c r="F31" i="29"/>
  <c r="E41" i="35"/>
  <c r="G41" i="35" s="1"/>
  <c r="I41" i="35" s="1"/>
  <c r="I40" i="34"/>
  <c r="C41" i="34"/>
  <c r="E41" i="34" s="1"/>
  <c r="G41" i="34" s="1"/>
  <c r="B40" i="34"/>
  <c r="D33" i="33"/>
  <c r="D36" i="33"/>
  <c r="D31" i="33"/>
  <c r="D34" i="33"/>
  <c r="D29" i="33"/>
  <c r="F29" i="33" s="1"/>
  <c r="H29" i="33" s="1"/>
  <c r="J29" i="33" s="1"/>
  <c r="K29" i="33" s="1"/>
  <c r="L29" i="33" s="1"/>
  <c r="D32" i="33"/>
  <c r="D30" i="33"/>
  <c r="D38" i="33"/>
  <c r="D37" i="33"/>
  <c r="D35" i="33"/>
  <c r="E43" i="24"/>
  <c r="B42" i="24"/>
  <c r="C43" i="24"/>
  <c r="D29" i="27"/>
  <c r="F29" i="27" s="1"/>
  <c r="H29" i="27" s="1"/>
  <c r="J29" i="27" s="1"/>
  <c r="K29" i="27" s="1"/>
  <c r="L29" i="27" s="1"/>
  <c r="D37" i="27"/>
  <c r="D32" i="27"/>
  <c r="D30" i="27"/>
  <c r="F30" i="27" s="1"/>
  <c r="H30" i="27" s="1"/>
  <c r="J30" i="27" s="1"/>
  <c r="K30" i="27" s="1"/>
  <c r="L30" i="27" s="1"/>
  <c r="D38" i="27"/>
  <c r="D35" i="27"/>
  <c r="D36" i="27"/>
  <c r="D33" i="27"/>
  <c r="D34" i="27"/>
  <c r="D31" i="27"/>
  <c r="C40" i="30"/>
  <c r="B39" i="30"/>
  <c r="E39" i="31"/>
  <c r="B41" i="26"/>
  <c r="C42" i="26"/>
  <c r="I38" i="27"/>
  <c r="F31" i="36"/>
  <c r="H31" i="36" s="1"/>
  <c r="J31" i="36" s="1"/>
  <c r="K31" i="36" s="1"/>
  <c r="L31" i="36" s="1"/>
  <c r="B39" i="28"/>
  <c r="C40" i="28"/>
  <c r="E40" i="28" s="1"/>
  <c r="AK33" i="23" s="1"/>
  <c r="I39" i="28"/>
  <c r="E39" i="30"/>
  <c r="B40" i="36"/>
  <c r="I40" i="36"/>
  <c r="C41" i="36"/>
  <c r="E41" i="36"/>
  <c r="F30" i="25"/>
  <c r="H30" i="25" s="1"/>
  <c r="J30" i="25" s="1"/>
  <c r="K30" i="25" s="1"/>
  <c r="L30" i="25" s="1"/>
  <c r="G39" i="30"/>
  <c r="E39" i="33"/>
  <c r="G39" i="33" s="1"/>
  <c r="F30" i="32"/>
  <c r="H30" i="32" s="1"/>
  <c r="J30" i="32" s="1"/>
  <c r="K30" i="32" s="1"/>
  <c r="L30" i="32" s="1"/>
  <c r="G39" i="26"/>
  <c r="I38" i="26"/>
  <c r="F32" i="36" l="1"/>
  <c r="H32" i="36" s="1"/>
  <c r="J32" i="36" s="1"/>
  <c r="K32" i="36" s="1"/>
  <c r="L32" i="36" s="1"/>
  <c r="F31" i="27"/>
  <c r="H31" i="27" s="1"/>
  <c r="J31" i="27" s="1"/>
  <c r="K31" i="27" s="1"/>
  <c r="L31" i="27" s="1"/>
  <c r="F30" i="28"/>
  <c r="H30" i="28" s="1"/>
  <c r="J30" i="28" s="1"/>
  <c r="K30" i="28" s="1"/>
  <c r="L30" i="28" s="1"/>
  <c r="AT33" i="23"/>
  <c r="AU33" i="23" s="1"/>
  <c r="F34" i="34"/>
  <c r="G41" i="25"/>
  <c r="I41" i="25" s="1"/>
  <c r="AH34" i="23"/>
  <c r="G40" i="33"/>
  <c r="I40" i="33" s="1"/>
  <c r="I39" i="33"/>
  <c r="E41" i="30"/>
  <c r="B40" i="30"/>
  <c r="C41" i="30"/>
  <c r="G40" i="26"/>
  <c r="I39" i="26"/>
  <c r="F32" i="27"/>
  <c r="H32" i="27" s="1"/>
  <c r="J32" i="27" s="1"/>
  <c r="K32" i="27" s="1"/>
  <c r="L32" i="27" s="1"/>
  <c r="H32" i="26"/>
  <c r="J32" i="26" s="1"/>
  <c r="K32" i="26" s="1"/>
  <c r="L32" i="26" s="1"/>
  <c r="F33" i="26"/>
  <c r="C41" i="27"/>
  <c r="B40" i="27"/>
  <c r="E41" i="27"/>
  <c r="G41" i="27" s="1"/>
  <c r="I40" i="27"/>
  <c r="G40" i="28"/>
  <c r="C41" i="31"/>
  <c r="E41" i="31"/>
  <c r="B40" i="31"/>
  <c r="H33" i="24"/>
  <c r="J33" i="24" s="1"/>
  <c r="K33" i="24" s="1"/>
  <c r="L33" i="24" s="1"/>
  <c r="F34" i="24"/>
  <c r="C43" i="29"/>
  <c r="E43" i="29"/>
  <c r="B42" i="29"/>
  <c r="G40" i="32"/>
  <c r="I39" i="32"/>
  <c r="B41" i="32"/>
  <c r="C42" i="32"/>
  <c r="F31" i="25"/>
  <c r="F30" i="30"/>
  <c r="H30" i="30" s="1"/>
  <c r="J30" i="30" s="1"/>
  <c r="K30" i="30" s="1"/>
  <c r="L30" i="30" s="1"/>
  <c r="H31" i="35"/>
  <c r="J31" i="35" s="1"/>
  <c r="K31" i="35" s="1"/>
  <c r="L31" i="35" s="1"/>
  <c r="F32" i="35"/>
  <c r="G40" i="31"/>
  <c r="G41" i="31" s="1"/>
  <c r="I41" i="36"/>
  <c r="C42" i="36"/>
  <c r="B41" i="36"/>
  <c r="I41" i="34"/>
  <c r="B41" i="34"/>
  <c r="C42" i="34"/>
  <c r="F31" i="30"/>
  <c r="H31" i="30" s="1"/>
  <c r="J31" i="30" s="1"/>
  <c r="K31" i="30" s="1"/>
  <c r="L31" i="30" s="1"/>
  <c r="C42" i="25"/>
  <c r="B41" i="25"/>
  <c r="E42" i="25"/>
  <c r="G40" i="24"/>
  <c r="I39" i="24"/>
  <c r="F30" i="31"/>
  <c r="H30" i="31" s="1"/>
  <c r="J30" i="31" s="1"/>
  <c r="K30" i="31" s="1"/>
  <c r="L30" i="31" s="1"/>
  <c r="G42" i="29"/>
  <c r="G43" i="29" s="1"/>
  <c r="F31" i="32"/>
  <c r="G42" i="35"/>
  <c r="B42" i="35"/>
  <c r="C43" i="35"/>
  <c r="B42" i="26"/>
  <c r="C43" i="26"/>
  <c r="E43" i="26" s="1"/>
  <c r="B40" i="28"/>
  <c r="I40" i="28"/>
  <c r="C41" i="28"/>
  <c r="E41" i="28" s="1"/>
  <c r="AK34" i="23" s="1"/>
  <c r="F31" i="28"/>
  <c r="H31" i="28" s="1"/>
  <c r="J31" i="28" s="1"/>
  <c r="K31" i="28" s="1"/>
  <c r="L31" i="28" s="1"/>
  <c r="I41" i="29"/>
  <c r="I39" i="30"/>
  <c r="E42" i="26"/>
  <c r="E40" i="30"/>
  <c r="G40" i="30" s="1"/>
  <c r="C44" i="24"/>
  <c r="B43" i="24"/>
  <c r="F30" i="33"/>
  <c r="H30" i="33" s="1"/>
  <c r="J30" i="33" s="1"/>
  <c r="K30" i="33" s="1"/>
  <c r="L30" i="33" s="1"/>
  <c r="H31" i="29"/>
  <c r="J31" i="29" s="1"/>
  <c r="K31" i="29" s="1"/>
  <c r="L31" i="29" s="1"/>
  <c r="F32" i="29"/>
  <c r="E41" i="32"/>
  <c r="B40" i="33"/>
  <c r="C41" i="33"/>
  <c r="E41" i="33" s="1"/>
  <c r="F33" i="36"/>
  <c r="F31" i="33" l="1"/>
  <c r="AT34" i="23"/>
  <c r="AU34" i="23" s="1"/>
  <c r="G42" i="25"/>
  <c r="AH35" i="23"/>
  <c r="F31" i="31"/>
  <c r="H31" i="31" s="1"/>
  <c r="J31" i="31" s="1"/>
  <c r="K31" i="31" s="1"/>
  <c r="L31" i="31" s="1"/>
  <c r="H34" i="34"/>
  <c r="J34" i="34" s="1"/>
  <c r="K34" i="34" s="1"/>
  <c r="L34" i="34" s="1"/>
  <c r="F35" i="34"/>
  <c r="G41" i="30"/>
  <c r="I41" i="30" s="1"/>
  <c r="I40" i="30"/>
  <c r="H33" i="36"/>
  <c r="J33" i="36" s="1"/>
  <c r="K33" i="36" s="1"/>
  <c r="L33" i="36" s="1"/>
  <c r="F34" i="36"/>
  <c r="C43" i="34"/>
  <c r="B42" i="34"/>
  <c r="E43" i="34"/>
  <c r="I42" i="34"/>
  <c r="F33" i="27"/>
  <c r="C43" i="32"/>
  <c r="B42" i="32"/>
  <c r="F32" i="28"/>
  <c r="C44" i="35"/>
  <c r="B43" i="35"/>
  <c r="C43" i="25"/>
  <c r="E43" i="25" s="1"/>
  <c r="I42" i="25"/>
  <c r="B42" i="25"/>
  <c r="E42" i="34"/>
  <c r="G42" i="34" s="1"/>
  <c r="G43" i="34" s="1"/>
  <c r="H32" i="35"/>
  <c r="J32" i="35" s="1"/>
  <c r="K32" i="35" s="1"/>
  <c r="L32" i="35" s="1"/>
  <c r="F33" i="35"/>
  <c r="H34" i="24"/>
  <c r="J34" i="24" s="1"/>
  <c r="K34" i="24" s="1"/>
  <c r="L34" i="24" s="1"/>
  <c r="F35" i="24"/>
  <c r="I40" i="31"/>
  <c r="B41" i="27"/>
  <c r="C42" i="27"/>
  <c r="I41" i="27"/>
  <c r="G41" i="33"/>
  <c r="F32" i="30"/>
  <c r="G41" i="26"/>
  <c r="I40" i="26"/>
  <c r="B44" i="24"/>
  <c r="C45" i="24"/>
  <c r="E45" i="24"/>
  <c r="C44" i="26"/>
  <c r="B43" i="26"/>
  <c r="C43" i="36"/>
  <c r="E43" i="36"/>
  <c r="B42" i="36"/>
  <c r="G41" i="32"/>
  <c r="I40" i="32"/>
  <c r="C42" i="28"/>
  <c r="E42" i="28" s="1"/>
  <c r="AK35" i="23" s="1"/>
  <c r="B41" i="28"/>
  <c r="H32" i="29"/>
  <c r="J32" i="29" s="1"/>
  <c r="K32" i="29" s="1"/>
  <c r="L32" i="29" s="1"/>
  <c r="F33" i="29"/>
  <c r="E42" i="32"/>
  <c r="I42" i="29"/>
  <c r="I41" i="31"/>
  <c r="C42" i="31"/>
  <c r="E42" i="31"/>
  <c r="G42" i="31" s="1"/>
  <c r="B41" i="31"/>
  <c r="E42" i="30"/>
  <c r="B41" i="30"/>
  <c r="C42" i="30"/>
  <c r="H31" i="25"/>
  <c r="J31" i="25" s="1"/>
  <c r="K31" i="25" s="1"/>
  <c r="L31" i="25" s="1"/>
  <c r="F32" i="25"/>
  <c r="E42" i="36"/>
  <c r="G42" i="36" s="1"/>
  <c r="I42" i="36" s="1"/>
  <c r="C42" i="33"/>
  <c r="I41" i="33"/>
  <c r="E42" i="33"/>
  <c r="B41" i="33"/>
  <c r="H33" i="26"/>
  <c r="J33" i="26" s="1"/>
  <c r="K33" i="26" s="1"/>
  <c r="L33" i="26" s="1"/>
  <c r="F34" i="26"/>
  <c r="I42" i="35"/>
  <c r="H31" i="32"/>
  <c r="J31" i="32" s="1"/>
  <c r="K31" i="32" s="1"/>
  <c r="L31" i="32" s="1"/>
  <c r="F32" i="32"/>
  <c r="E44" i="24"/>
  <c r="E43" i="35"/>
  <c r="G43" i="35" s="1"/>
  <c r="G41" i="24"/>
  <c r="I40" i="24"/>
  <c r="C44" i="29"/>
  <c r="I43" i="29"/>
  <c r="E44" i="29"/>
  <c r="G44" i="29" s="1"/>
  <c r="B43" i="29"/>
  <c r="G41" i="28"/>
  <c r="H31" i="33" l="1"/>
  <c r="J31" i="33" s="1"/>
  <c r="K31" i="33" s="1"/>
  <c r="L31" i="33" s="1"/>
  <c r="F32" i="33"/>
  <c r="F32" i="31"/>
  <c r="G43" i="25"/>
  <c r="AH36" i="23"/>
  <c r="H35" i="34"/>
  <c r="J35" i="34" s="1"/>
  <c r="K35" i="34" s="1"/>
  <c r="L35" i="34" s="1"/>
  <c r="F36" i="34"/>
  <c r="AT35" i="23"/>
  <c r="AU35" i="23" s="1"/>
  <c r="G42" i="28"/>
  <c r="I43" i="35"/>
  <c r="G42" i="24"/>
  <c r="I41" i="24"/>
  <c r="B44" i="26"/>
  <c r="E45" i="26"/>
  <c r="C45" i="26"/>
  <c r="H35" i="24"/>
  <c r="J35" i="24" s="1"/>
  <c r="K35" i="24" s="1"/>
  <c r="L35" i="24" s="1"/>
  <c r="F36" i="24"/>
  <c r="G42" i="33"/>
  <c r="I42" i="33"/>
  <c r="B42" i="33"/>
  <c r="C43" i="33"/>
  <c r="E43" i="33"/>
  <c r="G43" i="36"/>
  <c r="E45" i="29"/>
  <c r="G45" i="29" s="1"/>
  <c r="I44" i="29"/>
  <c r="B44" i="29"/>
  <c r="C45" i="29"/>
  <c r="H32" i="32"/>
  <c r="J32" i="32" s="1"/>
  <c r="K32" i="32" s="1"/>
  <c r="L32" i="32" s="1"/>
  <c r="F33" i="32"/>
  <c r="H32" i="25"/>
  <c r="J32" i="25" s="1"/>
  <c r="K32" i="25" s="1"/>
  <c r="L32" i="25" s="1"/>
  <c r="F33" i="25"/>
  <c r="C43" i="31"/>
  <c r="I42" i="31"/>
  <c r="B42" i="31"/>
  <c r="B43" i="36"/>
  <c r="C44" i="36"/>
  <c r="E44" i="36"/>
  <c r="H33" i="35"/>
  <c r="J33" i="35" s="1"/>
  <c r="K33" i="35" s="1"/>
  <c r="L33" i="35" s="1"/>
  <c r="F34" i="35"/>
  <c r="H32" i="30"/>
  <c r="J32" i="30" s="1"/>
  <c r="K32" i="30" s="1"/>
  <c r="L32" i="30" s="1"/>
  <c r="F33" i="30"/>
  <c r="B43" i="32"/>
  <c r="C44" i="32"/>
  <c r="H34" i="36"/>
  <c r="J34" i="36" s="1"/>
  <c r="K34" i="36" s="1"/>
  <c r="L34" i="36" s="1"/>
  <c r="F35" i="36"/>
  <c r="H34" i="26"/>
  <c r="J34" i="26" s="1"/>
  <c r="K34" i="26" s="1"/>
  <c r="L34" i="26" s="1"/>
  <c r="F35" i="26"/>
  <c r="G42" i="32"/>
  <c r="I41" i="32"/>
  <c r="I43" i="25"/>
  <c r="B43" i="25"/>
  <c r="C44" i="25"/>
  <c r="C46" i="24"/>
  <c r="E46" i="24" s="1"/>
  <c r="B45" i="24"/>
  <c r="H32" i="28"/>
  <c r="J32" i="28" s="1"/>
  <c r="K32" i="28" s="1"/>
  <c r="L32" i="28" s="1"/>
  <c r="F33" i="28"/>
  <c r="H32" i="31"/>
  <c r="J32" i="31" s="1"/>
  <c r="K32" i="31" s="1"/>
  <c r="L32" i="31" s="1"/>
  <c r="F33" i="31"/>
  <c r="B44" i="35"/>
  <c r="C45" i="35"/>
  <c r="E45" i="35" s="1"/>
  <c r="B43" i="34"/>
  <c r="C44" i="34"/>
  <c r="E44" i="34" s="1"/>
  <c r="G44" i="34" s="1"/>
  <c r="I43" i="34"/>
  <c r="H33" i="27"/>
  <c r="J33" i="27" s="1"/>
  <c r="K33" i="27" s="1"/>
  <c r="L33" i="27" s="1"/>
  <c r="F34" i="27"/>
  <c r="I42" i="28"/>
  <c r="B42" i="28"/>
  <c r="C43" i="28"/>
  <c r="E43" i="28"/>
  <c r="B42" i="27"/>
  <c r="C43" i="27"/>
  <c r="G42" i="30"/>
  <c r="B42" i="30"/>
  <c r="C43" i="30"/>
  <c r="I41" i="28"/>
  <c r="G42" i="26"/>
  <c r="I41" i="26"/>
  <c r="H33" i="29"/>
  <c r="J33" i="29" s="1"/>
  <c r="K33" i="29" s="1"/>
  <c r="L33" i="29" s="1"/>
  <c r="F34" i="29"/>
  <c r="E44" i="26"/>
  <c r="E42" i="27"/>
  <c r="G42" i="27" s="1"/>
  <c r="I42" i="27" s="1"/>
  <c r="E44" i="35"/>
  <c r="G44" i="35" s="1"/>
  <c r="E43" i="32"/>
  <c r="H32" i="33" l="1"/>
  <c r="J32" i="33" s="1"/>
  <c r="K32" i="33" s="1"/>
  <c r="L32" i="33" s="1"/>
  <c r="F33" i="33"/>
  <c r="F37" i="34"/>
  <c r="H36" i="34"/>
  <c r="J36" i="34" s="1"/>
  <c r="K36" i="34" s="1"/>
  <c r="L36" i="34" s="1"/>
  <c r="G43" i="28"/>
  <c r="I43" i="28" s="1"/>
  <c r="AK36" i="23"/>
  <c r="AT36" i="23"/>
  <c r="AU36" i="23" s="1"/>
  <c r="G45" i="35"/>
  <c r="I45" i="35" s="1"/>
  <c r="I44" i="35"/>
  <c r="H33" i="28"/>
  <c r="J33" i="28" s="1"/>
  <c r="K33" i="28" s="1"/>
  <c r="L33" i="28" s="1"/>
  <c r="F34" i="28"/>
  <c r="C45" i="36"/>
  <c r="E45" i="36"/>
  <c r="B44" i="36"/>
  <c r="G43" i="24"/>
  <c r="I42" i="24"/>
  <c r="G43" i="30"/>
  <c r="I43" i="30" s="1"/>
  <c r="H35" i="36"/>
  <c r="J35" i="36" s="1"/>
  <c r="K35" i="36" s="1"/>
  <c r="L35" i="36" s="1"/>
  <c r="F36" i="36"/>
  <c r="H33" i="32"/>
  <c r="J33" i="32" s="1"/>
  <c r="K33" i="32" s="1"/>
  <c r="L33" i="32" s="1"/>
  <c r="F34" i="32"/>
  <c r="C44" i="33"/>
  <c r="B43" i="33"/>
  <c r="C46" i="26"/>
  <c r="B45" i="26"/>
  <c r="C44" i="31"/>
  <c r="B43" i="31"/>
  <c r="E44" i="31"/>
  <c r="H33" i="30"/>
  <c r="J33" i="30" s="1"/>
  <c r="K33" i="30" s="1"/>
  <c r="L33" i="30" s="1"/>
  <c r="F34" i="30"/>
  <c r="H36" i="24"/>
  <c r="J36" i="24" s="1"/>
  <c r="K36" i="24" s="1"/>
  <c r="L36" i="24" s="1"/>
  <c r="F37" i="24"/>
  <c r="C45" i="25"/>
  <c r="B44" i="25"/>
  <c r="H33" i="25"/>
  <c r="J33" i="25" s="1"/>
  <c r="K33" i="25" s="1"/>
  <c r="L33" i="25" s="1"/>
  <c r="F34" i="25"/>
  <c r="B43" i="30"/>
  <c r="C44" i="30"/>
  <c r="B44" i="32"/>
  <c r="C45" i="32"/>
  <c r="E45" i="32" s="1"/>
  <c r="C46" i="29"/>
  <c r="I45" i="29"/>
  <c r="B45" i="29"/>
  <c r="I42" i="30"/>
  <c r="H33" i="31"/>
  <c r="J33" i="31" s="1"/>
  <c r="K33" i="31" s="1"/>
  <c r="L33" i="31" s="1"/>
  <c r="F34" i="31"/>
  <c r="H35" i="26"/>
  <c r="J35" i="26" s="1"/>
  <c r="K35" i="26" s="1"/>
  <c r="L35" i="26" s="1"/>
  <c r="F36" i="26"/>
  <c r="H34" i="29"/>
  <c r="J34" i="29" s="1"/>
  <c r="K34" i="29" s="1"/>
  <c r="L34" i="29" s="1"/>
  <c r="F35" i="29"/>
  <c r="G44" i="36"/>
  <c r="G45" i="36" s="1"/>
  <c r="G43" i="26"/>
  <c r="I42" i="26"/>
  <c r="C44" i="28"/>
  <c r="B43" i="28"/>
  <c r="B45" i="35"/>
  <c r="C46" i="35"/>
  <c r="E46" i="35" s="1"/>
  <c r="E44" i="25"/>
  <c r="I43" i="36"/>
  <c r="B43" i="27"/>
  <c r="C44" i="27"/>
  <c r="E44" i="27"/>
  <c r="E45" i="34"/>
  <c r="G45" i="34" s="1"/>
  <c r="I44" i="34"/>
  <c r="B44" i="34"/>
  <c r="C45" i="34"/>
  <c r="H34" i="35"/>
  <c r="J34" i="35" s="1"/>
  <c r="K34" i="35" s="1"/>
  <c r="L34" i="35" s="1"/>
  <c r="F35" i="35"/>
  <c r="E43" i="31"/>
  <c r="G43" i="31" s="1"/>
  <c r="I43" i="31" s="1"/>
  <c r="H34" i="27"/>
  <c r="J34" i="27" s="1"/>
  <c r="K34" i="27" s="1"/>
  <c r="L34" i="27" s="1"/>
  <c r="F35" i="27"/>
  <c r="C47" i="24"/>
  <c r="E47" i="24"/>
  <c r="B46" i="24"/>
  <c r="E43" i="30"/>
  <c r="E43" i="27"/>
  <c r="G43" i="27" s="1"/>
  <c r="G43" i="32"/>
  <c r="I42" i="32"/>
  <c r="E44" i="32"/>
  <c r="G43" i="33"/>
  <c r="H33" i="33" l="1"/>
  <c r="J33" i="33" s="1"/>
  <c r="K33" i="33" s="1"/>
  <c r="L33" i="33" s="1"/>
  <c r="F34" i="33"/>
  <c r="G44" i="25"/>
  <c r="I44" i="25" s="1"/>
  <c r="AH37" i="23"/>
  <c r="H37" i="34"/>
  <c r="J37" i="34" s="1"/>
  <c r="K37" i="34" s="1"/>
  <c r="L37" i="34" s="1"/>
  <c r="F38" i="34"/>
  <c r="H38" i="34" s="1"/>
  <c r="J38" i="34" s="1"/>
  <c r="K38" i="34" s="1"/>
  <c r="L38" i="34" s="1"/>
  <c r="G44" i="27"/>
  <c r="I44" i="27" s="1"/>
  <c r="I43" i="27"/>
  <c r="H37" i="24"/>
  <c r="J37" i="24" s="1"/>
  <c r="K37" i="24" s="1"/>
  <c r="L37" i="24" s="1"/>
  <c r="F38" i="24"/>
  <c r="H38" i="24" s="1"/>
  <c r="J38" i="24" s="1"/>
  <c r="K38" i="24" s="1"/>
  <c r="L38" i="24" s="1"/>
  <c r="B46" i="29"/>
  <c r="C47" i="29"/>
  <c r="B44" i="30"/>
  <c r="E45" i="30"/>
  <c r="C45" i="30"/>
  <c r="C47" i="26"/>
  <c r="E47" i="26"/>
  <c r="B46" i="26"/>
  <c r="H34" i="31"/>
  <c r="J34" i="31" s="1"/>
  <c r="K34" i="31" s="1"/>
  <c r="L34" i="31" s="1"/>
  <c r="F35" i="31"/>
  <c r="G44" i="31"/>
  <c r="G44" i="26"/>
  <c r="I43" i="26"/>
  <c r="H35" i="35"/>
  <c r="J35" i="35" s="1"/>
  <c r="K35" i="35" s="1"/>
  <c r="L35" i="35" s="1"/>
  <c r="F36" i="35"/>
  <c r="B47" i="24"/>
  <c r="C48" i="24"/>
  <c r="B44" i="27"/>
  <c r="C45" i="27"/>
  <c r="E45" i="27"/>
  <c r="H34" i="25"/>
  <c r="J34" i="25" s="1"/>
  <c r="K34" i="25" s="1"/>
  <c r="L34" i="25" s="1"/>
  <c r="F35" i="25"/>
  <c r="I44" i="36"/>
  <c r="G46" i="35"/>
  <c r="C45" i="28"/>
  <c r="E45" i="28" s="1"/>
  <c r="AK38" i="23" s="1"/>
  <c r="B44" i="28"/>
  <c r="C45" i="33"/>
  <c r="E45" i="33" s="1"/>
  <c r="B44" i="33"/>
  <c r="G44" i="32"/>
  <c r="I43" i="32"/>
  <c r="G44" i="24"/>
  <c r="I43" i="24"/>
  <c r="E45" i="31"/>
  <c r="B44" i="31"/>
  <c r="C45" i="31"/>
  <c r="I44" i="31"/>
  <c r="E44" i="28"/>
  <c r="H35" i="29"/>
  <c r="J35" i="29" s="1"/>
  <c r="K35" i="29" s="1"/>
  <c r="L35" i="29" s="1"/>
  <c r="F36" i="29"/>
  <c r="H34" i="30"/>
  <c r="J34" i="30" s="1"/>
  <c r="K34" i="30" s="1"/>
  <c r="L34" i="30" s="1"/>
  <c r="F35" i="30"/>
  <c r="C46" i="32"/>
  <c r="B45" i="32"/>
  <c r="E46" i="32"/>
  <c r="B45" i="25"/>
  <c r="C46" i="25"/>
  <c r="E46" i="25" s="1"/>
  <c r="AH39" i="23" s="1"/>
  <c r="H34" i="32"/>
  <c r="J34" i="32" s="1"/>
  <c r="K34" i="32" s="1"/>
  <c r="L34" i="32" s="1"/>
  <c r="F35" i="32"/>
  <c r="H36" i="36"/>
  <c r="J36" i="36" s="1"/>
  <c r="K36" i="36" s="1"/>
  <c r="L36" i="36" s="1"/>
  <c r="F37" i="36"/>
  <c r="H35" i="27"/>
  <c r="J35" i="27" s="1"/>
  <c r="K35" i="27" s="1"/>
  <c r="L35" i="27" s="1"/>
  <c r="F36" i="27"/>
  <c r="C46" i="34"/>
  <c r="B45" i="34"/>
  <c r="I45" i="34"/>
  <c r="E45" i="25"/>
  <c r="AH38" i="23" s="1"/>
  <c r="AT38" i="23" s="1"/>
  <c r="AU38" i="23" s="1"/>
  <c r="I43" i="33"/>
  <c r="E46" i="36"/>
  <c r="G46" i="36" s="1"/>
  <c r="C46" i="36"/>
  <c r="B45" i="36"/>
  <c r="I45" i="36"/>
  <c r="I46" i="35"/>
  <c r="C47" i="35"/>
  <c r="E47" i="35"/>
  <c r="B46" i="35"/>
  <c r="G45" i="25"/>
  <c r="H36" i="26"/>
  <c r="J36" i="26" s="1"/>
  <c r="K36" i="26" s="1"/>
  <c r="L36" i="26" s="1"/>
  <c r="F37" i="26"/>
  <c r="E46" i="29"/>
  <c r="G46" i="29" s="1"/>
  <c r="E44" i="30"/>
  <c r="G44" i="30" s="1"/>
  <c r="E46" i="26"/>
  <c r="E44" i="33"/>
  <c r="G44" i="33" s="1"/>
  <c r="H34" i="28"/>
  <c r="J34" i="28" s="1"/>
  <c r="K34" i="28" s="1"/>
  <c r="L34" i="28" s="1"/>
  <c r="F35" i="28"/>
  <c r="F35" i="33" l="1"/>
  <c r="H34" i="33"/>
  <c r="J34" i="33" s="1"/>
  <c r="K34" i="33" s="1"/>
  <c r="L34" i="33" s="1"/>
  <c r="G44" i="28"/>
  <c r="AK37" i="23"/>
  <c r="G46" i="25"/>
  <c r="AT37" i="23"/>
  <c r="AU37" i="23" s="1"/>
  <c r="G45" i="33"/>
  <c r="I44" i="33"/>
  <c r="G45" i="30"/>
  <c r="I45" i="30" s="1"/>
  <c r="I44" i="30"/>
  <c r="B46" i="32"/>
  <c r="C47" i="32"/>
  <c r="E47" i="32"/>
  <c r="G45" i="28"/>
  <c r="G45" i="24"/>
  <c r="I44" i="24"/>
  <c r="C49" i="24"/>
  <c r="B48" i="24"/>
  <c r="B47" i="29"/>
  <c r="C48" i="29"/>
  <c r="B46" i="34"/>
  <c r="C47" i="34"/>
  <c r="H35" i="25"/>
  <c r="J35" i="25" s="1"/>
  <c r="K35" i="25" s="1"/>
  <c r="L35" i="25" s="1"/>
  <c r="F36" i="25"/>
  <c r="I46" i="25"/>
  <c r="B46" i="25"/>
  <c r="C47" i="25"/>
  <c r="E47" i="25" s="1"/>
  <c r="H35" i="30"/>
  <c r="J35" i="30" s="1"/>
  <c r="K35" i="30" s="1"/>
  <c r="L35" i="30" s="1"/>
  <c r="F36" i="30"/>
  <c r="G45" i="32"/>
  <c r="I44" i="32"/>
  <c r="I44" i="28"/>
  <c r="E48" i="24"/>
  <c r="G45" i="31"/>
  <c r="B45" i="30"/>
  <c r="C46" i="30"/>
  <c r="B47" i="35"/>
  <c r="C48" i="35"/>
  <c r="E48" i="35" s="1"/>
  <c r="I45" i="25"/>
  <c r="I45" i="33"/>
  <c r="B45" i="33"/>
  <c r="C46" i="33"/>
  <c r="I46" i="29"/>
  <c r="H37" i="26"/>
  <c r="J37" i="26" s="1"/>
  <c r="K37" i="26" s="1"/>
  <c r="L37" i="26" s="1"/>
  <c r="F38" i="26"/>
  <c r="H38" i="26" s="1"/>
  <c r="J38" i="26" s="1"/>
  <c r="K38" i="26" s="1"/>
  <c r="H36" i="27"/>
  <c r="J36" i="27" s="1"/>
  <c r="K36" i="27" s="1"/>
  <c r="L36" i="27" s="1"/>
  <c r="F37" i="27"/>
  <c r="G45" i="26"/>
  <c r="I44" i="26"/>
  <c r="E48" i="26"/>
  <c r="B47" i="26"/>
  <c r="C48" i="26"/>
  <c r="H35" i="28"/>
  <c r="J35" i="28" s="1"/>
  <c r="K35" i="28" s="1"/>
  <c r="L35" i="28" s="1"/>
  <c r="F36" i="28"/>
  <c r="H37" i="36"/>
  <c r="J37" i="36" s="1"/>
  <c r="K37" i="36" s="1"/>
  <c r="L37" i="36" s="1"/>
  <c r="F38" i="36"/>
  <c r="H38" i="36" s="1"/>
  <c r="J38" i="36" s="1"/>
  <c r="K38" i="36" s="1"/>
  <c r="L38" i="36" s="1"/>
  <c r="E46" i="31"/>
  <c r="B45" i="31"/>
  <c r="C46" i="31"/>
  <c r="H35" i="31"/>
  <c r="J35" i="31" s="1"/>
  <c r="K35" i="31" s="1"/>
  <c r="L35" i="31" s="1"/>
  <c r="F36" i="31"/>
  <c r="I45" i="28"/>
  <c r="B45" i="28"/>
  <c r="C46" i="28"/>
  <c r="B45" i="27"/>
  <c r="C46" i="27"/>
  <c r="E46" i="27" s="1"/>
  <c r="H36" i="35"/>
  <c r="J36" i="35" s="1"/>
  <c r="K36" i="35" s="1"/>
  <c r="L36" i="35" s="1"/>
  <c r="F37" i="35"/>
  <c r="H36" i="29"/>
  <c r="J36" i="29" s="1"/>
  <c r="K36" i="29" s="1"/>
  <c r="L36" i="29" s="1"/>
  <c r="F37" i="29"/>
  <c r="G45" i="27"/>
  <c r="I46" i="36"/>
  <c r="B46" i="36"/>
  <c r="C47" i="36"/>
  <c r="E46" i="34"/>
  <c r="G46" i="34" s="1"/>
  <c r="H35" i="32"/>
  <c r="J35" i="32" s="1"/>
  <c r="K35" i="32" s="1"/>
  <c r="L35" i="32" s="1"/>
  <c r="F36" i="32"/>
  <c r="G47" i="35"/>
  <c r="E47" i="29"/>
  <c r="G47" i="29" s="1"/>
  <c r="F36" i="33" l="1"/>
  <c r="H35" i="33"/>
  <c r="J35" i="33" s="1"/>
  <c r="K35" i="33" s="1"/>
  <c r="L35" i="33" s="1"/>
  <c r="G47" i="25"/>
  <c r="AH40" i="23"/>
  <c r="I47" i="29"/>
  <c r="C48" i="36"/>
  <c r="B47" i="36"/>
  <c r="E48" i="36"/>
  <c r="H36" i="25"/>
  <c r="J36" i="25" s="1"/>
  <c r="K36" i="25" s="1"/>
  <c r="L36" i="25" s="1"/>
  <c r="F37" i="25"/>
  <c r="C49" i="29"/>
  <c r="B48" i="29"/>
  <c r="G48" i="35"/>
  <c r="G49" i="35" s="1"/>
  <c r="C47" i="28"/>
  <c r="E47" i="28"/>
  <c r="AK40" i="23" s="1"/>
  <c r="B46" i="28"/>
  <c r="I46" i="34"/>
  <c r="E48" i="29"/>
  <c r="G48" i="29" s="1"/>
  <c r="G49" i="29" s="1"/>
  <c r="G46" i="24"/>
  <c r="I45" i="24"/>
  <c r="G46" i="31"/>
  <c r="I46" i="31" s="1"/>
  <c r="C48" i="34"/>
  <c r="B47" i="34"/>
  <c r="E47" i="36"/>
  <c r="G47" i="36" s="1"/>
  <c r="H36" i="31"/>
  <c r="J36" i="31" s="1"/>
  <c r="K36" i="31" s="1"/>
  <c r="L36" i="31" s="1"/>
  <c r="F37" i="31"/>
  <c r="G46" i="26"/>
  <c r="I45" i="26"/>
  <c r="C47" i="33"/>
  <c r="E47" i="33"/>
  <c r="B46" i="33"/>
  <c r="I47" i="35"/>
  <c r="E47" i="34"/>
  <c r="G47" i="34" s="1"/>
  <c r="B46" i="27"/>
  <c r="C47" i="27"/>
  <c r="C48" i="25"/>
  <c r="I47" i="25"/>
  <c r="B47" i="25"/>
  <c r="H36" i="28"/>
  <c r="J36" i="28" s="1"/>
  <c r="K36" i="28" s="1"/>
  <c r="L36" i="28" s="1"/>
  <c r="F37" i="28"/>
  <c r="C47" i="30"/>
  <c r="B46" i="30"/>
  <c r="E47" i="30"/>
  <c r="H36" i="32"/>
  <c r="J36" i="32" s="1"/>
  <c r="K36" i="32" s="1"/>
  <c r="L36" i="32" s="1"/>
  <c r="F37" i="32"/>
  <c r="C49" i="35"/>
  <c r="I48" i="35"/>
  <c r="B48" i="35"/>
  <c r="H37" i="35"/>
  <c r="J37" i="35" s="1"/>
  <c r="K37" i="35" s="1"/>
  <c r="L37" i="35" s="1"/>
  <c r="F38" i="35"/>
  <c r="H38" i="35" s="1"/>
  <c r="J38" i="35" s="1"/>
  <c r="K38" i="35" s="1"/>
  <c r="L38" i="35" s="1"/>
  <c r="H37" i="27"/>
  <c r="J37" i="27" s="1"/>
  <c r="K37" i="27" s="1"/>
  <c r="L37" i="27" s="1"/>
  <c r="F38" i="27"/>
  <c r="H38" i="27" s="1"/>
  <c r="J38" i="27" s="1"/>
  <c r="K38" i="27" s="1"/>
  <c r="G46" i="32"/>
  <c r="I45" i="32"/>
  <c r="G46" i="27"/>
  <c r="E46" i="28"/>
  <c r="AK39" i="23" s="1"/>
  <c r="AT39" i="23" s="1"/>
  <c r="AU39" i="23" s="1"/>
  <c r="I45" i="31"/>
  <c r="E46" i="30"/>
  <c r="G46" i="30" s="1"/>
  <c r="C48" i="32"/>
  <c r="E48" i="32"/>
  <c r="B47" i="32"/>
  <c r="H37" i="29"/>
  <c r="J37" i="29" s="1"/>
  <c r="K37" i="29" s="1"/>
  <c r="L37" i="29" s="1"/>
  <c r="F38" i="29"/>
  <c r="H38" i="29" s="1"/>
  <c r="J38" i="29" s="1"/>
  <c r="K38" i="29" s="1"/>
  <c r="L38" i="29" s="1"/>
  <c r="I45" i="27"/>
  <c r="B46" i="31"/>
  <c r="C47" i="31"/>
  <c r="E47" i="31"/>
  <c r="C49" i="26"/>
  <c r="B48" i="26"/>
  <c r="L38" i="26"/>
  <c r="E46" i="33"/>
  <c r="G46" i="33" s="1"/>
  <c r="H36" i="30"/>
  <c r="J36" i="30" s="1"/>
  <c r="K36" i="30" s="1"/>
  <c r="L36" i="30" s="1"/>
  <c r="F37" i="30"/>
  <c r="I49" i="35" l="1"/>
  <c r="G50" i="35"/>
  <c r="F37" i="33"/>
  <c r="H36" i="33"/>
  <c r="J36" i="33" s="1"/>
  <c r="K36" i="33" s="1"/>
  <c r="L36" i="33" s="1"/>
  <c r="I49" i="29"/>
  <c r="G50" i="29"/>
  <c r="E48" i="25"/>
  <c r="G46" i="28"/>
  <c r="AT40" i="23"/>
  <c r="AU40" i="23" s="1"/>
  <c r="G47" i="30"/>
  <c r="I47" i="30" s="1"/>
  <c r="I46" i="30"/>
  <c r="G47" i="33"/>
  <c r="I46" i="33"/>
  <c r="I48" i="29"/>
  <c r="G48" i="34"/>
  <c r="G49" i="34" s="1"/>
  <c r="I47" i="34"/>
  <c r="C49" i="32"/>
  <c r="B48" i="32"/>
  <c r="G47" i="32"/>
  <c r="I46" i="32"/>
  <c r="B47" i="30"/>
  <c r="C48" i="30"/>
  <c r="B47" i="33"/>
  <c r="C48" i="33"/>
  <c r="I47" i="33"/>
  <c r="E48" i="33"/>
  <c r="G47" i="24"/>
  <c r="I46" i="24"/>
  <c r="B48" i="36"/>
  <c r="C49" i="36"/>
  <c r="G48" i="36"/>
  <c r="G49" i="36" s="1"/>
  <c r="L38" i="27"/>
  <c r="C49" i="25"/>
  <c r="B48" i="25"/>
  <c r="B47" i="28"/>
  <c r="C48" i="28"/>
  <c r="B47" i="27"/>
  <c r="C48" i="27"/>
  <c r="H37" i="25"/>
  <c r="J37" i="25" s="1"/>
  <c r="K37" i="25" s="1"/>
  <c r="L37" i="25" s="1"/>
  <c r="F38" i="25"/>
  <c r="H38" i="25" s="1"/>
  <c r="J38" i="25" s="1"/>
  <c r="K38" i="25" s="1"/>
  <c r="G47" i="31"/>
  <c r="I47" i="36"/>
  <c r="B47" i="31"/>
  <c r="I47" i="31"/>
  <c r="C48" i="31"/>
  <c r="G47" i="26"/>
  <c r="I46" i="26"/>
  <c r="B48" i="34"/>
  <c r="C49" i="34"/>
  <c r="H37" i="31"/>
  <c r="J37" i="31" s="1"/>
  <c r="K37" i="31" s="1"/>
  <c r="L37" i="31" s="1"/>
  <c r="F38" i="31"/>
  <c r="H38" i="31" s="1"/>
  <c r="J38" i="31" s="1"/>
  <c r="K38" i="31" s="1"/>
  <c r="L38" i="31" s="1"/>
  <c r="E48" i="34"/>
  <c r="G47" i="27"/>
  <c r="I46" i="27"/>
  <c r="H37" i="32"/>
  <c r="J37" i="32" s="1"/>
  <c r="K37" i="32" s="1"/>
  <c r="L37" i="32" s="1"/>
  <c r="F38" i="32"/>
  <c r="H38" i="32" s="1"/>
  <c r="J38" i="32" s="1"/>
  <c r="K38" i="32" s="1"/>
  <c r="L38" i="32" s="1"/>
  <c r="H37" i="28"/>
  <c r="J37" i="28" s="1"/>
  <c r="K37" i="28" s="1"/>
  <c r="L37" i="28" s="1"/>
  <c r="F38" i="28"/>
  <c r="H38" i="28" s="1"/>
  <c r="J38" i="28" s="1"/>
  <c r="K38" i="28" s="1"/>
  <c r="H37" i="30"/>
  <c r="J37" i="30" s="1"/>
  <c r="K37" i="30" s="1"/>
  <c r="L37" i="30" s="1"/>
  <c r="F38" i="30"/>
  <c r="H38" i="30" s="1"/>
  <c r="J38" i="30" s="1"/>
  <c r="K38" i="30" s="1"/>
  <c r="E47" i="27"/>
  <c r="I49" i="36" l="1"/>
  <c r="G50" i="36"/>
  <c r="G50" i="34"/>
  <c r="I49" i="34"/>
  <c r="H37" i="33"/>
  <c r="J37" i="33" s="1"/>
  <c r="K37" i="33" s="1"/>
  <c r="L37" i="33" s="1"/>
  <c r="F38" i="33"/>
  <c r="H38" i="33" s="1"/>
  <c r="J38" i="33" s="1"/>
  <c r="K38" i="33" s="1"/>
  <c r="L38" i="30"/>
  <c r="B49" i="25"/>
  <c r="C50" i="25"/>
  <c r="E50" i="25" s="1"/>
  <c r="E49" i="25"/>
  <c r="AH42" i="23" s="1"/>
  <c r="G48" i="25"/>
  <c r="AH41" i="23"/>
  <c r="G47" i="28"/>
  <c r="I47" i="28" s="1"/>
  <c r="I46" i="28"/>
  <c r="B48" i="31"/>
  <c r="C49" i="31"/>
  <c r="B48" i="27"/>
  <c r="C49" i="27"/>
  <c r="C49" i="30"/>
  <c r="B48" i="30"/>
  <c r="I48" i="34"/>
  <c r="G48" i="24"/>
  <c r="G49" i="24" s="1"/>
  <c r="I47" i="24"/>
  <c r="L38" i="28"/>
  <c r="B48" i="28"/>
  <c r="C49" i="28"/>
  <c r="I48" i="36"/>
  <c r="E48" i="30"/>
  <c r="G48" i="30" s="1"/>
  <c r="G49" i="30" s="1"/>
  <c r="G48" i="33"/>
  <c r="G49" i="33" s="1"/>
  <c r="I47" i="27"/>
  <c r="G48" i="32"/>
  <c r="G49" i="32" s="1"/>
  <c r="I47" i="32"/>
  <c r="G48" i="26"/>
  <c r="G49" i="26" s="1"/>
  <c r="I47" i="26"/>
  <c r="E48" i="28"/>
  <c r="B48" i="33"/>
  <c r="C49" i="33"/>
  <c r="E48" i="31"/>
  <c r="G48" i="31"/>
  <c r="L38" i="25"/>
  <c r="E48" i="27"/>
  <c r="G48" i="27" s="1"/>
  <c r="G49" i="27" s="1"/>
  <c r="L38" i="33" l="1"/>
  <c r="I49" i="33"/>
  <c r="G50" i="33"/>
  <c r="I49" i="32"/>
  <c r="G50" i="32"/>
  <c r="I48" i="31"/>
  <c r="G49" i="31"/>
  <c r="I49" i="30"/>
  <c r="G50" i="30"/>
  <c r="G50" i="27"/>
  <c r="I49" i="27"/>
  <c r="G50" i="26"/>
  <c r="I49" i="26"/>
  <c r="C50" i="28"/>
  <c r="E50" i="28"/>
  <c r="B49" i="28"/>
  <c r="G49" i="25"/>
  <c r="I49" i="24"/>
  <c r="G50" i="24"/>
  <c r="E49" i="28"/>
  <c r="AK42" i="23" s="1"/>
  <c r="I48" i="25"/>
  <c r="G48" i="28"/>
  <c r="G49" i="28" s="1"/>
  <c r="G50" i="28" s="1"/>
  <c r="AK41" i="23"/>
  <c r="AT41" i="23"/>
  <c r="AU41" i="23" s="1"/>
  <c r="I48" i="27"/>
  <c r="I48" i="30"/>
  <c r="I48" i="32"/>
  <c r="I48" i="33"/>
  <c r="I48" i="24"/>
  <c r="I48" i="26"/>
  <c r="I49" i="31" l="1"/>
  <c r="G50" i="31"/>
  <c r="G50" i="25"/>
  <c r="I49" i="25"/>
  <c r="I49" i="28"/>
  <c r="I48" i="28"/>
  <c r="C24" i="3" l="1"/>
  <c r="A36" i="3" l="1"/>
  <c r="A35" i="3"/>
  <c r="A33" i="3"/>
  <c r="A32" i="3"/>
  <c r="A31" i="3"/>
  <c r="A30" i="3"/>
  <c r="A29" i="3"/>
  <c r="A26" i="3"/>
  <c r="A25" i="3"/>
  <c r="A24" i="3"/>
  <c r="A23" i="3"/>
  <c r="A21" i="3"/>
  <c r="A19" i="3"/>
  <c r="A18" i="3"/>
  <c r="A17" i="3"/>
  <c r="A16" i="3"/>
  <c r="A15" i="3"/>
  <c r="A14" i="3"/>
  <c r="A13" i="3"/>
  <c r="A10" i="3"/>
  <c r="A9" i="3"/>
  <c r="A8" i="3"/>
  <c r="A7" i="3"/>
  <c r="F22" i="5" l="1"/>
  <c r="F19" i="5"/>
  <c r="F21" i="5" s="1"/>
  <c r="F23" i="5"/>
  <c r="C50" i="17" l="1"/>
  <c r="B24" i="16"/>
  <c r="M24" i="16" l="1"/>
  <c r="N24" i="16"/>
  <c r="O24" i="16"/>
  <c r="P24" i="16"/>
  <c r="Q24" i="16"/>
  <c r="R24" i="16"/>
  <c r="S24" i="16"/>
  <c r="T24" i="16"/>
  <c r="U24" i="16"/>
  <c r="L24" i="16"/>
  <c r="C41" i="13"/>
  <c r="C24" i="16"/>
  <c r="C42" i="13" s="1"/>
  <c r="D24" i="16"/>
  <c r="C43" i="13" s="1"/>
  <c r="E24" i="16"/>
  <c r="C44" i="13" s="1"/>
  <c r="F24" i="16"/>
  <c r="C45" i="13" s="1"/>
  <c r="G24" i="16"/>
  <c r="C46" i="13" s="1"/>
  <c r="H24" i="16"/>
  <c r="C47" i="13" s="1"/>
  <c r="I24" i="16"/>
  <c r="J24" i="16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27" i="13"/>
  <c r="U25" i="16" l="1"/>
  <c r="F27" i="17"/>
  <c r="J106" i="10" l="1"/>
  <c r="J107" i="10"/>
  <c r="J97" i="10"/>
  <c r="J98" i="10"/>
  <c r="J99" i="10"/>
  <c r="J100" i="10"/>
  <c r="J101" i="10"/>
  <c r="J102" i="10"/>
  <c r="J103" i="10"/>
  <c r="J104" i="10"/>
  <c r="J105" i="10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P25" i="18"/>
  <c r="Q25" i="18"/>
  <c r="R25" i="18"/>
  <c r="N25" i="18"/>
  <c r="M25" i="18"/>
  <c r="L25" i="18"/>
  <c r="K25" i="18"/>
  <c r="J25" i="18"/>
  <c r="I25" i="18"/>
  <c r="H25" i="18"/>
  <c r="G25" i="18"/>
  <c r="F25" i="18"/>
  <c r="E25" i="18"/>
  <c r="D25" i="18"/>
  <c r="H11" i="17" l="1"/>
  <c r="J11" i="17" s="1"/>
  <c r="G11" i="17"/>
  <c r="I11" i="17" s="1"/>
  <c r="F28" i="17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G12" i="17" l="1"/>
  <c r="K11" i="17"/>
  <c r="L11" i="17" s="1"/>
  <c r="M11" i="17" s="1"/>
  <c r="N11" i="17" l="1"/>
  <c r="I12" i="17"/>
  <c r="G13" i="17"/>
  <c r="J106" i="8"/>
  <c r="J107" i="8"/>
  <c r="J103" i="8"/>
  <c r="J104" i="8"/>
  <c r="J105" i="8"/>
  <c r="J98" i="8"/>
  <c r="J99" i="8"/>
  <c r="J100" i="8"/>
  <c r="J101" i="8"/>
  <c r="J102" i="8"/>
  <c r="D24" i="8"/>
  <c r="E24" i="8" s="1"/>
  <c r="J24" i="8"/>
  <c r="K24" i="8" s="1"/>
  <c r="K25" i="8" s="1"/>
  <c r="D25" i="8"/>
  <c r="E25" i="8"/>
  <c r="J25" i="8"/>
  <c r="J99" i="13"/>
  <c r="J100" i="13"/>
  <c r="J101" i="13"/>
  <c r="J102" i="13"/>
  <c r="J103" i="13"/>
  <c r="J104" i="13"/>
  <c r="J105" i="13"/>
  <c r="J106" i="13"/>
  <c r="J107" i="13"/>
  <c r="G14" i="17" l="1"/>
  <c r="I13" i="17"/>
  <c r="J97" i="13"/>
  <c r="J96" i="13"/>
  <c r="G15" i="17" l="1"/>
  <c r="I14" i="17"/>
  <c r="J98" i="13"/>
  <c r="G16" i="17" l="1"/>
  <c r="I15" i="17"/>
  <c r="G26" i="13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H37" i="13" s="1"/>
  <c r="G26" i="8"/>
  <c r="C35" i="3"/>
  <c r="G17" i="17" l="1"/>
  <c r="I16" i="17"/>
  <c r="H34" i="13"/>
  <c r="H32" i="13"/>
  <c r="H35" i="13"/>
  <c r="H36" i="13"/>
  <c r="H31" i="13"/>
  <c r="H33" i="13"/>
  <c r="H26" i="13"/>
  <c r="H27" i="13"/>
  <c r="H28" i="13"/>
  <c r="H29" i="13"/>
  <c r="H30" i="13"/>
  <c r="G18" i="17" l="1"/>
  <c r="I17" i="17"/>
  <c r="M23" i="16"/>
  <c r="N23" i="16"/>
  <c r="O23" i="16"/>
  <c r="P23" i="16"/>
  <c r="Q23" i="16"/>
  <c r="R23" i="16"/>
  <c r="S23" i="16"/>
  <c r="T23" i="16"/>
  <c r="U23" i="16"/>
  <c r="L23" i="16"/>
  <c r="B23" i="16"/>
  <c r="C23" i="16"/>
  <c r="D23" i="16"/>
  <c r="E23" i="16"/>
  <c r="F23" i="16"/>
  <c r="G23" i="16"/>
  <c r="H23" i="16"/>
  <c r="I23" i="16"/>
  <c r="J23" i="16"/>
  <c r="G19" i="17" l="1"/>
  <c r="I18" i="17"/>
  <c r="U27" i="16"/>
  <c r="C29" i="3" s="1"/>
  <c r="C21" i="19"/>
  <c r="D21" i="19"/>
  <c r="E21" i="19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A15" i="18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14" i="18"/>
  <c r="AF9" i="18"/>
  <c r="AJ16" i="18"/>
  <c r="L16" i="18"/>
  <c r="C47" i="8"/>
  <c r="C46" i="8"/>
  <c r="C45" i="8"/>
  <c r="C44" i="8"/>
  <c r="C43" i="8"/>
  <c r="C42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6" i="8"/>
  <c r="D26" i="8" s="1"/>
  <c r="G20" i="17" l="1"/>
  <c r="I19" i="17"/>
  <c r="C27" i="8"/>
  <c r="H12" i="17"/>
  <c r="C7" i="3"/>
  <c r="C30" i="3"/>
  <c r="D27" i="8"/>
  <c r="S16" i="18"/>
  <c r="AA16" i="18"/>
  <c r="AE16" i="18"/>
  <c r="C41" i="8"/>
  <c r="M16" i="18"/>
  <c r="Y16" i="18"/>
  <c r="AK16" i="18"/>
  <c r="N16" i="18"/>
  <c r="Z16" i="18"/>
  <c r="AL16" i="18"/>
  <c r="P16" i="18"/>
  <c r="E16" i="18"/>
  <c r="Q16" i="18"/>
  <c r="AC16" i="18"/>
  <c r="O16" i="18"/>
  <c r="D16" i="18"/>
  <c r="AB16" i="18"/>
  <c r="F16" i="18"/>
  <c r="R16" i="18"/>
  <c r="AD16" i="18"/>
  <c r="H16" i="18"/>
  <c r="T16" i="18"/>
  <c r="AF16" i="18"/>
  <c r="G16" i="18"/>
  <c r="U16" i="18"/>
  <c r="J16" i="18"/>
  <c r="V16" i="18"/>
  <c r="AH16" i="18"/>
  <c r="I16" i="18"/>
  <c r="K16" i="18"/>
  <c r="W16" i="18"/>
  <c r="AI16" i="18"/>
  <c r="AG16" i="18"/>
  <c r="X16" i="18"/>
  <c r="G21" i="17" l="1"/>
  <c r="I20" i="17"/>
  <c r="D13" i="18"/>
  <c r="H13" i="17"/>
  <c r="J12" i="17"/>
  <c r="C26" i="10"/>
  <c r="D28" i="8"/>
  <c r="G27" i="8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G22" i="17" l="1"/>
  <c r="I21" i="17"/>
  <c r="K23" i="16"/>
  <c r="E13" i="18"/>
  <c r="H14" i="17"/>
  <c r="J13" i="17"/>
  <c r="K12" i="17"/>
  <c r="L12" i="17" s="1"/>
  <c r="N12" i="17" s="1"/>
  <c r="H27" i="8"/>
  <c r="I27" i="8" s="1"/>
  <c r="D29" i="8"/>
  <c r="G28" i="8"/>
  <c r="G23" i="17" l="1"/>
  <c r="I22" i="17"/>
  <c r="D14" i="18"/>
  <c r="D15" i="18" s="1"/>
  <c r="M12" i="17"/>
  <c r="K13" i="17"/>
  <c r="L13" i="17" s="1"/>
  <c r="F13" i="18"/>
  <c r="H15" i="17"/>
  <c r="J14" i="17"/>
  <c r="H28" i="8"/>
  <c r="I28" i="8" s="1"/>
  <c r="D30" i="8"/>
  <c r="G29" i="8"/>
  <c r="G24" i="17" l="1"/>
  <c r="I23" i="17"/>
  <c r="K14" i="17"/>
  <c r="L14" i="17" s="1"/>
  <c r="N14" i="17" s="1"/>
  <c r="G13" i="18"/>
  <c r="H16" i="17"/>
  <c r="J15" i="17"/>
  <c r="M13" i="17"/>
  <c r="E14" i="18"/>
  <c r="E15" i="18" s="1"/>
  <c r="N13" i="17"/>
  <c r="D18" i="18"/>
  <c r="D17" i="18"/>
  <c r="H29" i="8"/>
  <c r="I29" i="8" s="1"/>
  <c r="D31" i="8"/>
  <c r="G30" i="8"/>
  <c r="D19" i="18" l="1"/>
  <c r="D21" i="18" s="1"/>
  <c r="D23" i="18" s="1"/>
  <c r="D26" i="18" s="1"/>
  <c r="G25" i="17"/>
  <c r="I24" i="17"/>
  <c r="H13" i="18"/>
  <c r="H17" i="17"/>
  <c r="J16" i="17"/>
  <c r="E18" i="18"/>
  <c r="E17" i="18"/>
  <c r="K15" i="17"/>
  <c r="L15" i="17" s="1"/>
  <c r="M14" i="17"/>
  <c r="F14" i="18"/>
  <c r="F15" i="18" s="1"/>
  <c r="H30" i="8"/>
  <c r="I30" i="8" s="1"/>
  <c r="D32" i="8"/>
  <c r="G31" i="8"/>
  <c r="J40" i="13"/>
  <c r="J47" i="13"/>
  <c r="J46" i="13"/>
  <c r="J45" i="13"/>
  <c r="J44" i="13"/>
  <c r="J43" i="13"/>
  <c r="J42" i="13"/>
  <c r="J41" i="13"/>
  <c r="J39" i="13"/>
  <c r="G38" i="13"/>
  <c r="H38" i="13" s="1"/>
  <c r="J25" i="13"/>
  <c r="D25" i="13"/>
  <c r="J24" i="13"/>
  <c r="K24" i="13" s="1"/>
  <c r="K25" i="13" s="1"/>
  <c r="D24" i="13"/>
  <c r="E24" i="13" s="1"/>
  <c r="J96" i="10"/>
  <c r="K25" i="10"/>
  <c r="J25" i="10"/>
  <c r="J24" i="10"/>
  <c r="K24" i="10" s="1"/>
  <c r="D24" i="10"/>
  <c r="J97" i="8"/>
  <c r="J96" i="8"/>
  <c r="E19" i="18" l="1"/>
  <c r="E21" i="18" s="1"/>
  <c r="E23" i="18" s="1"/>
  <c r="E26" i="18" s="1"/>
  <c r="C27" i="10"/>
  <c r="G26" i="17"/>
  <c r="I25" i="17"/>
  <c r="M15" i="17"/>
  <c r="G14" i="18"/>
  <c r="G15" i="18" s="1"/>
  <c r="K16" i="17"/>
  <c r="L16" i="17" s="1"/>
  <c r="I13" i="18"/>
  <c r="H18" i="17"/>
  <c r="J17" i="17"/>
  <c r="F18" i="18"/>
  <c r="F17" i="18"/>
  <c r="N15" i="17"/>
  <c r="H31" i="8"/>
  <c r="I31" i="8" s="1"/>
  <c r="D33" i="8"/>
  <c r="G32" i="8"/>
  <c r="E24" i="10"/>
  <c r="D25" i="10"/>
  <c r="E25" i="13"/>
  <c r="G39" i="13"/>
  <c r="C28" i="10" l="1"/>
  <c r="F19" i="18"/>
  <c r="F21" i="18" s="1"/>
  <c r="F23" i="18" s="1"/>
  <c r="G27" i="17"/>
  <c r="I26" i="17"/>
  <c r="M16" i="17"/>
  <c r="H14" i="18"/>
  <c r="H15" i="18" s="1"/>
  <c r="F26" i="18"/>
  <c r="C29" i="10"/>
  <c r="J13" i="18"/>
  <c r="H19" i="17"/>
  <c r="J18" i="17"/>
  <c r="K17" i="17"/>
  <c r="L17" i="17" s="1"/>
  <c r="N17" i="17" s="1"/>
  <c r="G18" i="18"/>
  <c r="G17" i="18"/>
  <c r="N16" i="17"/>
  <c r="H32" i="8"/>
  <c r="I32" i="8" s="1"/>
  <c r="D34" i="8"/>
  <c r="G33" i="8"/>
  <c r="J26" i="8"/>
  <c r="K26" i="8" s="1"/>
  <c r="E25" i="10"/>
  <c r="G40" i="13"/>
  <c r="H39" i="13"/>
  <c r="G28" i="17" l="1"/>
  <c r="I27" i="17"/>
  <c r="K18" i="17"/>
  <c r="L18" i="17" s="1"/>
  <c r="N18" i="17" s="1"/>
  <c r="K13" i="18"/>
  <c r="H20" i="17"/>
  <c r="J19" i="17"/>
  <c r="H18" i="18"/>
  <c r="H17" i="18"/>
  <c r="M17" i="17"/>
  <c r="I14" i="18"/>
  <c r="I15" i="18" s="1"/>
  <c r="G19" i="18"/>
  <c r="G21" i="18" s="1"/>
  <c r="G23" i="18" s="1"/>
  <c r="H33" i="8"/>
  <c r="I33" i="8" s="1"/>
  <c r="D35" i="8"/>
  <c r="G34" i="8"/>
  <c r="H40" i="13"/>
  <c r="G41" i="13"/>
  <c r="J27" i="8"/>
  <c r="K27" i="8" s="1"/>
  <c r="E26" i="8"/>
  <c r="H19" i="18" l="1"/>
  <c r="H21" i="18" s="1"/>
  <c r="H23" i="18" s="1"/>
  <c r="H26" i="18" s="1"/>
  <c r="G29" i="17"/>
  <c r="I28" i="17"/>
  <c r="K19" i="17"/>
  <c r="L19" i="17" s="1"/>
  <c r="N19" i="17" s="1"/>
  <c r="L13" i="18"/>
  <c r="H21" i="17"/>
  <c r="J20" i="17"/>
  <c r="G26" i="18"/>
  <c r="C30" i="10"/>
  <c r="I18" i="18"/>
  <c r="I17" i="18"/>
  <c r="M18" i="17"/>
  <c r="J14" i="18"/>
  <c r="J15" i="18" s="1"/>
  <c r="H34" i="8"/>
  <c r="I34" i="8" s="1"/>
  <c r="L27" i="8"/>
  <c r="M27" i="8" s="1"/>
  <c r="N27" i="8"/>
  <c r="D36" i="8"/>
  <c r="G35" i="8"/>
  <c r="E27" i="8"/>
  <c r="J28" i="8"/>
  <c r="K28" i="8" s="1"/>
  <c r="G42" i="13"/>
  <c r="H41" i="13"/>
  <c r="C31" i="10" l="1"/>
  <c r="G30" i="17"/>
  <c r="I29" i="17"/>
  <c r="I19" i="18"/>
  <c r="I21" i="18" s="1"/>
  <c r="I23" i="18" s="1"/>
  <c r="I26" i="18" s="1"/>
  <c r="M19" i="17"/>
  <c r="K14" i="18"/>
  <c r="K15" i="18" s="1"/>
  <c r="C32" i="10"/>
  <c r="K20" i="17"/>
  <c r="L20" i="17" s="1"/>
  <c r="N20" i="17" s="1"/>
  <c r="J18" i="18"/>
  <c r="J17" i="18"/>
  <c r="M13" i="18"/>
  <c r="H22" i="17"/>
  <c r="J21" i="17"/>
  <c r="H35" i="8"/>
  <c r="I35" i="8" s="1"/>
  <c r="L28" i="8"/>
  <c r="M28" i="8" s="1"/>
  <c r="N28" i="8"/>
  <c r="D37" i="8"/>
  <c r="G36" i="8"/>
  <c r="J29" i="8"/>
  <c r="K29" i="8" s="1"/>
  <c r="G43" i="13"/>
  <c r="H42" i="13"/>
  <c r="J19" i="18" l="1"/>
  <c r="J21" i="18" s="1"/>
  <c r="J23" i="18" s="1"/>
  <c r="J26" i="18" s="1"/>
  <c r="G31" i="17"/>
  <c r="I30" i="17"/>
  <c r="M20" i="17"/>
  <c r="L14" i="18"/>
  <c r="L15" i="18" s="1"/>
  <c r="K18" i="18"/>
  <c r="K17" i="18"/>
  <c r="N13" i="18"/>
  <c r="H23" i="17"/>
  <c r="J22" i="17"/>
  <c r="K21" i="17"/>
  <c r="L21" i="17" s="1"/>
  <c r="H36" i="8"/>
  <c r="I36" i="8" s="1"/>
  <c r="L29" i="8"/>
  <c r="M29" i="8" s="1"/>
  <c r="N29" i="8"/>
  <c r="D38" i="8"/>
  <c r="G37" i="8"/>
  <c r="D26" i="10"/>
  <c r="J30" i="8"/>
  <c r="K30" i="8" s="1"/>
  <c r="H43" i="13"/>
  <c r="G44" i="13"/>
  <c r="E28" i="8"/>
  <c r="C33" i="10" l="1"/>
  <c r="K19" i="18"/>
  <c r="K21" i="18" s="1"/>
  <c r="K23" i="18" s="1"/>
  <c r="K26" i="18" s="1"/>
  <c r="G32" i="17"/>
  <c r="I31" i="17"/>
  <c r="P13" i="18"/>
  <c r="O13" i="18"/>
  <c r="H24" i="17"/>
  <c r="J23" i="17"/>
  <c r="M21" i="17"/>
  <c r="M14" i="18"/>
  <c r="M15" i="18" s="1"/>
  <c r="L17" i="18"/>
  <c r="L18" i="18"/>
  <c r="K22" i="17"/>
  <c r="L22" i="17" s="1"/>
  <c r="N21" i="17"/>
  <c r="H37" i="8"/>
  <c r="I37" i="8" s="1"/>
  <c r="L30" i="8"/>
  <c r="M30" i="8" s="1"/>
  <c r="N30" i="8"/>
  <c r="D39" i="8"/>
  <c r="G38" i="8"/>
  <c r="G45" i="13"/>
  <c r="H44" i="13"/>
  <c r="E26" i="10"/>
  <c r="D27" i="10"/>
  <c r="E29" i="8"/>
  <c r="J31" i="8"/>
  <c r="K31" i="8" s="1"/>
  <c r="C34" i="10" l="1"/>
  <c r="G33" i="17"/>
  <c r="I32" i="17"/>
  <c r="L19" i="18"/>
  <c r="L21" i="18" s="1"/>
  <c r="L23" i="18" s="1"/>
  <c r="M22" i="17"/>
  <c r="N14" i="18"/>
  <c r="N15" i="18" s="1"/>
  <c r="K23" i="17"/>
  <c r="L23" i="17" s="1"/>
  <c r="N23" i="17" s="1"/>
  <c r="N22" i="17"/>
  <c r="M18" i="18"/>
  <c r="M17" i="18"/>
  <c r="Q13" i="18"/>
  <c r="H25" i="17"/>
  <c r="J24" i="17"/>
  <c r="H38" i="8"/>
  <c r="D40" i="8"/>
  <c r="G39" i="8"/>
  <c r="L31" i="8"/>
  <c r="M31" i="8" s="1"/>
  <c r="N31" i="8"/>
  <c r="G26" i="10"/>
  <c r="J26" i="10"/>
  <c r="K26" i="10" s="1"/>
  <c r="J27" i="10"/>
  <c r="J32" i="8"/>
  <c r="K32" i="8" s="1"/>
  <c r="D28" i="10"/>
  <c r="E27" i="10"/>
  <c r="H45" i="13"/>
  <c r="G46" i="13"/>
  <c r="E30" i="8"/>
  <c r="G34" i="17" l="1"/>
  <c r="I33" i="17"/>
  <c r="K24" i="17"/>
  <c r="L24" i="17" s="1"/>
  <c r="N24" i="17" s="1"/>
  <c r="M23" i="17"/>
  <c r="P14" i="18"/>
  <c r="P15" i="18" s="1"/>
  <c r="O14" i="18"/>
  <c r="O15" i="18" s="1"/>
  <c r="N18" i="18"/>
  <c r="N17" i="18"/>
  <c r="R13" i="18"/>
  <c r="H26" i="17"/>
  <c r="J25" i="17"/>
  <c r="M19" i="18"/>
  <c r="M21" i="18" s="1"/>
  <c r="M23" i="18" s="1"/>
  <c r="L26" i="18"/>
  <c r="C35" i="10"/>
  <c r="H39" i="8"/>
  <c r="L26" i="10"/>
  <c r="K27" i="10"/>
  <c r="G40" i="8"/>
  <c r="D41" i="8"/>
  <c r="G27" i="10"/>
  <c r="H26" i="10"/>
  <c r="I26" i="10" s="1"/>
  <c r="M26" i="10" s="1"/>
  <c r="N26" i="10"/>
  <c r="L32" i="8"/>
  <c r="M32" i="8" s="1"/>
  <c r="N32" i="8"/>
  <c r="J28" i="10"/>
  <c r="E31" i="8"/>
  <c r="E28" i="10"/>
  <c r="D29" i="10"/>
  <c r="J33" i="8"/>
  <c r="K33" i="8" s="1"/>
  <c r="H46" i="13"/>
  <c r="G47" i="13"/>
  <c r="N19" i="18" l="1"/>
  <c r="N21" i="18" s="1"/>
  <c r="N23" i="18" s="1"/>
  <c r="C37" i="10" s="1"/>
  <c r="G35" i="17"/>
  <c r="I34" i="17"/>
  <c r="C36" i="10"/>
  <c r="M26" i="18"/>
  <c r="P18" i="18"/>
  <c r="P17" i="18"/>
  <c r="K25" i="17"/>
  <c r="L25" i="17" s="1"/>
  <c r="O18" i="18"/>
  <c r="O17" i="18"/>
  <c r="S13" i="18"/>
  <c r="H27" i="17"/>
  <c r="J26" i="17"/>
  <c r="M24" i="17"/>
  <c r="Q14" i="18"/>
  <c r="Q15" i="18" s="1"/>
  <c r="H40" i="8"/>
  <c r="L33" i="8"/>
  <c r="M33" i="8" s="1"/>
  <c r="N33" i="8"/>
  <c r="J29" i="10"/>
  <c r="G28" i="10"/>
  <c r="H27" i="10"/>
  <c r="I27" i="10" s="1"/>
  <c r="N27" i="10"/>
  <c r="D42" i="8"/>
  <c r="G41" i="8"/>
  <c r="L27" i="10"/>
  <c r="K28" i="10"/>
  <c r="D30" i="10"/>
  <c r="E29" i="10"/>
  <c r="J34" i="8"/>
  <c r="K34" i="8" s="1"/>
  <c r="H47" i="13"/>
  <c r="E32" i="8"/>
  <c r="N26" i="18" l="1"/>
  <c r="N27" i="18" s="1"/>
  <c r="G36" i="17"/>
  <c r="I35" i="17"/>
  <c r="P19" i="18"/>
  <c r="P21" i="18" s="1"/>
  <c r="P23" i="18" s="1"/>
  <c r="M27" i="10"/>
  <c r="O19" i="18"/>
  <c r="O21" i="18" s="1"/>
  <c r="O23" i="18" s="1"/>
  <c r="M25" i="17"/>
  <c r="R14" i="18"/>
  <c r="R15" i="18" s="1"/>
  <c r="Q18" i="18"/>
  <c r="Q17" i="18"/>
  <c r="T13" i="18"/>
  <c r="H28" i="17"/>
  <c r="J27" i="17"/>
  <c r="N25" i="17"/>
  <c r="K26" i="17"/>
  <c r="L26" i="17" s="1"/>
  <c r="N26" i="17" s="1"/>
  <c r="H41" i="8"/>
  <c r="L28" i="10"/>
  <c r="K29" i="10"/>
  <c r="J30" i="10"/>
  <c r="D43" i="8"/>
  <c r="G42" i="8"/>
  <c r="L34" i="8"/>
  <c r="M34" i="8" s="1"/>
  <c r="N34" i="8"/>
  <c r="G29" i="10"/>
  <c r="H28" i="10"/>
  <c r="I28" i="10" s="1"/>
  <c r="N28" i="10"/>
  <c r="E33" i="8"/>
  <c r="D31" i="10"/>
  <c r="E30" i="10"/>
  <c r="J35" i="8"/>
  <c r="K35" i="8" s="1"/>
  <c r="P26" i="18" l="1"/>
  <c r="C38" i="10"/>
  <c r="G37" i="17"/>
  <c r="I36" i="17"/>
  <c r="Q19" i="18"/>
  <c r="Q21" i="18" s="1"/>
  <c r="Q23" i="18" s="1"/>
  <c r="C39" i="10" s="1"/>
  <c r="U13" i="18"/>
  <c r="H29" i="17"/>
  <c r="J28" i="17"/>
  <c r="M26" i="17"/>
  <c r="S14" i="18"/>
  <c r="S15" i="18" s="1"/>
  <c r="R18" i="18"/>
  <c r="R17" i="18"/>
  <c r="K27" i="17"/>
  <c r="L27" i="17" s="1"/>
  <c r="N27" i="17" s="1"/>
  <c r="R27" i="18"/>
  <c r="H42" i="8"/>
  <c r="G30" i="10"/>
  <c r="H29" i="10"/>
  <c r="I29" i="10" s="1"/>
  <c r="N29" i="10"/>
  <c r="J31" i="10"/>
  <c r="L29" i="10"/>
  <c r="K30" i="10"/>
  <c r="D44" i="8"/>
  <c r="G43" i="8"/>
  <c r="L35" i="8"/>
  <c r="M35" i="8" s="1"/>
  <c r="N35" i="8"/>
  <c r="M28" i="10"/>
  <c r="J36" i="8"/>
  <c r="K36" i="8" s="1"/>
  <c r="E34" i="8"/>
  <c r="E31" i="10"/>
  <c r="D32" i="10"/>
  <c r="Q26" i="18" l="1"/>
  <c r="G38" i="17"/>
  <c r="I37" i="17"/>
  <c r="M27" i="17"/>
  <c r="T14" i="18"/>
  <c r="T15" i="18" s="1"/>
  <c r="K28" i="17"/>
  <c r="L28" i="17" s="1"/>
  <c r="N28" i="17" s="1"/>
  <c r="R19" i="18"/>
  <c r="R21" i="18" s="1"/>
  <c r="R23" i="18" s="1"/>
  <c r="V13" i="18"/>
  <c r="H30" i="17"/>
  <c r="J29" i="17"/>
  <c r="S18" i="18"/>
  <c r="S17" i="18"/>
  <c r="H43" i="8"/>
  <c r="D45" i="8"/>
  <c r="G44" i="8"/>
  <c r="J32" i="10"/>
  <c r="L36" i="8"/>
  <c r="M36" i="8" s="1"/>
  <c r="N36" i="8"/>
  <c r="G31" i="10"/>
  <c r="H30" i="10"/>
  <c r="I30" i="10" s="1"/>
  <c r="N30" i="10"/>
  <c r="L30" i="10"/>
  <c r="K31" i="10"/>
  <c r="M29" i="10"/>
  <c r="E35" i="8"/>
  <c r="J37" i="8"/>
  <c r="K37" i="8" s="1"/>
  <c r="D33" i="10"/>
  <c r="E32" i="10"/>
  <c r="G39" i="17" l="1"/>
  <c r="I38" i="17"/>
  <c r="S19" i="18"/>
  <c r="S21" i="18" s="1"/>
  <c r="S23" i="18" s="1"/>
  <c r="C41" i="10" s="1"/>
  <c r="K29" i="17"/>
  <c r="L29" i="17" s="1"/>
  <c r="N29" i="17" s="1"/>
  <c r="W13" i="18"/>
  <c r="H31" i="17"/>
  <c r="J30" i="17"/>
  <c r="M28" i="17"/>
  <c r="U14" i="18"/>
  <c r="U15" i="18" s="1"/>
  <c r="M30" i="10"/>
  <c r="T18" i="18"/>
  <c r="T17" i="18"/>
  <c r="R26" i="18"/>
  <c r="C40" i="10"/>
  <c r="H44" i="8"/>
  <c r="J33" i="10"/>
  <c r="D46" i="8"/>
  <c r="G45" i="8"/>
  <c r="G32" i="10"/>
  <c r="H31" i="10"/>
  <c r="I31" i="10" s="1"/>
  <c r="N31" i="10"/>
  <c r="L31" i="10"/>
  <c r="K32" i="10"/>
  <c r="L37" i="8"/>
  <c r="M37" i="8" s="1"/>
  <c r="E36" i="8"/>
  <c r="E33" i="10"/>
  <c r="D34" i="10"/>
  <c r="J38" i="8"/>
  <c r="K38" i="8" s="1"/>
  <c r="S25" i="18" l="1"/>
  <c r="G40" i="17"/>
  <c r="I39" i="17"/>
  <c r="T19" i="18"/>
  <c r="T21" i="18" s="1"/>
  <c r="T23" i="18" s="1"/>
  <c r="C42" i="10" s="1"/>
  <c r="U18" i="18"/>
  <c r="U17" i="18"/>
  <c r="X13" i="18"/>
  <c r="H32" i="17"/>
  <c r="J31" i="17"/>
  <c r="K30" i="17"/>
  <c r="L30" i="17" s="1"/>
  <c r="N30" i="17" s="1"/>
  <c r="M29" i="17"/>
  <c r="V14" i="18"/>
  <c r="V15" i="18" s="1"/>
  <c r="H45" i="8"/>
  <c r="G33" i="10"/>
  <c r="H32" i="10"/>
  <c r="I32" i="10" s="1"/>
  <c r="N32" i="10"/>
  <c r="D47" i="8"/>
  <c r="G46" i="8"/>
  <c r="J34" i="10"/>
  <c r="M31" i="10"/>
  <c r="L32" i="10"/>
  <c r="K33" i="10"/>
  <c r="L38" i="8"/>
  <c r="N37" i="8"/>
  <c r="E37" i="8"/>
  <c r="E34" i="10"/>
  <c r="D35" i="10"/>
  <c r="J39" i="8"/>
  <c r="K39" i="8" s="1"/>
  <c r="U19" i="18" l="1"/>
  <c r="U21" i="18" s="1"/>
  <c r="U23" i="18" s="1"/>
  <c r="C43" i="10" s="1"/>
  <c r="T25" i="18"/>
  <c r="G41" i="17"/>
  <c r="I40" i="17"/>
  <c r="M32" i="10"/>
  <c r="V18" i="18"/>
  <c r="V17" i="18"/>
  <c r="M30" i="17"/>
  <c r="W14" i="18"/>
  <c r="W15" i="18" s="1"/>
  <c r="K31" i="17"/>
  <c r="L31" i="17" s="1"/>
  <c r="Y13" i="18"/>
  <c r="H33" i="17"/>
  <c r="J32" i="17"/>
  <c r="H46" i="8"/>
  <c r="J35" i="10"/>
  <c r="D48" i="8"/>
  <c r="G47" i="8"/>
  <c r="G34" i="10"/>
  <c r="H33" i="10"/>
  <c r="I33" i="10" s="1"/>
  <c r="N33" i="10"/>
  <c r="L33" i="10"/>
  <c r="K34" i="10"/>
  <c r="L39" i="8"/>
  <c r="N38" i="8"/>
  <c r="E38" i="8"/>
  <c r="I38" i="8" s="1"/>
  <c r="M38" i="8" s="1"/>
  <c r="J40" i="8"/>
  <c r="K40" i="8" s="1"/>
  <c r="D36" i="10"/>
  <c r="E35" i="10"/>
  <c r="U25" i="18" l="1"/>
  <c r="V19" i="18"/>
  <c r="V21" i="18" s="1"/>
  <c r="V23" i="18" s="1"/>
  <c r="C44" i="10" s="1"/>
  <c r="D49" i="8"/>
  <c r="G42" i="17"/>
  <c r="I41" i="17"/>
  <c r="W18" i="18"/>
  <c r="W17" i="18"/>
  <c r="K32" i="17"/>
  <c r="L32" i="17" s="1"/>
  <c r="M31" i="17"/>
  <c r="X14" i="18"/>
  <c r="X15" i="18" s="1"/>
  <c r="Z13" i="18"/>
  <c r="H34" i="17"/>
  <c r="J33" i="17"/>
  <c r="N31" i="17"/>
  <c r="H47" i="8"/>
  <c r="M33" i="10"/>
  <c r="G35" i="10"/>
  <c r="H34" i="10"/>
  <c r="I34" i="10" s="1"/>
  <c r="N34" i="10"/>
  <c r="J36" i="10"/>
  <c r="L34" i="10"/>
  <c r="K35" i="10"/>
  <c r="L40" i="8"/>
  <c r="J41" i="8"/>
  <c r="K41" i="8" s="1"/>
  <c r="D37" i="10"/>
  <c r="E36" i="10"/>
  <c r="N39" i="8"/>
  <c r="E39" i="8"/>
  <c r="I39" i="8" s="1"/>
  <c r="M39" i="8" s="1"/>
  <c r="V25" i="18" l="1"/>
  <c r="W19" i="18"/>
  <c r="W21" i="18" s="1"/>
  <c r="W23" i="18" s="1"/>
  <c r="D50" i="8"/>
  <c r="E50" i="8" s="1"/>
  <c r="F49" i="8"/>
  <c r="J49" i="8" s="1"/>
  <c r="E49" i="8"/>
  <c r="J37" i="10"/>
  <c r="N32" i="17"/>
  <c r="G43" i="17"/>
  <c r="I42" i="17"/>
  <c r="AA13" i="18"/>
  <c r="H35" i="17"/>
  <c r="J34" i="17"/>
  <c r="K33" i="17"/>
  <c r="L33" i="17" s="1"/>
  <c r="N33" i="17" s="1"/>
  <c r="C45" i="10"/>
  <c r="W25" i="18"/>
  <c r="M32" i="17"/>
  <c r="Y14" i="18"/>
  <c r="Y15" i="18" s="1"/>
  <c r="X18" i="18"/>
  <c r="X17" i="18"/>
  <c r="L35" i="10"/>
  <c r="K36" i="10"/>
  <c r="M34" i="10"/>
  <c r="G36" i="10"/>
  <c r="H35" i="10"/>
  <c r="I35" i="10" s="1"/>
  <c r="N35" i="10"/>
  <c r="L41" i="8"/>
  <c r="D38" i="10"/>
  <c r="E37" i="10"/>
  <c r="J42" i="8"/>
  <c r="K42" i="8" s="1"/>
  <c r="N40" i="8"/>
  <c r="E40" i="8"/>
  <c r="I40" i="8" s="1"/>
  <c r="M40" i="8" s="1"/>
  <c r="J38" i="10" l="1"/>
  <c r="G44" i="17"/>
  <c r="I43" i="17"/>
  <c r="X19" i="18"/>
  <c r="X21" i="18" s="1"/>
  <c r="X23" i="18" s="1"/>
  <c r="C46" i="10" s="1"/>
  <c r="K34" i="17"/>
  <c r="L34" i="17" s="1"/>
  <c r="N34" i="17" s="1"/>
  <c r="X25" i="18"/>
  <c r="Y18" i="18"/>
  <c r="Y17" i="18"/>
  <c r="AB13" i="18"/>
  <c r="H36" i="17"/>
  <c r="J35" i="17"/>
  <c r="M33" i="17"/>
  <c r="Z14" i="18"/>
  <c r="Z15" i="18" s="1"/>
  <c r="M35" i="10"/>
  <c r="G37" i="10"/>
  <c r="H36" i="10"/>
  <c r="I36" i="10" s="1"/>
  <c r="N36" i="10"/>
  <c r="L36" i="10"/>
  <c r="K37" i="10"/>
  <c r="L42" i="8"/>
  <c r="J43" i="8"/>
  <c r="K43" i="8" s="1"/>
  <c r="N41" i="8"/>
  <c r="E41" i="8"/>
  <c r="I41" i="8" s="1"/>
  <c r="M41" i="8" s="1"/>
  <c r="D39" i="10"/>
  <c r="J39" i="10" s="1"/>
  <c r="E38" i="10"/>
  <c r="Y19" i="18" l="1"/>
  <c r="Y21" i="18" s="1"/>
  <c r="Y23" i="18" s="1"/>
  <c r="C47" i="10" s="1"/>
  <c r="G45" i="17"/>
  <c r="I45" i="17" s="1"/>
  <c r="I44" i="17"/>
  <c r="AC13" i="18"/>
  <c r="H37" i="17"/>
  <c r="J36" i="17"/>
  <c r="Z18" i="18"/>
  <c r="Z17" i="18"/>
  <c r="K35" i="17"/>
  <c r="L35" i="17" s="1"/>
  <c r="N35" i="17" s="1"/>
  <c r="M34" i="17"/>
  <c r="AA14" i="18"/>
  <c r="AA15" i="18" s="1"/>
  <c r="K38" i="10"/>
  <c r="L37" i="10"/>
  <c r="M36" i="10"/>
  <c r="H37" i="10"/>
  <c r="I37" i="10" s="1"/>
  <c r="G38" i="10"/>
  <c r="N37" i="10"/>
  <c r="L43" i="8"/>
  <c r="J44" i="8"/>
  <c r="K44" i="8" s="1"/>
  <c r="D40" i="10"/>
  <c r="J40" i="10" s="1"/>
  <c r="E39" i="10"/>
  <c r="N42" i="8"/>
  <c r="E42" i="8"/>
  <c r="I42" i="8" s="1"/>
  <c r="M42" i="8" s="1"/>
  <c r="Y25" i="18" l="1"/>
  <c r="Z19" i="18"/>
  <c r="Z21" i="18" s="1"/>
  <c r="Z23" i="18" s="1"/>
  <c r="Z25" i="18" s="1"/>
  <c r="AD13" i="18"/>
  <c r="H38" i="17"/>
  <c r="J37" i="17"/>
  <c r="AA18" i="18"/>
  <c r="AA17" i="18"/>
  <c r="K36" i="17"/>
  <c r="L36" i="17" s="1"/>
  <c r="M35" i="17"/>
  <c r="AB14" i="18"/>
  <c r="AB15" i="18" s="1"/>
  <c r="G39" i="10"/>
  <c r="H38" i="10"/>
  <c r="I38" i="10" s="1"/>
  <c r="N38" i="10"/>
  <c r="M37" i="10"/>
  <c r="L38" i="10"/>
  <c r="K39" i="10"/>
  <c r="L44" i="8"/>
  <c r="J45" i="8"/>
  <c r="K45" i="8" s="1"/>
  <c r="N43" i="8"/>
  <c r="E43" i="8"/>
  <c r="I43" i="8" s="1"/>
  <c r="M43" i="8" s="1"/>
  <c r="D41" i="10"/>
  <c r="J41" i="10" s="1"/>
  <c r="E40" i="10"/>
  <c r="AA19" i="18" l="1"/>
  <c r="AA21" i="18" s="1"/>
  <c r="AA23" i="18" s="1"/>
  <c r="AA25" i="18" s="1"/>
  <c r="M38" i="10"/>
  <c r="M36" i="17"/>
  <c r="AC14" i="18"/>
  <c r="AC15" i="18" s="1"/>
  <c r="AE13" i="18"/>
  <c r="H39" i="17"/>
  <c r="J38" i="17"/>
  <c r="N36" i="17"/>
  <c r="K37" i="17"/>
  <c r="L37" i="17" s="1"/>
  <c r="N37" i="17" s="1"/>
  <c r="AB18" i="18"/>
  <c r="AB17" i="18"/>
  <c r="K40" i="10"/>
  <c r="L39" i="10"/>
  <c r="G40" i="10"/>
  <c r="H39" i="10"/>
  <c r="I39" i="10" s="1"/>
  <c r="N39" i="10"/>
  <c r="L45" i="8"/>
  <c r="N44" i="8"/>
  <c r="E44" i="8"/>
  <c r="I44" i="8" s="1"/>
  <c r="M44" i="8" s="1"/>
  <c r="J46" i="8"/>
  <c r="K46" i="8" s="1"/>
  <c r="D42" i="10"/>
  <c r="J42" i="10" s="1"/>
  <c r="E41" i="10"/>
  <c r="AB19" i="18" l="1"/>
  <c r="AB21" i="18" s="1"/>
  <c r="AB23" i="18" s="1"/>
  <c r="AB25" i="18" s="1"/>
  <c r="M37" i="17"/>
  <c r="AD14" i="18"/>
  <c r="AD15" i="18" s="1"/>
  <c r="AF13" i="18"/>
  <c r="H40" i="17"/>
  <c r="J39" i="17"/>
  <c r="AC18" i="18"/>
  <c r="AC17" i="18"/>
  <c r="K38" i="17"/>
  <c r="L38" i="17" s="1"/>
  <c r="G41" i="10"/>
  <c r="H40" i="10"/>
  <c r="I40" i="10" s="1"/>
  <c r="N40" i="10"/>
  <c r="M39" i="10"/>
  <c r="K41" i="10"/>
  <c r="L40" i="10"/>
  <c r="L46" i="8"/>
  <c r="D43" i="10"/>
  <c r="J43" i="10" s="1"/>
  <c r="E42" i="10"/>
  <c r="N45" i="8"/>
  <c r="E45" i="8"/>
  <c r="I45" i="8" s="1"/>
  <c r="M45" i="8" s="1"/>
  <c r="J47" i="8"/>
  <c r="K47" i="8" s="1"/>
  <c r="AC19" i="18" l="1"/>
  <c r="AC21" i="18" s="1"/>
  <c r="AC23" i="18" s="1"/>
  <c r="AC25" i="18" s="1"/>
  <c r="M40" i="10"/>
  <c r="K39" i="17"/>
  <c r="L39" i="17" s="1"/>
  <c r="N39" i="17" s="1"/>
  <c r="AG13" i="18"/>
  <c r="H41" i="17"/>
  <c r="J40" i="17"/>
  <c r="M38" i="17"/>
  <c r="AE14" i="18"/>
  <c r="AE15" i="18" s="1"/>
  <c r="AD18" i="18"/>
  <c r="AD17" i="18"/>
  <c r="N38" i="17"/>
  <c r="L41" i="10"/>
  <c r="K42" i="10"/>
  <c r="G42" i="10"/>
  <c r="H41" i="10"/>
  <c r="I41" i="10" s="1"/>
  <c r="N41" i="10"/>
  <c r="L47" i="8"/>
  <c r="N46" i="8"/>
  <c r="E46" i="8"/>
  <c r="I46" i="8" s="1"/>
  <c r="M46" i="8" s="1"/>
  <c r="D44" i="10"/>
  <c r="J44" i="10" s="1"/>
  <c r="E43" i="10"/>
  <c r="AD19" i="18" l="1"/>
  <c r="AD21" i="18" s="1"/>
  <c r="AD23" i="18" s="1"/>
  <c r="AD25" i="18" s="1"/>
  <c r="K40" i="17"/>
  <c r="L40" i="17" s="1"/>
  <c r="N40" i="17" s="1"/>
  <c r="AE17" i="18"/>
  <c r="AE18" i="18"/>
  <c r="AH13" i="18"/>
  <c r="H42" i="17"/>
  <c r="J41" i="17"/>
  <c r="M39" i="17"/>
  <c r="AF14" i="18"/>
  <c r="AF15" i="18" s="1"/>
  <c r="G43" i="10"/>
  <c r="H42" i="10"/>
  <c r="I42" i="10" s="1"/>
  <c r="N42" i="10"/>
  <c r="K43" i="10"/>
  <c r="L42" i="10"/>
  <c r="M41" i="10"/>
  <c r="D45" i="10"/>
  <c r="J45" i="10" s="1"/>
  <c r="E44" i="10"/>
  <c r="N47" i="8"/>
  <c r="E47" i="8"/>
  <c r="I47" i="8" s="1"/>
  <c r="M47" i="8" s="1"/>
  <c r="M42" i="10" l="1"/>
  <c r="K41" i="17"/>
  <c r="L41" i="17" s="1"/>
  <c r="N41" i="17" s="1"/>
  <c r="AE19" i="18"/>
  <c r="AE21" i="18" s="1"/>
  <c r="AE23" i="18" s="1"/>
  <c r="AE25" i="18" s="1"/>
  <c r="AF18" i="18"/>
  <c r="AF17" i="18"/>
  <c r="AI13" i="18"/>
  <c r="H43" i="17"/>
  <c r="J42" i="17"/>
  <c r="M40" i="17"/>
  <c r="AG14" i="18"/>
  <c r="AG15" i="18" s="1"/>
  <c r="L43" i="10"/>
  <c r="K44" i="10"/>
  <c r="G44" i="10"/>
  <c r="H43" i="10"/>
  <c r="I43" i="10" s="1"/>
  <c r="N43" i="10"/>
  <c r="D46" i="10"/>
  <c r="J46" i="10" s="1"/>
  <c r="E45" i="10"/>
  <c r="F48" i="8"/>
  <c r="E48" i="8"/>
  <c r="AF19" i="18" l="1"/>
  <c r="AF21" i="18" s="1"/>
  <c r="AF23" i="18" s="1"/>
  <c r="AF25" i="18" s="1"/>
  <c r="AJ13" i="18"/>
  <c r="H44" i="17"/>
  <c r="C51" i="17" s="1"/>
  <c r="J43" i="17"/>
  <c r="AG18" i="18"/>
  <c r="AG17" i="18"/>
  <c r="K42" i="17"/>
  <c r="L42" i="17" s="1"/>
  <c r="N42" i="17" s="1"/>
  <c r="M41" i="17"/>
  <c r="AH14" i="18"/>
  <c r="AH15" i="18" s="1"/>
  <c r="G45" i="10"/>
  <c r="H44" i="10"/>
  <c r="I44" i="10" s="1"/>
  <c r="N44" i="10"/>
  <c r="L44" i="10"/>
  <c r="K45" i="10"/>
  <c r="M43" i="10"/>
  <c r="D47" i="10"/>
  <c r="J47" i="10" s="1"/>
  <c r="E46" i="10"/>
  <c r="J48" i="8"/>
  <c r="K48" i="8" s="1"/>
  <c r="G48" i="8"/>
  <c r="AG19" i="18" l="1"/>
  <c r="AG21" i="18" s="1"/>
  <c r="AG23" i="18" s="1"/>
  <c r="AG25" i="18" s="1"/>
  <c r="G49" i="8"/>
  <c r="K49" i="8"/>
  <c r="M44" i="10"/>
  <c r="AH18" i="18"/>
  <c r="AH17" i="18"/>
  <c r="AK13" i="18"/>
  <c r="H45" i="17"/>
  <c r="J44" i="17"/>
  <c r="C8" i="3"/>
  <c r="M42" i="17"/>
  <c r="AI14" i="18"/>
  <c r="AI15" i="18" s="1"/>
  <c r="K43" i="17"/>
  <c r="L43" i="17" s="1"/>
  <c r="N43" i="17" s="1"/>
  <c r="K46" i="10"/>
  <c r="L45" i="10"/>
  <c r="G46" i="10"/>
  <c r="H45" i="10"/>
  <c r="I45" i="10" s="1"/>
  <c r="N45" i="10"/>
  <c r="D48" i="10"/>
  <c r="E47" i="10"/>
  <c r="L48" i="8"/>
  <c r="H48" i="8"/>
  <c r="I48" i="8" s="1"/>
  <c r="N48" i="8"/>
  <c r="D49" i="10" l="1"/>
  <c r="L49" i="8"/>
  <c r="H49" i="8"/>
  <c r="I49" i="8" s="1"/>
  <c r="N49" i="8"/>
  <c r="AH19" i="18"/>
  <c r="AH21" i="18" s="1"/>
  <c r="AH23" i="18" s="1"/>
  <c r="AH25" i="18" s="1"/>
  <c r="AI18" i="18"/>
  <c r="AI17" i="18"/>
  <c r="J45" i="17"/>
  <c r="AL13" i="18"/>
  <c r="K44" i="17"/>
  <c r="L44" i="17" s="1"/>
  <c r="C52" i="17" s="1"/>
  <c r="M43" i="17"/>
  <c r="AJ14" i="18"/>
  <c r="AJ15" i="18" s="1"/>
  <c r="M45" i="10"/>
  <c r="K47" i="10"/>
  <c r="L47" i="10" s="1"/>
  <c r="L46" i="10"/>
  <c r="G47" i="10"/>
  <c r="H46" i="10"/>
  <c r="I46" i="10" s="1"/>
  <c r="N46" i="10"/>
  <c r="M48" i="8"/>
  <c r="F48" i="10"/>
  <c r="E48" i="10"/>
  <c r="D50" i="10" l="1"/>
  <c r="E50" i="10" s="1"/>
  <c r="F49" i="10"/>
  <c r="J49" i="10" s="1"/>
  <c r="E49" i="10"/>
  <c r="M49" i="8"/>
  <c r="AI19" i="18"/>
  <c r="AI21" i="18" s="1"/>
  <c r="AI23" i="18" s="1"/>
  <c r="AI25" i="18" s="1"/>
  <c r="M44" i="17"/>
  <c r="AK14" i="18"/>
  <c r="AK15" i="18" s="1"/>
  <c r="C9" i="3"/>
  <c r="N44" i="17"/>
  <c r="AJ18" i="18"/>
  <c r="AJ17" i="18"/>
  <c r="K45" i="17"/>
  <c r="L45" i="17" s="1"/>
  <c r="H47" i="10"/>
  <c r="I47" i="10" s="1"/>
  <c r="M47" i="10" s="1"/>
  <c r="N47" i="10"/>
  <c r="M46" i="10"/>
  <c r="J48" i="10"/>
  <c r="K48" i="10" s="1"/>
  <c r="G48" i="10"/>
  <c r="K49" i="10" l="1"/>
  <c r="G49" i="10"/>
  <c r="AJ19" i="18"/>
  <c r="AJ21" i="18" s="1"/>
  <c r="AJ23" i="18" s="1"/>
  <c r="AJ25" i="18" s="1"/>
  <c r="AL14" i="18"/>
  <c r="AL15" i="18" s="1"/>
  <c r="M45" i="17"/>
  <c r="C10" i="3"/>
  <c r="AK18" i="18"/>
  <c r="AK17" i="18"/>
  <c r="N45" i="17"/>
  <c r="H48" i="10"/>
  <c r="I48" i="10" s="1"/>
  <c r="N48" i="10"/>
  <c r="L48" i="10"/>
  <c r="H49" i="10" l="1"/>
  <c r="I49" i="10" s="1"/>
  <c r="N49" i="10"/>
  <c r="L49" i="10"/>
  <c r="AN15" i="18"/>
  <c r="AK19" i="18"/>
  <c r="AK21" i="18" s="1"/>
  <c r="AK23" i="18" s="1"/>
  <c r="AK25" i="18" s="1"/>
  <c r="AL18" i="18"/>
  <c r="AL17" i="18"/>
  <c r="AM15" i="18"/>
  <c r="M48" i="10"/>
  <c r="M49" i="10" l="1"/>
  <c r="AL19" i="18"/>
  <c r="AL21" i="18" s="1"/>
  <c r="AL23" i="18" s="1"/>
  <c r="AL25" i="18" s="1"/>
  <c r="C6" i="4" l="1"/>
  <c r="E5" i="4"/>
  <c r="E4" i="4"/>
  <c r="E6" i="4" l="1"/>
  <c r="C23" i="3" s="1"/>
  <c r="D26" i="13"/>
  <c r="J27" i="13"/>
  <c r="J26" i="13"/>
  <c r="K26" i="13" s="1"/>
  <c r="L26" i="13" l="1"/>
  <c r="N26" i="13"/>
  <c r="E26" i="13"/>
  <c r="I26" i="13" s="1"/>
  <c r="K27" i="13"/>
  <c r="J28" i="13"/>
  <c r="D27" i="13"/>
  <c r="O27" i="13" l="1"/>
  <c r="M26" i="13"/>
  <c r="L27" i="13"/>
  <c r="N27" i="13"/>
  <c r="K28" i="13"/>
  <c r="E27" i="13"/>
  <c r="I27" i="13" s="1"/>
  <c r="D28" i="13"/>
  <c r="E28" i="13" s="1"/>
  <c r="I28" i="13" s="1"/>
  <c r="J29" i="13"/>
  <c r="K29" i="13" s="1"/>
  <c r="O28" i="13" l="1"/>
  <c r="M27" i="13"/>
  <c r="L28" i="13"/>
  <c r="M28" i="13" s="1"/>
  <c r="N28" i="13"/>
  <c r="L29" i="13"/>
  <c r="J30" i="13"/>
  <c r="K30" i="13" s="1"/>
  <c r="D29" i="13"/>
  <c r="E29" i="13" s="1"/>
  <c r="I29" i="13" s="1"/>
  <c r="O29" i="13" l="1"/>
  <c r="N29" i="13"/>
  <c r="M29" i="13"/>
  <c r="L30" i="13"/>
  <c r="D30" i="13"/>
  <c r="E30" i="13" s="1"/>
  <c r="I30" i="13" s="1"/>
  <c r="J31" i="13"/>
  <c r="K31" i="13" s="1"/>
  <c r="O30" i="13" l="1"/>
  <c r="M30" i="13"/>
  <c r="N30" i="13"/>
  <c r="L31" i="13"/>
  <c r="J32" i="13"/>
  <c r="K32" i="13" s="1"/>
  <c r="D31" i="13"/>
  <c r="E31" i="13" s="1"/>
  <c r="I31" i="13" s="1"/>
  <c r="O31" i="13" l="1"/>
  <c r="N31" i="13"/>
  <c r="M31" i="13"/>
  <c r="L32" i="13"/>
  <c r="D32" i="13"/>
  <c r="E32" i="13" s="1"/>
  <c r="I32" i="13" s="1"/>
  <c r="J33" i="13"/>
  <c r="K33" i="13" s="1"/>
  <c r="O32" i="13" l="1"/>
  <c r="N32" i="13"/>
  <c r="M32" i="13"/>
  <c r="L33" i="13"/>
  <c r="J34" i="13"/>
  <c r="K34" i="13" s="1"/>
  <c r="D33" i="13"/>
  <c r="E33" i="13" s="1"/>
  <c r="I33" i="13" s="1"/>
  <c r="O33" i="13" l="1"/>
  <c r="N33" i="13"/>
  <c r="M33" i="13"/>
  <c r="L34" i="13"/>
  <c r="D34" i="13"/>
  <c r="E34" i="13" s="1"/>
  <c r="I34" i="13" s="1"/>
  <c r="J35" i="13"/>
  <c r="K35" i="13" s="1"/>
  <c r="O34" i="13" l="1"/>
  <c r="N34" i="13"/>
  <c r="M34" i="13"/>
  <c r="L35" i="13"/>
  <c r="J36" i="13"/>
  <c r="K36" i="13" s="1"/>
  <c r="D35" i="13"/>
  <c r="E35" i="13" s="1"/>
  <c r="I35" i="13" s="1"/>
  <c r="O35" i="13" l="1"/>
  <c r="N35" i="13"/>
  <c r="M35" i="13"/>
  <c r="L36" i="13"/>
  <c r="D36" i="13"/>
  <c r="E36" i="13" s="1"/>
  <c r="I36" i="13" s="1"/>
  <c r="J37" i="13"/>
  <c r="K37" i="13" s="1"/>
  <c r="J38" i="13"/>
  <c r="O36" i="13" l="1"/>
  <c r="N36" i="13"/>
  <c r="M36" i="13"/>
  <c r="L37" i="13"/>
  <c r="K38" i="13"/>
  <c r="D37" i="13"/>
  <c r="E37" i="13" s="1"/>
  <c r="I37" i="13" s="1"/>
  <c r="O37" i="13" l="1"/>
  <c r="M37" i="13"/>
  <c r="D38" i="13"/>
  <c r="E38" i="13" s="1"/>
  <c r="N37" i="13"/>
  <c r="K39" i="13"/>
  <c r="L38" i="13"/>
  <c r="O38" i="13" l="1"/>
  <c r="K40" i="13"/>
  <c r="L39" i="13"/>
  <c r="N38" i="13"/>
  <c r="D39" i="13"/>
  <c r="E39" i="13" s="1"/>
  <c r="I38" i="13"/>
  <c r="M38" i="13" s="1"/>
  <c r="O39" i="13" l="1"/>
  <c r="N39" i="13"/>
  <c r="D40" i="13"/>
  <c r="O40" i="13" s="1"/>
  <c r="I39" i="13"/>
  <c r="M39" i="13"/>
  <c r="K41" i="13"/>
  <c r="L40" i="13"/>
  <c r="K42" i="13" l="1"/>
  <c r="L41" i="13"/>
  <c r="D41" i="13"/>
  <c r="O41" i="13" s="1"/>
  <c r="N40" i="13"/>
  <c r="E40" i="13"/>
  <c r="I40" i="13" s="1"/>
  <c r="M40" i="13" s="1"/>
  <c r="N41" i="13" l="1"/>
  <c r="D42" i="13"/>
  <c r="O42" i="13" s="1"/>
  <c r="E41" i="13"/>
  <c r="I41" i="13" s="1"/>
  <c r="M41" i="13" s="1"/>
  <c r="K43" i="13"/>
  <c r="L42" i="13"/>
  <c r="K44" i="13" l="1"/>
  <c r="L43" i="13"/>
  <c r="N42" i="13"/>
  <c r="D43" i="13"/>
  <c r="O43" i="13" s="1"/>
  <c r="E42" i="13"/>
  <c r="I42" i="13" s="1"/>
  <c r="M42" i="13" s="1"/>
  <c r="D44" i="13" l="1"/>
  <c r="O44" i="13" s="1"/>
  <c r="N43" i="13"/>
  <c r="E43" i="13"/>
  <c r="I43" i="13" s="1"/>
  <c r="M43" i="13" s="1"/>
  <c r="K45" i="13"/>
  <c r="L44" i="13"/>
  <c r="K46" i="13" l="1"/>
  <c r="L45" i="13"/>
  <c r="N44" i="13"/>
  <c r="D45" i="13"/>
  <c r="O45" i="13" s="1"/>
  <c r="E44" i="13"/>
  <c r="I44" i="13" s="1"/>
  <c r="M44" i="13" s="1"/>
  <c r="N45" i="13" l="1"/>
  <c r="D46" i="13"/>
  <c r="O46" i="13" s="1"/>
  <c r="E45" i="13"/>
  <c r="I45" i="13" s="1"/>
  <c r="M45" i="13" s="1"/>
  <c r="K47" i="13"/>
  <c r="L46" i="13"/>
  <c r="L47" i="13" l="1"/>
  <c r="N46" i="13"/>
  <c r="D47" i="13"/>
  <c r="O47" i="13" s="1"/>
  <c r="E46" i="13"/>
  <c r="I46" i="13" s="1"/>
  <c r="M46" i="13" s="1"/>
  <c r="N47" i="13" l="1"/>
  <c r="D48" i="13"/>
  <c r="E47" i="13"/>
  <c r="I47" i="13" s="1"/>
  <c r="M47" i="13" s="1"/>
  <c r="D49" i="13" l="1"/>
  <c r="E48" i="13"/>
  <c r="F48" i="13"/>
  <c r="F49" i="13" l="1"/>
  <c r="J49" i="13" s="1"/>
  <c r="E49" i="13"/>
  <c r="D50" i="13"/>
  <c r="E50" i="13" s="1"/>
  <c r="J48" i="13"/>
  <c r="K48" i="13" s="1"/>
  <c r="G48" i="13"/>
  <c r="G49" i="13" l="1"/>
  <c r="K49" i="13"/>
  <c r="O48" i="13"/>
  <c r="H48" i="13"/>
  <c r="I48" i="13" s="1"/>
  <c r="N48" i="13"/>
  <c r="L48" i="13"/>
  <c r="O49" i="13" l="1"/>
  <c r="L49" i="13"/>
  <c r="H49" i="13"/>
  <c r="I49" i="13" s="1"/>
  <c r="N49" i="13"/>
  <c r="M48" i="13"/>
  <c r="M49" i="13" l="1"/>
  <c r="AS43" i="23" l="1"/>
  <c r="AP43" i="23"/>
  <c r="AN43" i="23"/>
  <c r="AN44" i="23" s="1"/>
  <c r="AQ43" i="23"/>
  <c r="AJ43" i="23"/>
  <c r="AK43" i="23"/>
  <c r="AJ44" i="23"/>
  <c r="AM43" i="23"/>
  <c r="AM44" i="23"/>
  <c r="AT42" i="23"/>
  <c r="AH43" i="23"/>
  <c r="I50" i="35"/>
  <c r="I50" i="26"/>
  <c r="I50" i="25"/>
  <c r="AS44" i="23"/>
  <c r="AP44" i="23"/>
  <c r="AL43" i="23"/>
  <c r="AK44" i="23"/>
  <c r="I50" i="31"/>
  <c r="I50" i="32"/>
  <c r="AL44" i="23"/>
  <c r="I50" i="27"/>
  <c r="I50" i="30"/>
  <c r="AR43" i="23"/>
  <c r="AI43" i="23"/>
  <c r="I50" i="29"/>
  <c r="AG43" i="23"/>
  <c r="AG44" i="23" s="1"/>
  <c r="AO43" i="23"/>
  <c r="AQ44" i="23"/>
  <c r="I50" i="34"/>
  <c r="I50" i="28"/>
  <c r="AO44" i="23"/>
  <c r="AH44" i="23"/>
  <c r="I50" i="33"/>
  <c r="I50" i="36"/>
  <c r="I50" i="24"/>
  <c r="AR44" i="23"/>
  <c r="AI44" i="23"/>
  <c r="D43" i="32"/>
  <c r="B50" i="34"/>
  <c r="B50" i="35"/>
  <c r="B50" i="24"/>
  <c r="B50" i="32"/>
  <c r="D48" i="32" s="1"/>
  <c r="C51" i="24"/>
  <c r="B50" i="31"/>
  <c r="B50" i="25"/>
  <c r="F50" i="8"/>
  <c r="G50" i="8" s="1"/>
  <c r="J50" i="8"/>
  <c r="K50" i="8" s="1"/>
  <c r="L50" i="8" s="1"/>
  <c r="C51" i="26"/>
  <c r="B50" i="33"/>
  <c r="B50" i="28"/>
  <c r="B50" i="26"/>
  <c r="C51" i="32"/>
  <c r="C52" i="32"/>
  <c r="C51" i="25"/>
  <c r="C52" i="25" s="1"/>
  <c r="C53" i="25"/>
  <c r="C51" i="36"/>
  <c r="C52" i="36"/>
  <c r="C53" i="36"/>
  <c r="C54" i="36" s="1"/>
  <c r="B50" i="30"/>
  <c r="C51" i="34"/>
  <c r="C52" i="34"/>
  <c r="C53" i="34" s="1"/>
  <c r="F50" i="10"/>
  <c r="G50" i="10" s="1"/>
  <c r="B50" i="36"/>
  <c r="B50" i="29"/>
  <c r="C51" i="28"/>
  <c r="C52" i="28"/>
  <c r="C51" i="35"/>
  <c r="C52" i="35"/>
  <c r="C53" i="35"/>
  <c r="B50" i="27"/>
  <c r="F50" i="13"/>
  <c r="C51" i="30"/>
  <c r="C52" i="30"/>
  <c r="C51" i="27"/>
  <c r="C52" i="27" s="1"/>
  <c r="C51" i="29"/>
  <c r="C51" i="31"/>
  <c r="C52" i="31" s="1"/>
  <c r="C51" i="33"/>
  <c r="C52" i="33"/>
  <c r="C53" i="33"/>
  <c r="D51" i="8"/>
  <c r="D52" i="8" s="1"/>
  <c r="D51" i="10"/>
  <c r="D52" i="10" s="1"/>
  <c r="D51" i="13"/>
  <c r="D52" i="13"/>
  <c r="J50" i="10" l="1"/>
  <c r="K50" i="10" s="1"/>
  <c r="E52" i="10"/>
  <c r="F52" i="10"/>
  <c r="J52" i="10" s="1"/>
  <c r="D53" i="10"/>
  <c r="E52" i="8"/>
  <c r="F52" i="8"/>
  <c r="J52" i="8" s="1"/>
  <c r="D53" i="8"/>
  <c r="E52" i="13"/>
  <c r="D53" i="13"/>
  <c r="F52" i="13"/>
  <c r="J52" i="13" s="1"/>
  <c r="E51" i="13"/>
  <c r="F51" i="13"/>
  <c r="E51" i="10"/>
  <c r="F51" i="10"/>
  <c r="B53" i="33"/>
  <c r="C54" i="33"/>
  <c r="E51" i="8"/>
  <c r="F51" i="8"/>
  <c r="B52" i="31"/>
  <c r="C53" i="31"/>
  <c r="E53" i="27"/>
  <c r="B52" i="27"/>
  <c r="C53" i="27"/>
  <c r="B51" i="29"/>
  <c r="E51" i="29"/>
  <c r="G51" i="29" s="1"/>
  <c r="E53" i="30"/>
  <c r="B52" i="30"/>
  <c r="E53" i="33"/>
  <c r="B52" i="33"/>
  <c r="G50" i="13"/>
  <c r="J50" i="13"/>
  <c r="K50" i="13" s="1"/>
  <c r="E54" i="25"/>
  <c r="B53" i="25"/>
  <c r="C54" i="25"/>
  <c r="E51" i="33"/>
  <c r="G51" i="33" s="1"/>
  <c r="E52" i="33"/>
  <c r="B51" i="33"/>
  <c r="E51" i="27"/>
  <c r="G51" i="27" s="1"/>
  <c r="G52" i="27" s="1"/>
  <c r="G53" i="27" s="1"/>
  <c r="B51" i="27"/>
  <c r="E52" i="27"/>
  <c r="B53" i="35"/>
  <c r="C54" i="35"/>
  <c r="B53" i="34"/>
  <c r="E54" i="34"/>
  <c r="C54" i="34"/>
  <c r="B51" i="24"/>
  <c r="E51" i="24"/>
  <c r="G51" i="24" s="1"/>
  <c r="C52" i="24"/>
  <c r="E51" i="31"/>
  <c r="G51" i="31" s="1"/>
  <c r="G52" i="31" s="1"/>
  <c r="E52" i="31"/>
  <c r="B51" i="31"/>
  <c r="C52" i="29"/>
  <c r="C53" i="30"/>
  <c r="B52" i="28"/>
  <c r="C53" i="28"/>
  <c r="B54" i="36"/>
  <c r="C55" i="36"/>
  <c r="E52" i="26"/>
  <c r="B51" i="26"/>
  <c r="E51" i="26"/>
  <c r="G51" i="26" s="1"/>
  <c r="G52" i="26" s="1"/>
  <c r="C52" i="26"/>
  <c r="B52" i="35"/>
  <c r="E53" i="35"/>
  <c r="E51" i="28"/>
  <c r="G51" i="28" s="1"/>
  <c r="I51" i="28" s="1"/>
  <c r="B51" i="28"/>
  <c r="E52" i="28"/>
  <c r="E53" i="25"/>
  <c r="B52" i="25"/>
  <c r="E51" i="30"/>
  <c r="G51" i="30" s="1"/>
  <c r="B51" i="30"/>
  <c r="E52" i="30"/>
  <c r="I51" i="35"/>
  <c r="E51" i="35"/>
  <c r="G51" i="35" s="1"/>
  <c r="E52" i="35"/>
  <c r="B51" i="35"/>
  <c r="D39" i="36"/>
  <c r="F39" i="36" s="1"/>
  <c r="H39" i="36" s="1"/>
  <c r="J39" i="36" s="1"/>
  <c r="K39" i="36" s="1"/>
  <c r="L39" i="36" s="1"/>
  <c r="D49" i="36"/>
  <c r="D44" i="36"/>
  <c r="D46" i="36"/>
  <c r="D43" i="36"/>
  <c r="D42" i="36"/>
  <c r="D45" i="36"/>
  <c r="D47" i="36"/>
  <c r="D41" i="36"/>
  <c r="D50" i="36"/>
  <c r="D40" i="36"/>
  <c r="D48" i="36"/>
  <c r="D50" i="30"/>
  <c r="D40" i="30"/>
  <c r="D49" i="30"/>
  <c r="D39" i="30"/>
  <c r="F39" i="30" s="1"/>
  <c r="H39" i="30" s="1"/>
  <c r="J39" i="30" s="1"/>
  <c r="K39" i="30" s="1"/>
  <c r="L39" i="30" s="1"/>
  <c r="D44" i="30"/>
  <c r="D41" i="30"/>
  <c r="D45" i="30"/>
  <c r="D42" i="30"/>
  <c r="D47" i="30"/>
  <c r="D43" i="30"/>
  <c r="D48" i="30"/>
  <c r="D46" i="30"/>
  <c r="D50" i="27"/>
  <c r="D49" i="27"/>
  <c r="D40" i="27"/>
  <c r="D39" i="27"/>
  <c r="F39" i="27" s="1"/>
  <c r="H39" i="27" s="1"/>
  <c r="J39" i="27" s="1"/>
  <c r="K39" i="27" s="1"/>
  <c r="L39" i="27" s="1"/>
  <c r="D42" i="27"/>
  <c r="D47" i="27"/>
  <c r="D48" i="27"/>
  <c r="D44" i="27"/>
  <c r="D43" i="27"/>
  <c r="D41" i="27"/>
  <c r="D45" i="27"/>
  <c r="D46" i="27"/>
  <c r="E53" i="34"/>
  <c r="B52" i="34"/>
  <c r="E54" i="36"/>
  <c r="B53" i="36"/>
  <c r="L50" i="10"/>
  <c r="E52" i="34"/>
  <c r="E51" i="34"/>
  <c r="G51" i="34" s="1"/>
  <c r="G52" i="34" s="1"/>
  <c r="G53" i="34" s="1"/>
  <c r="I53" i="34" s="1"/>
  <c r="I51" i="34"/>
  <c r="B51" i="34"/>
  <c r="E53" i="36"/>
  <c r="B52" i="36"/>
  <c r="B52" i="32"/>
  <c r="C53" i="32"/>
  <c r="D49" i="29"/>
  <c r="D39" i="29"/>
  <c r="F39" i="29" s="1"/>
  <c r="H39" i="29" s="1"/>
  <c r="J39" i="29" s="1"/>
  <c r="K39" i="29" s="1"/>
  <c r="L39" i="29" s="1"/>
  <c r="D40" i="29"/>
  <c r="D45" i="29"/>
  <c r="D50" i="29"/>
  <c r="D41" i="29"/>
  <c r="D42" i="29"/>
  <c r="D44" i="29"/>
  <c r="D43" i="29"/>
  <c r="D47" i="29"/>
  <c r="D46" i="29"/>
  <c r="D48" i="29"/>
  <c r="H50" i="10"/>
  <c r="I50" i="10" s="1"/>
  <c r="N50" i="10"/>
  <c r="E51" i="36"/>
  <c r="G51" i="36" s="1"/>
  <c r="G52" i="36" s="1"/>
  <c r="I52" i="36" s="1"/>
  <c r="E52" i="36"/>
  <c r="B51" i="36"/>
  <c r="E52" i="32"/>
  <c r="E51" i="32"/>
  <c r="G51" i="32" s="1"/>
  <c r="G52" i="32" s="1"/>
  <c r="B51" i="32"/>
  <c r="H50" i="8"/>
  <c r="I50" i="8" s="1"/>
  <c r="M50" i="8" s="1"/>
  <c r="N50" i="8"/>
  <c r="D49" i="25"/>
  <c r="D50" i="25"/>
  <c r="D39" i="25"/>
  <c r="F39" i="25" s="1"/>
  <c r="H39" i="25" s="1"/>
  <c r="J39" i="25" s="1"/>
  <c r="K39" i="25" s="1"/>
  <c r="L39" i="25" s="1"/>
  <c r="D44" i="25"/>
  <c r="D45" i="25"/>
  <c r="D40" i="25"/>
  <c r="D46" i="25"/>
  <c r="D41" i="25"/>
  <c r="D48" i="25"/>
  <c r="D42" i="25"/>
  <c r="D47" i="25"/>
  <c r="D43" i="25"/>
  <c r="E52" i="25"/>
  <c r="B51" i="25"/>
  <c r="E51" i="25"/>
  <c r="G51" i="25" s="1"/>
  <c r="I51" i="25" s="1"/>
  <c r="D50" i="33"/>
  <c r="D49" i="33"/>
  <c r="D39" i="33"/>
  <c r="F39" i="33" s="1"/>
  <c r="H39" i="33" s="1"/>
  <c r="J39" i="33" s="1"/>
  <c r="K39" i="33" s="1"/>
  <c r="L39" i="33" s="1"/>
  <c r="D45" i="33"/>
  <c r="D42" i="33"/>
  <c r="D43" i="33"/>
  <c r="D46" i="33"/>
  <c r="D44" i="33"/>
  <c r="D41" i="33"/>
  <c r="D48" i="33"/>
  <c r="D40" i="33"/>
  <c r="F40" i="33" s="1"/>
  <c r="H40" i="33" s="1"/>
  <c r="J40" i="33" s="1"/>
  <c r="K40" i="33" s="1"/>
  <c r="L40" i="33" s="1"/>
  <c r="D47" i="33"/>
  <c r="D49" i="26"/>
  <c r="D39" i="26"/>
  <c r="F39" i="26" s="1"/>
  <c r="H39" i="26" s="1"/>
  <c r="J39" i="26" s="1"/>
  <c r="K39" i="26" s="1"/>
  <c r="L39" i="26" s="1"/>
  <c r="D44" i="26"/>
  <c r="D40" i="26"/>
  <c r="D41" i="26"/>
  <c r="D45" i="26"/>
  <c r="D48" i="26"/>
  <c r="D50" i="26"/>
  <c r="D42" i="26"/>
  <c r="D47" i="26"/>
  <c r="D46" i="26"/>
  <c r="D43" i="26"/>
  <c r="D41" i="28"/>
  <c r="D49" i="28"/>
  <c r="D40" i="28"/>
  <c r="D50" i="28"/>
  <c r="D44" i="28"/>
  <c r="D46" i="28"/>
  <c r="D45" i="28"/>
  <c r="D42" i="28"/>
  <c r="D43" i="28"/>
  <c r="D48" i="28"/>
  <c r="D39" i="28"/>
  <c r="F39" i="28" s="1"/>
  <c r="H39" i="28" s="1"/>
  <c r="J39" i="28" s="1"/>
  <c r="K39" i="28" s="1"/>
  <c r="L39" i="28" s="1"/>
  <c r="D47" i="28"/>
  <c r="D50" i="31"/>
  <c r="D39" i="31"/>
  <c r="F39" i="31" s="1"/>
  <c r="H39" i="31" s="1"/>
  <c r="J39" i="31" s="1"/>
  <c r="K39" i="31" s="1"/>
  <c r="L39" i="31" s="1"/>
  <c r="D40" i="31"/>
  <c r="D49" i="31"/>
  <c r="D42" i="31"/>
  <c r="D45" i="31"/>
  <c r="D41" i="31"/>
  <c r="D43" i="31"/>
  <c r="D44" i="31"/>
  <c r="D48" i="31"/>
  <c r="D47" i="31"/>
  <c r="D45" i="24"/>
  <c r="D50" i="24"/>
  <c r="D39" i="24"/>
  <c r="F39" i="24" s="1"/>
  <c r="H39" i="24" s="1"/>
  <c r="J39" i="24" s="1"/>
  <c r="K39" i="24" s="1"/>
  <c r="L39" i="24" s="1"/>
  <c r="D40" i="24"/>
  <c r="D49" i="24"/>
  <c r="D41" i="24"/>
  <c r="D47" i="24"/>
  <c r="D48" i="24"/>
  <c r="D46" i="24"/>
  <c r="D44" i="24"/>
  <c r="D42" i="24"/>
  <c r="D43" i="24"/>
  <c r="D46" i="31"/>
  <c r="D49" i="35"/>
  <c r="D41" i="35"/>
  <c r="D44" i="35"/>
  <c r="D42" i="35"/>
  <c r="D50" i="35"/>
  <c r="D39" i="35"/>
  <c r="F39" i="35" s="1"/>
  <c r="H39" i="35" s="1"/>
  <c r="J39" i="35" s="1"/>
  <c r="K39" i="35" s="1"/>
  <c r="L39" i="35" s="1"/>
  <c r="D40" i="35"/>
  <c r="D46" i="35"/>
  <c r="D43" i="35"/>
  <c r="D47" i="35"/>
  <c r="D48" i="35"/>
  <c r="D50" i="32"/>
  <c r="D40" i="32"/>
  <c r="D42" i="32"/>
  <c r="D49" i="32"/>
  <c r="D39" i="32"/>
  <c r="F39" i="32" s="1"/>
  <c r="H39" i="32" s="1"/>
  <c r="J39" i="32" s="1"/>
  <c r="K39" i="32" s="1"/>
  <c r="L39" i="32" s="1"/>
  <c r="D41" i="32"/>
  <c r="D44" i="32"/>
  <c r="D45" i="32"/>
  <c r="D46" i="32"/>
  <c r="D49" i="34"/>
  <c r="D39" i="34"/>
  <c r="F39" i="34" s="1"/>
  <c r="H39" i="34" s="1"/>
  <c r="J39" i="34" s="1"/>
  <c r="K39" i="34" s="1"/>
  <c r="L39" i="34" s="1"/>
  <c r="D50" i="34"/>
  <c r="D46" i="34"/>
  <c r="D40" i="34"/>
  <c r="D43" i="34"/>
  <c r="D42" i="34"/>
  <c r="D47" i="34"/>
  <c r="D48" i="34"/>
  <c r="D41" i="34"/>
  <c r="D44" i="34"/>
  <c r="D45" i="34"/>
  <c r="D47" i="32"/>
  <c r="D45" i="35"/>
  <c r="AT43" i="23"/>
  <c r="AT44" i="23" s="1"/>
  <c r="AU42" i="23"/>
  <c r="I51" i="36" l="1"/>
  <c r="F40" i="35"/>
  <c r="H40" i="35" s="1"/>
  <c r="J40" i="35" s="1"/>
  <c r="K40" i="35" s="1"/>
  <c r="L40" i="35" s="1"/>
  <c r="F41" i="35"/>
  <c r="H41" i="35" s="1"/>
  <c r="J41" i="35" s="1"/>
  <c r="K41" i="35" s="1"/>
  <c r="L41" i="35" s="1"/>
  <c r="F40" i="32"/>
  <c r="H40" i="32" s="1"/>
  <c r="J40" i="32" s="1"/>
  <c r="K40" i="32" s="1"/>
  <c r="L40" i="32" s="1"/>
  <c r="I51" i="31"/>
  <c r="F40" i="29"/>
  <c r="H40" i="29" s="1"/>
  <c r="J40" i="29" s="1"/>
  <c r="K40" i="29" s="1"/>
  <c r="L40" i="29" s="1"/>
  <c r="F40" i="28"/>
  <c r="H40" i="28" s="1"/>
  <c r="J40" i="28" s="1"/>
  <c r="K40" i="28" s="1"/>
  <c r="L40" i="28" s="1"/>
  <c r="F40" i="27"/>
  <c r="H40" i="27" s="1"/>
  <c r="J40" i="27" s="1"/>
  <c r="K40" i="27" s="1"/>
  <c r="L40" i="27" s="1"/>
  <c r="F41" i="27"/>
  <c r="H41" i="27" s="1"/>
  <c r="J41" i="27" s="1"/>
  <c r="K41" i="27" s="1"/>
  <c r="L41" i="27" s="1"/>
  <c r="I51" i="26"/>
  <c r="B53" i="28"/>
  <c r="C54" i="28"/>
  <c r="G53" i="31"/>
  <c r="I53" i="31" s="1"/>
  <c r="I51" i="27"/>
  <c r="I52" i="27"/>
  <c r="J51" i="10"/>
  <c r="K51" i="10" s="1"/>
  <c r="G51" i="10"/>
  <c r="B52" i="24"/>
  <c r="E53" i="24"/>
  <c r="C53" i="24"/>
  <c r="E53" i="13"/>
  <c r="D54" i="13"/>
  <c r="F53" i="13"/>
  <c r="J53" i="13" s="1"/>
  <c r="B53" i="32"/>
  <c r="C54" i="32"/>
  <c r="E54" i="32" s="1"/>
  <c r="G52" i="30"/>
  <c r="G52" i="28"/>
  <c r="E53" i="28"/>
  <c r="G52" i="24"/>
  <c r="G53" i="24" s="1"/>
  <c r="B54" i="35"/>
  <c r="C55" i="35"/>
  <c r="L50" i="13"/>
  <c r="M50" i="13" s="1"/>
  <c r="O50" i="13"/>
  <c r="K51" i="13"/>
  <c r="B53" i="31"/>
  <c r="C54" i="31"/>
  <c r="E55" i="33"/>
  <c r="B54" i="33"/>
  <c r="C55" i="33"/>
  <c r="F53" i="10"/>
  <c r="J53" i="10" s="1"/>
  <c r="E53" i="10"/>
  <c r="D54" i="10"/>
  <c r="F40" i="34"/>
  <c r="H40" i="34" s="1"/>
  <c r="J40" i="34" s="1"/>
  <c r="K40" i="34" s="1"/>
  <c r="L40" i="34" s="1"/>
  <c r="E53" i="32"/>
  <c r="G54" i="34"/>
  <c r="I52" i="34"/>
  <c r="F40" i="30"/>
  <c r="H40" i="30" s="1"/>
  <c r="J40" i="30" s="1"/>
  <c r="K40" i="30" s="1"/>
  <c r="L40" i="30" s="1"/>
  <c r="I51" i="30"/>
  <c r="B55" i="36"/>
  <c r="C56" i="36"/>
  <c r="E54" i="30"/>
  <c r="B53" i="30"/>
  <c r="C54" i="30"/>
  <c r="I51" i="24"/>
  <c r="H50" i="13"/>
  <c r="I50" i="13" s="1"/>
  <c r="N50" i="13"/>
  <c r="G51" i="13"/>
  <c r="I51" i="29"/>
  <c r="E53" i="31"/>
  <c r="G53" i="32"/>
  <c r="I53" i="32" s="1"/>
  <c r="F40" i="31"/>
  <c r="H40" i="31" s="1"/>
  <c r="J40" i="31" s="1"/>
  <c r="K40" i="31" s="1"/>
  <c r="L40" i="31" s="1"/>
  <c r="G52" i="25"/>
  <c r="I52" i="32"/>
  <c r="B52" i="29"/>
  <c r="C53" i="29"/>
  <c r="G52" i="33"/>
  <c r="J51" i="13"/>
  <c r="F40" i="26"/>
  <c r="H40" i="26" s="1"/>
  <c r="J40" i="26" s="1"/>
  <c r="K40" i="26" s="1"/>
  <c r="L40" i="26" s="1"/>
  <c r="F40" i="25"/>
  <c r="H40" i="25" s="1"/>
  <c r="J40" i="25" s="1"/>
  <c r="K40" i="25" s="1"/>
  <c r="L40" i="25" s="1"/>
  <c r="G53" i="36"/>
  <c r="E52" i="24"/>
  <c r="E54" i="35"/>
  <c r="I51" i="33"/>
  <c r="E52" i="29"/>
  <c r="G52" i="29" s="1"/>
  <c r="I52" i="31"/>
  <c r="E54" i="33"/>
  <c r="F53" i="8"/>
  <c r="J53" i="8" s="1"/>
  <c r="E53" i="8"/>
  <c r="D54" i="8"/>
  <c r="F42" i="35"/>
  <c r="H42" i="35" s="1"/>
  <c r="J42" i="35" s="1"/>
  <c r="K42" i="35" s="1"/>
  <c r="L42" i="35" s="1"/>
  <c r="F40" i="24"/>
  <c r="H40" i="24" s="1"/>
  <c r="J40" i="24" s="1"/>
  <c r="K40" i="24" s="1"/>
  <c r="L40" i="24" s="1"/>
  <c r="F41" i="31"/>
  <c r="H41" i="31" s="1"/>
  <c r="J41" i="31" s="1"/>
  <c r="K41" i="31" s="1"/>
  <c r="L41" i="31" s="1"/>
  <c r="F41" i="33"/>
  <c r="H41" i="33" s="1"/>
  <c r="J41" i="33" s="1"/>
  <c r="K41" i="33" s="1"/>
  <c r="L41" i="33" s="1"/>
  <c r="I51" i="32"/>
  <c r="M50" i="10"/>
  <c r="F42" i="27"/>
  <c r="H42" i="27" s="1"/>
  <c r="J42" i="27" s="1"/>
  <c r="K42" i="27" s="1"/>
  <c r="L42" i="27" s="1"/>
  <c r="F40" i="36"/>
  <c r="H40" i="36" s="1"/>
  <c r="J40" i="36" s="1"/>
  <c r="K40" i="36" s="1"/>
  <c r="L40" i="36" s="1"/>
  <c r="G52" i="35"/>
  <c r="B52" i="26"/>
  <c r="I52" i="26"/>
  <c r="C53" i="26"/>
  <c r="E55" i="36"/>
  <c r="I54" i="34"/>
  <c r="B54" i="34"/>
  <c r="C55" i="34"/>
  <c r="E55" i="25"/>
  <c r="B54" i="25"/>
  <c r="C55" i="25"/>
  <c r="I53" i="27"/>
  <c r="B53" i="27"/>
  <c r="C54" i="27"/>
  <c r="E54" i="27" s="1"/>
  <c r="G54" i="27" s="1"/>
  <c r="G51" i="8"/>
  <c r="J51" i="8"/>
  <c r="K51" i="8" s="1"/>
  <c r="F43" i="35" l="1"/>
  <c r="H43" i="35" s="1"/>
  <c r="J43" i="35" s="1"/>
  <c r="K43" i="35" s="1"/>
  <c r="L43" i="35" s="1"/>
  <c r="F41" i="34"/>
  <c r="H41" i="34" s="1"/>
  <c r="J41" i="34" s="1"/>
  <c r="K41" i="34" s="1"/>
  <c r="L41" i="34" s="1"/>
  <c r="F41" i="32"/>
  <c r="F41" i="28"/>
  <c r="H41" i="28" s="1"/>
  <c r="J41" i="28" s="1"/>
  <c r="K41" i="28" s="1"/>
  <c r="L41" i="28" s="1"/>
  <c r="F41" i="29"/>
  <c r="F43" i="27"/>
  <c r="H43" i="27" s="1"/>
  <c r="J43" i="27" s="1"/>
  <c r="K43" i="27" s="1"/>
  <c r="L43" i="27" s="1"/>
  <c r="I52" i="29"/>
  <c r="H51" i="13"/>
  <c r="I51" i="13" s="1"/>
  <c r="G52" i="13"/>
  <c r="N51" i="13"/>
  <c r="E54" i="24"/>
  <c r="G54" i="24" s="1"/>
  <c r="B53" i="24"/>
  <c r="I53" i="24"/>
  <c r="C54" i="24"/>
  <c r="H51" i="10"/>
  <c r="I51" i="10" s="1"/>
  <c r="G52" i="10"/>
  <c r="N51" i="10"/>
  <c r="F44" i="35"/>
  <c r="G53" i="35"/>
  <c r="I52" i="35"/>
  <c r="E54" i="13"/>
  <c r="F54" i="13"/>
  <c r="D55" i="13"/>
  <c r="G54" i="36"/>
  <c r="I53" i="36"/>
  <c r="F42" i="28"/>
  <c r="F41" i="26"/>
  <c r="E57" i="36"/>
  <c r="B56" i="36"/>
  <c r="C57" i="36"/>
  <c r="G53" i="30"/>
  <c r="I52" i="30"/>
  <c r="I52" i="24"/>
  <c r="B54" i="28"/>
  <c r="C55" i="28"/>
  <c r="O51" i="13"/>
  <c r="K52" i="13"/>
  <c r="L51" i="13"/>
  <c r="B55" i="34"/>
  <c r="C56" i="34"/>
  <c r="G53" i="28"/>
  <c r="I52" i="28"/>
  <c r="G54" i="31"/>
  <c r="I54" i="31" s="1"/>
  <c r="E55" i="34"/>
  <c r="G54" i="32"/>
  <c r="I54" i="32" s="1"/>
  <c r="F44" i="27"/>
  <c r="B55" i="35"/>
  <c r="C56" i="35"/>
  <c r="E56" i="35" s="1"/>
  <c r="E54" i="29"/>
  <c r="B53" i="29"/>
  <c r="C54" i="29"/>
  <c r="I54" i="27"/>
  <c r="B54" i="27"/>
  <c r="C55" i="27"/>
  <c r="F42" i="34"/>
  <c r="B54" i="31"/>
  <c r="C55" i="31"/>
  <c r="F41" i="36"/>
  <c r="E54" i="31"/>
  <c r="F41" i="24"/>
  <c r="F41" i="25"/>
  <c r="G53" i="25"/>
  <c r="I52" i="25"/>
  <c r="E53" i="29"/>
  <c r="G53" i="29" s="1"/>
  <c r="F54" i="8"/>
  <c r="E54" i="8"/>
  <c r="D55" i="8"/>
  <c r="F41" i="30"/>
  <c r="G53" i="33"/>
  <c r="I52" i="33"/>
  <c r="E56" i="36"/>
  <c r="G55" i="34"/>
  <c r="I55" i="34" s="1"/>
  <c r="B55" i="33"/>
  <c r="C56" i="33"/>
  <c r="F42" i="31"/>
  <c r="E54" i="28"/>
  <c r="B54" i="32"/>
  <c r="C55" i="32"/>
  <c r="L51" i="10"/>
  <c r="M51" i="10" s="1"/>
  <c r="K52" i="10"/>
  <c r="B55" i="25"/>
  <c r="C56" i="25"/>
  <c r="L51" i="8"/>
  <c r="M51" i="8" s="1"/>
  <c r="K52" i="8"/>
  <c r="B53" i="26"/>
  <c r="C54" i="26"/>
  <c r="H51" i="8"/>
  <c r="I51" i="8" s="1"/>
  <c r="G52" i="8"/>
  <c r="N51" i="8"/>
  <c r="E53" i="26"/>
  <c r="G53" i="26" s="1"/>
  <c r="F42" i="33"/>
  <c r="E55" i="30"/>
  <c r="B54" i="30"/>
  <c r="C55" i="30"/>
  <c r="E54" i="10"/>
  <c r="F54" i="10"/>
  <c r="D55" i="10"/>
  <c r="E55" i="35"/>
  <c r="H41" i="32" l="1"/>
  <c r="J41" i="32" s="1"/>
  <c r="K41" i="32" s="1"/>
  <c r="L41" i="32" s="1"/>
  <c r="F42" i="32"/>
  <c r="H41" i="29"/>
  <c r="J41" i="29" s="1"/>
  <c r="K41" i="29" s="1"/>
  <c r="L41" i="29" s="1"/>
  <c r="F42" i="29"/>
  <c r="G54" i="29"/>
  <c r="I54" i="29" s="1"/>
  <c r="I53" i="29"/>
  <c r="H41" i="36"/>
  <c r="J41" i="36" s="1"/>
  <c r="K41" i="36" s="1"/>
  <c r="L41" i="36" s="1"/>
  <c r="F42" i="36"/>
  <c r="H44" i="27"/>
  <c r="J44" i="27" s="1"/>
  <c r="K44" i="27" s="1"/>
  <c r="L44" i="27" s="1"/>
  <c r="F45" i="27"/>
  <c r="B56" i="34"/>
  <c r="C57" i="34"/>
  <c r="E56" i="28"/>
  <c r="B55" i="28"/>
  <c r="C56" i="28"/>
  <c r="H44" i="35"/>
  <c r="J44" i="35" s="1"/>
  <c r="K44" i="35" s="1"/>
  <c r="L44" i="35" s="1"/>
  <c r="F45" i="35"/>
  <c r="E56" i="27"/>
  <c r="I55" i="27"/>
  <c r="B55" i="27"/>
  <c r="C56" i="27"/>
  <c r="B55" i="32"/>
  <c r="C56" i="32"/>
  <c r="G54" i="25"/>
  <c r="I53" i="25"/>
  <c r="J54" i="13"/>
  <c r="H52" i="8"/>
  <c r="I52" i="8" s="1"/>
  <c r="G53" i="8"/>
  <c r="N52" i="8"/>
  <c r="E55" i="10"/>
  <c r="F55" i="10"/>
  <c r="J55" i="10" s="1"/>
  <c r="D56" i="10"/>
  <c r="E56" i="34"/>
  <c r="G56" i="34" s="1"/>
  <c r="E55" i="28"/>
  <c r="H41" i="26"/>
  <c r="J41" i="26" s="1"/>
  <c r="K41" i="26" s="1"/>
  <c r="L41" i="26" s="1"/>
  <c r="F42" i="26"/>
  <c r="E55" i="13"/>
  <c r="F55" i="13"/>
  <c r="J55" i="13" s="1"/>
  <c r="D56" i="13"/>
  <c r="H42" i="33"/>
  <c r="J42" i="33" s="1"/>
  <c r="K42" i="33" s="1"/>
  <c r="L42" i="33" s="1"/>
  <c r="F43" i="33"/>
  <c r="B56" i="33"/>
  <c r="C57" i="33"/>
  <c r="J54" i="8"/>
  <c r="H41" i="25"/>
  <c r="J41" i="25" s="1"/>
  <c r="K41" i="25" s="1"/>
  <c r="L41" i="25" s="1"/>
  <c r="F42" i="25"/>
  <c r="E55" i="27"/>
  <c r="G55" i="27" s="1"/>
  <c r="G56" i="27" s="1"/>
  <c r="G55" i="31"/>
  <c r="I55" i="31" s="1"/>
  <c r="M51" i="13"/>
  <c r="H42" i="28"/>
  <c r="J42" i="28" s="1"/>
  <c r="K42" i="28" s="1"/>
  <c r="L42" i="28" s="1"/>
  <c r="F43" i="28"/>
  <c r="H52" i="10"/>
  <c r="I52" i="10" s="1"/>
  <c r="G53" i="10"/>
  <c r="N52" i="10"/>
  <c r="E55" i="8"/>
  <c r="F55" i="8"/>
  <c r="J55" i="8" s="1"/>
  <c r="D56" i="8"/>
  <c r="E55" i="26"/>
  <c r="B54" i="26"/>
  <c r="C55" i="26"/>
  <c r="H41" i="30"/>
  <c r="J41" i="30" s="1"/>
  <c r="K41" i="30" s="1"/>
  <c r="L41" i="30" s="1"/>
  <c r="F42" i="30"/>
  <c r="E55" i="29"/>
  <c r="B54" i="29"/>
  <c r="C55" i="29"/>
  <c r="L52" i="13"/>
  <c r="M52" i="13" s="1"/>
  <c r="O52" i="13"/>
  <c r="K53" i="13"/>
  <c r="H42" i="31"/>
  <c r="J42" i="31" s="1"/>
  <c r="K42" i="31" s="1"/>
  <c r="L42" i="31" s="1"/>
  <c r="F43" i="31"/>
  <c r="B56" i="25"/>
  <c r="C57" i="25"/>
  <c r="E56" i="31"/>
  <c r="B55" i="31"/>
  <c r="C56" i="31"/>
  <c r="J54" i="10"/>
  <c r="E55" i="32"/>
  <c r="G55" i="32" s="1"/>
  <c r="G54" i="33"/>
  <c r="I53" i="33"/>
  <c r="E56" i="25"/>
  <c r="H41" i="24"/>
  <c r="J41" i="24" s="1"/>
  <c r="K41" i="24" s="1"/>
  <c r="L41" i="24" s="1"/>
  <c r="F42" i="24"/>
  <c r="E55" i="31"/>
  <c r="G54" i="28"/>
  <c r="I53" i="28"/>
  <c r="G54" i="30"/>
  <c r="I53" i="30"/>
  <c r="G55" i="36"/>
  <c r="I54" i="36"/>
  <c r="G54" i="35"/>
  <c r="I53" i="35"/>
  <c r="H52" i="13"/>
  <c r="I52" i="13" s="1"/>
  <c r="G53" i="13"/>
  <c r="N52" i="13"/>
  <c r="B56" i="35"/>
  <c r="C57" i="35"/>
  <c r="E54" i="26"/>
  <c r="G54" i="26" s="1"/>
  <c r="I53" i="26"/>
  <c r="B55" i="30"/>
  <c r="C56" i="30"/>
  <c r="L52" i="8"/>
  <c r="K53" i="8"/>
  <c r="L52" i="10"/>
  <c r="K53" i="10"/>
  <c r="E56" i="33"/>
  <c r="H42" i="34"/>
  <c r="J42" i="34" s="1"/>
  <c r="K42" i="34" s="1"/>
  <c r="L42" i="34" s="1"/>
  <c r="F43" i="34"/>
  <c r="B57" i="36"/>
  <c r="C58" i="36"/>
  <c r="E55" i="24"/>
  <c r="G55" i="24" s="1"/>
  <c r="B54" i="24"/>
  <c r="I54" i="24"/>
  <c r="C55" i="24"/>
  <c r="F43" i="32" l="1"/>
  <c r="H42" i="32"/>
  <c r="J42" i="32" s="1"/>
  <c r="K42" i="32" s="1"/>
  <c r="L42" i="32" s="1"/>
  <c r="H42" i="29"/>
  <c r="J42" i="29" s="1"/>
  <c r="K42" i="29" s="1"/>
  <c r="L42" i="29" s="1"/>
  <c r="F43" i="29"/>
  <c r="G55" i="26"/>
  <c r="I54" i="26"/>
  <c r="I55" i="32"/>
  <c r="G57" i="34"/>
  <c r="G58" i="34" s="1"/>
  <c r="I56" i="34"/>
  <c r="H43" i="31"/>
  <c r="J43" i="31" s="1"/>
  <c r="K43" i="31" s="1"/>
  <c r="L43" i="31" s="1"/>
  <c r="F44" i="31"/>
  <c r="B57" i="33"/>
  <c r="C58" i="33"/>
  <c r="H53" i="13"/>
  <c r="I53" i="13" s="1"/>
  <c r="G54" i="13"/>
  <c r="N53" i="13"/>
  <c r="E56" i="13"/>
  <c r="D57" i="13"/>
  <c r="F56" i="13"/>
  <c r="J56" i="13" s="1"/>
  <c r="H53" i="8"/>
  <c r="I53" i="8" s="1"/>
  <c r="G54" i="8"/>
  <c r="N53" i="8"/>
  <c r="G55" i="25"/>
  <c r="I54" i="25"/>
  <c r="H42" i="36"/>
  <c r="J42" i="36" s="1"/>
  <c r="K42" i="36" s="1"/>
  <c r="L42" i="36" s="1"/>
  <c r="F43" i="36"/>
  <c r="E56" i="8"/>
  <c r="F56" i="8"/>
  <c r="J56" i="8" s="1"/>
  <c r="D57" i="8"/>
  <c r="E57" i="33"/>
  <c r="B56" i="32"/>
  <c r="C57" i="32"/>
  <c r="E58" i="34"/>
  <c r="B57" i="34"/>
  <c r="C58" i="34"/>
  <c r="B56" i="30"/>
  <c r="C57" i="30"/>
  <c r="C59" i="36"/>
  <c r="B58" i="36"/>
  <c r="E58" i="35"/>
  <c r="B57" i="35"/>
  <c r="C58" i="35"/>
  <c r="B57" i="25"/>
  <c r="C58" i="25"/>
  <c r="E56" i="30"/>
  <c r="E58" i="36"/>
  <c r="H42" i="25"/>
  <c r="J42" i="25" s="1"/>
  <c r="K42" i="25" s="1"/>
  <c r="L42" i="25" s="1"/>
  <c r="F43" i="25"/>
  <c r="F56" i="10"/>
  <c r="E56" i="10"/>
  <c r="D57" i="10"/>
  <c r="H45" i="35"/>
  <c r="J45" i="35" s="1"/>
  <c r="K45" i="35" s="1"/>
  <c r="L45" i="35" s="1"/>
  <c r="F46" i="35"/>
  <c r="G55" i="29"/>
  <c r="G55" i="30"/>
  <c r="I54" i="30"/>
  <c r="H53" i="10"/>
  <c r="I53" i="10" s="1"/>
  <c r="G54" i="10"/>
  <c r="N53" i="10"/>
  <c r="G55" i="28"/>
  <c r="I54" i="28"/>
  <c r="M52" i="10"/>
  <c r="H42" i="24"/>
  <c r="J42" i="24" s="1"/>
  <c r="K42" i="24" s="1"/>
  <c r="L42" i="24" s="1"/>
  <c r="F43" i="24"/>
  <c r="B55" i="29"/>
  <c r="C56" i="29"/>
  <c r="E56" i="26"/>
  <c r="B55" i="26"/>
  <c r="I55" i="26"/>
  <c r="C56" i="26"/>
  <c r="H43" i="28"/>
  <c r="J43" i="28" s="1"/>
  <c r="K43" i="28" s="1"/>
  <c r="L43" i="28" s="1"/>
  <c r="F44" i="28"/>
  <c r="H43" i="33"/>
  <c r="J43" i="33" s="1"/>
  <c r="K43" i="33" s="1"/>
  <c r="L43" i="33" s="1"/>
  <c r="F44" i="33"/>
  <c r="L53" i="10"/>
  <c r="K54" i="10"/>
  <c r="H42" i="30"/>
  <c r="J42" i="30" s="1"/>
  <c r="K42" i="30" s="1"/>
  <c r="L42" i="30" s="1"/>
  <c r="F43" i="30"/>
  <c r="E56" i="24"/>
  <c r="G56" i="24" s="1"/>
  <c r="B55" i="24"/>
  <c r="I55" i="24"/>
  <c r="C56" i="24"/>
  <c r="L53" i="8"/>
  <c r="M53" i="8" s="1"/>
  <c r="K54" i="8"/>
  <c r="G55" i="35"/>
  <c r="I54" i="35"/>
  <c r="B56" i="31"/>
  <c r="C57" i="31"/>
  <c r="H42" i="26"/>
  <c r="J42" i="26" s="1"/>
  <c r="K42" i="26" s="1"/>
  <c r="L42" i="26" s="1"/>
  <c r="F43" i="26"/>
  <c r="E56" i="32"/>
  <c r="G56" i="32" s="1"/>
  <c r="E57" i="34"/>
  <c r="G55" i="33"/>
  <c r="I54" i="33"/>
  <c r="G56" i="31"/>
  <c r="H43" i="34"/>
  <c r="J43" i="34" s="1"/>
  <c r="K43" i="34" s="1"/>
  <c r="L43" i="34" s="1"/>
  <c r="F44" i="34"/>
  <c r="E57" i="35"/>
  <c r="E57" i="25"/>
  <c r="M52" i="8"/>
  <c r="G56" i="36"/>
  <c r="I55" i="36"/>
  <c r="L53" i="13"/>
  <c r="M53" i="13" s="1"/>
  <c r="O53" i="13"/>
  <c r="K54" i="13"/>
  <c r="E57" i="27"/>
  <c r="G57" i="27" s="1"/>
  <c r="B56" i="27"/>
  <c r="I56" i="27"/>
  <c r="C57" i="27"/>
  <c r="B56" i="28"/>
  <c r="C57" i="28"/>
  <c r="H45" i="27"/>
  <c r="J45" i="27" s="1"/>
  <c r="K45" i="27" s="1"/>
  <c r="L45" i="27" s="1"/>
  <c r="F46" i="27"/>
  <c r="H43" i="32" l="1"/>
  <c r="J43" i="32" s="1"/>
  <c r="K43" i="32" s="1"/>
  <c r="L43" i="32" s="1"/>
  <c r="F44" i="32"/>
  <c r="H43" i="29"/>
  <c r="J43" i="29" s="1"/>
  <c r="K43" i="29" s="1"/>
  <c r="L43" i="29" s="1"/>
  <c r="F44" i="29"/>
  <c r="I56" i="32"/>
  <c r="B57" i="30"/>
  <c r="C58" i="30"/>
  <c r="H54" i="8"/>
  <c r="I54" i="8" s="1"/>
  <c r="G55" i="8"/>
  <c r="N54" i="8"/>
  <c r="B58" i="33"/>
  <c r="C59" i="33"/>
  <c r="H46" i="27"/>
  <c r="J46" i="27" s="1"/>
  <c r="K46" i="27" s="1"/>
  <c r="L46" i="27" s="1"/>
  <c r="F47" i="27"/>
  <c r="G56" i="35"/>
  <c r="I55" i="35"/>
  <c r="B57" i="28"/>
  <c r="C58" i="28"/>
  <c r="L54" i="8"/>
  <c r="M54" i="8" s="1"/>
  <c r="K55" i="8"/>
  <c r="H43" i="30"/>
  <c r="J43" i="30" s="1"/>
  <c r="K43" i="30" s="1"/>
  <c r="L43" i="30" s="1"/>
  <c r="F44" i="30"/>
  <c r="H44" i="33"/>
  <c r="J44" i="33" s="1"/>
  <c r="K44" i="33" s="1"/>
  <c r="L44" i="33" s="1"/>
  <c r="F45" i="33"/>
  <c r="B56" i="29"/>
  <c r="C57" i="29"/>
  <c r="E57" i="29" s="1"/>
  <c r="G56" i="28"/>
  <c r="I55" i="28"/>
  <c r="G56" i="30"/>
  <c r="I55" i="30"/>
  <c r="J56" i="10"/>
  <c r="B58" i="25"/>
  <c r="C59" i="25"/>
  <c r="E57" i="30"/>
  <c r="H43" i="36"/>
  <c r="J43" i="36" s="1"/>
  <c r="K43" i="36" s="1"/>
  <c r="L43" i="36" s="1"/>
  <c r="F44" i="36"/>
  <c r="E58" i="33"/>
  <c r="G56" i="33"/>
  <c r="I55" i="33"/>
  <c r="B57" i="32"/>
  <c r="C58" i="32"/>
  <c r="G57" i="36"/>
  <c r="I56" i="36"/>
  <c r="H44" i="34"/>
  <c r="J44" i="34" s="1"/>
  <c r="K44" i="34" s="1"/>
  <c r="L44" i="34" s="1"/>
  <c r="F45" i="34"/>
  <c r="B57" i="31"/>
  <c r="C58" i="31"/>
  <c r="H44" i="28"/>
  <c r="J44" i="28" s="1"/>
  <c r="K44" i="28" s="1"/>
  <c r="L44" i="28" s="1"/>
  <c r="F45" i="28"/>
  <c r="I55" i="29"/>
  <c r="B59" i="36"/>
  <c r="C60" i="36"/>
  <c r="E57" i="32"/>
  <c r="G57" i="32" s="1"/>
  <c r="F57" i="13"/>
  <c r="E57" i="13"/>
  <c r="D58" i="13"/>
  <c r="H54" i="13"/>
  <c r="I54" i="13" s="1"/>
  <c r="G55" i="13"/>
  <c r="N54" i="13"/>
  <c r="H44" i="31"/>
  <c r="J44" i="31" s="1"/>
  <c r="K44" i="31" s="1"/>
  <c r="L44" i="31" s="1"/>
  <c r="F45" i="31"/>
  <c r="E57" i="28"/>
  <c r="L54" i="10"/>
  <c r="K55" i="10"/>
  <c r="E56" i="29"/>
  <c r="G56" i="29" s="1"/>
  <c r="H46" i="35"/>
  <c r="J46" i="35" s="1"/>
  <c r="K46" i="35" s="1"/>
  <c r="L46" i="35" s="1"/>
  <c r="F47" i="35"/>
  <c r="H43" i="25"/>
  <c r="J43" i="25" s="1"/>
  <c r="K43" i="25" s="1"/>
  <c r="L43" i="25" s="1"/>
  <c r="F44" i="25"/>
  <c r="I57" i="34"/>
  <c r="B56" i="24"/>
  <c r="I56" i="24"/>
  <c r="C57" i="24"/>
  <c r="E57" i="24" s="1"/>
  <c r="G57" i="24" s="1"/>
  <c r="I57" i="27"/>
  <c r="C58" i="27"/>
  <c r="E58" i="27" s="1"/>
  <c r="G58" i="27" s="1"/>
  <c r="B57" i="27"/>
  <c r="I56" i="31"/>
  <c r="B56" i="26"/>
  <c r="C57" i="26"/>
  <c r="H43" i="24"/>
  <c r="J43" i="24" s="1"/>
  <c r="K43" i="24" s="1"/>
  <c r="L43" i="24" s="1"/>
  <c r="F44" i="24"/>
  <c r="G55" i="10"/>
  <c r="H54" i="10"/>
  <c r="I54" i="10" s="1"/>
  <c r="N54" i="10"/>
  <c r="E58" i="25"/>
  <c r="E59" i="36"/>
  <c r="I58" i="34"/>
  <c r="B58" i="34"/>
  <c r="C59" i="34"/>
  <c r="F57" i="8"/>
  <c r="J57" i="8" s="1"/>
  <c r="E57" i="8"/>
  <c r="D58" i="8"/>
  <c r="G56" i="25"/>
  <c r="I55" i="25"/>
  <c r="H43" i="26"/>
  <c r="J43" i="26" s="1"/>
  <c r="K43" i="26" s="1"/>
  <c r="L43" i="26" s="1"/>
  <c r="F44" i="26"/>
  <c r="L54" i="13"/>
  <c r="M54" i="13" s="1"/>
  <c r="O54" i="13"/>
  <c r="K55" i="13"/>
  <c r="E57" i="31"/>
  <c r="G57" i="31" s="1"/>
  <c r="M53" i="10"/>
  <c r="E57" i="10"/>
  <c r="F57" i="10"/>
  <c r="J57" i="10" s="1"/>
  <c r="D58" i="10"/>
  <c r="B58" i="35"/>
  <c r="C59" i="35"/>
  <c r="G56" i="26"/>
  <c r="I56" i="26" s="1"/>
  <c r="H44" i="32" l="1"/>
  <c r="J44" i="32" s="1"/>
  <c r="K44" i="32" s="1"/>
  <c r="L44" i="32" s="1"/>
  <c r="F45" i="32"/>
  <c r="H44" i="29"/>
  <c r="J44" i="29" s="1"/>
  <c r="K44" i="29" s="1"/>
  <c r="L44" i="29" s="1"/>
  <c r="F45" i="29"/>
  <c r="M54" i="10"/>
  <c r="I57" i="31"/>
  <c r="G57" i="29"/>
  <c r="I57" i="29" s="1"/>
  <c r="I56" i="29"/>
  <c r="G58" i="32"/>
  <c r="I58" i="32" s="1"/>
  <c r="I57" i="32"/>
  <c r="H45" i="28"/>
  <c r="J45" i="28" s="1"/>
  <c r="K45" i="28" s="1"/>
  <c r="L45" i="28" s="1"/>
  <c r="F46" i="28"/>
  <c r="B59" i="25"/>
  <c r="C60" i="25"/>
  <c r="E60" i="35"/>
  <c r="B59" i="35"/>
  <c r="C60" i="35"/>
  <c r="B57" i="26"/>
  <c r="C58" i="26"/>
  <c r="E58" i="26" s="1"/>
  <c r="L55" i="10"/>
  <c r="K56" i="10"/>
  <c r="E57" i="26"/>
  <c r="E59" i="28"/>
  <c r="B58" i="28"/>
  <c r="C59" i="28"/>
  <c r="H55" i="13"/>
  <c r="I55" i="13" s="1"/>
  <c r="G56" i="13"/>
  <c r="N55" i="13"/>
  <c r="B58" i="31"/>
  <c r="C59" i="31"/>
  <c r="E58" i="10"/>
  <c r="F58" i="10"/>
  <c r="D59" i="10"/>
  <c r="B59" i="34"/>
  <c r="C60" i="34"/>
  <c r="E60" i="34" s="1"/>
  <c r="H55" i="10"/>
  <c r="I55" i="10" s="1"/>
  <c r="G56" i="10"/>
  <c r="N55" i="10"/>
  <c r="H44" i="25"/>
  <c r="J44" i="25" s="1"/>
  <c r="K44" i="25" s="1"/>
  <c r="L44" i="25" s="1"/>
  <c r="F45" i="25"/>
  <c r="E61" i="36"/>
  <c r="B60" i="36"/>
  <c r="C61" i="36"/>
  <c r="B58" i="32"/>
  <c r="C59" i="32"/>
  <c r="E59" i="25"/>
  <c r="H45" i="33"/>
  <c r="J45" i="33" s="1"/>
  <c r="K45" i="33" s="1"/>
  <c r="L45" i="33" s="1"/>
  <c r="F46" i="33"/>
  <c r="B59" i="33"/>
  <c r="C60" i="33"/>
  <c r="E60" i="33" s="1"/>
  <c r="E59" i="30"/>
  <c r="B58" i="30"/>
  <c r="C59" i="30"/>
  <c r="L55" i="8"/>
  <c r="K56" i="8"/>
  <c r="H47" i="27"/>
  <c r="J47" i="27" s="1"/>
  <c r="K47" i="27" s="1"/>
  <c r="L47" i="27" s="1"/>
  <c r="F48" i="27"/>
  <c r="G57" i="33"/>
  <c r="I56" i="33"/>
  <c r="E59" i="35"/>
  <c r="H44" i="36"/>
  <c r="J44" i="36" s="1"/>
  <c r="K44" i="36" s="1"/>
  <c r="L44" i="36" s="1"/>
  <c r="F45" i="36"/>
  <c r="G57" i="30"/>
  <c r="I56" i="30"/>
  <c r="G57" i="35"/>
  <c r="I56" i="35"/>
  <c r="H55" i="8"/>
  <c r="I55" i="8" s="1"/>
  <c r="G56" i="8"/>
  <c r="N55" i="8"/>
  <c r="G58" i="36"/>
  <c r="I57" i="36"/>
  <c r="G57" i="25"/>
  <c r="I56" i="25"/>
  <c r="H44" i="24"/>
  <c r="J44" i="24" s="1"/>
  <c r="K44" i="24" s="1"/>
  <c r="L44" i="24" s="1"/>
  <c r="F45" i="24"/>
  <c r="H47" i="35"/>
  <c r="J47" i="35" s="1"/>
  <c r="K47" i="35" s="1"/>
  <c r="L47" i="35" s="1"/>
  <c r="F48" i="35"/>
  <c r="E58" i="13"/>
  <c r="F58" i="13"/>
  <c r="J58" i="13" s="1"/>
  <c r="D59" i="13"/>
  <c r="E60" i="36"/>
  <c r="E58" i="31"/>
  <c r="G58" i="31" s="1"/>
  <c r="H44" i="30"/>
  <c r="J44" i="30" s="1"/>
  <c r="K44" i="30" s="1"/>
  <c r="L44" i="30" s="1"/>
  <c r="F45" i="30"/>
  <c r="E58" i="28"/>
  <c r="B58" i="27"/>
  <c r="I58" i="27"/>
  <c r="C59" i="27"/>
  <c r="J57" i="13"/>
  <c r="B57" i="29"/>
  <c r="C58" i="29"/>
  <c r="O55" i="13"/>
  <c r="K56" i="13"/>
  <c r="L55" i="13"/>
  <c r="M55" i="13" s="1"/>
  <c r="E58" i="24"/>
  <c r="G58" i="24" s="1"/>
  <c r="B57" i="24"/>
  <c r="I57" i="24"/>
  <c r="C58" i="24"/>
  <c r="G57" i="26"/>
  <c r="I57" i="26" s="1"/>
  <c r="H44" i="26"/>
  <c r="J44" i="26" s="1"/>
  <c r="K44" i="26" s="1"/>
  <c r="L44" i="26" s="1"/>
  <c r="F45" i="26"/>
  <c r="E58" i="8"/>
  <c r="F58" i="8"/>
  <c r="J58" i="8" s="1"/>
  <c r="D59" i="8"/>
  <c r="E59" i="34"/>
  <c r="G59" i="34" s="1"/>
  <c r="I59" i="34" s="1"/>
  <c r="H45" i="31"/>
  <c r="J45" i="31" s="1"/>
  <c r="K45" i="31" s="1"/>
  <c r="L45" i="31" s="1"/>
  <c r="F46" i="31"/>
  <c r="H45" i="34"/>
  <c r="J45" i="34" s="1"/>
  <c r="K45" i="34" s="1"/>
  <c r="L45" i="34" s="1"/>
  <c r="F46" i="34"/>
  <c r="E58" i="32"/>
  <c r="G57" i="28"/>
  <c r="I56" i="28"/>
  <c r="E59" i="33"/>
  <c r="E58" i="30"/>
  <c r="H45" i="32" l="1"/>
  <c r="J45" i="32" s="1"/>
  <c r="K45" i="32" s="1"/>
  <c r="L45" i="32" s="1"/>
  <c r="F46" i="32"/>
  <c r="H45" i="29"/>
  <c r="J45" i="29" s="1"/>
  <c r="K45" i="29" s="1"/>
  <c r="L45" i="29" s="1"/>
  <c r="F46" i="29"/>
  <c r="I58" i="31"/>
  <c r="F59" i="8"/>
  <c r="E59" i="8"/>
  <c r="D60" i="8"/>
  <c r="L56" i="8"/>
  <c r="K57" i="8"/>
  <c r="H45" i="25"/>
  <c r="J45" i="25" s="1"/>
  <c r="K45" i="25" s="1"/>
  <c r="L45" i="25" s="1"/>
  <c r="F46" i="25"/>
  <c r="E60" i="31"/>
  <c r="B59" i="31"/>
  <c r="C60" i="31"/>
  <c r="B60" i="25"/>
  <c r="C61" i="25"/>
  <c r="H56" i="13"/>
  <c r="I56" i="13" s="1"/>
  <c r="G57" i="13"/>
  <c r="N56" i="13"/>
  <c r="B58" i="29"/>
  <c r="C59" i="29"/>
  <c r="E59" i="29" s="1"/>
  <c r="G58" i="35"/>
  <c r="I57" i="35"/>
  <c r="B59" i="32"/>
  <c r="C60" i="32"/>
  <c r="G58" i="28"/>
  <c r="I57" i="28"/>
  <c r="E60" i="27"/>
  <c r="I59" i="27"/>
  <c r="B59" i="27"/>
  <c r="C60" i="27"/>
  <c r="H45" i="26"/>
  <c r="J45" i="26" s="1"/>
  <c r="K45" i="26" s="1"/>
  <c r="L45" i="26" s="1"/>
  <c r="F46" i="26"/>
  <c r="H46" i="34"/>
  <c r="J46" i="34" s="1"/>
  <c r="K46" i="34" s="1"/>
  <c r="L46" i="34" s="1"/>
  <c r="F47" i="34"/>
  <c r="E59" i="27"/>
  <c r="G59" i="27" s="1"/>
  <c r="H48" i="35"/>
  <c r="J48" i="35" s="1"/>
  <c r="K48" i="35" s="1"/>
  <c r="L48" i="35" s="1"/>
  <c r="F49" i="35"/>
  <c r="E60" i="25"/>
  <c r="G59" i="36"/>
  <c r="I58" i="36"/>
  <c r="G58" i="30"/>
  <c r="I57" i="30"/>
  <c r="E60" i="30"/>
  <c r="B59" i="30"/>
  <c r="C60" i="30"/>
  <c r="E59" i="32"/>
  <c r="E59" i="10"/>
  <c r="F59" i="10"/>
  <c r="J59" i="10" s="1"/>
  <c r="D60" i="10"/>
  <c r="E59" i="31"/>
  <c r="G59" i="31" s="1"/>
  <c r="L56" i="10"/>
  <c r="K57" i="10"/>
  <c r="E61" i="35"/>
  <c r="B60" i="35"/>
  <c r="C61" i="35"/>
  <c r="H46" i="28"/>
  <c r="J46" i="28" s="1"/>
  <c r="K46" i="28" s="1"/>
  <c r="L46" i="28" s="1"/>
  <c r="F47" i="28"/>
  <c r="B60" i="34"/>
  <c r="C61" i="34"/>
  <c r="B58" i="26"/>
  <c r="C59" i="26"/>
  <c r="G58" i="25"/>
  <c r="I57" i="25"/>
  <c r="G58" i="26"/>
  <c r="H46" i="31"/>
  <c r="J46" i="31" s="1"/>
  <c r="K46" i="31" s="1"/>
  <c r="L46" i="31" s="1"/>
  <c r="F47" i="31"/>
  <c r="O56" i="13"/>
  <c r="L56" i="13"/>
  <c r="M56" i="13" s="1"/>
  <c r="K57" i="13"/>
  <c r="E58" i="29"/>
  <c r="G58" i="29" s="1"/>
  <c r="H45" i="36"/>
  <c r="J45" i="36" s="1"/>
  <c r="K45" i="36" s="1"/>
  <c r="L45" i="36" s="1"/>
  <c r="F46" i="36"/>
  <c r="G58" i="33"/>
  <c r="I57" i="33"/>
  <c r="H46" i="33"/>
  <c r="J46" i="33" s="1"/>
  <c r="K46" i="33" s="1"/>
  <c r="L46" i="33" s="1"/>
  <c r="F47" i="33"/>
  <c r="H56" i="10"/>
  <c r="I56" i="10" s="1"/>
  <c r="G57" i="10"/>
  <c r="N56" i="10"/>
  <c r="J58" i="10"/>
  <c r="C60" i="28"/>
  <c r="B59" i="28"/>
  <c r="G60" i="34"/>
  <c r="I60" i="34" s="1"/>
  <c r="H45" i="30"/>
  <c r="J45" i="30" s="1"/>
  <c r="K45" i="30" s="1"/>
  <c r="L45" i="30" s="1"/>
  <c r="F46" i="30"/>
  <c r="B60" i="33"/>
  <c r="C61" i="33"/>
  <c r="G59" i="32"/>
  <c r="M55" i="8"/>
  <c r="I58" i="24"/>
  <c r="B58" i="24"/>
  <c r="C59" i="24"/>
  <c r="E59" i="24" s="1"/>
  <c r="G59" i="24" s="1"/>
  <c r="F110" i="13"/>
  <c r="D5" i="22" s="1"/>
  <c r="E59" i="13"/>
  <c r="F59" i="13"/>
  <c r="J59" i="13" s="1"/>
  <c r="D60" i="13"/>
  <c r="H45" i="24"/>
  <c r="J45" i="24" s="1"/>
  <c r="K45" i="24" s="1"/>
  <c r="L45" i="24" s="1"/>
  <c r="F46" i="24"/>
  <c r="H56" i="8"/>
  <c r="I56" i="8" s="1"/>
  <c r="G57" i="8"/>
  <c r="N56" i="8"/>
  <c r="H48" i="27"/>
  <c r="J48" i="27" s="1"/>
  <c r="K48" i="27" s="1"/>
  <c r="L48" i="27" s="1"/>
  <c r="F49" i="27"/>
  <c r="C62" i="36"/>
  <c r="E62" i="36" s="1"/>
  <c r="B61" i="36"/>
  <c r="M55" i="10"/>
  <c r="H46" i="32" l="1"/>
  <c r="J46" i="32" s="1"/>
  <c r="K46" i="32" s="1"/>
  <c r="L46" i="32" s="1"/>
  <c r="F47" i="32"/>
  <c r="H46" i="29"/>
  <c r="J46" i="29" s="1"/>
  <c r="K46" i="29" s="1"/>
  <c r="L46" i="29" s="1"/>
  <c r="F47" i="29"/>
  <c r="G60" i="31"/>
  <c r="I59" i="31"/>
  <c r="G59" i="29"/>
  <c r="I58" i="29"/>
  <c r="E62" i="33"/>
  <c r="B61" i="33"/>
  <c r="C62" i="33"/>
  <c r="C62" i="34"/>
  <c r="B61" i="34"/>
  <c r="B60" i="32"/>
  <c r="C61" i="32"/>
  <c r="C62" i="25"/>
  <c r="E62" i="25"/>
  <c r="B61" i="25"/>
  <c r="H57" i="10"/>
  <c r="I57" i="10" s="1"/>
  <c r="G58" i="10"/>
  <c r="N57" i="10"/>
  <c r="H47" i="34"/>
  <c r="J47" i="34" s="1"/>
  <c r="K47" i="34" s="1"/>
  <c r="L47" i="34" s="1"/>
  <c r="F48" i="34"/>
  <c r="I59" i="32"/>
  <c r="E60" i="8"/>
  <c r="F60" i="8"/>
  <c r="J60" i="8" s="1"/>
  <c r="D61" i="8"/>
  <c r="B60" i="28"/>
  <c r="C61" i="28"/>
  <c r="H47" i="33"/>
  <c r="J47" i="33" s="1"/>
  <c r="K47" i="33" s="1"/>
  <c r="L47" i="33" s="1"/>
  <c r="F48" i="33"/>
  <c r="L57" i="10"/>
  <c r="K58" i="10"/>
  <c r="G59" i="30"/>
  <c r="I58" i="30"/>
  <c r="H46" i="25"/>
  <c r="J46" i="25" s="1"/>
  <c r="K46" i="25" s="1"/>
  <c r="L46" i="25" s="1"/>
  <c r="F47" i="25"/>
  <c r="C13" i="3"/>
  <c r="E61" i="33"/>
  <c r="O57" i="13"/>
  <c r="L57" i="13"/>
  <c r="K58" i="13"/>
  <c r="E60" i="28"/>
  <c r="B59" i="26"/>
  <c r="C60" i="26"/>
  <c r="G59" i="28"/>
  <c r="I58" i="28"/>
  <c r="E60" i="32"/>
  <c r="G60" i="32" s="1"/>
  <c r="E61" i="25"/>
  <c r="B62" i="36"/>
  <c r="E60" i="24"/>
  <c r="G60" i="24" s="1"/>
  <c r="B59" i="24"/>
  <c r="I59" i="24"/>
  <c r="C60" i="24"/>
  <c r="E60" i="13"/>
  <c r="F60" i="13"/>
  <c r="J60" i="13" s="1"/>
  <c r="D61" i="13"/>
  <c r="F111" i="10"/>
  <c r="D7" i="22" s="1"/>
  <c r="H47" i="28"/>
  <c r="J47" i="28" s="1"/>
  <c r="K47" i="28" s="1"/>
  <c r="L47" i="28" s="1"/>
  <c r="F48" i="28"/>
  <c r="M56" i="10"/>
  <c r="G60" i="36"/>
  <c r="I59" i="36"/>
  <c r="H49" i="35"/>
  <c r="J49" i="35" s="1"/>
  <c r="K49" i="35" s="1"/>
  <c r="L49" i="35" s="1"/>
  <c r="F50" i="35"/>
  <c r="H50" i="35" s="1"/>
  <c r="J50" i="35" s="1"/>
  <c r="K50" i="35" s="1"/>
  <c r="H46" i="26"/>
  <c r="J46" i="26" s="1"/>
  <c r="K46" i="26" s="1"/>
  <c r="L46" i="26" s="1"/>
  <c r="F47" i="26"/>
  <c r="H57" i="13"/>
  <c r="I57" i="13" s="1"/>
  <c r="G58" i="13"/>
  <c r="N57" i="13"/>
  <c r="L57" i="8"/>
  <c r="M57" i="8" s="1"/>
  <c r="K58" i="8"/>
  <c r="J59" i="8"/>
  <c r="F109" i="8"/>
  <c r="D6" i="22" s="1"/>
  <c r="H46" i="24"/>
  <c r="J46" i="24" s="1"/>
  <c r="K46" i="24" s="1"/>
  <c r="L46" i="24" s="1"/>
  <c r="F47" i="24"/>
  <c r="G59" i="25"/>
  <c r="I58" i="25"/>
  <c r="E61" i="34"/>
  <c r="G61" i="34" s="1"/>
  <c r="H57" i="8"/>
  <c r="I57" i="8" s="1"/>
  <c r="G58" i="8"/>
  <c r="N57" i="8"/>
  <c r="G59" i="33"/>
  <c r="I58" i="33"/>
  <c r="H47" i="31"/>
  <c r="J47" i="31" s="1"/>
  <c r="K47" i="31" s="1"/>
  <c r="L47" i="31" s="1"/>
  <c r="F48" i="31"/>
  <c r="I58" i="26"/>
  <c r="B60" i="30"/>
  <c r="C61" i="30"/>
  <c r="E61" i="31"/>
  <c r="B60" i="31"/>
  <c r="C61" i="31"/>
  <c r="I60" i="31"/>
  <c r="B59" i="29"/>
  <c r="I59" i="29"/>
  <c r="C60" i="29"/>
  <c r="H49" i="27"/>
  <c r="J49" i="27" s="1"/>
  <c r="K49" i="27" s="1"/>
  <c r="L49" i="27" s="1"/>
  <c r="F50" i="27"/>
  <c r="H50" i="27" s="1"/>
  <c r="J50" i="27" s="1"/>
  <c r="K50" i="27" s="1"/>
  <c r="L50" i="27" s="1"/>
  <c r="H46" i="30"/>
  <c r="J46" i="30" s="1"/>
  <c r="K46" i="30" s="1"/>
  <c r="L46" i="30" s="1"/>
  <c r="F47" i="30"/>
  <c r="C14" i="3"/>
  <c r="H46" i="36"/>
  <c r="J46" i="36" s="1"/>
  <c r="K46" i="36" s="1"/>
  <c r="L46" i="36" s="1"/>
  <c r="F47" i="36"/>
  <c r="E59" i="26"/>
  <c r="G59" i="26" s="1"/>
  <c r="C62" i="35"/>
  <c r="B61" i="35"/>
  <c r="E60" i="10"/>
  <c r="F60" i="10"/>
  <c r="J60" i="10" s="1"/>
  <c r="D61" i="10"/>
  <c r="G60" i="27"/>
  <c r="E61" i="27"/>
  <c r="B60" i="27"/>
  <c r="C61" i="27"/>
  <c r="G59" i="35"/>
  <c r="I58" i="35"/>
  <c r="M56" i="8"/>
  <c r="L50" i="35" l="1"/>
  <c r="H47" i="32"/>
  <c r="J47" i="32" s="1"/>
  <c r="K47" i="32" s="1"/>
  <c r="L47" i="32" s="1"/>
  <c r="F48" i="32"/>
  <c r="F48" i="29"/>
  <c r="H47" i="29"/>
  <c r="J47" i="29" s="1"/>
  <c r="K47" i="29" s="1"/>
  <c r="L47" i="29" s="1"/>
  <c r="D8" i="22"/>
  <c r="D10" i="22" s="1"/>
  <c r="C31" i="3" s="1"/>
  <c r="M57" i="10"/>
  <c r="I59" i="26"/>
  <c r="I61" i="34"/>
  <c r="I60" i="32"/>
  <c r="H48" i="28"/>
  <c r="J48" i="28" s="1"/>
  <c r="K48" i="28" s="1"/>
  <c r="L48" i="28" s="1"/>
  <c r="F49" i="28"/>
  <c r="B60" i="26"/>
  <c r="C61" i="26"/>
  <c r="E61" i="8"/>
  <c r="F61" i="8"/>
  <c r="J61" i="8" s="1"/>
  <c r="D62" i="8"/>
  <c r="H48" i="34"/>
  <c r="J48" i="34" s="1"/>
  <c r="K48" i="34" s="1"/>
  <c r="L48" i="34" s="1"/>
  <c r="F49" i="34"/>
  <c r="H48" i="31"/>
  <c r="J48" i="31" s="1"/>
  <c r="K48" i="31" s="1"/>
  <c r="L48" i="31" s="1"/>
  <c r="F49" i="31"/>
  <c r="B62" i="35"/>
  <c r="G60" i="30"/>
  <c r="I59" i="30"/>
  <c r="E62" i="28"/>
  <c r="B61" i="28"/>
  <c r="C62" i="28"/>
  <c r="H47" i="30"/>
  <c r="J47" i="30" s="1"/>
  <c r="K47" i="30" s="1"/>
  <c r="L47" i="30" s="1"/>
  <c r="F48" i="30"/>
  <c r="E60" i="26"/>
  <c r="G60" i="26" s="1"/>
  <c r="B62" i="25"/>
  <c r="C63" i="34"/>
  <c r="B62" i="34"/>
  <c r="L58" i="8"/>
  <c r="K59" i="8"/>
  <c r="G60" i="33"/>
  <c r="I59" i="33"/>
  <c r="G60" i="25"/>
  <c r="I59" i="25"/>
  <c r="L58" i="10"/>
  <c r="K59" i="10"/>
  <c r="E61" i="28"/>
  <c r="C62" i="32"/>
  <c r="E62" i="32" s="1"/>
  <c r="B61" i="32"/>
  <c r="E62" i="34"/>
  <c r="G62" i="34" s="1"/>
  <c r="G60" i="29"/>
  <c r="B60" i="29"/>
  <c r="I60" i="29"/>
  <c r="C61" i="29"/>
  <c r="H47" i="26"/>
  <c r="J47" i="26" s="1"/>
  <c r="K47" i="26" s="1"/>
  <c r="L47" i="26" s="1"/>
  <c r="F48" i="26"/>
  <c r="E62" i="35"/>
  <c r="B61" i="30"/>
  <c r="C62" i="30"/>
  <c r="E62" i="30" s="1"/>
  <c r="H58" i="8"/>
  <c r="I58" i="8" s="1"/>
  <c r="G59" i="8"/>
  <c r="N58" i="8"/>
  <c r="H47" i="24"/>
  <c r="J47" i="24" s="1"/>
  <c r="K47" i="24" s="1"/>
  <c r="L47" i="24" s="1"/>
  <c r="F48" i="24"/>
  <c r="I60" i="24"/>
  <c r="B60" i="24"/>
  <c r="C61" i="24"/>
  <c r="H47" i="25"/>
  <c r="J47" i="25" s="1"/>
  <c r="K47" i="25" s="1"/>
  <c r="L47" i="25" s="1"/>
  <c r="F48" i="25"/>
  <c r="H58" i="10"/>
  <c r="I58" i="10" s="1"/>
  <c r="G59" i="10"/>
  <c r="N58" i="10"/>
  <c r="B62" i="33"/>
  <c r="G61" i="27"/>
  <c r="E61" i="10"/>
  <c r="F61" i="10"/>
  <c r="J61" i="10" s="1"/>
  <c r="D62" i="10"/>
  <c r="G60" i="35"/>
  <c r="I59" i="35"/>
  <c r="E60" i="29"/>
  <c r="B61" i="27"/>
  <c r="C62" i="27"/>
  <c r="E61" i="30"/>
  <c r="H58" i="13"/>
  <c r="I58" i="13" s="1"/>
  <c r="G59" i="13"/>
  <c r="N58" i="13"/>
  <c r="G61" i="36"/>
  <c r="I60" i="36"/>
  <c r="G60" i="28"/>
  <c r="I59" i="28"/>
  <c r="O58" i="13"/>
  <c r="L58" i="13"/>
  <c r="K59" i="13"/>
  <c r="D59" i="36"/>
  <c r="D52" i="36"/>
  <c r="D61" i="36"/>
  <c r="D62" i="36"/>
  <c r="D51" i="36"/>
  <c r="D53" i="36"/>
  <c r="D60" i="36"/>
  <c r="D58" i="36"/>
  <c r="D57" i="36"/>
  <c r="D54" i="36"/>
  <c r="D55" i="36"/>
  <c r="D56" i="36"/>
  <c r="H47" i="36"/>
  <c r="J47" i="36" s="1"/>
  <c r="K47" i="36" s="1"/>
  <c r="L47" i="36" s="1"/>
  <c r="F48" i="36"/>
  <c r="I60" i="27"/>
  <c r="B61" i="31"/>
  <c r="C62" i="31"/>
  <c r="E62" i="31" s="1"/>
  <c r="E61" i="13"/>
  <c r="F61" i="13"/>
  <c r="J61" i="13" s="1"/>
  <c r="D62" i="13"/>
  <c r="M57" i="13"/>
  <c r="H48" i="33"/>
  <c r="J48" i="33" s="1"/>
  <c r="K48" i="33" s="1"/>
  <c r="L48" i="33" s="1"/>
  <c r="F49" i="33"/>
  <c r="E61" i="32"/>
  <c r="G61" i="32" s="1"/>
  <c r="G61" i="31"/>
  <c r="H48" i="32" l="1"/>
  <c r="J48" i="32" s="1"/>
  <c r="K48" i="32" s="1"/>
  <c r="L48" i="32" s="1"/>
  <c r="F49" i="32"/>
  <c r="H48" i="29"/>
  <c r="J48" i="29" s="1"/>
  <c r="K48" i="29" s="1"/>
  <c r="L48" i="29" s="1"/>
  <c r="F49" i="29"/>
  <c r="E63" i="34"/>
  <c r="I62" i="34"/>
  <c r="I60" i="26"/>
  <c r="G62" i="32"/>
  <c r="I62" i="32" s="1"/>
  <c r="I61" i="32"/>
  <c r="B61" i="29"/>
  <c r="C62" i="29"/>
  <c r="D61" i="35"/>
  <c r="D59" i="35"/>
  <c r="D53" i="35"/>
  <c r="D58" i="35"/>
  <c r="D60" i="35"/>
  <c r="D51" i="35"/>
  <c r="F51" i="35" s="1"/>
  <c r="H51" i="35" s="1"/>
  <c r="J51" i="35" s="1"/>
  <c r="K51" i="35" s="1"/>
  <c r="L51" i="35" s="1"/>
  <c r="D55" i="35"/>
  <c r="D52" i="35"/>
  <c r="D57" i="35"/>
  <c r="D56" i="35"/>
  <c r="D54" i="35"/>
  <c r="D62" i="35"/>
  <c r="H48" i="24"/>
  <c r="J48" i="24" s="1"/>
  <c r="K48" i="24" s="1"/>
  <c r="L48" i="24" s="1"/>
  <c r="F49" i="24"/>
  <c r="H49" i="31"/>
  <c r="J49" i="31" s="1"/>
  <c r="K49" i="31" s="1"/>
  <c r="L49" i="31" s="1"/>
  <c r="F50" i="31"/>
  <c r="H50" i="31" s="1"/>
  <c r="J50" i="31" s="1"/>
  <c r="K50" i="31" s="1"/>
  <c r="H48" i="36"/>
  <c r="J48" i="36" s="1"/>
  <c r="K48" i="36" s="1"/>
  <c r="L48" i="36" s="1"/>
  <c r="F49" i="36"/>
  <c r="D62" i="34"/>
  <c r="D52" i="34"/>
  <c r="D55" i="34"/>
  <c r="D59" i="34"/>
  <c r="D60" i="34"/>
  <c r="D53" i="34"/>
  <c r="D57" i="34"/>
  <c r="D58" i="34"/>
  <c r="D61" i="34"/>
  <c r="D51" i="34"/>
  <c r="D56" i="34"/>
  <c r="D54" i="34"/>
  <c r="H49" i="33"/>
  <c r="J49" i="33" s="1"/>
  <c r="K49" i="33" s="1"/>
  <c r="L49" i="33" s="1"/>
  <c r="F50" i="33"/>
  <c r="H50" i="33" s="1"/>
  <c r="J50" i="33" s="1"/>
  <c r="K50" i="33" s="1"/>
  <c r="B62" i="27"/>
  <c r="E62" i="10"/>
  <c r="F62" i="10"/>
  <c r="J62" i="10" s="1"/>
  <c r="D63" i="10"/>
  <c r="E61" i="29"/>
  <c r="G61" i="33"/>
  <c r="I60" i="33"/>
  <c r="H48" i="30"/>
  <c r="J48" i="30" s="1"/>
  <c r="K48" i="30" s="1"/>
  <c r="L48" i="30" s="1"/>
  <c r="F49" i="30"/>
  <c r="G61" i="30"/>
  <c r="I60" i="30"/>
  <c r="B62" i="30"/>
  <c r="C62" i="24"/>
  <c r="B61" i="24"/>
  <c r="G62" i="31"/>
  <c r="I62" i="31" s="1"/>
  <c r="I61" i="31"/>
  <c r="H59" i="8"/>
  <c r="G60" i="8"/>
  <c r="N59" i="8"/>
  <c r="H49" i="34"/>
  <c r="J49" i="34" s="1"/>
  <c r="K49" i="34" s="1"/>
  <c r="L49" i="34" s="1"/>
  <c r="F50" i="34"/>
  <c r="H50" i="34" s="1"/>
  <c r="J50" i="34" s="1"/>
  <c r="K50" i="34" s="1"/>
  <c r="L50" i="34" s="1"/>
  <c r="C62" i="26"/>
  <c r="B61" i="26"/>
  <c r="G61" i="25"/>
  <c r="I60" i="25"/>
  <c r="E62" i="13"/>
  <c r="F62" i="13"/>
  <c r="J62" i="13" s="1"/>
  <c r="D63" i="13"/>
  <c r="L59" i="13"/>
  <c r="K60" i="13"/>
  <c r="O59" i="13"/>
  <c r="G62" i="36"/>
  <c r="I62" i="36" s="1"/>
  <c r="I61" i="36"/>
  <c r="E61" i="24"/>
  <c r="G61" i="24" s="1"/>
  <c r="G61" i="29"/>
  <c r="L59" i="10"/>
  <c r="K60" i="10"/>
  <c r="L59" i="8"/>
  <c r="K60" i="8"/>
  <c r="G61" i="35"/>
  <c r="I60" i="35"/>
  <c r="D62" i="33"/>
  <c r="D52" i="33"/>
  <c r="D58" i="33"/>
  <c r="D53" i="33"/>
  <c r="D60" i="33"/>
  <c r="D54" i="33"/>
  <c r="D61" i="33"/>
  <c r="D51" i="33"/>
  <c r="D55" i="33"/>
  <c r="D59" i="33"/>
  <c r="D56" i="33"/>
  <c r="D57" i="33"/>
  <c r="I61" i="27"/>
  <c r="E62" i="27"/>
  <c r="G62" i="27" s="1"/>
  <c r="I62" i="27" s="1"/>
  <c r="H48" i="26"/>
  <c r="J48" i="26" s="1"/>
  <c r="K48" i="26" s="1"/>
  <c r="L48" i="26" s="1"/>
  <c r="F49" i="26"/>
  <c r="D61" i="25"/>
  <c r="D59" i="25"/>
  <c r="D54" i="25"/>
  <c r="D56" i="25"/>
  <c r="D60" i="25"/>
  <c r="D53" i="25"/>
  <c r="D57" i="25"/>
  <c r="D58" i="25"/>
  <c r="D51" i="25"/>
  <c r="D52" i="25"/>
  <c r="D55" i="25"/>
  <c r="D62" i="25"/>
  <c r="B62" i="28"/>
  <c r="E62" i="8"/>
  <c r="F62" i="8"/>
  <c r="J62" i="8" s="1"/>
  <c r="D63" i="8"/>
  <c r="E61" i="26"/>
  <c r="G61" i="26" s="1"/>
  <c r="B62" i="32"/>
  <c r="B62" i="31"/>
  <c r="G61" i="28"/>
  <c r="I60" i="28"/>
  <c r="H59" i="10"/>
  <c r="I59" i="10" s="1"/>
  <c r="G60" i="10"/>
  <c r="N59" i="10"/>
  <c r="M58" i="13"/>
  <c r="G60" i="13"/>
  <c r="H59" i="13"/>
  <c r="N59" i="13"/>
  <c r="H48" i="25"/>
  <c r="J48" i="25" s="1"/>
  <c r="K48" i="25" s="1"/>
  <c r="L48" i="25" s="1"/>
  <c r="F49" i="25"/>
  <c r="M58" i="10"/>
  <c r="M58" i="8"/>
  <c r="H49" i="28"/>
  <c r="J49" i="28" s="1"/>
  <c r="K49" i="28" s="1"/>
  <c r="L49" i="28" s="1"/>
  <c r="F50" i="28"/>
  <c r="H50" i="28" s="1"/>
  <c r="J50" i="28" s="1"/>
  <c r="K50" i="28" s="1"/>
  <c r="L50" i="28" s="1"/>
  <c r="F50" i="32" l="1"/>
  <c r="H50" i="32" s="1"/>
  <c r="J50" i="32" s="1"/>
  <c r="K50" i="32" s="1"/>
  <c r="H49" i="32"/>
  <c r="J49" i="32" s="1"/>
  <c r="K49" i="32" s="1"/>
  <c r="L49" i="32" s="1"/>
  <c r="H49" i="29"/>
  <c r="J49" i="29" s="1"/>
  <c r="K49" i="29" s="1"/>
  <c r="L49" i="29" s="1"/>
  <c r="F50" i="29"/>
  <c r="H50" i="29" s="1"/>
  <c r="J50" i="29" s="1"/>
  <c r="K50" i="29" s="1"/>
  <c r="L50" i="29" s="1"/>
  <c r="M59" i="10"/>
  <c r="E7" i="22" s="1"/>
  <c r="E14" i="22" s="1"/>
  <c r="I61" i="26"/>
  <c r="C17" i="3"/>
  <c r="F63" i="13"/>
  <c r="J63" i="13" s="1"/>
  <c r="D64" i="13"/>
  <c r="E63" i="13"/>
  <c r="H60" i="8"/>
  <c r="I60" i="8" s="1"/>
  <c r="G61" i="8"/>
  <c r="N60" i="8"/>
  <c r="F63" i="10"/>
  <c r="J63" i="10" s="1"/>
  <c r="D64" i="10"/>
  <c r="E63" i="10"/>
  <c r="L50" i="33"/>
  <c r="H49" i="24"/>
  <c r="J49" i="24" s="1"/>
  <c r="K49" i="24" s="1"/>
  <c r="L49" i="24" s="1"/>
  <c r="F50" i="24"/>
  <c r="H50" i="24" s="1"/>
  <c r="J50" i="24" s="1"/>
  <c r="K50" i="24" s="1"/>
  <c r="L50" i="24" s="1"/>
  <c r="L60" i="10"/>
  <c r="K61" i="10"/>
  <c r="B62" i="24"/>
  <c r="G62" i="35"/>
  <c r="I61" i="35"/>
  <c r="L60" i="13"/>
  <c r="O60" i="13"/>
  <c r="K61" i="13"/>
  <c r="E62" i="24"/>
  <c r="G62" i="24" s="1"/>
  <c r="I62" i="24" s="1"/>
  <c r="H49" i="30"/>
  <c r="J49" i="30" s="1"/>
  <c r="K49" i="30" s="1"/>
  <c r="L49" i="30" s="1"/>
  <c r="F50" i="30"/>
  <c r="H50" i="30" s="1"/>
  <c r="J50" i="30" s="1"/>
  <c r="K50" i="30" s="1"/>
  <c r="F63" i="8"/>
  <c r="J63" i="8" s="1"/>
  <c r="D64" i="8"/>
  <c r="E63" i="8"/>
  <c r="G62" i="30"/>
  <c r="I62" i="30" s="1"/>
  <c r="I61" i="30"/>
  <c r="C18" i="3"/>
  <c r="B62" i="26"/>
  <c r="B62" i="29"/>
  <c r="H49" i="25"/>
  <c r="J49" i="25" s="1"/>
  <c r="K49" i="25" s="1"/>
  <c r="L49" i="25" s="1"/>
  <c r="F50" i="25"/>
  <c r="H50" i="25" s="1"/>
  <c r="J50" i="25" s="1"/>
  <c r="K50" i="25" s="1"/>
  <c r="D61" i="31"/>
  <c r="D59" i="31"/>
  <c r="D62" i="31"/>
  <c r="D58" i="31"/>
  <c r="D55" i="31"/>
  <c r="D56" i="31"/>
  <c r="D60" i="31"/>
  <c r="D51" i="31"/>
  <c r="F51" i="31" s="1"/>
  <c r="H51" i="31" s="1"/>
  <c r="J51" i="31" s="1"/>
  <c r="K51" i="31" s="1"/>
  <c r="L51" i="31" s="1"/>
  <c r="D53" i="31"/>
  <c r="D57" i="31"/>
  <c r="D52" i="31"/>
  <c r="D54" i="31"/>
  <c r="E62" i="26"/>
  <c r="G62" i="26" s="1"/>
  <c r="I62" i="26" s="1"/>
  <c r="D59" i="30"/>
  <c r="D56" i="30"/>
  <c r="D61" i="30"/>
  <c r="D57" i="30"/>
  <c r="D55" i="30"/>
  <c r="D52" i="30"/>
  <c r="D62" i="30"/>
  <c r="D53" i="30"/>
  <c r="D60" i="30"/>
  <c r="D51" i="30"/>
  <c r="F51" i="30" s="1"/>
  <c r="H51" i="30" s="1"/>
  <c r="J51" i="30" s="1"/>
  <c r="K51" i="30" s="1"/>
  <c r="L51" i="30" s="1"/>
  <c r="D54" i="30"/>
  <c r="D58" i="30"/>
  <c r="H49" i="36"/>
  <c r="J49" i="36" s="1"/>
  <c r="K49" i="36" s="1"/>
  <c r="L49" i="36" s="1"/>
  <c r="F50" i="36"/>
  <c r="C15" i="3"/>
  <c r="I59" i="8"/>
  <c r="M59" i="8" s="1"/>
  <c r="E6" i="22" s="1"/>
  <c r="H49" i="26"/>
  <c r="J49" i="26" s="1"/>
  <c r="K49" i="26" s="1"/>
  <c r="L49" i="26" s="1"/>
  <c r="F50" i="26"/>
  <c r="H50" i="26" s="1"/>
  <c r="J50" i="26" s="1"/>
  <c r="K50" i="26" s="1"/>
  <c r="L50" i="26" s="1"/>
  <c r="F52" i="33"/>
  <c r="H52" i="33" s="1"/>
  <c r="J52" i="33" s="1"/>
  <c r="K52" i="33" s="1"/>
  <c r="L52" i="33" s="1"/>
  <c r="G62" i="33"/>
  <c r="I62" i="33" s="1"/>
  <c r="I61" i="33"/>
  <c r="I61" i="29"/>
  <c r="G62" i="28"/>
  <c r="I62" i="28" s="1"/>
  <c r="I61" i="28"/>
  <c r="C16" i="3"/>
  <c r="I59" i="13"/>
  <c r="M59" i="13" s="1"/>
  <c r="E5" i="22" s="1"/>
  <c r="H60" i="10"/>
  <c r="I60" i="10" s="1"/>
  <c r="G61" i="10"/>
  <c r="N60" i="10"/>
  <c r="D62" i="32"/>
  <c r="D60" i="32"/>
  <c r="D59" i="32"/>
  <c r="D57" i="32"/>
  <c r="D61" i="32"/>
  <c r="D52" i="32"/>
  <c r="F52" i="32" s="1"/>
  <c r="H52" i="32" s="1"/>
  <c r="J52" i="32" s="1"/>
  <c r="K52" i="32" s="1"/>
  <c r="L52" i="32" s="1"/>
  <c r="D51" i="32"/>
  <c r="F51" i="32" s="1"/>
  <c r="H51" i="32" s="1"/>
  <c r="J51" i="32" s="1"/>
  <c r="K51" i="32" s="1"/>
  <c r="L51" i="32" s="1"/>
  <c r="D58" i="32"/>
  <c r="D56" i="32"/>
  <c r="D55" i="32"/>
  <c r="D53" i="32"/>
  <c r="D54" i="32"/>
  <c r="D62" i="28"/>
  <c r="D55" i="28"/>
  <c r="D60" i="28"/>
  <c r="D59" i="28"/>
  <c r="D51" i="28"/>
  <c r="F51" i="28" s="1"/>
  <c r="H51" i="28" s="1"/>
  <c r="J51" i="28" s="1"/>
  <c r="K51" i="28" s="1"/>
  <c r="L51" i="28" s="1"/>
  <c r="D53" i="28"/>
  <c r="D54" i="28"/>
  <c r="D61" i="28"/>
  <c r="D56" i="28"/>
  <c r="D52" i="28"/>
  <c r="D57" i="28"/>
  <c r="D58" i="28"/>
  <c r="L60" i="8"/>
  <c r="K61" i="8"/>
  <c r="G62" i="25"/>
  <c r="I62" i="25" s="1"/>
  <c r="I61" i="25"/>
  <c r="D59" i="27"/>
  <c r="D53" i="27"/>
  <c r="D51" i="27"/>
  <c r="F51" i="27" s="1"/>
  <c r="H51" i="27" s="1"/>
  <c r="J51" i="27" s="1"/>
  <c r="K51" i="27" s="1"/>
  <c r="L51" i="27" s="1"/>
  <c r="D54" i="27"/>
  <c r="D55" i="27"/>
  <c r="D61" i="27"/>
  <c r="D52" i="27"/>
  <c r="D57" i="27"/>
  <c r="D62" i="27"/>
  <c r="D56" i="27"/>
  <c r="D58" i="27"/>
  <c r="D60" i="27"/>
  <c r="F51" i="34"/>
  <c r="H51" i="34" s="1"/>
  <c r="J51" i="34" s="1"/>
  <c r="K51" i="34" s="1"/>
  <c r="L51" i="34" s="1"/>
  <c r="F52" i="34"/>
  <c r="H52" i="34" s="1"/>
  <c r="J52" i="34" s="1"/>
  <c r="K52" i="34" s="1"/>
  <c r="L52" i="34" s="1"/>
  <c r="L50" i="31"/>
  <c r="E62" i="29"/>
  <c r="G62" i="29" s="1"/>
  <c r="I62" i="29" s="1"/>
  <c r="H60" i="13"/>
  <c r="I60" i="13" s="1"/>
  <c r="G61" i="13"/>
  <c r="N60" i="13"/>
  <c r="F51" i="33"/>
  <c r="H51" i="33" s="1"/>
  <c r="J51" i="33" s="1"/>
  <c r="K51" i="33" s="1"/>
  <c r="L51" i="33" s="1"/>
  <c r="I61" i="24"/>
  <c r="F52" i="35"/>
  <c r="H52" i="35" s="1"/>
  <c r="J52" i="35" s="1"/>
  <c r="K52" i="35" s="1"/>
  <c r="L52" i="35" s="1"/>
  <c r="F53" i="32" l="1"/>
  <c r="H53" i="32" s="1"/>
  <c r="J53" i="32" s="1"/>
  <c r="K53" i="32" s="1"/>
  <c r="L53" i="32" s="1"/>
  <c r="L50" i="32"/>
  <c r="F52" i="31"/>
  <c r="H52" i="31" s="1"/>
  <c r="J52" i="31" s="1"/>
  <c r="K52" i="31" s="1"/>
  <c r="L52" i="31" s="1"/>
  <c r="F52" i="27"/>
  <c r="H52" i="27" s="1"/>
  <c r="J52" i="27" s="1"/>
  <c r="K52" i="27" s="1"/>
  <c r="L52" i="27" s="1"/>
  <c r="F51" i="25"/>
  <c r="H51" i="25" s="1"/>
  <c r="J51" i="25" s="1"/>
  <c r="K51" i="25" s="1"/>
  <c r="L51" i="25" s="1"/>
  <c r="E13" i="22"/>
  <c r="E15" i="22" s="1"/>
  <c r="E8" i="22"/>
  <c r="H50" i="36"/>
  <c r="J50" i="36" s="1"/>
  <c r="K50" i="36" s="1"/>
  <c r="L50" i="36" s="1"/>
  <c r="F51" i="36"/>
  <c r="F64" i="8"/>
  <c r="J64" i="8" s="1"/>
  <c r="D65" i="8"/>
  <c r="E64" i="8"/>
  <c r="E63" i="35"/>
  <c r="I62" i="35"/>
  <c r="F64" i="10"/>
  <c r="J64" i="10" s="1"/>
  <c r="D65" i="10"/>
  <c r="E64" i="10"/>
  <c r="C19" i="3"/>
  <c r="D62" i="29"/>
  <c r="D61" i="29"/>
  <c r="D52" i="29"/>
  <c r="D53" i="29"/>
  <c r="D51" i="29"/>
  <c r="F51" i="29" s="1"/>
  <c r="H51" i="29" s="1"/>
  <c r="J51" i="29" s="1"/>
  <c r="K51" i="29" s="1"/>
  <c r="L51" i="29" s="1"/>
  <c r="D56" i="29"/>
  <c r="D57" i="29"/>
  <c r="D55" i="29"/>
  <c r="D60" i="29"/>
  <c r="D58" i="29"/>
  <c r="D59" i="29"/>
  <c r="D54" i="29"/>
  <c r="L61" i="13"/>
  <c r="O61" i="13"/>
  <c r="K62" i="13"/>
  <c r="F64" i="13"/>
  <c r="J64" i="13" s="1"/>
  <c r="D65" i="13"/>
  <c r="E64" i="13"/>
  <c r="L61" i="8"/>
  <c r="K62" i="8"/>
  <c r="F52" i="28"/>
  <c r="H52" i="28" s="1"/>
  <c r="J52" i="28" s="1"/>
  <c r="K52" i="28" s="1"/>
  <c r="L52" i="28" s="1"/>
  <c r="F52" i="30"/>
  <c r="H52" i="30" s="1"/>
  <c r="J52" i="30" s="1"/>
  <c r="K52" i="30" s="1"/>
  <c r="L52" i="30" s="1"/>
  <c r="F53" i="31"/>
  <c r="H53" i="31" s="1"/>
  <c r="J53" i="31" s="1"/>
  <c r="K53" i="31" s="1"/>
  <c r="L53" i="31" s="1"/>
  <c r="F53" i="33"/>
  <c r="D58" i="24"/>
  <c r="D53" i="24"/>
  <c r="D62" i="24"/>
  <c r="D52" i="24"/>
  <c r="D56" i="24"/>
  <c r="D60" i="24"/>
  <c r="D54" i="24"/>
  <c r="D59" i="24"/>
  <c r="D51" i="24"/>
  <c r="F51" i="24" s="1"/>
  <c r="H51" i="24" s="1"/>
  <c r="J51" i="24" s="1"/>
  <c r="K51" i="24" s="1"/>
  <c r="L51" i="24" s="1"/>
  <c r="D57" i="24"/>
  <c r="D61" i="24"/>
  <c r="D55" i="24"/>
  <c r="F54" i="27"/>
  <c r="H54" i="27" s="1"/>
  <c r="J54" i="27" s="1"/>
  <c r="K54" i="27" s="1"/>
  <c r="L54" i="27" s="1"/>
  <c r="H61" i="10"/>
  <c r="I61" i="10" s="1"/>
  <c r="G62" i="10"/>
  <c r="N61" i="10"/>
  <c r="L61" i="10"/>
  <c r="M61" i="10" s="1"/>
  <c r="K62" i="10"/>
  <c r="H61" i="13"/>
  <c r="I61" i="13" s="1"/>
  <c r="G62" i="13"/>
  <c r="N61" i="13"/>
  <c r="M60" i="8"/>
  <c r="F53" i="35"/>
  <c r="F53" i="34"/>
  <c r="M60" i="13"/>
  <c r="F53" i="27"/>
  <c r="H53" i="27" s="1"/>
  <c r="J53" i="27" s="1"/>
  <c r="K53" i="27" s="1"/>
  <c r="L53" i="27" s="1"/>
  <c r="F54" i="32"/>
  <c r="H54" i="32" s="1"/>
  <c r="J54" i="32" s="1"/>
  <c r="K54" i="32" s="1"/>
  <c r="L54" i="32" s="1"/>
  <c r="F52" i="25"/>
  <c r="L50" i="25"/>
  <c r="D60" i="26"/>
  <c r="D62" i="26"/>
  <c r="D52" i="26"/>
  <c r="D61" i="26"/>
  <c r="D58" i="26"/>
  <c r="D56" i="26"/>
  <c r="D59" i="26"/>
  <c r="D54" i="26"/>
  <c r="D55" i="26"/>
  <c r="D51" i="26"/>
  <c r="F51" i="26" s="1"/>
  <c r="H51" i="26" s="1"/>
  <c r="J51" i="26" s="1"/>
  <c r="K51" i="26" s="1"/>
  <c r="L51" i="26" s="1"/>
  <c r="D53" i="26"/>
  <c r="D57" i="26"/>
  <c r="L50" i="30"/>
  <c r="M60" i="10"/>
  <c r="H61" i="8"/>
  <c r="I61" i="8" s="1"/>
  <c r="G62" i="8"/>
  <c r="N61" i="8"/>
  <c r="F55" i="32" l="1"/>
  <c r="H55" i="32" s="1"/>
  <c r="J55" i="32" s="1"/>
  <c r="K55" i="32" s="1"/>
  <c r="L55" i="32" s="1"/>
  <c r="F54" i="31"/>
  <c r="H54" i="31" s="1"/>
  <c r="J54" i="31" s="1"/>
  <c r="K54" i="31" s="1"/>
  <c r="L54" i="31" s="1"/>
  <c r="F52" i="26"/>
  <c r="H52" i="26" s="1"/>
  <c r="J52" i="26" s="1"/>
  <c r="K52" i="26" s="1"/>
  <c r="L52" i="26" s="1"/>
  <c r="H52" i="25"/>
  <c r="J52" i="25" s="1"/>
  <c r="K52" i="25" s="1"/>
  <c r="L52" i="25" s="1"/>
  <c r="F53" i="25"/>
  <c r="H53" i="35"/>
  <c r="J53" i="35" s="1"/>
  <c r="K53" i="35" s="1"/>
  <c r="L53" i="35" s="1"/>
  <c r="F54" i="35"/>
  <c r="C21" i="3"/>
  <c r="F53" i="28"/>
  <c r="M61" i="13"/>
  <c r="F65" i="13"/>
  <c r="J65" i="13" s="1"/>
  <c r="D66" i="13"/>
  <c r="E65" i="13"/>
  <c r="F53" i="29"/>
  <c r="H53" i="29" s="1"/>
  <c r="J53" i="29" s="1"/>
  <c r="K53" i="29" s="1"/>
  <c r="L53" i="29" s="1"/>
  <c r="F56" i="32"/>
  <c r="F53" i="26"/>
  <c r="H53" i="26" s="1"/>
  <c r="J53" i="26" s="1"/>
  <c r="K53" i="26" s="1"/>
  <c r="L53" i="26" s="1"/>
  <c r="H53" i="33"/>
  <c r="J53" i="33" s="1"/>
  <c r="K53" i="33" s="1"/>
  <c r="L53" i="33" s="1"/>
  <c r="F54" i="33"/>
  <c r="L62" i="8"/>
  <c r="K63" i="8"/>
  <c r="F52" i="29"/>
  <c r="H52" i="29" s="1"/>
  <c r="J52" i="29" s="1"/>
  <c r="K52" i="29" s="1"/>
  <c r="L52" i="29" s="1"/>
  <c r="H51" i="36"/>
  <c r="J51" i="36" s="1"/>
  <c r="K51" i="36" s="1"/>
  <c r="L51" i="36" s="1"/>
  <c r="F52" i="36"/>
  <c r="H53" i="34"/>
  <c r="J53" i="34" s="1"/>
  <c r="K53" i="34" s="1"/>
  <c r="L53" i="34" s="1"/>
  <c r="F54" i="34"/>
  <c r="M61" i="8"/>
  <c r="F55" i="27"/>
  <c r="F65" i="8"/>
  <c r="J65" i="8" s="1"/>
  <c r="D66" i="8"/>
  <c r="E65" i="8"/>
  <c r="F53" i="24"/>
  <c r="H53" i="24" s="1"/>
  <c r="J53" i="24" s="1"/>
  <c r="K53" i="24" s="1"/>
  <c r="L53" i="24" s="1"/>
  <c r="G63" i="13"/>
  <c r="H62" i="13"/>
  <c r="I62" i="13" s="1"/>
  <c r="N62" i="13"/>
  <c r="G63" i="8"/>
  <c r="H62" i="8"/>
  <c r="I62" i="8" s="1"/>
  <c r="N62" i="8"/>
  <c r="K63" i="10"/>
  <c r="L62" i="10"/>
  <c r="G63" i="10"/>
  <c r="H62" i="10"/>
  <c r="I62" i="10" s="1"/>
  <c r="N62" i="10"/>
  <c r="F52" i="24"/>
  <c r="H52" i="24" s="1"/>
  <c r="J52" i="24" s="1"/>
  <c r="K52" i="24" s="1"/>
  <c r="L52" i="24" s="1"/>
  <c r="O62" i="13"/>
  <c r="K63" i="13"/>
  <c r="L62" i="13"/>
  <c r="M62" i="13" s="1"/>
  <c r="F53" i="30"/>
  <c r="F65" i="10"/>
  <c r="J65" i="10" s="1"/>
  <c r="D66" i="10"/>
  <c r="E65" i="10"/>
  <c r="F55" i="31" l="1"/>
  <c r="F54" i="26"/>
  <c r="H54" i="26" s="1"/>
  <c r="J54" i="26" s="1"/>
  <c r="K54" i="26" s="1"/>
  <c r="L54" i="26" s="1"/>
  <c r="H53" i="30"/>
  <c r="J53" i="30" s="1"/>
  <c r="K53" i="30" s="1"/>
  <c r="L53" i="30" s="1"/>
  <c r="F54" i="30"/>
  <c r="H55" i="31"/>
  <c r="J55" i="31" s="1"/>
  <c r="K55" i="31" s="1"/>
  <c r="L55" i="31" s="1"/>
  <c r="F56" i="31"/>
  <c r="H52" i="36"/>
  <c r="J52" i="36" s="1"/>
  <c r="K52" i="36" s="1"/>
  <c r="L52" i="36" s="1"/>
  <c r="F53" i="36"/>
  <c r="G64" i="10"/>
  <c r="H63" i="10"/>
  <c r="I63" i="10" s="1"/>
  <c r="N63" i="10"/>
  <c r="F54" i="29"/>
  <c r="O63" i="13"/>
  <c r="K64" i="13"/>
  <c r="L63" i="13"/>
  <c r="F66" i="13"/>
  <c r="J66" i="13" s="1"/>
  <c r="D67" i="13"/>
  <c r="E66" i="13"/>
  <c r="H54" i="35"/>
  <c r="J54" i="35" s="1"/>
  <c r="K54" i="35" s="1"/>
  <c r="L54" i="35" s="1"/>
  <c r="F55" i="35"/>
  <c r="H55" i="27"/>
  <c r="J55" i="27" s="1"/>
  <c r="K55" i="27" s="1"/>
  <c r="L55" i="27" s="1"/>
  <c r="F56" i="27"/>
  <c r="F66" i="10"/>
  <c r="J66" i="10" s="1"/>
  <c r="D67" i="10"/>
  <c r="E66" i="10"/>
  <c r="K64" i="8"/>
  <c r="L63" i="8"/>
  <c r="H53" i="28"/>
  <c r="J53" i="28" s="1"/>
  <c r="K53" i="28" s="1"/>
  <c r="L53" i="28" s="1"/>
  <c r="F54" i="28"/>
  <c r="H53" i="25"/>
  <c r="J53" i="25" s="1"/>
  <c r="K53" i="25" s="1"/>
  <c r="L53" i="25" s="1"/>
  <c r="F54" i="25"/>
  <c r="H54" i="33"/>
  <c r="J54" i="33" s="1"/>
  <c r="K54" i="33" s="1"/>
  <c r="L54" i="33" s="1"/>
  <c r="F55" i="33"/>
  <c r="F66" i="8"/>
  <c r="J66" i="8" s="1"/>
  <c r="D67" i="8"/>
  <c r="E66" i="8"/>
  <c r="M62" i="10"/>
  <c r="M62" i="8"/>
  <c r="C32" i="3"/>
  <c r="C26" i="3"/>
  <c r="F54" i="24"/>
  <c r="G64" i="8"/>
  <c r="H63" i="8"/>
  <c r="I63" i="8" s="1"/>
  <c r="N63" i="8"/>
  <c r="K64" i="10"/>
  <c r="L63" i="10"/>
  <c r="H54" i="34"/>
  <c r="J54" i="34" s="1"/>
  <c r="K54" i="34" s="1"/>
  <c r="L54" i="34" s="1"/>
  <c r="F55" i="34"/>
  <c r="G64" i="13"/>
  <c r="H63" i="13"/>
  <c r="I63" i="13" s="1"/>
  <c r="N63" i="13"/>
  <c r="F55" i="26"/>
  <c r="H56" i="32"/>
  <c r="J56" i="32" s="1"/>
  <c r="K56" i="32" s="1"/>
  <c r="L56" i="32" s="1"/>
  <c r="F57" i="32"/>
  <c r="M63" i="10" l="1"/>
  <c r="G65" i="10"/>
  <c r="H64" i="10"/>
  <c r="I64" i="10" s="1"/>
  <c r="N64" i="10"/>
  <c r="M63" i="13"/>
  <c r="H53" i="36"/>
  <c r="J53" i="36" s="1"/>
  <c r="K53" i="36" s="1"/>
  <c r="L53" i="36" s="1"/>
  <c r="F54" i="36"/>
  <c r="F67" i="10"/>
  <c r="J67" i="10" s="1"/>
  <c r="D68" i="10"/>
  <c r="E67" i="10"/>
  <c r="H57" i="32"/>
  <c r="J57" i="32" s="1"/>
  <c r="K57" i="32" s="1"/>
  <c r="L57" i="32" s="1"/>
  <c r="F58" i="32"/>
  <c r="F67" i="13"/>
  <c r="J67" i="13" s="1"/>
  <c r="D68" i="13"/>
  <c r="E67" i="13"/>
  <c r="H54" i="29"/>
  <c r="J54" i="29" s="1"/>
  <c r="K54" i="29" s="1"/>
  <c r="L54" i="29" s="1"/>
  <c r="F55" i="29"/>
  <c r="H56" i="31"/>
  <c r="J56" i="31" s="1"/>
  <c r="K56" i="31" s="1"/>
  <c r="L56" i="31" s="1"/>
  <c r="F57" i="31"/>
  <c r="G65" i="8"/>
  <c r="H64" i="8"/>
  <c r="I64" i="8" s="1"/>
  <c r="N64" i="8"/>
  <c r="K65" i="8"/>
  <c r="L64" i="8"/>
  <c r="M64" i="8" s="1"/>
  <c r="H55" i="33"/>
  <c r="J55" i="33" s="1"/>
  <c r="K55" i="33" s="1"/>
  <c r="L55" i="33" s="1"/>
  <c r="F56" i="33"/>
  <c r="C33" i="3"/>
  <c r="H54" i="30"/>
  <c r="J54" i="30" s="1"/>
  <c r="K54" i="30" s="1"/>
  <c r="L54" i="30" s="1"/>
  <c r="F55" i="30"/>
  <c r="G65" i="13"/>
  <c r="H64" i="13"/>
  <c r="I64" i="13" s="1"/>
  <c r="N64" i="13"/>
  <c r="H55" i="35"/>
  <c r="J55" i="35" s="1"/>
  <c r="K55" i="35" s="1"/>
  <c r="L55" i="35" s="1"/>
  <c r="F56" i="35"/>
  <c r="O64" i="13"/>
  <c r="K65" i="13"/>
  <c r="L64" i="13"/>
  <c r="M64" i="13" s="1"/>
  <c r="H55" i="34"/>
  <c r="J55" i="34" s="1"/>
  <c r="K55" i="34" s="1"/>
  <c r="L55" i="34" s="1"/>
  <c r="F56" i="34"/>
  <c r="H54" i="25"/>
  <c r="J54" i="25" s="1"/>
  <c r="K54" i="25" s="1"/>
  <c r="L54" i="25" s="1"/>
  <c r="F55" i="25"/>
  <c r="H54" i="24"/>
  <c r="J54" i="24" s="1"/>
  <c r="K54" i="24" s="1"/>
  <c r="L54" i="24" s="1"/>
  <c r="F55" i="24"/>
  <c r="F67" i="8"/>
  <c r="J67" i="8" s="1"/>
  <c r="D68" i="8"/>
  <c r="E67" i="8"/>
  <c r="H54" i="28"/>
  <c r="J54" i="28" s="1"/>
  <c r="K54" i="28" s="1"/>
  <c r="L54" i="28" s="1"/>
  <c r="F55" i="28"/>
  <c r="H55" i="26"/>
  <c r="J55" i="26" s="1"/>
  <c r="K55" i="26" s="1"/>
  <c r="L55" i="26" s="1"/>
  <c r="F56" i="26"/>
  <c r="K65" i="10"/>
  <c r="L64" i="10"/>
  <c r="M64" i="10" s="1"/>
  <c r="M63" i="8"/>
  <c r="H56" i="27"/>
  <c r="J56" i="27" s="1"/>
  <c r="K56" i="27" s="1"/>
  <c r="L56" i="27" s="1"/>
  <c r="F57" i="27"/>
  <c r="H57" i="31" l="1"/>
  <c r="J57" i="31" s="1"/>
  <c r="K57" i="31" s="1"/>
  <c r="L57" i="31" s="1"/>
  <c r="F58" i="31"/>
  <c r="H55" i="29"/>
  <c r="J55" i="29" s="1"/>
  <c r="K55" i="29" s="1"/>
  <c r="L55" i="29" s="1"/>
  <c r="F56" i="29"/>
  <c r="H55" i="25"/>
  <c r="J55" i="25" s="1"/>
  <c r="K55" i="25" s="1"/>
  <c r="L55" i="25" s="1"/>
  <c r="F56" i="25"/>
  <c r="G66" i="13"/>
  <c r="H65" i="13"/>
  <c r="I65" i="13" s="1"/>
  <c r="N65" i="13"/>
  <c r="O65" i="13"/>
  <c r="K66" i="13"/>
  <c r="L65" i="13"/>
  <c r="M65" i="13" s="1"/>
  <c r="H58" i="32"/>
  <c r="J58" i="32" s="1"/>
  <c r="K58" i="32" s="1"/>
  <c r="L58" i="32" s="1"/>
  <c r="F59" i="32"/>
  <c r="H55" i="28"/>
  <c r="J55" i="28" s="1"/>
  <c r="K55" i="28" s="1"/>
  <c r="L55" i="28" s="1"/>
  <c r="F56" i="28"/>
  <c r="H55" i="30"/>
  <c r="J55" i="30" s="1"/>
  <c r="K55" i="30" s="1"/>
  <c r="L55" i="30" s="1"/>
  <c r="F56" i="30"/>
  <c r="F68" i="10"/>
  <c r="J68" i="10" s="1"/>
  <c r="D69" i="10"/>
  <c r="E68" i="10"/>
  <c r="C36" i="3"/>
  <c r="H56" i="26"/>
  <c r="J56" i="26" s="1"/>
  <c r="K56" i="26" s="1"/>
  <c r="L56" i="26" s="1"/>
  <c r="F57" i="26"/>
  <c r="H54" i="36"/>
  <c r="J54" i="36" s="1"/>
  <c r="K54" i="36" s="1"/>
  <c r="L54" i="36" s="1"/>
  <c r="F55" i="36"/>
  <c r="H55" i="24"/>
  <c r="J55" i="24" s="1"/>
  <c r="K55" i="24" s="1"/>
  <c r="L55" i="24" s="1"/>
  <c r="F56" i="24"/>
  <c r="G66" i="8"/>
  <c r="H65" i="8"/>
  <c r="I65" i="8" s="1"/>
  <c r="N65" i="8"/>
  <c r="G66" i="10"/>
  <c r="H65" i="10"/>
  <c r="I65" i="10" s="1"/>
  <c r="N65" i="10"/>
  <c r="H57" i="27"/>
  <c r="J57" i="27" s="1"/>
  <c r="K57" i="27" s="1"/>
  <c r="L57" i="27" s="1"/>
  <c r="F58" i="27"/>
  <c r="K66" i="8"/>
  <c r="L65" i="8"/>
  <c r="H56" i="35"/>
  <c r="J56" i="35" s="1"/>
  <c r="K56" i="35" s="1"/>
  <c r="L56" i="35" s="1"/>
  <c r="F57" i="35"/>
  <c r="F68" i="8"/>
  <c r="J68" i="8" s="1"/>
  <c r="D69" i="8"/>
  <c r="E68" i="8"/>
  <c r="H56" i="34"/>
  <c r="J56" i="34" s="1"/>
  <c r="K56" i="34" s="1"/>
  <c r="L56" i="34" s="1"/>
  <c r="F57" i="34"/>
  <c r="F68" i="13"/>
  <c r="J68" i="13" s="1"/>
  <c r="D69" i="13"/>
  <c r="E68" i="13"/>
  <c r="K66" i="10"/>
  <c r="L65" i="10"/>
  <c r="H56" i="33"/>
  <c r="J56" i="33" s="1"/>
  <c r="K56" i="33" s="1"/>
  <c r="L56" i="33" s="1"/>
  <c r="F57" i="33"/>
  <c r="H56" i="25" l="1"/>
  <c r="J56" i="25" s="1"/>
  <c r="K56" i="25" s="1"/>
  <c r="L56" i="25" s="1"/>
  <c r="F57" i="25"/>
  <c r="K67" i="8"/>
  <c r="L66" i="8"/>
  <c r="M66" i="8" s="1"/>
  <c r="H58" i="27"/>
  <c r="J58" i="27" s="1"/>
  <c r="K58" i="27" s="1"/>
  <c r="L58" i="27" s="1"/>
  <c r="F59" i="27"/>
  <c r="F69" i="13"/>
  <c r="J69" i="13" s="1"/>
  <c r="D70" i="13"/>
  <c r="E69" i="13"/>
  <c r="H56" i="24"/>
  <c r="J56" i="24" s="1"/>
  <c r="K56" i="24" s="1"/>
  <c r="L56" i="24" s="1"/>
  <c r="F57" i="24"/>
  <c r="H56" i="29"/>
  <c r="J56" i="29" s="1"/>
  <c r="K56" i="29" s="1"/>
  <c r="L56" i="29" s="1"/>
  <c r="F57" i="29"/>
  <c r="H57" i="26"/>
  <c r="J57" i="26" s="1"/>
  <c r="K57" i="26" s="1"/>
  <c r="L57" i="26" s="1"/>
  <c r="F58" i="26"/>
  <c r="H57" i="33"/>
  <c r="J57" i="33" s="1"/>
  <c r="K57" i="33" s="1"/>
  <c r="L57" i="33" s="1"/>
  <c r="F58" i="33"/>
  <c r="H56" i="28"/>
  <c r="J56" i="28" s="1"/>
  <c r="K56" i="28" s="1"/>
  <c r="L56" i="28" s="1"/>
  <c r="F57" i="28"/>
  <c r="F69" i="8"/>
  <c r="J69" i="8" s="1"/>
  <c r="D70" i="8"/>
  <c r="E69" i="8"/>
  <c r="G67" i="8"/>
  <c r="H66" i="8"/>
  <c r="I66" i="8" s="1"/>
  <c r="N66" i="8"/>
  <c r="H56" i="30"/>
  <c r="J56" i="30" s="1"/>
  <c r="K56" i="30" s="1"/>
  <c r="L56" i="30" s="1"/>
  <c r="F57" i="30"/>
  <c r="H57" i="35"/>
  <c r="J57" i="35" s="1"/>
  <c r="K57" i="35" s="1"/>
  <c r="L57" i="35" s="1"/>
  <c r="F58" i="35"/>
  <c r="M65" i="10"/>
  <c r="H57" i="34"/>
  <c r="J57" i="34" s="1"/>
  <c r="K57" i="34" s="1"/>
  <c r="L57" i="34" s="1"/>
  <c r="F58" i="34"/>
  <c r="G67" i="10"/>
  <c r="H66" i="10"/>
  <c r="I66" i="10" s="1"/>
  <c r="N66" i="10"/>
  <c r="H55" i="36"/>
  <c r="J55" i="36" s="1"/>
  <c r="K55" i="36" s="1"/>
  <c r="L55" i="36" s="1"/>
  <c r="F56" i="36"/>
  <c r="F69" i="10"/>
  <c r="J69" i="10" s="1"/>
  <c r="D70" i="10"/>
  <c r="E69" i="10"/>
  <c r="H58" i="31"/>
  <c r="J58" i="31" s="1"/>
  <c r="K58" i="31" s="1"/>
  <c r="L58" i="31" s="1"/>
  <c r="F59" i="31"/>
  <c r="O66" i="13"/>
  <c r="K67" i="13"/>
  <c r="L66" i="13"/>
  <c r="K67" i="10"/>
  <c r="L66" i="10"/>
  <c r="M66" i="10" s="1"/>
  <c r="M65" i="8"/>
  <c r="H59" i="32"/>
  <c r="J59" i="32" s="1"/>
  <c r="K59" i="32" s="1"/>
  <c r="L59" i="32" s="1"/>
  <c r="F60" i="32"/>
  <c r="G67" i="13"/>
  <c r="H66" i="13"/>
  <c r="I66" i="13" s="1"/>
  <c r="N66" i="13"/>
  <c r="G68" i="8" l="1"/>
  <c r="H67" i="8"/>
  <c r="I67" i="8" s="1"/>
  <c r="N67" i="8"/>
  <c r="O67" i="13"/>
  <c r="K68" i="13"/>
  <c r="L67" i="13"/>
  <c r="M67" i="13" s="1"/>
  <c r="K68" i="8"/>
  <c r="L67" i="8"/>
  <c r="M67" i="8" s="1"/>
  <c r="H60" i="32"/>
  <c r="J60" i="32" s="1"/>
  <c r="K60" i="32" s="1"/>
  <c r="L60" i="32" s="1"/>
  <c r="F61" i="32"/>
  <c r="H59" i="27"/>
  <c r="J59" i="27" s="1"/>
  <c r="K59" i="27" s="1"/>
  <c r="L59" i="27" s="1"/>
  <c r="F60" i="27"/>
  <c r="H57" i="24"/>
  <c r="J57" i="24" s="1"/>
  <c r="K57" i="24" s="1"/>
  <c r="L57" i="24" s="1"/>
  <c r="F58" i="24"/>
  <c r="H57" i="30"/>
  <c r="J57" i="30" s="1"/>
  <c r="K57" i="30" s="1"/>
  <c r="L57" i="30" s="1"/>
  <c r="F58" i="30"/>
  <c r="H58" i="26"/>
  <c r="J58" i="26" s="1"/>
  <c r="K58" i="26" s="1"/>
  <c r="L58" i="26" s="1"/>
  <c r="F59" i="26"/>
  <c r="D71" i="13"/>
  <c r="F70" i="13"/>
  <c r="J70" i="13" s="1"/>
  <c r="E70" i="13"/>
  <c r="H57" i="25"/>
  <c r="J57" i="25" s="1"/>
  <c r="K57" i="25" s="1"/>
  <c r="L57" i="25" s="1"/>
  <c r="F58" i="25"/>
  <c r="H56" i="36"/>
  <c r="J56" i="36" s="1"/>
  <c r="K56" i="36" s="1"/>
  <c r="L56" i="36" s="1"/>
  <c r="F57" i="36"/>
  <c r="F70" i="8"/>
  <c r="J70" i="8" s="1"/>
  <c r="D71" i="8"/>
  <c r="E70" i="8"/>
  <c r="K68" i="10"/>
  <c r="L67" i="10"/>
  <c r="F70" i="10"/>
  <c r="J70" i="10" s="1"/>
  <c r="D71" i="10"/>
  <c r="E70" i="10"/>
  <c r="M66" i="13"/>
  <c r="H59" i="31"/>
  <c r="J59" i="31" s="1"/>
  <c r="K59" i="31" s="1"/>
  <c r="L59" i="31" s="1"/>
  <c r="F60" i="31"/>
  <c r="H58" i="35"/>
  <c r="J58" i="35" s="1"/>
  <c r="K58" i="35" s="1"/>
  <c r="L58" i="35" s="1"/>
  <c r="F59" i="35"/>
  <c r="H58" i="33"/>
  <c r="J58" i="33" s="1"/>
  <c r="K58" i="33" s="1"/>
  <c r="L58" i="33" s="1"/>
  <c r="F59" i="33"/>
  <c r="G68" i="10"/>
  <c r="H67" i="10"/>
  <c r="I67" i="10" s="1"/>
  <c r="N67" i="10"/>
  <c r="G68" i="13"/>
  <c r="H67" i="13"/>
  <c r="I67" i="13" s="1"/>
  <c r="N67" i="13"/>
  <c r="H58" i="34"/>
  <c r="J58" i="34" s="1"/>
  <c r="K58" i="34" s="1"/>
  <c r="L58" i="34" s="1"/>
  <c r="F59" i="34"/>
  <c r="H57" i="28"/>
  <c r="J57" i="28" s="1"/>
  <c r="K57" i="28" s="1"/>
  <c r="L57" i="28" s="1"/>
  <c r="F58" i="28"/>
  <c r="H57" i="29"/>
  <c r="J57" i="29" s="1"/>
  <c r="K57" i="29" s="1"/>
  <c r="L57" i="29" s="1"/>
  <c r="F58" i="29"/>
  <c r="H59" i="26" l="1"/>
  <c r="J59" i="26" s="1"/>
  <c r="K59" i="26" s="1"/>
  <c r="L59" i="26" s="1"/>
  <c r="F60" i="26"/>
  <c r="F71" i="8"/>
  <c r="J71" i="8" s="1"/>
  <c r="D72" i="8"/>
  <c r="E71" i="8"/>
  <c r="H59" i="33"/>
  <c r="J59" i="33" s="1"/>
  <c r="K59" i="33" s="1"/>
  <c r="L59" i="33" s="1"/>
  <c r="F60" i="33"/>
  <c r="H61" i="32"/>
  <c r="J61" i="32" s="1"/>
  <c r="K61" i="32" s="1"/>
  <c r="L61" i="32" s="1"/>
  <c r="F62" i="32"/>
  <c r="H62" i="32" s="1"/>
  <c r="J62" i="32" s="1"/>
  <c r="K62" i="32" s="1"/>
  <c r="F71" i="13"/>
  <c r="J71" i="13" s="1"/>
  <c r="D72" i="13"/>
  <c r="E71" i="13"/>
  <c r="G69" i="10"/>
  <c r="H68" i="10"/>
  <c r="I68" i="10" s="1"/>
  <c r="N68" i="10"/>
  <c r="F71" i="10"/>
  <c r="J71" i="10" s="1"/>
  <c r="D72" i="10"/>
  <c r="E71" i="10"/>
  <c r="H59" i="34"/>
  <c r="J59" i="34" s="1"/>
  <c r="K59" i="34" s="1"/>
  <c r="L59" i="34" s="1"/>
  <c r="F60" i="34"/>
  <c r="H58" i="25"/>
  <c r="J58" i="25" s="1"/>
  <c r="K58" i="25" s="1"/>
  <c r="L58" i="25" s="1"/>
  <c r="F59" i="25"/>
  <c r="O68" i="13"/>
  <c r="K69" i="13"/>
  <c r="L68" i="13"/>
  <c r="H58" i="29"/>
  <c r="J58" i="29" s="1"/>
  <c r="K58" i="29" s="1"/>
  <c r="L58" i="29" s="1"/>
  <c r="F59" i="29"/>
  <c r="K69" i="8"/>
  <c r="L68" i="8"/>
  <c r="G69" i="8"/>
  <c r="H68" i="8"/>
  <c r="I68" i="8" s="1"/>
  <c r="N68" i="8"/>
  <c r="K69" i="10"/>
  <c r="L68" i="10"/>
  <c r="H60" i="27"/>
  <c r="J60" i="27" s="1"/>
  <c r="K60" i="27" s="1"/>
  <c r="L60" i="27" s="1"/>
  <c r="F61" i="27"/>
  <c r="H58" i="30"/>
  <c r="J58" i="30" s="1"/>
  <c r="K58" i="30" s="1"/>
  <c r="L58" i="30" s="1"/>
  <c r="F59" i="30"/>
  <c r="G69" i="13"/>
  <c r="H68" i="13"/>
  <c r="I68" i="13" s="1"/>
  <c r="N68" i="13"/>
  <c r="H59" i="35"/>
  <c r="J59" i="35" s="1"/>
  <c r="K59" i="35" s="1"/>
  <c r="L59" i="35" s="1"/>
  <c r="F60" i="35"/>
  <c r="H58" i="28"/>
  <c r="J58" i="28" s="1"/>
  <c r="K58" i="28" s="1"/>
  <c r="L58" i="28" s="1"/>
  <c r="F59" i="28"/>
  <c r="H60" i="31"/>
  <c r="J60" i="31" s="1"/>
  <c r="K60" i="31" s="1"/>
  <c r="L60" i="31" s="1"/>
  <c r="F61" i="31"/>
  <c r="M67" i="10"/>
  <c r="H57" i="36"/>
  <c r="J57" i="36" s="1"/>
  <c r="K57" i="36" s="1"/>
  <c r="L57" i="36" s="1"/>
  <c r="F58" i="36"/>
  <c r="H58" i="24"/>
  <c r="J58" i="24" s="1"/>
  <c r="K58" i="24" s="1"/>
  <c r="L58" i="24" s="1"/>
  <c r="F59" i="24"/>
  <c r="L62" i="32" l="1"/>
  <c r="M68" i="10"/>
  <c r="G70" i="13"/>
  <c r="H69" i="13"/>
  <c r="I69" i="13" s="1"/>
  <c r="N69" i="13"/>
  <c r="H59" i="25"/>
  <c r="J59" i="25" s="1"/>
  <c r="K59" i="25" s="1"/>
  <c r="L59" i="25" s="1"/>
  <c r="F60" i="25"/>
  <c r="F72" i="8"/>
  <c r="J72" i="8" s="1"/>
  <c r="D73" i="8"/>
  <c r="E72" i="8"/>
  <c r="G70" i="10"/>
  <c r="H69" i="10"/>
  <c r="I69" i="10" s="1"/>
  <c r="N69" i="10"/>
  <c r="H59" i="28"/>
  <c r="J59" i="28" s="1"/>
  <c r="K59" i="28" s="1"/>
  <c r="L59" i="28" s="1"/>
  <c r="F60" i="28"/>
  <c r="H59" i="24"/>
  <c r="J59" i="24" s="1"/>
  <c r="K59" i="24" s="1"/>
  <c r="L59" i="24" s="1"/>
  <c r="F60" i="24"/>
  <c r="K70" i="8"/>
  <c r="L69" i="8"/>
  <c r="M69" i="8" s="1"/>
  <c r="K70" i="10"/>
  <c r="L69" i="10"/>
  <c r="H59" i="29"/>
  <c r="J59" i="29" s="1"/>
  <c r="K59" i="29" s="1"/>
  <c r="L59" i="29" s="1"/>
  <c r="F60" i="29"/>
  <c r="H60" i="34"/>
  <c r="J60" i="34" s="1"/>
  <c r="K60" i="34" s="1"/>
  <c r="L60" i="34" s="1"/>
  <c r="F61" i="34"/>
  <c r="H59" i="30"/>
  <c r="J59" i="30" s="1"/>
  <c r="K59" i="30" s="1"/>
  <c r="L59" i="30" s="1"/>
  <c r="F60" i="30"/>
  <c r="H60" i="35"/>
  <c r="J60" i="35" s="1"/>
  <c r="K60" i="35" s="1"/>
  <c r="L60" i="35" s="1"/>
  <c r="F61" i="35"/>
  <c r="H61" i="27"/>
  <c r="J61" i="27" s="1"/>
  <c r="K61" i="27" s="1"/>
  <c r="L61" i="27" s="1"/>
  <c r="F62" i="27"/>
  <c r="H62" i="27" s="1"/>
  <c r="J62" i="27" s="1"/>
  <c r="K62" i="27" s="1"/>
  <c r="L62" i="27" s="1"/>
  <c r="O69" i="13"/>
  <c r="K70" i="13"/>
  <c r="L69" i="13"/>
  <c r="F72" i="10"/>
  <c r="J72" i="10" s="1"/>
  <c r="D73" i="10"/>
  <c r="E72" i="10"/>
  <c r="H60" i="33"/>
  <c r="J60" i="33" s="1"/>
  <c r="K60" i="33" s="1"/>
  <c r="L60" i="33" s="1"/>
  <c r="F61" i="33"/>
  <c r="H60" i="26"/>
  <c r="J60" i="26" s="1"/>
  <c r="K60" i="26" s="1"/>
  <c r="L60" i="26" s="1"/>
  <c r="F61" i="26"/>
  <c r="H61" i="31"/>
  <c r="J61" i="31" s="1"/>
  <c r="K61" i="31" s="1"/>
  <c r="L61" i="31" s="1"/>
  <c r="F62" i="31"/>
  <c r="H62" i="31" s="1"/>
  <c r="J62" i="31" s="1"/>
  <c r="K62" i="31" s="1"/>
  <c r="L62" i="31" s="1"/>
  <c r="M68" i="13"/>
  <c r="G70" i="8"/>
  <c r="H69" i="8"/>
  <c r="I69" i="8" s="1"/>
  <c r="N69" i="8"/>
  <c r="H58" i="36"/>
  <c r="J58" i="36" s="1"/>
  <c r="K58" i="36" s="1"/>
  <c r="L58" i="36" s="1"/>
  <c r="F59" i="36"/>
  <c r="M68" i="8"/>
  <c r="D73" i="13"/>
  <c r="F72" i="13"/>
  <c r="J72" i="13" s="1"/>
  <c r="E72" i="13"/>
  <c r="O70" i="13" l="1"/>
  <c r="K71" i="13"/>
  <c r="L70" i="13"/>
  <c r="F73" i="13"/>
  <c r="J73" i="13" s="1"/>
  <c r="D74" i="13"/>
  <c r="E73" i="13"/>
  <c r="K71" i="8"/>
  <c r="L70" i="8"/>
  <c r="M70" i="8" s="1"/>
  <c r="H60" i="24"/>
  <c r="J60" i="24" s="1"/>
  <c r="K60" i="24" s="1"/>
  <c r="L60" i="24" s="1"/>
  <c r="F61" i="24"/>
  <c r="G71" i="10"/>
  <c r="H70" i="10"/>
  <c r="I70" i="10" s="1"/>
  <c r="N70" i="10"/>
  <c r="H61" i="26"/>
  <c r="J61" i="26" s="1"/>
  <c r="K61" i="26" s="1"/>
  <c r="L61" i="26" s="1"/>
  <c r="F62" i="26"/>
  <c r="H62" i="26" s="1"/>
  <c r="J62" i="26" s="1"/>
  <c r="K62" i="26" s="1"/>
  <c r="L62" i="26" s="1"/>
  <c r="H60" i="29"/>
  <c r="J60" i="29" s="1"/>
  <c r="K60" i="29" s="1"/>
  <c r="L60" i="29" s="1"/>
  <c r="F61" i="29"/>
  <c r="M69" i="10"/>
  <c r="K71" i="10"/>
  <c r="L70" i="10"/>
  <c r="H60" i="28"/>
  <c r="J60" i="28" s="1"/>
  <c r="K60" i="28" s="1"/>
  <c r="L60" i="28" s="1"/>
  <c r="F61" i="28"/>
  <c r="F73" i="8"/>
  <c r="J73" i="8" s="1"/>
  <c r="D74" i="8"/>
  <c r="E73" i="8"/>
  <c r="G71" i="13"/>
  <c r="H70" i="13"/>
  <c r="I70" i="13" s="1"/>
  <c r="N70" i="13"/>
  <c r="G71" i="8"/>
  <c r="H70" i="8"/>
  <c r="I70" i="8" s="1"/>
  <c r="N70" i="8"/>
  <c r="H61" i="34"/>
  <c r="J61" i="34" s="1"/>
  <c r="K61" i="34" s="1"/>
  <c r="L61" i="34" s="1"/>
  <c r="F62" i="34"/>
  <c r="H60" i="25"/>
  <c r="J60" i="25" s="1"/>
  <c r="K60" i="25" s="1"/>
  <c r="L60" i="25" s="1"/>
  <c r="F61" i="25"/>
  <c r="F73" i="10"/>
  <c r="J73" i="10" s="1"/>
  <c r="D74" i="10"/>
  <c r="E73" i="10"/>
  <c r="H59" i="36"/>
  <c r="J59" i="36" s="1"/>
  <c r="K59" i="36" s="1"/>
  <c r="L59" i="36" s="1"/>
  <c r="F60" i="36"/>
  <c r="H61" i="35"/>
  <c r="J61" i="35" s="1"/>
  <c r="K61" i="35" s="1"/>
  <c r="L61" i="35" s="1"/>
  <c r="F62" i="35"/>
  <c r="H61" i="33"/>
  <c r="J61" i="33" s="1"/>
  <c r="K61" i="33" s="1"/>
  <c r="L61" i="33" s="1"/>
  <c r="F62" i="33"/>
  <c r="H62" i="33" s="1"/>
  <c r="J62" i="33" s="1"/>
  <c r="K62" i="33" s="1"/>
  <c r="L62" i="33" s="1"/>
  <c r="M69" i="13"/>
  <c r="H60" i="30"/>
  <c r="J60" i="30" s="1"/>
  <c r="K60" i="30" s="1"/>
  <c r="L60" i="30" s="1"/>
  <c r="F61" i="30"/>
  <c r="M70" i="10" l="1"/>
  <c r="H61" i="30"/>
  <c r="J61" i="30" s="1"/>
  <c r="K61" i="30" s="1"/>
  <c r="L61" i="30" s="1"/>
  <c r="F62" i="30"/>
  <c r="H62" i="30" s="1"/>
  <c r="J62" i="30" s="1"/>
  <c r="K62" i="30" s="1"/>
  <c r="L62" i="30" s="1"/>
  <c r="H61" i="24"/>
  <c r="J61" i="24" s="1"/>
  <c r="K61" i="24" s="1"/>
  <c r="L61" i="24" s="1"/>
  <c r="F62" i="24"/>
  <c r="H62" i="24" s="1"/>
  <c r="J62" i="24" s="1"/>
  <c r="K62" i="24" s="1"/>
  <c r="L62" i="24" s="1"/>
  <c r="D63" i="34"/>
  <c r="H62" i="34"/>
  <c r="J62" i="34" s="1"/>
  <c r="K62" i="34" s="1"/>
  <c r="L62" i="34" s="1"/>
  <c r="G72" i="10"/>
  <c r="H71" i="10"/>
  <c r="I71" i="10" s="1"/>
  <c r="N71" i="10"/>
  <c r="F74" i="13"/>
  <c r="J74" i="13" s="1"/>
  <c r="D75" i="13"/>
  <c r="E74" i="13"/>
  <c r="H60" i="36"/>
  <c r="J60" i="36" s="1"/>
  <c r="K60" i="36" s="1"/>
  <c r="L60" i="36" s="1"/>
  <c r="F61" i="36"/>
  <c r="M70" i="13"/>
  <c r="H61" i="29"/>
  <c r="J61" i="29" s="1"/>
  <c r="K61" i="29" s="1"/>
  <c r="L61" i="29" s="1"/>
  <c r="F62" i="29"/>
  <c r="H62" i="29" s="1"/>
  <c r="J62" i="29" s="1"/>
  <c r="K62" i="29" s="1"/>
  <c r="L62" i="29" s="1"/>
  <c r="G72" i="13"/>
  <c r="H71" i="13"/>
  <c r="I71" i="13" s="1"/>
  <c r="N71" i="13"/>
  <c r="D63" i="35"/>
  <c r="H62" i="35"/>
  <c r="J62" i="35" s="1"/>
  <c r="K62" i="35" s="1"/>
  <c r="L62" i="35" s="1"/>
  <c r="H61" i="25"/>
  <c r="J61" i="25" s="1"/>
  <c r="K61" i="25" s="1"/>
  <c r="L61" i="25" s="1"/>
  <c r="F62" i="25"/>
  <c r="H62" i="25" s="1"/>
  <c r="J62" i="25" s="1"/>
  <c r="K62" i="25" s="1"/>
  <c r="H61" i="28"/>
  <c r="J61" i="28" s="1"/>
  <c r="K61" i="28" s="1"/>
  <c r="L61" i="28" s="1"/>
  <c r="F62" i="28"/>
  <c r="H62" i="28" s="1"/>
  <c r="J62" i="28" s="1"/>
  <c r="K62" i="28" s="1"/>
  <c r="L62" i="28" s="1"/>
  <c r="K72" i="10"/>
  <c r="L71" i="10"/>
  <c r="K72" i="8"/>
  <c r="L71" i="8"/>
  <c r="K72" i="13"/>
  <c r="O71" i="13"/>
  <c r="L71" i="13"/>
  <c r="F74" i="10"/>
  <c r="J74" i="10" s="1"/>
  <c r="D75" i="10"/>
  <c r="E74" i="10"/>
  <c r="F74" i="8"/>
  <c r="J74" i="8" s="1"/>
  <c r="D75" i="8"/>
  <c r="E74" i="8"/>
  <c r="G72" i="8"/>
  <c r="H71" i="8"/>
  <c r="I71" i="8" s="1"/>
  <c r="N71" i="8"/>
  <c r="L62" i="25" l="1"/>
  <c r="M71" i="10"/>
  <c r="G73" i="8"/>
  <c r="H72" i="8"/>
  <c r="I72" i="8" s="1"/>
  <c r="N72" i="8"/>
  <c r="G73" i="13"/>
  <c r="H72" i="13"/>
  <c r="I72" i="13" s="1"/>
  <c r="N72" i="13"/>
  <c r="G73" i="10"/>
  <c r="H72" i="10"/>
  <c r="I72" i="10" s="1"/>
  <c r="N72" i="10"/>
  <c r="F75" i="10"/>
  <c r="J75" i="10" s="1"/>
  <c r="D76" i="10"/>
  <c r="E75" i="10"/>
  <c r="K73" i="8"/>
  <c r="L72" i="8"/>
  <c r="M72" i="8" s="1"/>
  <c r="O72" i="13"/>
  <c r="K73" i="13"/>
  <c r="L72" i="13"/>
  <c r="M72" i="13" s="1"/>
  <c r="M71" i="8"/>
  <c r="F75" i="8"/>
  <c r="J75" i="8" s="1"/>
  <c r="D76" i="8"/>
  <c r="E75" i="8"/>
  <c r="F75" i="13"/>
  <c r="J75" i="13" s="1"/>
  <c r="D76" i="13"/>
  <c r="E75" i="13"/>
  <c r="M71" i="13"/>
  <c r="K73" i="10"/>
  <c r="L72" i="10"/>
  <c r="H61" i="36"/>
  <c r="J61" i="36" s="1"/>
  <c r="K61" i="36" s="1"/>
  <c r="L61" i="36" s="1"/>
  <c r="F62" i="36"/>
  <c r="H62" i="36" s="1"/>
  <c r="J62" i="36" s="1"/>
  <c r="K62" i="36" s="1"/>
  <c r="L62" i="36" s="1"/>
  <c r="G74" i="13" l="1"/>
  <c r="H73" i="13"/>
  <c r="I73" i="13" s="1"/>
  <c r="N73" i="13"/>
  <c r="K74" i="8"/>
  <c r="L73" i="8"/>
  <c r="M73" i="8" s="1"/>
  <c r="F76" i="10"/>
  <c r="J76" i="10" s="1"/>
  <c r="D77" i="10"/>
  <c r="E76" i="10"/>
  <c r="F76" i="8"/>
  <c r="J76" i="8" s="1"/>
  <c r="D77" i="8"/>
  <c r="E76" i="8"/>
  <c r="K74" i="13"/>
  <c r="O73" i="13"/>
  <c r="L73" i="13"/>
  <c r="M73" i="13" s="1"/>
  <c r="F76" i="13"/>
  <c r="J76" i="13" s="1"/>
  <c r="D77" i="13"/>
  <c r="E76" i="13"/>
  <c r="M72" i="10"/>
  <c r="G74" i="10"/>
  <c r="H73" i="10"/>
  <c r="I73" i="10" s="1"/>
  <c r="N73" i="10"/>
  <c r="G74" i="8"/>
  <c r="H73" i="8"/>
  <c r="I73" i="8" s="1"/>
  <c r="N73" i="8"/>
  <c r="K74" i="10"/>
  <c r="L73" i="10"/>
  <c r="M73" i="10" l="1"/>
  <c r="K75" i="10"/>
  <c r="L74" i="10"/>
  <c r="F77" i="10"/>
  <c r="J77" i="10" s="1"/>
  <c r="D78" i="10"/>
  <c r="E77" i="10"/>
  <c r="O74" i="13"/>
  <c r="K75" i="13"/>
  <c r="L74" i="13"/>
  <c r="M74" i="13" s="1"/>
  <c r="G75" i="13"/>
  <c r="H74" i="13"/>
  <c r="I74" i="13" s="1"/>
  <c r="N74" i="13"/>
  <c r="G75" i="10"/>
  <c r="H74" i="10"/>
  <c r="I74" i="10" s="1"/>
  <c r="N74" i="10"/>
  <c r="K75" i="8"/>
  <c r="L74" i="8"/>
  <c r="G75" i="8"/>
  <c r="H74" i="8"/>
  <c r="I74" i="8" s="1"/>
  <c r="N74" i="8"/>
  <c r="D78" i="13"/>
  <c r="F77" i="13"/>
  <c r="J77" i="13" s="1"/>
  <c r="E77" i="13"/>
  <c r="F77" i="8"/>
  <c r="J77" i="8" s="1"/>
  <c r="D78" i="8"/>
  <c r="E77" i="8"/>
  <c r="G76" i="13" l="1"/>
  <c r="H75" i="13"/>
  <c r="I75" i="13" s="1"/>
  <c r="N75" i="13"/>
  <c r="G76" i="10"/>
  <c r="H75" i="10"/>
  <c r="I75" i="10" s="1"/>
  <c r="N75" i="10"/>
  <c r="D79" i="13"/>
  <c r="F78" i="13"/>
  <c r="J78" i="13" s="1"/>
  <c r="E78" i="13"/>
  <c r="F78" i="8"/>
  <c r="J78" i="8" s="1"/>
  <c r="D79" i="8"/>
  <c r="E78" i="8"/>
  <c r="G76" i="8"/>
  <c r="H75" i="8"/>
  <c r="I75" i="8" s="1"/>
  <c r="N75" i="8"/>
  <c r="F78" i="10"/>
  <c r="J78" i="10" s="1"/>
  <c r="D79" i="10"/>
  <c r="E78" i="10"/>
  <c r="O75" i="13"/>
  <c r="K76" i="13"/>
  <c r="L75" i="13"/>
  <c r="M74" i="10"/>
  <c r="M74" i="8"/>
  <c r="K76" i="10"/>
  <c r="L75" i="10"/>
  <c r="K76" i="8"/>
  <c r="L75" i="8"/>
  <c r="K77" i="10" l="1"/>
  <c r="L76" i="10"/>
  <c r="F79" i="10"/>
  <c r="J79" i="10" s="1"/>
  <c r="D80" i="10"/>
  <c r="E79" i="10"/>
  <c r="G77" i="8"/>
  <c r="H76" i="8"/>
  <c r="I76" i="8" s="1"/>
  <c r="N76" i="8"/>
  <c r="M75" i="10"/>
  <c r="F79" i="13"/>
  <c r="J79" i="13" s="1"/>
  <c r="D80" i="13"/>
  <c r="E79" i="13"/>
  <c r="M75" i="8"/>
  <c r="G77" i="13"/>
  <c r="H76" i="13"/>
  <c r="I76" i="13" s="1"/>
  <c r="N76" i="13"/>
  <c r="G77" i="10"/>
  <c r="H76" i="10"/>
  <c r="I76" i="10" s="1"/>
  <c r="N76" i="10"/>
  <c r="F79" i="8"/>
  <c r="J79" i="8" s="1"/>
  <c r="D80" i="8"/>
  <c r="E79" i="8"/>
  <c r="M75" i="13"/>
  <c r="K77" i="8"/>
  <c r="L76" i="8"/>
  <c r="M76" i="8" s="1"/>
  <c r="O76" i="13"/>
  <c r="K77" i="13"/>
  <c r="L76" i="13"/>
  <c r="G78" i="13" l="1"/>
  <c r="H77" i="13"/>
  <c r="I77" i="13" s="1"/>
  <c r="N77" i="13"/>
  <c r="M76" i="13"/>
  <c r="F80" i="13"/>
  <c r="J80" i="13" s="1"/>
  <c r="D81" i="13"/>
  <c r="E80" i="13"/>
  <c r="K78" i="10"/>
  <c r="L77" i="10"/>
  <c r="F80" i="10"/>
  <c r="J80" i="10" s="1"/>
  <c r="D81" i="10"/>
  <c r="E80" i="10"/>
  <c r="K78" i="8"/>
  <c r="L77" i="8"/>
  <c r="M77" i="8" s="1"/>
  <c r="G78" i="8"/>
  <c r="H77" i="8"/>
  <c r="I77" i="8" s="1"/>
  <c r="N77" i="8"/>
  <c r="M76" i="10"/>
  <c r="F80" i="8"/>
  <c r="J80" i="8" s="1"/>
  <c r="D81" i="8"/>
  <c r="E80" i="8"/>
  <c r="G78" i="10"/>
  <c r="H77" i="10"/>
  <c r="I77" i="10" s="1"/>
  <c r="N77" i="10"/>
  <c r="O77" i="13"/>
  <c r="K78" i="13"/>
  <c r="L77" i="13"/>
  <c r="M77" i="13" s="1"/>
  <c r="M77" i="10" l="1"/>
  <c r="K79" i="8"/>
  <c r="L78" i="8"/>
  <c r="M78" i="8" s="1"/>
  <c r="G79" i="13"/>
  <c r="H78" i="13"/>
  <c r="I78" i="13" s="1"/>
  <c r="N78" i="13"/>
  <c r="K79" i="10"/>
  <c r="L78" i="10"/>
  <c r="G79" i="10"/>
  <c r="H78" i="10"/>
  <c r="I78" i="10" s="1"/>
  <c r="N78" i="10"/>
  <c r="F81" i="10"/>
  <c r="J81" i="10" s="1"/>
  <c r="D82" i="10"/>
  <c r="E81" i="10"/>
  <c r="G79" i="8"/>
  <c r="H78" i="8"/>
  <c r="I78" i="8" s="1"/>
  <c r="N78" i="8"/>
  <c r="D82" i="13"/>
  <c r="F81" i="13"/>
  <c r="J81" i="13" s="1"/>
  <c r="E81" i="13"/>
  <c r="O78" i="13"/>
  <c r="K79" i="13"/>
  <c r="L78" i="13"/>
  <c r="F81" i="8"/>
  <c r="J81" i="8" s="1"/>
  <c r="D82" i="8"/>
  <c r="E81" i="8"/>
  <c r="G80" i="8" l="1"/>
  <c r="H79" i="8"/>
  <c r="I79" i="8" s="1"/>
  <c r="N79" i="8"/>
  <c r="G80" i="13"/>
  <c r="H79" i="13"/>
  <c r="I79" i="13" s="1"/>
  <c r="N79" i="13"/>
  <c r="F82" i="13"/>
  <c r="J82" i="13" s="1"/>
  <c r="D83" i="13"/>
  <c r="E82" i="13"/>
  <c r="M78" i="10"/>
  <c r="F82" i="8"/>
  <c r="J82" i="8" s="1"/>
  <c r="D83" i="8"/>
  <c r="E82" i="8"/>
  <c r="G80" i="10"/>
  <c r="H79" i="10"/>
  <c r="I79" i="10" s="1"/>
  <c r="N79" i="10"/>
  <c r="F82" i="10"/>
  <c r="J82" i="10" s="1"/>
  <c r="D83" i="10"/>
  <c r="E82" i="10"/>
  <c r="K80" i="10"/>
  <c r="L79" i="10"/>
  <c r="K80" i="8"/>
  <c r="L79" i="8"/>
  <c r="M79" i="8" s="1"/>
  <c r="M78" i="13"/>
  <c r="O79" i="13"/>
  <c r="K80" i="13"/>
  <c r="L79" i="13"/>
  <c r="G81" i="10" l="1"/>
  <c r="H80" i="10"/>
  <c r="I80" i="10" s="1"/>
  <c r="N80" i="10"/>
  <c r="K81" i="10"/>
  <c r="L80" i="10"/>
  <c r="M80" i="10" s="1"/>
  <c r="F83" i="13"/>
  <c r="J83" i="13" s="1"/>
  <c r="D84" i="13"/>
  <c r="E83" i="13"/>
  <c r="G81" i="13"/>
  <c r="H80" i="13"/>
  <c r="I80" i="13" s="1"/>
  <c r="N80" i="13"/>
  <c r="F83" i="10"/>
  <c r="J83" i="10" s="1"/>
  <c r="D84" i="10"/>
  <c r="E83" i="10"/>
  <c r="F83" i="8"/>
  <c r="J83" i="8" s="1"/>
  <c r="D84" i="8"/>
  <c r="E83" i="8"/>
  <c r="M79" i="13"/>
  <c r="G81" i="8"/>
  <c r="H80" i="8"/>
  <c r="I80" i="8" s="1"/>
  <c r="N80" i="8"/>
  <c r="K81" i="8"/>
  <c r="L80" i="8"/>
  <c r="O80" i="13"/>
  <c r="K81" i="13"/>
  <c r="L80" i="13"/>
  <c r="M79" i="10"/>
  <c r="O81" i="13" l="1"/>
  <c r="K82" i="13"/>
  <c r="L81" i="13"/>
  <c r="F84" i="10"/>
  <c r="J84" i="10" s="1"/>
  <c r="D85" i="10"/>
  <c r="E84" i="10"/>
  <c r="K82" i="10"/>
  <c r="L81" i="10"/>
  <c r="G82" i="8"/>
  <c r="H81" i="8"/>
  <c r="I81" i="8" s="1"/>
  <c r="N81" i="8"/>
  <c r="M80" i="8"/>
  <c r="K82" i="8"/>
  <c r="L81" i="8"/>
  <c r="D85" i="13"/>
  <c r="F84" i="13"/>
  <c r="J84" i="13" s="1"/>
  <c r="E84" i="13"/>
  <c r="F84" i="8"/>
  <c r="J84" i="8" s="1"/>
  <c r="D85" i="8"/>
  <c r="E84" i="8"/>
  <c r="G82" i="10"/>
  <c r="H81" i="10"/>
  <c r="I81" i="10" s="1"/>
  <c r="N81" i="10"/>
  <c r="G82" i="13"/>
  <c r="H81" i="13"/>
  <c r="I81" i="13" s="1"/>
  <c r="N81" i="13"/>
  <c r="M80" i="13"/>
  <c r="M81" i="10" l="1"/>
  <c r="F85" i="8"/>
  <c r="J85" i="8" s="1"/>
  <c r="D86" i="8"/>
  <c r="E85" i="8"/>
  <c r="M81" i="8"/>
  <c r="G83" i="13"/>
  <c r="H82" i="13"/>
  <c r="I82" i="13" s="1"/>
  <c r="N82" i="13"/>
  <c r="K83" i="8"/>
  <c r="L82" i="8"/>
  <c r="M82" i="8" s="1"/>
  <c r="G83" i="10"/>
  <c r="H82" i="10"/>
  <c r="I82" i="10" s="1"/>
  <c r="N82" i="10"/>
  <c r="O82" i="13"/>
  <c r="K83" i="13"/>
  <c r="L82" i="13"/>
  <c r="M82" i="13" s="1"/>
  <c r="F85" i="10"/>
  <c r="J85" i="10" s="1"/>
  <c r="D86" i="10"/>
  <c r="E85" i="10"/>
  <c r="G83" i="8"/>
  <c r="H82" i="8"/>
  <c r="I82" i="8" s="1"/>
  <c r="N82" i="8"/>
  <c r="M81" i="13"/>
  <c r="K83" i="10"/>
  <c r="L82" i="10"/>
  <c r="D86" i="13"/>
  <c r="F85" i="13"/>
  <c r="J85" i="13" s="1"/>
  <c r="E85" i="13"/>
  <c r="M82" i="10" l="1"/>
  <c r="F86" i="8"/>
  <c r="J86" i="8" s="1"/>
  <c r="D87" i="8"/>
  <c r="E86" i="8"/>
  <c r="G84" i="10"/>
  <c r="H83" i="10"/>
  <c r="I83" i="10" s="1"/>
  <c r="N83" i="10"/>
  <c r="D87" i="13"/>
  <c r="F86" i="13"/>
  <c r="J86" i="13" s="1"/>
  <c r="E86" i="13"/>
  <c r="O83" i="13"/>
  <c r="K84" i="13"/>
  <c r="L83" i="13"/>
  <c r="K84" i="10"/>
  <c r="L83" i="10"/>
  <c r="F86" i="10"/>
  <c r="J86" i="10" s="1"/>
  <c r="D87" i="10"/>
  <c r="E86" i="10"/>
  <c r="G84" i="8"/>
  <c r="H83" i="8"/>
  <c r="I83" i="8" s="1"/>
  <c r="N83" i="8"/>
  <c r="K84" i="8"/>
  <c r="L83" i="8"/>
  <c r="G84" i="13"/>
  <c r="H83" i="13"/>
  <c r="I83" i="13" s="1"/>
  <c r="N83" i="13"/>
  <c r="G85" i="13" l="1"/>
  <c r="H84" i="13"/>
  <c r="I84" i="13" s="1"/>
  <c r="N84" i="13"/>
  <c r="M83" i="10"/>
  <c r="G85" i="8"/>
  <c r="H84" i="8"/>
  <c r="I84" i="8" s="1"/>
  <c r="N84" i="8"/>
  <c r="M83" i="13"/>
  <c r="G85" i="10"/>
  <c r="H84" i="10"/>
  <c r="I84" i="10" s="1"/>
  <c r="N84" i="10"/>
  <c r="K85" i="10"/>
  <c r="L84" i="10"/>
  <c r="F87" i="8"/>
  <c r="J87" i="8" s="1"/>
  <c r="D88" i="8"/>
  <c r="E87" i="8"/>
  <c r="F87" i="13"/>
  <c r="J87" i="13" s="1"/>
  <c r="D88" i="13"/>
  <c r="E87" i="13"/>
  <c r="M83" i="8"/>
  <c r="F87" i="10"/>
  <c r="J87" i="10" s="1"/>
  <c r="D88" i="10"/>
  <c r="E87" i="10"/>
  <c r="O84" i="13"/>
  <c r="K85" i="13"/>
  <c r="L84" i="13"/>
  <c r="M84" i="13" s="1"/>
  <c r="K85" i="8"/>
  <c r="L84" i="8"/>
  <c r="F88" i="8" l="1"/>
  <c r="J88" i="8" s="1"/>
  <c r="D89" i="8"/>
  <c r="E88" i="8"/>
  <c r="G86" i="8"/>
  <c r="H85" i="8"/>
  <c r="I85" i="8" s="1"/>
  <c r="N85" i="8"/>
  <c r="O85" i="13"/>
  <c r="K86" i="13"/>
  <c r="L85" i="13"/>
  <c r="F88" i="13"/>
  <c r="J88" i="13" s="1"/>
  <c r="D89" i="13"/>
  <c r="E88" i="13"/>
  <c r="G86" i="10"/>
  <c r="H85" i="10"/>
  <c r="I85" i="10" s="1"/>
  <c r="N85" i="10"/>
  <c r="M84" i="8"/>
  <c r="F88" i="10"/>
  <c r="J88" i="10" s="1"/>
  <c r="D89" i="10"/>
  <c r="E88" i="10"/>
  <c r="K86" i="8"/>
  <c r="L85" i="8"/>
  <c r="M84" i="10"/>
  <c r="G86" i="13"/>
  <c r="H85" i="13"/>
  <c r="I85" i="13" s="1"/>
  <c r="N85" i="13"/>
  <c r="K86" i="10"/>
  <c r="L85" i="10"/>
  <c r="M85" i="13" l="1"/>
  <c r="O86" i="13"/>
  <c r="K87" i="13"/>
  <c r="L86" i="13"/>
  <c r="G87" i="10"/>
  <c r="H86" i="10"/>
  <c r="I86" i="10" s="1"/>
  <c r="N86" i="10"/>
  <c r="G87" i="13"/>
  <c r="H86" i="13"/>
  <c r="I86" i="13" s="1"/>
  <c r="N86" i="13"/>
  <c r="M85" i="10"/>
  <c r="G87" i="8"/>
  <c r="H86" i="8"/>
  <c r="I86" i="8" s="1"/>
  <c r="N86" i="8"/>
  <c r="F89" i="10"/>
  <c r="J89" i="10" s="1"/>
  <c r="D90" i="10"/>
  <c r="E89" i="10"/>
  <c r="F89" i="8"/>
  <c r="J89" i="8" s="1"/>
  <c r="D90" i="8"/>
  <c r="E89" i="8"/>
  <c r="D90" i="13"/>
  <c r="F89" i="13"/>
  <c r="J89" i="13" s="1"/>
  <c r="E89" i="13"/>
  <c r="M85" i="8"/>
  <c r="K87" i="10"/>
  <c r="L86" i="10"/>
  <c r="K87" i="8"/>
  <c r="L86" i="8"/>
  <c r="M86" i="10" l="1"/>
  <c r="G88" i="13"/>
  <c r="H87" i="13"/>
  <c r="I87" i="13" s="1"/>
  <c r="N87" i="13"/>
  <c r="M86" i="8"/>
  <c r="F90" i="8"/>
  <c r="J90" i="8" s="1"/>
  <c r="D91" i="8"/>
  <c r="E90" i="8"/>
  <c r="M86" i="13"/>
  <c r="O87" i="13"/>
  <c r="K88" i="13"/>
  <c r="L87" i="13"/>
  <c r="K88" i="8"/>
  <c r="L87" i="8"/>
  <c r="F90" i="13"/>
  <c r="J90" i="13" s="1"/>
  <c r="D91" i="13"/>
  <c r="E90" i="13"/>
  <c r="K88" i="10"/>
  <c r="L87" i="10"/>
  <c r="G88" i="8"/>
  <c r="H87" i="8"/>
  <c r="I87" i="8" s="1"/>
  <c r="N87" i="8"/>
  <c r="F90" i="10"/>
  <c r="J90" i="10" s="1"/>
  <c r="D91" i="10"/>
  <c r="E90" i="10"/>
  <c r="G88" i="10"/>
  <c r="H87" i="10"/>
  <c r="I87" i="10" s="1"/>
  <c r="N87" i="10"/>
  <c r="M87" i="10" l="1"/>
  <c r="G89" i="10"/>
  <c r="H88" i="10"/>
  <c r="I88" i="10" s="1"/>
  <c r="N88" i="10"/>
  <c r="O88" i="13"/>
  <c r="K89" i="13"/>
  <c r="L88" i="13"/>
  <c r="M88" i="13" s="1"/>
  <c r="G89" i="8"/>
  <c r="H88" i="8"/>
  <c r="I88" i="8" s="1"/>
  <c r="N88" i="8"/>
  <c r="K89" i="10"/>
  <c r="L88" i="10"/>
  <c r="M88" i="10" s="1"/>
  <c r="F91" i="10"/>
  <c r="J91" i="10" s="1"/>
  <c r="D92" i="10"/>
  <c r="E91" i="10"/>
  <c r="F91" i="13"/>
  <c r="J91" i="13" s="1"/>
  <c r="D92" i="13"/>
  <c r="E91" i="13"/>
  <c r="M87" i="8"/>
  <c r="K89" i="8"/>
  <c r="L88" i="8"/>
  <c r="M88" i="8" s="1"/>
  <c r="F91" i="8"/>
  <c r="J91" i="8" s="1"/>
  <c r="D92" i="8"/>
  <c r="E91" i="8"/>
  <c r="M87" i="13"/>
  <c r="G89" i="13"/>
  <c r="H88" i="13"/>
  <c r="I88" i="13" s="1"/>
  <c r="N88" i="13"/>
  <c r="G90" i="13" l="1"/>
  <c r="H89" i="13"/>
  <c r="I89" i="13" s="1"/>
  <c r="N89" i="13"/>
  <c r="K90" i="8"/>
  <c r="L89" i="8"/>
  <c r="M89" i="8" s="1"/>
  <c r="K90" i="13"/>
  <c r="O89" i="13"/>
  <c r="L89" i="13"/>
  <c r="M89" i="13" s="1"/>
  <c r="D93" i="10"/>
  <c r="F92" i="10"/>
  <c r="J92" i="10" s="1"/>
  <c r="E92" i="10"/>
  <c r="G90" i="10"/>
  <c r="H89" i="10"/>
  <c r="I89" i="10" s="1"/>
  <c r="N89" i="10"/>
  <c r="K90" i="10"/>
  <c r="L89" i="10"/>
  <c r="F92" i="8"/>
  <c r="J92" i="8" s="1"/>
  <c r="D93" i="8"/>
  <c r="E92" i="8"/>
  <c r="G90" i="8"/>
  <c r="H89" i="8"/>
  <c r="I89" i="8" s="1"/>
  <c r="N89" i="8"/>
  <c r="D93" i="13"/>
  <c r="F92" i="13"/>
  <c r="J92" i="13" s="1"/>
  <c r="E92" i="13"/>
  <c r="M89" i="10" l="1"/>
  <c r="O90" i="13"/>
  <c r="K91" i="13"/>
  <c r="L90" i="13"/>
  <c r="F93" i="10"/>
  <c r="J93" i="10" s="1"/>
  <c r="D94" i="10"/>
  <c r="E93" i="10"/>
  <c r="F93" i="8"/>
  <c r="J93" i="8" s="1"/>
  <c r="D94" i="8"/>
  <c r="E93" i="8"/>
  <c r="K91" i="10"/>
  <c r="L90" i="10"/>
  <c r="K91" i="8"/>
  <c r="L90" i="8"/>
  <c r="M90" i="8" s="1"/>
  <c r="F93" i="13"/>
  <c r="J93" i="13" s="1"/>
  <c r="D94" i="13"/>
  <c r="E93" i="13"/>
  <c r="G91" i="10"/>
  <c r="H90" i="10"/>
  <c r="I90" i="10" s="1"/>
  <c r="N90" i="10"/>
  <c r="G91" i="8"/>
  <c r="H90" i="8"/>
  <c r="I90" i="8" s="1"/>
  <c r="N90" i="8"/>
  <c r="G91" i="13"/>
  <c r="H90" i="13"/>
  <c r="I90" i="13" s="1"/>
  <c r="N90" i="13"/>
  <c r="G92" i="13" l="1"/>
  <c r="H91" i="13"/>
  <c r="I91" i="13" s="1"/>
  <c r="N91" i="13"/>
  <c r="F94" i="8"/>
  <c r="J94" i="8" s="1"/>
  <c r="D95" i="8"/>
  <c r="E94" i="8"/>
  <c r="O91" i="13"/>
  <c r="K92" i="13"/>
  <c r="L91" i="13"/>
  <c r="M91" i="13" s="1"/>
  <c r="D95" i="10"/>
  <c r="F94" i="10"/>
  <c r="J94" i="10" s="1"/>
  <c r="E94" i="10"/>
  <c r="G92" i="10"/>
  <c r="H91" i="10"/>
  <c r="I91" i="10" s="1"/>
  <c r="N91" i="10"/>
  <c r="K92" i="8"/>
  <c r="L91" i="8"/>
  <c r="F94" i="13"/>
  <c r="J94" i="13" s="1"/>
  <c r="D95" i="13"/>
  <c r="E94" i="13"/>
  <c r="M90" i="13"/>
  <c r="M90" i="10"/>
  <c r="G92" i="8"/>
  <c r="H91" i="8"/>
  <c r="I91" i="8" s="1"/>
  <c r="N91" i="8"/>
  <c r="K92" i="10"/>
  <c r="L91" i="10"/>
  <c r="K93" i="10" l="1"/>
  <c r="L92" i="10"/>
  <c r="F95" i="13"/>
  <c r="J95" i="13" s="1"/>
  <c r="D96" i="13"/>
  <c r="E95" i="13"/>
  <c r="O92" i="13"/>
  <c r="K93" i="13"/>
  <c r="L92" i="13"/>
  <c r="M92" i="13" s="1"/>
  <c r="G93" i="10"/>
  <c r="H92" i="10"/>
  <c r="I92" i="10" s="1"/>
  <c r="N92" i="10"/>
  <c r="G93" i="8"/>
  <c r="H92" i="8"/>
  <c r="I92" i="8" s="1"/>
  <c r="N92" i="8"/>
  <c r="M91" i="8"/>
  <c r="G93" i="13"/>
  <c r="H92" i="13"/>
  <c r="I92" i="13" s="1"/>
  <c r="N92" i="13"/>
  <c r="M91" i="10"/>
  <c r="K93" i="8"/>
  <c r="L92" i="8"/>
  <c r="M92" i="8" s="1"/>
  <c r="F95" i="10"/>
  <c r="J95" i="10" s="1"/>
  <c r="D96" i="10"/>
  <c r="E95" i="10"/>
  <c r="F95" i="8"/>
  <c r="J95" i="8" s="1"/>
  <c r="D96" i="8"/>
  <c r="E95" i="8"/>
  <c r="D97" i="13" l="1"/>
  <c r="E96" i="13"/>
  <c r="K94" i="8"/>
  <c r="L93" i="8"/>
  <c r="M93" i="8" s="1"/>
  <c r="O93" i="13"/>
  <c r="K94" i="13"/>
  <c r="L93" i="13"/>
  <c r="K94" i="10"/>
  <c r="L93" i="10"/>
  <c r="G94" i="10"/>
  <c r="H93" i="10"/>
  <c r="I93" i="10" s="1"/>
  <c r="N93" i="10"/>
  <c r="D97" i="10"/>
  <c r="E96" i="10"/>
  <c r="M92" i="10"/>
  <c r="G94" i="13"/>
  <c r="H93" i="13"/>
  <c r="I93" i="13" s="1"/>
  <c r="N93" i="13"/>
  <c r="G94" i="8"/>
  <c r="H93" i="8"/>
  <c r="I93" i="8" s="1"/>
  <c r="N93" i="8"/>
  <c r="D97" i="8"/>
  <c r="E96" i="8"/>
  <c r="G95" i="10" l="1"/>
  <c r="H94" i="10"/>
  <c r="I94" i="10" s="1"/>
  <c r="N94" i="10"/>
  <c r="K95" i="13"/>
  <c r="O94" i="13"/>
  <c r="L94" i="13"/>
  <c r="M94" i="13" s="1"/>
  <c r="G95" i="13"/>
  <c r="H94" i="13"/>
  <c r="I94" i="13" s="1"/>
  <c r="N94" i="13"/>
  <c r="M93" i="10"/>
  <c r="K95" i="8"/>
  <c r="L94" i="8"/>
  <c r="G95" i="8"/>
  <c r="H94" i="8"/>
  <c r="I94" i="8" s="1"/>
  <c r="N94" i="8"/>
  <c r="K95" i="10"/>
  <c r="L94" i="10"/>
  <c r="D98" i="10"/>
  <c r="E97" i="10"/>
  <c r="M93" i="13"/>
  <c r="D98" i="13"/>
  <c r="E97" i="13"/>
  <c r="D98" i="8"/>
  <c r="E97" i="8"/>
  <c r="M94" i="10" l="1"/>
  <c r="K96" i="8"/>
  <c r="L95" i="8"/>
  <c r="K96" i="10"/>
  <c r="L95" i="10"/>
  <c r="K96" i="13"/>
  <c r="L95" i="13"/>
  <c r="G96" i="13"/>
  <c r="H95" i="13"/>
  <c r="I95" i="13" s="1"/>
  <c r="N95" i="13"/>
  <c r="D99" i="8"/>
  <c r="E98" i="8"/>
  <c r="G96" i="8"/>
  <c r="H95" i="8"/>
  <c r="I95" i="8" s="1"/>
  <c r="N95" i="8"/>
  <c r="G96" i="10"/>
  <c r="H95" i="10"/>
  <c r="I95" i="10" s="1"/>
  <c r="N95" i="10"/>
  <c r="D99" i="13"/>
  <c r="E98" i="13"/>
  <c r="D99" i="10"/>
  <c r="E98" i="10"/>
  <c r="M94" i="8"/>
  <c r="D100" i="10" l="1"/>
  <c r="E99" i="10"/>
  <c r="D100" i="8"/>
  <c r="E99" i="8"/>
  <c r="K97" i="13"/>
  <c r="L96" i="13"/>
  <c r="M96" i="13" s="1"/>
  <c r="G97" i="10"/>
  <c r="H96" i="10"/>
  <c r="I96" i="10" s="1"/>
  <c r="N96" i="10"/>
  <c r="M95" i="10"/>
  <c r="G97" i="8"/>
  <c r="H96" i="8"/>
  <c r="I96" i="8" s="1"/>
  <c r="N96" i="8"/>
  <c r="K97" i="10"/>
  <c r="L96" i="10"/>
  <c r="G97" i="13"/>
  <c r="H96" i="13"/>
  <c r="I96" i="13" s="1"/>
  <c r="N96" i="13"/>
  <c r="D100" i="13"/>
  <c r="E99" i="13"/>
  <c r="M95" i="8"/>
  <c r="M95" i="13"/>
  <c r="K97" i="8"/>
  <c r="L96" i="8"/>
  <c r="K98" i="13" l="1"/>
  <c r="L97" i="13"/>
  <c r="D101" i="8"/>
  <c r="E100" i="8"/>
  <c r="M96" i="8"/>
  <c r="G98" i="8"/>
  <c r="H97" i="8"/>
  <c r="I97" i="8" s="1"/>
  <c r="N97" i="8"/>
  <c r="K98" i="8"/>
  <c r="L97" i="8"/>
  <c r="M97" i="8" s="1"/>
  <c r="G98" i="13"/>
  <c r="H97" i="13"/>
  <c r="I97" i="13" s="1"/>
  <c r="N97" i="13"/>
  <c r="M96" i="10"/>
  <c r="D101" i="13"/>
  <c r="E100" i="13"/>
  <c r="G98" i="10"/>
  <c r="H97" i="10"/>
  <c r="I97" i="10" s="1"/>
  <c r="N97" i="10"/>
  <c r="D101" i="10"/>
  <c r="E100" i="10"/>
  <c r="K98" i="10"/>
  <c r="L97" i="10"/>
  <c r="G99" i="8" l="1"/>
  <c r="H98" i="8"/>
  <c r="I98" i="8" s="1"/>
  <c r="N98" i="8"/>
  <c r="G99" i="10"/>
  <c r="H98" i="10"/>
  <c r="I98" i="10" s="1"/>
  <c r="N98" i="10"/>
  <c r="G99" i="13"/>
  <c r="H98" i="13"/>
  <c r="I98" i="13" s="1"/>
  <c r="N98" i="13"/>
  <c r="K99" i="10"/>
  <c r="L98" i="10"/>
  <c r="M97" i="10"/>
  <c r="D102" i="8"/>
  <c r="E101" i="8"/>
  <c r="K99" i="8"/>
  <c r="L98" i="8"/>
  <c r="M98" i="8" s="1"/>
  <c r="M97" i="13"/>
  <c r="D102" i="10"/>
  <c r="E101" i="10"/>
  <c r="K99" i="13"/>
  <c r="L98" i="13"/>
  <c r="M98" i="13" s="1"/>
  <c r="D102" i="13"/>
  <c r="E101" i="13"/>
  <c r="G100" i="13" l="1"/>
  <c r="H99" i="13"/>
  <c r="I99" i="13" s="1"/>
  <c r="N99" i="13"/>
  <c r="D103" i="8"/>
  <c r="E102" i="8"/>
  <c r="D103" i="10"/>
  <c r="E102" i="10"/>
  <c r="M98" i="10"/>
  <c r="D103" i="13"/>
  <c r="E102" i="13"/>
  <c r="K100" i="10"/>
  <c r="L99" i="10"/>
  <c r="G100" i="10"/>
  <c r="H99" i="10"/>
  <c r="I99" i="10" s="1"/>
  <c r="N99" i="10"/>
  <c r="K100" i="8"/>
  <c r="L99" i="8"/>
  <c r="M99" i="8" s="1"/>
  <c r="K100" i="13"/>
  <c r="L99" i="13"/>
  <c r="M99" i="13" s="1"/>
  <c r="G100" i="8"/>
  <c r="H99" i="8"/>
  <c r="I99" i="8" s="1"/>
  <c r="N99" i="8"/>
  <c r="M99" i="10" l="1"/>
  <c r="K101" i="8"/>
  <c r="L100" i="8"/>
  <c r="M100" i="8" s="1"/>
  <c r="D104" i="13"/>
  <c r="E103" i="13"/>
  <c r="G101" i="10"/>
  <c r="H100" i="10"/>
  <c r="I100" i="10" s="1"/>
  <c r="N100" i="10"/>
  <c r="K101" i="13"/>
  <c r="L100" i="13"/>
  <c r="M100" i="13" s="1"/>
  <c r="K101" i="10"/>
  <c r="L100" i="10"/>
  <c r="D104" i="8"/>
  <c r="E103" i="8"/>
  <c r="G101" i="8"/>
  <c r="H100" i="8"/>
  <c r="I100" i="8" s="1"/>
  <c r="N100" i="8"/>
  <c r="D104" i="10"/>
  <c r="E103" i="10"/>
  <c r="G101" i="13"/>
  <c r="H100" i="13"/>
  <c r="I100" i="13" s="1"/>
  <c r="N100" i="13"/>
  <c r="M100" i="10" l="1"/>
  <c r="D105" i="8"/>
  <c r="E104" i="8"/>
  <c r="D105" i="10"/>
  <c r="E104" i="10"/>
  <c r="K102" i="10"/>
  <c r="L101" i="10"/>
  <c r="K102" i="13"/>
  <c r="L101" i="13"/>
  <c r="M101" i="13" s="1"/>
  <c r="G102" i="10"/>
  <c r="H101" i="10"/>
  <c r="I101" i="10" s="1"/>
  <c r="N101" i="10"/>
  <c r="D105" i="13"/>
  <c r="E104" i="13"/>
  <c r="K102" i="8"/>
  <c r="L101" i="8"/>
  <c r="G102" i="8"/>
  <c r="H101" i="8"/>
  <c r="I101" i="8" s="1"/>
  <c r="N101" i="8"/>
  <c r="G102" i="13"/>
  <c r="H101" i="13"/>
  <c r="I101" i="13" s="1"/>
  <c r="N101" i="13"/>
  <c r="G103" i="10" l="1"/>
  <c r="H102" i="10"/>
  <c r="I102" i="10" s="1"/>
  <c r="N102" i="10"/>
  <c r="G103" i="13"/>
  <c r="H102" i="13"/>
  <c r="I102" i="13" s="1"/>
  <c r="N102" i="13"/>
  <c r="D106" i="10"/>
  <c r="E105" i="10"/>
  <c r="D106" i="13"/>
  <c r="E105" i="13"/>
  <c r="G103" i="8"/>
  <c r="H102" i="8"/>
  <c r="I102" i="8" s="1"/>
  <c r="N102" i="8"/>
  <c r="M101" i="8"/>
  <c r="D106" i="8"/>
  <c r="E105" i="8"/>
  <c r="K103" i="8"/>
  <c r="L102" i="8"/>
  <c r="M102" i="8" s="1"/>
  <c r="K103" i="13"/>
  <c r="L102" i="13"/>
  <c r="M101" i="10"/>
  <c r="K103" i="10"/>
  <c r="L102" i="10"/>
  <c r="M102" i="10" l="1"/>
  <c r="G104" i="8"/>
  <c r="H103" i="8"/>
  <c r="I103" i="8" s="1"/>
  <c r="N103" i="8"/>
  <c r="D107" i="13"/>
  <c r="E106" i="13"/>
  <c r="D107" i="8"/>
  <c r="E106" i="8"/>
  <c r="K104" i="10"/>
  <c r="L103" i="10"/>
  <c r="G104" i="10"/>
  <c r="H103" i="10"/>
  <c r="I103" i="10" s="1"/>
  <c r="N103" i="10"/>
  <c r="K104" i="8"/>
  <c r="L103" i="8"/>
  <c r="G104" i="13"/>
  <c r="H103" i="13"/>
  <c r="I103" i="13" s="1"/>
  <c r="N103" i="13"/>
  <c r="M102" i="13"/>
  <c r="K104" i="13"/>
  <c r="L103" i="13"/>
  <c r="D107" i="10"/>
  <c r="E106" i="10"/>
  <c r="K105" i="8" l="1"/>
  <c r="L104" i="8"/>
  <c r="K105" i="10"/>
  <c r="L104" i="10"/>
  <c r="G105" i="10"/>
  <c r="H104" i="10"/>
  <c r="I104" i="10" s="1"/>
  <c r="N104" i="10"/>
  <c r="M103" i="10"/>
  <c r="G105" i="13"/>
  <c r="H104" i="13"/>
  <c r="I104" i="13" s="1"/>
  <c r="N104" i="13"/>
  <c r="K105" i="13"/>
  <c r="L104" i="13"/>
  <c r="M104" i="13" s="1"/>
  <c r="E107" i="13"/>
  <c r="E107" i="10"/>
  <c r="M103" i="13"/>
  <c r="M103" i="8"/>
  <c r="E107" i="8"/>
  <c r="G105" i="8"/>
  <c r="H104" i="8"/>
  <c r="I104" i="8" s="1"/>
  <c r="N104" i="8"/>
  <c r="K106" i="13" l="1"/>
  <c r="L105" i="13"/>
  <c r="M104" i="10"/>
  <c r="K106" i="8"/>
  <c r="L105" i="8"/>
  <c r="M105" i="8" s="1"/>
  <c r="G106" i="10"/>
  <c r="H105" i="10"/>
  <c r="I105" i="10" s="1"/>
  <c r="N105" i="10"/>
  <c r="K106" i="10"/>
  <c r="L105" i="10"/>
  <c r="G106" i="13"/>
  <c r="H105" i="13"/>
  <c r="I105" i="13" s="1"/>
  <c r="N105" i="13"/>
  <c r="M104" i="8"/>
  <c r="G106" i="8"/>
  <c r="H105" i="8"/>
  <c r="I105" i="8" s="1"/>
  <c r="N105" i="8"/>
  <c r="M105" i="10" l="1"/>
  <c r="G107" i="13"/>
  <c r="H106" i="13"/>
  <c r="I106" i="13" s="1"/>
  <c r="N106" i="13"/>
  <c r="M105" i="13"/>
  <c r="G107" i="10"/>
  <c r="H106" i="10"/>
  <c r="I106" i="10" s="1"/>
  <c r="N106" i="10"/>
  <c r="K107" i="8"/>
  <c r="L107" i="8" s="1"/>
  <c r="L106" i="8"/>
  <c r="K107" i="10"/>
  <c r="L107" i="10" s="1"/>
  <c r="L106" i="10"/>
  <c r="G107" i="8"/>
  <c r="H106" i="8"/>
  <c r="I106" i="8" s="1"/>
  <c r="N106" i="8"/>
  <c r="K107" i="13"/>
  <c r="L107" i="13" s="1"/>
  <c r="L106" i="13"/>
  <c r="M106" i="13" s="1"/>
  <c r="H107" i="10" l="1"/>
  <c r="I107" i="10" s="1"/>
  <c r="M107" i="10" s="1"/>
  <c r="N107" i="10"/>
  <c r="H107" i="8"/>
  <c r="I107" i="8" s="1"/>
  <c r="M107" i="8" s="1"/>
  <c r="N107" i="8"/>
  <c r="M106" i="10"/>
  <c r="M106" i="8"/>
  <c r="H107" i="13"/>
  <c r="I107" i="13" s="1"/>
  <c r="M107" i="13" s="1"/>
  <c r="N107" i="13"/>
</calcChain>
</file>

<file path=xl/comments1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10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11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12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13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2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3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4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5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6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7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8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comments9.xml><?xml version="1.0" encoding="utf-8"?>
<comments xmlns="http://schemas.openxmlformats.org/spreadsheetml/2006/main">
  <authors>
    <author>Peterson, Pete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Inputs from Power Plant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Inputs from Power Plant
</t>
        </r>
      </text>
    </comment>
  </commentList>
</comments>
</file>

<file path=xl/sharedStrings.xml><?xml version="1.0" encoding="utf-8"?>
<sst xmlns="http://schemas.openxmlformats.org/spreadsheetml/2006/main" count="1223" uniqueCount="273">
  <si>
    <t>W_K.99999.03.33.01 - TLNG Supervision &amp; Support for PSE</t>
  </si>
  <si>
    <t>W_K.99999.03.33.17 - TLNG Power Costs for PSE</t>
  </si>
  <si>
    <t>W_K.99999.03.33.18 - TLNG Insurance for PSE</t>
  </si>
  <si>
    <t>W_K.99999.03.33.02 - TLNG Liquefaction System for PSE</t>
  </si>
  <si>
    <t>W_K.99999.03.33.03 - TLNG LNG Storage System for PSE</t>
  </si>
  <si>
    <t>W_K.99999.03.33.04 - TLNG Truck Loading System for PSE</t>
  </si>
  <si>
    <t>W_K.99999.03.33.06 - TLNG Pre-Treatment System for PSE</t>
  </si>
  <si>
    <t>W_K.99999.03.33.07 - TLNG Plant Utilities System for PSE</t>
  </si>
  <si>
    <t>W_K.99999.03.33.08 - TLNG Fuel System for PSE</t>
  </si>
  <si>
    <t>W_K.99999.03.33.09 - TLNG General Consumables for PSE</t>
  </si>
  <si>
    <t>W_K.99999.03.33.10 - TLNG Outside Util and HouseKeeping PSE</t>
  </si>
  <si>
    <t>W_K.99999.03.33.11 - TLNG Compliance for PSE</t>
  </si>
  <si>
    <t>W_K.99999.03.33.12 - TLNG Balance of Plant for PSE</t>
  </si>
  <si>
    <t>W_K.99999.03.33.13 - TLNG Control System for PSE</t>
  </si>
  <si>
    <t>W_K.99999.03.33.14 - TLNG Mgmt Fee and Incentive for PSE</t>
  </si>
  <si>
    <t>Item</t>
  </si>
  <si>
    <t>Operating and maintenance expenses (O&amp;M)</t>
  </si>
  <si>
    <t>Depreciation expense</t>
  </si>
  <si>
    <t>Conversion Factor</t>
  </si>
  <si>
    <t>weight</t>
  </si>
  <si>
    <t>cost</t>
  </si>
  <si>
    <t>Total</t>
  </si>
  <si>
    <t>debt</t>
  </si>
  <si>
    <t>equity</t>
  </si>
  <si>
    <t>PUGET SOUND ENERGY - GAS</t>
  </si>
  <si>
    <t>GAS RESULTS OF OPERATIONS</t>
  </si>
  <si>
    <t>2022 GENERAL RATE CASE</t>
  </si>
  <si>
    <t>12 MONTHS ENDED JUNE 30, 2021</t>
  </si>
  <si>
    <t>CONVERSION FACTOR</t>
  </si>
  <si>
    <t>LINE</t>
  </si>
  <si>
    <t>NO.</t>
  </si>
  <si>
    <t>DESCRIPTION</t>
  </si>
  <si>
    <t>BAD DEBTS</t>
  </si>
  <si>
    <t>ANNUAL FILING FEE</t>
  </si>
  <si>
    <t>STATE UTILITY TAX ( 3.8358% - ( LINE 1 * 3.8358% )  )</t>
  </si>
  <si>
    <t>SUM OF TAXES OTHER</t>
  </si>
  <si>
    <t>CONVERSION FACTOR EXCLUDING FEDERAL INCOME TAX ( 1 - LINE 17 )</t>
  </si>
  <si>
    <t>FIT</t>
  </si>
  <si>
    <t xml:space="preserve">CONVERSION FACTOR INCL FEDERAL INCOME TAX ( LINE 18 - LINE 19 ) </t>
  </si>
  <si>
    <t>Federal Tax Rate</t>
  </si>
  <si>
    <t>Net deferral rate base</t>
  </si>
  <si>
    <t>Total rate base</t>
  </si>
  <si>
    <t>Total before revenue sensitive fees and taxes</t>
  </si>
  <si>
    <t>AMA</t>
  </si>
  <si>
    <t>Total revenue requirement</t>
  </si>
  <si>
    <t>Puget Sound Energy</t>
  </si>
  <si>
    <t>LNG Deferred Depreciation</t>
  </si>
  <si>
    <t>Amortization starts January 1, 2023 and ends December 31, 2026 (48 months)</t>
  </si>
  <si>
    <t>Actual Deferral</t>
  </si>
  <si>
    <t xml:space="preserve">Monthly </t>
  </si>
  <si>
    <t>Balance</t>
  </si>
  <si>
    <t>AMA Gross</t>
  </si>
  <si>
    <t>Monthly</t>
  </si>
  <si>
    <t>Accumulated</t>
  </si>
  <si>
    <t>AMA Accum.</t>
  </si>
  <si>
    <t>Accum DFIT</t>
  </si>
  <si>
    <t>AMA net of</t>
  </si>
  <si>
    <t>Month/</t>
  </si>
  <si>
    <t>Activity</t>
  </si>
  <si>
    <t>Amortization</t>
  </si>
  <si>
    <t>Net</t>
  </si>
  <si>
    <t>DFIT</t>
  </si>
  <si>
    <t>net of</t>
  </si>
  <si>
    <t>Period</t>
  </si>
  <si>
    <t xml:space="preserve">(a) </t>
  </si>
  <si>
    <t>(b)</t>
  </si>
  <si>
    <t xml:space="preserve">(c) </t>
  </si>
  <si>
    <t xml:space="preserve">(d) = (b) / </t>
  </si>
  <si>
    <t>(e) = prior mo - (d)</t>
  </si>
  <si>
    <t>(f)</t>
  </si>
  <si>
    <t>(g) = (c) + (f)</t>
  </si>
  <si>
    <t>(h) = (-(a) * 21%)</t>
  </si>
  <si>
    <t xml:space="preserve"> (i) = prior mo - (h) </t>
  </si>
  <si>
    <t>(j)</t>
  </si>
  <si>
    <t>(k) = (g) + (j)</t>
  </si>
  <si>
    <t>AA &amp; ADFIT</t>
  </si>
  <si>
    <t>48mos.(4yrs.)</t>
  </si>
  <si>
    <t>+ ((d) * 21%)</t>
  </si>
  <si>
    <t>Beginning</t>
  </si>
  <si>
    <t>Plant</t>
  </si>
  <si>
    <t>LNG Deferred Return</t>
  </si>
  <si>
    <t xml:space="preserve">Line </t>
  </si>
  <si>
    <t>No.</t>
  </si>
  <si>
    <t>Description</t>
  </si>
  <si>
    <t>Plant Balance</t>
  </si>
  <si>
    <t>Accumulated Depreciation</t>
  </si>
  <si>
    <t>Deferred Income Taxes</t>
  </si>
  <si>
    <t>Net Plant Rate Base</t>
  </si>
  <si>
    <t>Rate of Return</t>
  </si>
  <si>
    <t>Net Operating Income Requirement</t>
  </si>
  <si>
    <t>Tax Benefit of Interest</t>
  </si>
  <si>
    <t>Subtotal Before Gross-Up</t>
  </si>
  <si>
    <t>Gross Up for Federal Income Tax</t>
  </si>
  <si>
    <t>Annual Return</t>
  </si>
  <si>
    <t>Date</t>
  </si>
  <si>
    <t>Depreciable Plant Balance</t>
  </si>
  <si>
    <t>Depreciation Expense</t>
  </si>
  <si>
    <t>Net Book Value</t>
  </si>
  <si>
    <t>NBV Diff</t>
  </si>
  <si>
    <t>ADFIT</t>
  </si>
  <si>
    <t>Tax</t>
  </si>
  <si>
    <t>Book</t>
  </si>
  <si>
    <t>Tax (c) = (a)</t>
  </si>
  <si>
    <t xml:space="preserve">Book  </t>
  </si>
  <si>
    <t>Book &gt; Tax</t>
  </si>
  <si>
    <t>= - curr mos</t>
  </si>
  <si>
    <t>x Tax Table</t>
  </si>
  <si>
    <t>(e) = prior</t>
  </si>
  <si>
    <t>(f) = prior</t>
  </si>
  <si>
    <t>(j) + prior</t>
  </si>
  <si>
    <t>(a)</t>
  </si>
  <si>
    <t>mos- (c)</t>
  </si>
  <si>
    <t>mos - (d)</t>
  </si>
  <si>
    <t>(g) = (a) + (e)</t>
  </si>
  <si>
    <t>(h) = (b) + (f)</t>
  </si>
  <si>
    <t>(i) = (h) - (g)</t>
  </si>
  <si>
    <t>mos (j)</t>
  </si>
  <si>
    <t>make sure this ties to the other file</t>
  </si>
  <si>
    <t>Current Forecast</t>
  </si>
  <si>
    <t>W_K.99999.03.33.05 - TLNG Vaporization for PSE</t>
  </si>
  <si>
    <t>W_K.99999.03.33.15 - TLNG Supplemental Projects for PSE</t>
  </si>
  <si>
    <t>W_K.99999.03.33.16 - TLNG Lease for PSE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</si>
  <si>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</si>
  <si>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</si>
  <si>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</si>
  <si>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</si>
  <si>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</si>
  <si>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</si>
  <si>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</si>
  <si>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</si>
  <si>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</si>
  <si>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</si>
  <si>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</si>
  <si>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</si>
  <si>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</si>
  <si>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</si>
  <si>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</si>
  <si>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</si>
  <si>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</si>
  <si>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</si>
  <si>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</si>
  <si>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LNG plant, depreciation, taxes - AMA ELECTRIC</t>
  </si>
  <si>
    <t>Attachment A to LNG Accounting Instructions</t>
  </si>
  <si>
    <t>Book Depr</t>
  </si>
  <si>
    <t>Expense</t>
  </si>
  <si>
    <t>Determination of Return on LNG Plant</t>
  </si>
  <si>
    <t>2019 GRC ROR (Ended Jan 6, 2023 for Gas)</t>
  </si>
  <si>
    <t>2022 GRC ROR (Effective Jan 7, 2023 for Gas)</t>
  </si>
  <si>
    <t>Weighted Average Cost of Debt</t>
  </si>
  <si>
    <t>1/1-1/6/2023</t>
  </si>
  <si>
    <t>1/7-1/31/2023</t>
  </si>
  <si>
    <t>TOTAL GAS</t>
  </si>
  <si>
    <t>Convert to Monthly</t>
  </si>
  <si>
    <t>Amount to Defer</t>
  </si>
  <si>
    <t xml:space="preserve">2023/03   </t>
  </si>
  <si>
    <t xml:space="preserve">2023/02   </t>
  </si>
  <si>
    <t xml:space="preserve">2023/01   </t>
  </si>
  <si>
    <t xml:space="preserve">2022/12   </t>
  </si>
  <si>
    <t xml:space="preserve">2022/11   </t>
  </si>
  <si>
    <t xml:space="preserve">2022/10   </t>
  </si>
  <si>
    <t xml:space="preserve">2022/09   </t>
  </si>
  <si>
    <t xml:space="preserve">2022/08   </t>
  </si>
  <si>
    <t xml:space="preserve">2022/07   </t>
  </si>
  <si>
    <t xml:space="preserve">2022/06   </t>
  </si>
  <si>
    <t xml:space="preserve">2022/05   </t>
  </si>
  <si>
    <t xml:space="preserve">2022/04   </t>
  </si>
  <si>
    <t xml:space="preserve">2022/03   </t>
  </si>
  <si>
    <t xml:space="preserve">2022/02   </t>
  </si>
  <si>
    <t>LNG O&amp;M Exp</t>
  </si>
  <si>
    <t>LNG Dep Exp</t>
  </si>
  <si>
    <t>LNG Return</t>
  </si>
  <si>
    <t>Year/month</t>
  </si>
  <si>
    <t>Total Net Plant in Rate Base</t>
  </si>
  <si>
    <t>Rate Base</t>
  </si>
  <si>
    <t>Deferrals</t>
  </si>
  <si>
    <t>O&amp;M</t>
  </si>
  <si>
    <t>Rev Req = First rate year AMA balances as Nov 2023 - Oct 2024</t>
  </si>
  <si>
    <t>Accum Depo</t>
  </si>
  <si>
    <t>Deffered Income Taxes</t>
  </si>
  <si>
    <t>Amortization of deferrals for return, depreciation and O&amp;M</t>
  </si>
  <si>
    <t>Total LNG O&amp;M Amortization Exp. (Nov 2023-Oct-2024</t>
  </si>
  <si>
    <t>Total LNG Depo Amortization Exp. (Nov 2023-Oct-2024</t>
  </si>
  <si>
    <t>Revenue</t>
  </si>
  <si>
    <t>Requirement</t>
  </si>
  <si>
    <t>Approved Rate of Return</t>
  </si>
  <si>
    <t>Approved Weighted Average Cost of Debt</t>
  </si>
  <si>
    <t>Statutory Federal Income Tax Rate</t>
  </si>
  <si>
    <t>Net Operating Income for:</t>
  </si>
  <si>
    <t>Ref #</t>
  </si>
  <si>
    <t>Yr 1</t>
  </si>
  <si>
    <t>Yr 2</t>
  </si>
  <si>
    <t>Yr 3</t>
  </si>
  <si>
    <t>Yr 4</t>
  </si>
  <si>
    <t>Yr 5</t>
  </si>
  <si>
    <t>Accum Amortization on Depreciation Deferral</t>
  </si>
  <si>
    <t>Accum Amortization on O&amp;M Deferral</t>
  </si>
  <si>
    <t>ADFIT on Depreciation Deferral</t>
  </si>
  <si>
    <t>ADFIT on O&amp;M Deferral</t>
  </si>
  <si>
    <t>O&amp;M 12ME Oct 2024</t>
  </si>
  <si>
    <t>FIT Rate</t>
  </si>
  <si>
    <t>NOI</t>
  </si>
  <si>
    <t>Check</t>
  </si>
  <si>
    <t>s/b</t>
  </si>
  <si>
    <t>all</t>
  </si>
  <si>
    <t>&lt;-- Nets to zero</t>
  </si>
  <si>
    <t>From PowerPlant Subsidiary Ledger and Tax Calcs by Depr Group</t>
  </si>
  <si>
    <t>Note: No significant plant additions for Tacoma LNG are forecasted through October 2024.</t>
  </si>
  <si>
    <t>(d)</t>
  </si>
  <si>
    <t>Expense (k)</t>
  </si>
  <si>
    <t>EOP NBV</t>
  </si>
  <si>
    <t>Less ADIT</t>
  </si>
  <si>
    <t>(l) = (h) + (j)</t>
  </si>
  <si>
    <t>Booked to GL</t>
  </si>
  <si>
    <t>GL True-ups</t>
  </si>
  <si>
    <t>&lt;-- Agrees to Plant Additions Tab</t>
  </si>
  <si>
    <t>Depreciation</t>
  </si>
  <si>
    <t>Return</t>
  </si>
  <si>
    <t>Net Operating Income</t>
  </si>
  <si>
    <t xml:space="preserve">Amortization </t>
  </si>
  <si>
    <t>AMA Balance</t>
  </si>
  <si>
    <t xml:space="preserve"> as of 10/31/2024</t>
  </si>
  <si>
    <t>n/a</t>
  </si>
  <si>
    <t>Not Rate Base</t>
  </si>
  <si>
    <t>Return on rate base</t>
  </si>
  <si>
    <t>Depreciation deferral balances (Account 182.3)</t>
  </si>
  <si>
    <t>O&amp;M deferral balance (Account 182.3)</t>
  </si>
  <si>
    <t>Deferral = O&amp;M, Depreciation , and Return for the period Feb 2022 - Oct 2023</t>
  </si>
  <si>
    <t>AMA Balances (Oct 2023-Oct 2024)</t>
  </si>
  <si>
    <t>Tacoma LNG O&amp;M Forecast</t>
  </si>
  <si>
    <t>Tax Benefit of Interest (Line 21 x Line 24 x Line 25)</t>
  </si>
  <si>
    <t>Ties to w/p in the filing</t>
  </si>
  <si>
    <t>Book Balances</t>
  </si>
  <si>
    <t>G361</t>
  </si>
  <si>
    <t>G362</t>
  </si>
  <si>
    <t>G363</t>
  </si>
  <si>
    <t>G3631</t>
  </si>
  <si>
    <t>G3632</t>
  </si>
  <si>
    <t>G3633</t>
  </si>
  <si>
    <t>G3635</t>
  </si>
  <si>
    <t>G3643</t>
  </si>
  <si>
    <t xml:space="preserve">G3645 </t>
  </si>
  <si>
    <t>G3646</t>
  </si>
  <si>
    <t>G3912</t>
  </si>
  <si>
    <t>G397</t>
  </si>
  <si>
    <t>G303</t>
  </si>
  <si>
    <t>Totals</t>
  </si>
  <si>
    <t>TAX DEPRECIATION</t>
  </si>
  <si>
    <t xml:space="preserve">FERC Account </t>
  </si>
  <si>
    <t>AMA - DEC 22</t>
  </si>
  <si>
    <t>EOP - DEC 22</t>
  </si>
  <si>
    <t>YEAR - 2022</t>
  </si>
  <si>
    <t>AMA - DEC 21</t>
  </si>
  <si>
    <t>EOP - DEC 21</t>
  </si>
  <si>
    <t>PARTIAL YEAR - 2021</t>
  </si>
  <si>
    <t>(j) = - (i) *</t>
  </si>
  <si>
    <t xml:space="preserve"> </t>
  </si>
  <si>
    <t>New</t>
  </si>
  <si>
    <t>Current</t>
  </si>
  <si>
    <t>MACRS 15 YEAR</t>
  </si>
  <si>
    <t>G361 Structures and Improvements</t>
  </si>
  <si>
    <t>Liquified Natural Gas Plant</t>
  </si>
  <si>
    <t>G362 Gas Storage</t>
  </si>
  <si>
    <t>Liquified Natural Gas Facility</t>
  </si>
  <si>
    <t>G363 Liquifaction, Vaporizing, and Compressor Equipment</t>
  </si>
  <si>
    <t>G364 Measuring and Regulating Equipment</t>
  </si>
  <si>
    <t>check</t>
  </si>
  <si>
    <t>MACRS 7 YEAR</t>
  </si>
  <si>
    <t>G3912 Computer Equipment</t>
  </si>
  <si>
    <t>G397 Communication Equipment</t>
  </si>
  <si>
    <t>MACRS 3 YEAR SL</t>
  </si>
  <si>
    <t>G303 Software</t>
  </si>
  <si>
    <t>Tax  Depreciation</t>
  </si>
  <si>
    <t>Book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</si>
</sst>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[$-409]mmmm\ d\,\ yyyy;@"/>
    <numFmt numFmtId="168" formatCode="&quot;$&quot;#,##0"/>
    <numFmt numFmtId="169" formatCode="0.000%"/>
    <numFmt numFmtId="170" formatCode="[$-409]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666666"/>
      <name val="Arial"/>
      <family val="2"/>
    </font>
    <font>
      <b/>
      <sz val="11"/>
      <color rgb="FF666666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A667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rgb="FFFFFF00"/>
      </right>
      <top/>
      <bottom style="thick">
        <color rgb="FFFFFF00"/>
      </bottom>
      <diagonal/>
    </border>
    <border>
      <left style="hair">
        <color indexed="64"/>
      </left>
      <right style="hair">
        <color indexed="64"/>
      </right>
      <top/>
      <bottom style="thick">
        <color rgb="FFFFFF00"/>
      </bottom>
      <diagonal/>
    </border>
    <border>
      <left style="thick">
        <color rgb="FFFFFF00"/>
      </left>
      <right style="hair">
        <color indexed="64"/>
      </right>
      <top/>
      <bottom style="thick">
        <color rgb="FFFFFF0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rgb="FFFFFF00"/>
      </right>
      <top style="thick">
        <color rgb="FFFFFF00"/>
      </top>
      <bottom/>
      <diagonal/>
    </border>
    <border>
      <left style="hair">
        <color indexed="64"/>
      </left>
      <right style="hair">
        <color indexed="64"/>
      </right>
      <top style="thick">
        <color rgb="FFFFFF00"/>
      </top>
      <bottom/>
      <diagonal/>
    </border>
    <border>
      <left style="thick">
        <color rgb="FFFFFF00"/>
      </left>
      <right style="hair">
        <color indexed="64"/>
      </right>
      <top style="thick">
        <color rgb="FFFFFF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2" fillId="0" borderId="0" xfId="0" applyFont="1"/>
    <xf numFmtId="9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0" fontId="0" fillId="0" borderId="1" xfId="2" applyNumberFormat="1" applyFont="1" applyBorder="1"/>
    <xf numFmtId="10" fontId="2" fillId="0" borderId="0" xfId="2" applyNumberFormat="1" applyFont="1"/>
    <xf numFmtId="9" fontId="0" fillId="0" borderId="1" xfId="0" applyNumberFormat="1" applyBorder="1"/>
    <xf numFmtId="0" fontId="3" fillId="0" borderId="0" xfId="0" applyFont="1" applyFill="1"/>
    <xf numFmtId="0" fontId="4" fillId="0" borderId="5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166" fontId="3" fillId="0" borderId="0" xfId="0" applyNumberFormat="1" applyFont="1" applyFill="1" applyAlignment="1"/>
    <xf numFmtId="166" fontId="3" fillId="0" borderId="1" xfId="0" applyNumberFormat="1" applyFont="1" applyFill="1" applyBorder="1" applyAlignment="1"/>
    <xf numFmtId="166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66" fontId="3" fillId="0" borderId="4" xfId="0" applyNumberFormat="1" applyFont="1" applyFill="1" applyBorder="1" applyAlignment="1" applyProtection="1">
      <protection locked="0"/>
    </xf>
    <xf numFmtId="41" fontId="0" fillId="0" borderId="3" xfId="0" applyNumberFormat="1" applyBorder="1"/>
    <xf numFmtId="42" fontId="0" fillId="0" borderId="4" xfId="0" applyNumberFormat="1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NumberFormat="1" applyFont="1" applyFill="1" applyAlignment="1"/>
    <xf numFmtId="0" fontId="7" fillId="0" borderId="0" xfId="0" applyFont="1" applyFill="1" applyAlignment="1">
      <alignment horizontal="centerContinuous"/>
    </xf>
    <xf numFmtId="14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3" xfId="0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6" fontId="8" fillId="0" borderId="0" xfId="0" applyNumberFormat="1" applyFont="1" applyFill="1" applyBorder="1"/>
    <xf numFmtId="6" fontId="8" fillId="0" borderId="0" xfId="0" applyNumberFormat="1" applyFont="1" applyFill="1" applyBorder="1" applyAlignment="1">
      <alignment horizontal="center"/>
    </xf>
    <xf numFmtId="5" fontId="8" fillId="0" borderId="0" xfId="0" applyNumberFormat="1" applyFont="1" applyFill="1" applyBorder="1"/>
    <xf numFmtId="5" fontId="8" fillId="0" borderId="8" xfId="0" applyNumberFormat="1" applyFont="1" applyFill="1" applyBorder="1"/>
    <xf numFmtId="0" fontId="8" fillId="0" borderId="12" xfId="0" applyNumberFormat="1" applyFont="1" applyFill="1" applyBorder="1" applyAlignment="1"/>
    <xf numFmtId="17" fontId="8" fillId="0" borderId="0" xfId="0" applyNumberFormat="1" applyFont="1" applyFill="1" applyBorder="1"/>
    <xf numFmtId="38" fontId="8" fillId="0" borderId="0" xfId="0" applyNumberFormat="1" applyFont="1" applyFill="1" applyBorder="1"/>
    <xf numFmtId="165" fontId="8" fillId="0" borderId="0" xfId="0" applyNumberFormat="1" applyFont="1" applyFill="1" applyBorder="1"/>
    <xf numFmtId="165" fontId="8" fillId="0" borderId="12" xfId="0" applyNumberFormat="1" applyFont="1" applyFill="1" applyBorder="1" applyAlignment="1"/>
    <xf numFmtId="165" fontId="8" fillId="0" borderId="12" xfId="0" applyNumberFormat="1" applyFont="1" applyFill="1" applyBorder="1"/>
    <xf numFmtId="0" fontId="8" fillId="0" borderId="0" xfId="0" applyNumberFormat="1" applyFont="1" applyFill="1" applyBorder="1" applyAlignment="1"/>
    <xf numFmtId="43" fontId="8" fillId="0" borderId="0" xfId="0" applyNumberFormat="1" applyFont="1" applyFill="1" applyBorder="1"/>
    <xf numFmtId="41" fontId="8" fillId="0" borderId="0" xfId="0" applyNumberFormat="1" applyFont="1" applyFill="1" applyBorder="1"/>
    <xf numFmtId="165" fontId="8" fillId="0" borderId="8" xfId="0" applyNumberFormat="1" applyFont="1" applyFill="1" applyBorder="1"/>
    <xf numFmtId="17" fontId="8" fillId="0" borderId="1" xfId="0" applyNumberFormat="1" applyFont="1" applyFill="1" applyBorder="1"/>
    <xf numFmtId="0" fontId="8" fillId="0" borderId="1" xfId="0" applyNumberFormat="1" applyFont="1" applyFill="1" applyBorder="1" applyAlignment="1"/>
    <xf numFmtId="165" fontId="8" fillId="0" borderId="1" xfId="0" applyNumberFormat="1" applyFont="1" applyFill="1" applyBorder="1"/>
    <xf numFmtId="41" fontId="8" fillId="0" borderId="1" xfId="0" applyNumberFormat="1" applyFont="1" applyFill="1" applyBorder="1"/>
    <xf numFmtId="165" fontId="8" fillId="0" borderId="13" xfId="0" applyNumberFormat="1" applyFont="1" applyFill="1" applyBorder="1" applyAlignment="1"/>
    <xf numFmtId="43" fontId="8" fillId="0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9" fillId="0" borderId="0" xfId="0" applyFont="1"/>
    <xf numFmtId="41" fontId="0" fillId="0" borderId="0" xfId="0" applyNumberFormat="1"/>
    <xf numFmtId="167" fontId="1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0" fontId="8" fillId="0" borderId="0" xfId="0" applyNumberFormat="1" applyFont="1" applyFill="1" applyBorder="1"/>
    <xf numFmtId="49" fontId="0" fillId="0" borderId="0" xfId="0" applyNumberFormat="1"/>
    <xf numFmtId="37" fontId="12" fillId="0" borderId="20" xfId="3" applyNumberFormat="1" applyFont="1" applyFill="1" applyBorder="1" applyAlignment="1" applyProtection="1">
      <alignment vertical="center"/>
      <protection locked="0"/>
    </xf>
    <xf numFmtId="49" fontId="13" fillId="0" borderId="21" xfId="4" applyNumberFormat="1" applyFont="1" applyFill="1" applyBorder="1" applyAlignment="1" applyProtection="1">
      <alignment horizontal="left" indent="1"/>
    </xf>
    <xf numFmtId="49" fontId="14" fillId="4" borderId="22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0" fillId="0" borderId="0" xfId="0" applyFill="1"/>
    <xf numFmtId="166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43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13" fontId="8" fillId="0" borderId="0" xfId="0" applyNumberFormat="1" applyFont="1" applyFill="1"/>
    <xf numFmtId="0" fontId="7" fillId="0" borderId="0" xfId="0" applyNumberFormat="1" applyFont="1" applyFill="1" applyBorder="1" applyAlignment="1"/>
    <xf numFmtId="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Continuous" vertical="center"/>
    </xf>
    <xf numFmtId="0" fontId="7" fillId="0" borderId="25" xfId="0" applyNumberFormat="1" applyFont="1" applyFill="1" applyBorder="1" applyAlignment="1">
      <alignment horizontal="centerContinuous" vertical="center"/>
    </xf>
    <xf numFmtId="166" fontId="7" fillId="0" borderId="23" xfId="0" applyNumberFormat="1" applyFont="1" applyFill="1" applyBorder="1" applyAlignment="1">
      <alignment horizontal="center"/>
    </xf>
    <xf numFmtId="166" fontId="7" fillId="0" borderId="2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Continuous" vertical="center"/>
    </xf>
    <xf numFmtId="0" fontId="16" fillId="0" borderId="14" xfId="0" applyNumberFormat="1" applyFont="1" applyFill="1" applyBorder="1" applyAlignment="1">
      <alignment horizontal="right" vertical="center"/>
    </xf>
    <xf numFmtId="10" fontId="17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/>
    <xf numFmtId="0" fontId="7" fillId="0" borderId="14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166" fontId="7" fillId="0" borderId="18" xfId="0" quotePrefix="1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right"/>
    </xf>
    <xf numFmtId="41" fontId="8" fillId="0" borderId="14" xfId="0" applyNumberFormat="1" applyFont="1" applyFill="1" applyBorder="1" applyAlignment="1"/>
    <xf numFmtId="41" fontId="8" fillId="0" borderId="15" xfId="0" applyNumberFormat="1" applyFont="1" applyFill="1" applyBorder="1" applyAlignment="1"/>
    <xf numFmtId="41" fontId="8" fillId="0" borderId="14" xfId="0" applyNumberFormat="1" applyFont="1" applyFill="1" applyBorder="1" applyAlignment="1">
      <alignment horizontal="center"/>
    </xf>
    <xf numFmtId="41" fontId="8" fillId="0" borderId="15" xfId="0" applyNumberFormat="1" applyFont="1" applyFill="1" applyBorder="1" applyAlignment="1">
      <alignment horizontal="left"/>
    </xf>
    <xf numFmtId="41" fontId="8" fillId="0" borderId="16" xfId="0" applyNumberFormat="1" applyFont="1" applyFill="1" applyBorder="1" applyAlignment="1"/>
    <xf numFmtId="165" fontId="8" fillId="0" borderId="15" xfId="0" applyNumberFormat="1" applyFont="1" applyFill="1" applyBorder="1" applyAlignment="1"/>
    <xf numFmtId="41" fontId="8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0" fillId="3" borderId="0" xfId="0" applyFill="1"/>
    <xf numFmtId="10" fontId="0" fillId="3" borderId="0" xfId="0" applyNumberFormat="1" applyFill="1"/>
    <xf numFmtId="9" fontId="0" fillId="3" borderId="0" xfId="2" applyFont="1" applyFill="1"/>
    <xf numFmtId="9" fontId="0" fillId="3" borderId="0" xfId="0" applyNumberFormat="1" applyFill="1"/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/>
    <xf numFmtId="10" fontId="0" fillId="5" borderId="0" xfId="0" applyNumberFormat="1" applyFill="1"/>
    <xf numFmtId="42" fontId="0" fillId="0" borderId="4" xfId="0" applyNumberFormat="1" applyFill="1" applyBorder="1"/>
    <xf numFmtId="42" fontId="0" fillId="0" borderId="27" xfId="0" applyNumberFormat="1" applyBorder="1"/>
    <xf numFmtId="42" fontId="0" fillId="0" borderId="10" xfId="0" applyNumberFormat="1" applyBorder="1"/>
    <xf numFmtId="42" fontId="0" fillId="0" borderId="10" xfId="0" applyNumberFormat="1" applyFill="1" applyBorder="1"/>
    <xf numFmtId="0" fontId="0" fillId="0" borderId="3" xfId="0" applyBorder="1"/>
    <xf numFmtId="4" fontId="0" fillId="0" borderId="0" xfId="0" applyNumberFormat="1"/>
    <xf numFmtId="164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/>
    <xf numFmtId="164" fontId="8" fillId="0" borderId="1" xfId="1" applyNumberFormat="1" applyFont="1" applyFill="1" applyBorder="1"/>
    <xf numFmtId="164" fontId="0" fillId="0" borderId="10" xfId="1" applyNumberFormat="1" applyFont="1" applyBorder="1"/>
    <xf numFmtId="164" fontId="8" fillId="0" borderId="0" xfId="1" applyNumberFormat="1" applyFont="1" applyFill="1" applyBorder="1" applyAlignment="1">
      <alignment horizontal="left" indent="4"/>
    </xf>
    <xf numFmtId="164" fontId="8" fillId="0" borderId="1" xfId="1" applyNumberFormat="1" applyFont="1" applyFill="1" applyBorder="1" applyAlignment="1">
      <alignment horizontal="left" indent="4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/>
    <xf numFmtId="165" fontId="8" fillId="0" borderId="0" xfId="0" applyNumberFormat="1" applyFont="1" applyFill="1" applyAlignment="1"/>
    <xf numFmtId="41" fontId="0" fillId="0" borderId="0" xfId="0" applyNumberFormat="1" applyFont="1" applyFill="1"/>
    <xf numFmtId="164" fontId="8" fillId="0" borderId="0" xfId="0" applyNumberFormat="1" applyFont="1" applyFill="1" applyBorder="1" applyAlignment="1"/>
    <xf numFmtId="0" fontId="18" fillId="0" borderId="0" xfId="0" applyFont="1" applyFill="1"/>
    <xf numFmtId="164" fontId="19" fillId="0" borderId="0" xfId="1" applyNumberFormat="1" applyFont="1" applyFill="1" applyBorder="1"/>
    <xf numFmtId="165" fontId="19" fillId="0" borderId="3" xfId="3" applyNumberFormat="1" applyFont="1" applyFill="1" applyBorder="1"/>
    <xf numFmtId="17" fontId="8" fillId="0" borderId="29" xfId="0" applyNumberFormat="1" applyFont="1" applyFill="1" applyBorder="1"/>
    <xf numFmtId="38" fontId="8" fillId="0" borderId="29" xfId="0" applyNumberFormat="1" applyFont="1" applyFill="1" applyBorder="1"/>
    <xf numFmtId="165" fontId="8" fillId="0" borderId="29" xfId="0" applyNumberFormat="1" applyFont="1" applyFill="1" applyBorder="1"/>
    <xf numFmtId="164" fontId="8" fillId="0" borderId="29" xfId="1" applyNumberFormat="1" applyFont="1" applyFill="1" applyBorder="1" applyAlignment="1">
      <alignment horizontal="left" indent="4"/>
    </xf>
    <xf numFmtId="41" fontId="8" fillId="0" borderId="29" xfId="0" applyNumberFormat="1" applyFont="1" applyFill="1" applyBorder="1"/>
    <xf numFmtId="165" fontId="8" fillId="0" borderId="28" xfId="0" applyNumberFormat="1" applyFont="1" applyFill="1" applyBorder="1"/>
    <xf numFmtId="165" fontId="8" fillId="0" borderId="30" xfId="0" applyNumberFormat="1" applyFont="1" applyFill="1" applyBorder="1" applyAlignment="1"/>
    <xf numFmtId="0" fontId="8" fillId="0" borderId="29" xfId="0" applyNumberFormat="1" applyFont="1" applyFill="1" applyBorder="1" applyAlignment="1"/>
    <xf numFmtId="43" fontId="0" fillId="0" borderId="0" xfId="3" applyNumberFormat="1" applyFont="1"/>
    <xf numFmtId="0" fontId="0" fillId="0" borderId="0" xfId="0" applyAlignment="1">
      <alignment horizontal="right"/>
    </xf>
    <xf numFmtId="164" fontId="0" fillId="0" borderId="4" xfId="0" applyNumberFormat="1" applyBorder="1"/>
    <xf numFmtId="9" fontId="8" fillId="0" borderId="0" xfId="2" applyNumberFormat="1" applyFont="1" applyFill="1" applyAlignment="1"/>
    <xf numFmtId="0" fontId="8" fillId="0" borderId="0" xfId="0" applyNumberFormat="1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164" fontId="8" fillId="0" borderId="29" xfId="1" applyNumberFormat="1" applyFont="1" applyFill="1" applyBorder="1"/>
    <xf numFmtId="165" fontId="8" fillId="0" borderId="0" xfId="0" applyNumberFormat="1" applyFont="1" applyFill="1" applyBorder="1" applyAlignment="1"/>
    <xf numFmtId="17" fontId="8" fillId="0" borderId="3" xfId="0" applyNumberFormat="1" applyFont="1" applyFill="1" applyBorder="1"/>
    <xf numFmtId="0" fontId="8" fillId="0" borderId="3" xfId="0" applyNumberFormat="1" applyFont="1" applyFill="1" applyBorder="1" applyAlignment="1"/>
    <xf numFmtId="165" fontId="8" fillId="0" borderId="3" xfId="0" applyNumberFormat="1" applyFont="1" applyFill="1" applyBorder="1"/>
    <xf numFmtId="164" fontId="8" fillId="0" borderId="3" xfId="1" applyNumberFormat="1" applyFont="1" applyFill="1" applyBorder="1"/>
    <xf numFmtId="41" fontId="8" fillId="0" borderId="3" xfId="0" applyNumberFormat="1" applyFont="1" applyFill="1" applyBorder="1"/>
    <xf numFmtId="165" fontId="8" fillId="0" borderId="3" xfId="0" applyNumberFormat="1" applyFont="1" applyFill="1" applyBorder="1" applyAlignment="1"/>
    <xf numFmtId="41" fontId="8" fillId="0" borderId="31" xfId="0" applyNumberFormat="1" applyFont="1" applyFill="1" applyBorder="1" applyAlignment="1"/>
    <xf numFmtId="41" fontId="8" fillId="0" borderId="26" xfId="0" applyNumberFormat="1" applyFont="1" applyFill="1" applyBorder="1" applyAlignment="1"/>
    <xf numFmtId="41" fontId="8" fillId="0" borderId="29" xfId="0" applyNumberFormat="1" applyFont="1" applyFill="1" applyBorder="1" applyAlignment="1"/>
    <xf numFmtId="41" fontId="8" fillId="0" borderId="23" xfId="0" applyNumberFormat="1" applyFont="1" applyFill="1" applyBorder="1" applyAlignment="1"/>
    <xf numFmtId="0" fontId="7" fillId="0" borderId="32" xfId="0" applyNumberFormat="1" applyFont="1" applyFill="1" applyBorder="1" applyAlignment="1">
      <alignment horizontal="centerContinuous" vertical="center"/>
    </xf>
    <xf numFmtId="0" fontId="7" fillId="0" borderId="33" xfId="0" applyNumberFormat="1" applyFont="1" applyFill="1" applyBorder="1" applyAlignment="1">
      <alignment horizontal="centerContinuous" vertical="center"/>
    </xf>
    <xf numFmtId="0" fontId="8" fillId="0" borderId="35" xfId="0" applyNumberFormat="1" applyFont="1" applyFill="1" applyBorder="1" applyAlignment="1">
      <alignment horizontal="centerContinuous"/>
    </xf>
    <xf numFmtId="0" fontId="8" fillId="0" borderId="36" xfId="0" applyNumberFormat="1" applyFont="1" applyFill="1" applyBorder="1" applyAlignment="1">
      <alignment horizontal="centerContinuous"/>
    </xf>
    <xf numFmtId="0" fontId="7" fillId="0" borderId="34" xfId="0" applyNumberFormat="1" applyFont="1" applyFill="1" applyBorder="1" applyAlignment="1">
      <alignment horizontal="centerContinuous"/>
    </xf>
    <xf numFmtId="167" fontId="10" fillId="0" borderId="0" xfId="0" applyNumberFormat="1" applyFont="1" applyFill="1" applyBorder="1" applyAlignment="1">
      <alignment horizontal="left"/>
    </xf>
    <xf numFmtId="9" fontId="7" fillId="0" borderId="16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/>
    <xf numFmtId="42" fontId="0" fillId="6" borderId="10" xfId="0" applyNumberFormat="1" applyFill="1" applyBorder="1"/>
    <xf numFmtId="0" fontId="0" fillId="6" borderId="0" xfId="0" applyFill="1"/>
    <xf numFmtId="0" fontId="22" fillId="6" borderId="0" xfId="0" applyNumberFormat="1" applyFont="1" applyFill="1" applyAlignment="1"/>
    <xf numFmtId="168" fontId="20" fillId="6" borderId="0" xfId="0" applyNumberFormat="1" applyFont="1" applyFill="1"/>
    <xf numFmtId="43" fontId="8" fillId="0" borderId="3" xfId="0" applyNumberFormat="1" applyFont="1" applyFill="1" applyBorder="1"/>
    <xf numFmtId="43" fontId="8" fillId="0" borderId="29" xfId="0" applyNumberFormat="1" applyFont="1" applyFill="1" applyBorder="1"/>
    <xf numFmtId="165" fontId="0" fillId="0" borderId="0" xfId="3" applyNumberFormat="1" applyFont="1"/>
    <xf numFmtId="164" fontId="0" fillId="0" borderId="3" xfId="0" applyNumberFormat="1" applyBorder="1"/>
    <xf numFmtId="9" fontId="0" fillId="0" borderId="0" xfId="2" applyFont="1"/>
    <xf numFmtId="164" fontId="0" fillId="0" borderId="0" xfId="0" applyNumberFormat="1"/>
    <xf numFmtId="165" fontId="0" fillId="0" borderId="0" xfId="0" applyNumberFormat="1"/>
    <xf numFmtId="0" fontId="0" fillId="0" borderId="0" xfId="0" applyFont="1" applyFill="1" applyAlignment="1">
      <alignment horizontal="center"/>
    </xf>
    <xf numFmtId="165" fontId="8" fillId="2" borderId="8" xfId="0" applyNumberFormat="1" applyFont="1" applyFill="1" applyBorder="1"/>
    <xf numFmtId="37" fontId="0" fillId="0" borderId="0" xfId="0" applyNumberFormat="1"/>
    <xf numFmtId="165" fontId="7" fillId="2" borderId="0" xfId="0" applyNumberFormat="1" applyFont="1" applyFill="1" applyBorder="1"/>
    <xf numFmtId="0" fontId="20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1" applyNumberFormat="1" applyFont="1" applyFill="1"/>
    <xf numFmtId="164" fontId="21" fillId="0" borderId="0" xfId="1" applyNumberFormat="1" applyFont="1" applyFill="1"/>
    <xf numFmtId="164" fontId="21" fillId="0" borderId="0" xfId="0" applyNumberFormat="1" applyFont="1" applyFill="1"/>
    <xf numFmtId="165" fontId="19" fillId="0" borderId="0" xfId="3" applyNumberFormat="1" applyFont="1" applyFill="1"/>
    <xf numFmtId="0" fontId="19" fillId="0" borderId="0" xfId="0" applyFont="1" applyFill="1" applyAlignment="1">
      <alignment horizontal="left"/>
    </xf>
    <xf numFmtId="10" fontId="19" fillId="0" borderId="0" xfId="2" applyNumberFormat="1" applyFont="1" applyFill="1"/>
    <xf numFmtId="9" fontId="19" fillId="0" borderId="0" xfId="2" applyFont="1" applyFill="1"/>
    <xf numFmtId="164" fontId="19" fillId="0" borderId="3" xfId="1" applyNumberFormat="1" applyFont="1" applyFill="1" applyBorder="1"/>
    <xf numFmtId="44" fontId="19" fillId="0" borderId="0" xfId="0" applyNumberFormat="1" applyFont="1" applyFill="1"/>
    <xf numFmtId="0" fontId="19" fillId="0" borderId="0" xfId="0" applyFont="1" applyFill="1" applyAlignment="1"/>
    <xf numFmtId="166" fontId="19" fillId="0" borderId="0" xfId="1" applyNumberFormat="1" applyFont="1" applyFill="1"/>
    <xf numFmtId="164" fontId="19" fillId="0" borderId="4" xfId="1" applyNumberFormat="1" applyFont="1" applyFill="1" applyBorder="1"/>
    <xf numFmtId="164" fontId="19" fillId="0" borderId="0" xfId="1" applyNumberFormat="1" applyFont="1" applyFill="1" applyAlignment="1">
      <alignment horizontal="right"/>
    </xf>
    <xf numFmtId="42" fontId="19" fillId="0" borderId="0" xfId="0" applyNumberFormat="1" applyFont="1" applyFill="1"/>
    <xf numFmtId="164" fontId="0" fillId="0" borderId="10" xfId="1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164" fontId="0" fillId="0" borderId="0" xfId="1" applyNumberFormat="1" applyFont="1" applyFill="1"/>
    <xf numFmtId="165" fontId="7" fillId="0" borderId="0" xfId="0" applyNumberFormat="1" applyFont="1" applyFill="1" applyBorder="1"/>
    <xf numFmtId="165" fontId="7" fillId="2" borderId="8" xfId="0" applyNumberFormat="1" applyFont="1" applyFill="1" applyBorder="1"/>
    <xf numFmtId="164" fontId="19" fillId="0" borderId="0" xfId="1" applyNumberFormat="1" applyFont="1" applyFill="1" applyAlignment="1">
      <alignment horizontal="center"/>
    </xf>
    <xf numFmtId="164" fontId="19" fillId="0" borderId="0" xfId="1" applyNumberFormat="1" applyFont="1" applyFill="1" applyAlignment="1"/>
    <xf numFmtId="164" fontId="19" fillId="0" borderId="3" xfId="1" applyNumberFormat="1" applyFont="1" applyFill="1" applyBorder="1" applyAlignment="1"/>
    <xf numFmtId="165" fontId="19" fillId="0" borderId="0" xfId="3" applyNumberFormat="1" applyFont="1" applyFill="1" applyBorder="1"/>
    <xf numFmtId="164" fontId="19" fillId="0" borderId="0" xfId="1" applyNumberFormat="1" applyFont="1" applyFill="1" applyBorder="1" applyAlignment="1"/>
    <xf numFmtId="167" fontId="10" fillId="0" borderId="16" xfId="0" applyNumberFormat="1" applyFont="1" applyFill="1" applyBorder="1" applyAlignment="1">
      <alignment horizontal="right"/>
    </xf>
    <xf numFmtId="167" fontId="10" fillId="0" borderId="23" xfId="0" applyNumberFormat="1" applyFont="1" applyFill="1" applyBorder="1" applyAlignment="1">
      <alignment horizontal="right"/>
    </xf>
    <xf numFmtId="167" fontId="10" fillId="0" borderId="37" xfId="0" applyNumberFormat="1" applyFont="1" applyFill="1" applyBorder="1" applyAlignment="1">
      <alignment horizontal="right"/>
    </xf>
    <xf numFmtId="41" fontId="8" fillId="0" borderId="34" xfId="0" applyNumberFormat="1" applyFont="1" applyFill="1" applyBorder="1" applyAlignment="1"/>
    <xf numFmtId="41" fontId="8" fillId="0" borderId="36" xfId="0" applyNumberFormat="1" applyFont="1" applyFill="1" applyBorder="1" applyAlignment="1"/>
    <xf numFmtId="41" fontId="8" fillId="0" borderId="35" xfId="0" applyNumberFormat="1" applyFont="1" applyFill="1" applyBorder="1" applyAlignment="1"/>
    <xf numFmtId="41" fontId="8" fillId="0" borderId="37" xfId="0" applyNumberFormat="1" applyFont="1" applyFill="1" applyBorder="1" applyAlignment="1"/>
    <xf numFmtId="0" fontId="0" fillId="0" borderId="0" xfId="0" applyFont="1" applyFill="1" applyAlignment="1"/>
    <xf numFmtId="41" fontId="19" fillId="0" borderId="0" xfId="1" applyNumberFormat="1" applyFont="1" applyFill="1" applyAlignment="1"/>
    <xf numFmtId="41" fontId="19" fillId="0" borderId="0" xfId="1" applyNumberFormat="1" applyFont="1" applyFill="1"/>
    <xf numFmtId="49" fontId="0" fillId="0" borderId="0" xfId="0" applyNumberFormat="1" applyFill="1"/>
    <xf numFmtId="37" fontId="0" fillId="0" borderId="0" xfId="0" applyNumberFormat="1" applyFill="1"/>
    <xf numFmtId="37" fontId="11" fillId="0" borderId="0" xfId="0" applyNumberFormat="1" applyFont="1" applyFill="1"/>
    <xf numFmtId="0" fontId="9" fillId="3" borderId="0" xfId="0" applyFont="1" applyFill="1" applyAlignment="1">
      <alignment horizontal="left"/>
    </xf>
    <xf numFmtId="0" fontId="0" fillId="0" borderId="0" xfId="0" applyBorder="1"/>
    <xf numFmtId="165" fontId="0" fillId="0" borderId="0" xfId="3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Continuous"/>
    </xf>
    <xf numFmtId="0" fontId="2" fillId="2" borderId="29" xfId="0" applyFont="1" applyFill="1" applyBorder="1" applyAlignment="1">
      <alignment horizontal="centerContinuous"/>
    </xf>
    <xf numFmtId="0" fontId="2" fillId="2" borderId="29" xfId="0" applyFont="1" applyFill="1" applyBorder="1"/>
    <xf numFmtId="0" fontId="2" fillId="2" borderId="26" xfId="0" applyFont="1" applyFill="1" applyBorder="1"/>
    <xf numFmtId="0" fontId="23" fillId="2" borderId="31" xfId="0" applyNumberFormat="1" applyFont="1" applyFill="1" applyBorder="1" applyAlignment="1">
      <alignment horizontal="center"/>
    </xf>
    <xf numFmtId="165" fontId="23" fillId="2" borderId="29" xfId="3" applyNumberFormat="1" applyFont="1" applyFill="1" applyBorder="1" applyAlignment="1">
      <alignment horizontal="center"/>
    </xf>
    <xf numFmtId="0" fontId="23" fillId="2" borderId="29" xfId="0" applyNumberFormat="1" applyFont="1" applyFill="1" applyBorder="1" applyAlignment="1">
      <alignment horizontal="center"/>
    </xf>
    <xf numFmtId="0" fontId="0" fillId="2" borderId="26" xfId="0" applyFill="1" applyBorder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3" fillId="2" borderId="14" xfId="0" applyNumberFormat="1" applyFont="1" applyFill="1" applyBorder="1" applyAlignment="1">
      <alignment horizontal="center"/>
    </xf>
    <xf numFmtId="0" fontId="23" fillId="2" borderId="0" xfId="3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center"/>
    </xf>
    <xf numFmtId="0" fontId="23" fillId="2" borderId="15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65" fontId="2" fillId="2" borderId="39" xfId="3" applyNumberFormat="1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10" fillId="7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/>
    <xf numFmtId="41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164" fontId="10" fillId="0" borderId="0" xfId="1" applyNumberFormat="1" applyFont="1" applyFill="1" applyBorder="1" applyAlignment="1"/>
    <xf numFmtId="37" fontId="20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/>
    <xf numFmtId="0" fontId="23" fillId="0" borderId="13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9" fontId="0" fillId="0" borderId="0" xfId="2" applyNumberFormat="1" applyFont="1" applyBorder="1"/>
    <xf numFmtId="169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10" fillId="0" borderId="0" xfId="0" applyFont="1" applyFill="1"/>
    <xf numFmtId="0" fontId="10" fillId="0" borderId="0" xfId="0" applyFont="1" applyFill="1" applyBorder="1"/>
    <xf numFmtId="41" fontId="10" fillId="0" borderId="0" xfId="0" applyNumberFormat="1" applyFont="1" applyFill="1" applyAlignment="1"/>
    <xf numFmtId="164" fontId="23" fillId="0" borderId="0" xfId="1" applyNumberFormat="1" applyFont="1" applyFill="1" applyBorder="1" applyAlignment="1"/>
    <xf numFmtId="170" fontId="23" fillId="0" borderId="41" xfId="0" applyNumberFormat="1" applyFont="1" applyFill="1" applyBorder="1" applyAlignment="1">
      <alignment horizontal="center"/>
    </xf>
    <xf numFmtId="170" fontId="23" fillId="0" borderId="42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43" fontId="10" fillId="0" borderId="0" xfId="3" applyFont="1" applyFill="1" applyBorder="1" applyAlignment="1"/>
    <xf numFmtId="170" fontId="23" fillId="0" borderId="5" xfId="0" applyNumberFormat="1" applyFont="1" applyFill="1" applyBorder="1" applyAlignment="1">
      <alignment horizontal="center"/>
    </xf>
    <xf numFmtId="43" fontId="10" fillId="0" borderId="0" xfId="3" applyFont="1" applyFill="1" applyAlignment="1"/>
    <xf numFmtId="165" fontId="22" fillId="0" borderId="0" xfId="0" applyNumberFormat="1" applyFont="1" applyFill="1" applyBorder="1" applyAlignment="1"/>
    <xf numFmtId="41" fontId="22" fillId="0" borderId="0" xfId="0" applyNumberFormat="1" applyFont="1" applyFill="1" applyBorder="1" applyAlignment="1"/>
    <xf numFmtId="165" fontId="22" fillId="0" borderId="0" xfId="3" applyNumberFormat="1" applyFont="1" applyFill="1" applyBorder="1" applyAlignment="1"/>
    <xf numFmtId="167" fontId="24" fillId="0" borderId="42" xfId="0" applyNumberFormat="1" applyFont="1" applyFill="1" applyBorder="1" applyAlignment="1">
      <alignment horizontal="right"/>
    </xf>
    <xf numFmtId="0" fontId="0" fillId="0" borderId="0" xfId="0" applyFill="1" applyBorder="1"/>
    <xf numFmtId="165" fontId="10" fillId="0" borderId="0" xfId="3" applyNumberFormat="1" applyFont="1" applyFill="1" applyBorder="1" applyAlignment="1"/>
    <xf numFmtId="167" fontId="10" fillId="0" borderId="42" xfId="0" applyNumberFormat="1" applyFont="1" applyFill="1" applyBorder="1" applyAlignment="1">
      <alignment horizontal="right"/>
    </xf>
    <xf numFmtId="165" fontId="10" fillId="0" borderId="0" xfId="0" applyNumberFormat="1" applyFont="1" applyFill="1" applyAlignment="1"/>
    <xf numFmtId="41" fontId="10" fillId="0" borderId="3" xfId="0" applyNumberFormat="1" applyFont="1" applyFill="1" applyBorder="1" applyAlignment="1"/>
    <xf numFmtId="165" fontId="10" fillId="0" borderId="3" xfId="0" applyNumberFormat="1" applyFont="1" applyFill="1" applyBorder="1" applyAlignment="1"/>
    <xf numFmtId="165" fontId="10" fillId="0" borderId="3" xfId="3" applyNumberFormat="1" applyFont="1" applyFill="1" applyBorder="1" applyAlignment="1"/>
    <xf numFmtId="167" fontId="10" fillId="0" borderId="43" xfId="0" applyNumberFormat="1" applyFont="1" applyFill="1" applyBorder="1" applyAlignment="1">
      <alignment horizontal="right"/>
    </xf>
    <xf numFmtId="43" fontId="10" fillId="0" borderId="0" xfId="0" applyNumberFormat="1" applyFont="1" applyFill="1" applyAlignment="1"/>
    <xf numFmtId="0" fontId="25" fillId="0" borderId="0" xfId="0" applyFont="1" applyFill="1"/>
    <xf numFmtId="166" fontId="23" fillId="0" borderId="44" xfId="0" quotePrefix="1" applyNumberFormat="1" applyFont="1" applyFill="1" applyBorder="1" applyAlignment="1">
      <alignment horizontal="center"/>
    </xf>
    <xf numFmtId="9" fontId="23" fillId="0" borderId="16" xfId="0" applyNumberFormat="1" applyFont="1" applyFill="1" applyBorder="1" applyAlignment="1">
      <alignment horizontal="center"/>
    </xf>
    <xf numFmtId="166" fontId="23" fillId="0" borderId="16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"/>
    </xf>
    <xf numFmtId="0" fontId="23" fillId="0" borderId="45" xfId="0" applyNumberFormat="1" applyFont="1" applyFill="1" applyBorder="1" applyAlignment="1">
      <alignment horizontal="center"/>
    </xf>
    <xf numFmtId="166" fontId="23" fillId="0" borderId="44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/>
    <xf numFmtId="0" fontId="23" fillId="0" borderId="15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Border="1" applyAlignment="1">
      <alignment horizontal="centerContinuous" vertical="center"/>
    </xf>
    <xf numFmtId="10" fontId="23" fillId="0" borderId="37" xfId="0" applyNumberFormat="1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Continuous" vertical="center"/>
    </xf>
    <xf numFmtId="0" fontId="23" fillId="0" borderId="46" xfId="0" applyNumberFormat="1" applyFont="1" applyFill="1" applyBorder="1" applyAlignment="1">
      <alignment horizontal="center"/>
    </xf>
    <xf numFmtId="166" fontId="23" fillId="0" borderId="47" xfId="0" applyNumberFormat="1" applyFont="1" applyFill="1" applyBorder="1" applyAlignment="1">
      <alignment horizontal="center"/>
    </xf>
    <xf numFmtId="166" fontId="23" fillId="0" borderId="48" xfId="0" applyNumberFormat="1" applyFont="1" applyFill="1" applyBorder="1" applyAlignment="1">
      <alignment horizontal="center"/>
    </xf>
    <xf numFmtId="0" fontId="23" fillId="0" borderId="49" xfId="0" applyNumberFormat="1" applyFont="1" applyFill="1" applyBorder="1" applyAlignment="1">
      <alignment horizontal="centerContinuous" vertical="center"/>
    </xf>
    <xf numFmtId="0" fontId="23" fillId="0" borderId="50" xfId="0" applyNumberFormat="1" applyFont="1" applyFill="1" applyBorder="1" applyAlignment="1">
      <alignment horizontal="centerContinuous" vertical="center"/>
    </xf>
    <xf numFmtId="0" fontId="23" fillId="0" borderId="51" xfId="0" applyNumberFormat="1" applyFont="1" applyFill="1" applyBorder="1" applyAlignment="1">
      <alignment horizontal="centerContinuous" vertical="center"/>
    </xf>
    <xf numFmtId="0" fontId="23" fillId="0" borderId="52" xfId="0" applyNumberFormat="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42" fontId="26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/>
    <xf numFmtId="169" fontId="10" fillId="0" borderId="13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/>
    <xf numFmtId="165" fontId="10" fillId="0" borderId="0" xfId="0" applyNumberFormat="1" applyFont="1" applyFill="1" applyAlignment="1">
      <alignment horizontal="left"/>
    </xf>
    <xf numFmtId="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41" fontId="23" fillId="0" borderId="0" xfId="0" applyNumberFormat="1" applyFont="1" applyFill="1" applyAlignment="1"/>
    <xf numFmtId="6" fontId="23" fillId="0" borderId="0" xfId="0" applyNumberFormat="1" applyFont="1" applyFill="1" applyAlignment="1"/>
    <xf numFmtId="44" fontId="23" fillId="0" borderId="0" xfId="0" applyNumberFormat="1" applyFont="1" applyFill="1" applyAlignment="1"/>
    <xf numFmtId="167" fontId="23" fillId="0" borderId="53" xfId="0" applyNumberFormat="1" applyFont="1" applyFill="1" applyBorder="1" applyAlignment="1">
      <alignment horizontal="left"/>
    </xf>
    <xf numFmtId="166" fontId="10" fillId="0" borderId="0" xfId="0" applyNumberFormat="1" applyFont="1" applyFill="1" applyAlignment="1">
      <alignment horizontal="right"/>
    </xf>
    <xf numFmtId="13" fontId="10" fillId="0" borderId="0" xfId="0" applyNumberFormat="1" applyFont="1" applyFill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66" fontId="23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23" fillId="0" borderId="54" xfId="1" applyNumberFormat="1" applyFont="1" applyFill="1" applyBorder="1" applyAlignment="1"/>
    <xf numFmtId="164" fontId="10" fillId="0" borderId="55" xfId="1" applyNumberFormat="1" applyFont="1" applyFill="1" applyBorder="1" applyAlignment="1"/>
    <xf numFmtId="164" fontId="23" fillId="0" borderId="55" xfId="1" applyNumberFormat="1" applyFont="1" applyFill="1" applyBorder="1" applyAlignment="1"/>
    <xf numFmtId="164" fontId="10" fillId="0" borderId="56" xfId="1" applyNumberFormat="1" applyFont="1" applyFill="1" applyBorder="1" applyAlignment="1"/>
    <xf numFmtId="170" fontId="23" fillId="0" borderId="57" xfId="0" applyNumberFormat="1" applyFont="1" applyFill="1" applyBorder="1" applyAlignment="1">
      <alignment horizontal="center"/>
    </xf>
    <xf numFmtId="164" fontId="10" fillId="0" borderId="58" xfId="1" applyNumberFormat="1" applyFont="1" applyFill="1" applyBorder="1" applyAlignment="1"/>
    <xf numFmtId="164" fontId="10" fillId="0" borderId="59" xfId="1" applyNumberFormat="1" applyFont="1" applyFill="1" applyBorder="1" applyAlignment="1"/>
    <xf numFmtId="164" fontId="10" fillId="0" borderId="60" xfId="1" applyNumberFormat="1" applyFont="1" applyFill="1" applyBorder="1" applyAlignment="1"/>
    <xf numFmtId="170" fontId="23" fillId="0" borderId="61" xfId="0" applyNumberFormat="1" applyFont="1" applyFill="1" applyBorder="1" applyAlignment="1">
      <alignment horizontal="center"/>
    </xf>
    <xf numFmtId="41" fontId="10" fillId="0" borderId="62" xfId="0" applyNumberFormat="1" applyFont="1" applyFill="1" applyBorder="1" applyAlignment="1"/>
    <xf numFmtId="41" fontId="10" fillId="0" borderId="63" xfId="0" applyNumberFormat="1" applyFont="1" applyFill="1" applyBorder="1" applyAlignment="1"/>
    <xf numFmtId="165" fontId="10" fillId="0" borderId="63" xfId="0" applyNumberFormat="1" applyFont="1" applyFill="1" applyBorder="1" applyAlignment="1"/>
    <xf numFmtId="43" fontId="10" fillId="0" borderId="63" xfId="3" applyFont="1" applyFill="1" applyBorder="1" applyAlignment="1"/>
    <xf numFmtId="170" fontId="23" fillId="0" borderId="64" xfId="0" applyNumberFormat="1" applyFont="1" applyFill="1" applyBorder="1" applyAlignment="1">
      <alignment horizontal="center"/>
    </xf>
    <xf numFmtId="41" fontId="10" fillId="0" borderId="65" xfId="0" applyNumberFormat="1" applyFont="1" applyFill="1" applyBorder="1" applyAlignment="1"/>
    <xf numFmtId="41" fontId="10" fillId="0" borderId="66" xfId="0" applyNumberFormat="1" applyFont="1" applyFill="1" applyBorder="1" applyAlignment="1"/>
    <xf numFmtId="165" fontId="10" fillId="0" borderId="66" xfId="0" applyNumberFormat="1" applyFont="1" applyFill="1" applyBorder="1" applyAlignment="1"/>
    <xf numFmtId="43" fontId="10" fillId="0" borderId="66" xfId="3" applyFont="1" applyFill="1" applyBorder="1" applyAlignment="1"/>
    <xf numFmtId="164" fontId="19" fillId="0" borderId="0" xfId="1" applyNumberFormat="1" applyFont="1" applyFill="1" applyBorder="1" applyAlignment="1">
      <alignment horizontal="center"/>
    </xf>
    <xf numFmtId="41" fontId="19" fillId="0" borderId="0" xfId="1" applyNumberFormat="1" applyFont="1" applyFill="1" applyBorder="1" applyAlignment="1"/>
    <xf numFmtId="10" fontId="19" fillId="0" borderId="0" xfId="2" applyNumberFormat="1" applyFont="1" applyFill="1" applyBorder="1"/>
    <xf numFmtId="9" fontId="19" fillId="0" borderId="0" xfId="2" applyFont="1" applyFill="1" applyBorder="1"/>
    <xf numFmtId="41" fontId="19" fillId="0" borderId="0" xfId="1" applyNumberFormat="1" applyFont="1" applyFill="1" applyBorder="1"/>
    <xf numFmtId="166" fontId="19" fillId="0" borderId="0" xfId="1" applyNumberFormat="1" applyFont="1" applyFill="1" applyBorder="1"/>
    <xf numFmtId="164" fontId="0" fillId="0" borderId="0" xfId="0" applyNumberFormat="1" applyBorder="1"/>
    <xf numFmtId="167" fontId="10" fillId="0" borderId="41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/>
    <xf numFmtId="165" fontId="10" fillId="0" borderId="1" xfId="3" applyNumberFormat="1" applyFont="1" applyFill="1" applyBorder="1" applyAlignment="1"/>
  </cellXfs>
  <cellStyles count="5">
    <cellStyle name="Comma" xfId="3" builtinId="3"/>
    <cellStyle name="Currency" xfId="1" builtinId="4"/>
    <cellStyle name="Normal" xfId="0" builtinId="0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styles" Target="styles.xml"/><Relationship Id="imanage.xml" Type="http://schemas.openxmlformats.org/officeDocument/2006/relationships/customXml" Target="/customXML/item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17</xdr:col>
      <xdr:colOff>189790</xdr:colOff>
      <xdr:row>22</xdr:row>
      <xdr:rowOff>56738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52500"/>
          <a:ext cx="5676190" cy="32952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11</xdr:row>
      <xdr:rowOff>142875</xdr:rowOff>
    </xdr:from>
    <xdr:to>
      <xdr:col>19</xdr:col>
      <xdr:colOff>446777</xdr:colOff>
      <xdr:row>37</xdr:row>
      <xdr:rowOff>85111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2238375"/>
          <a:ext cx="7180952" cy="49142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41LNG/2023%20Filing/01%20Original%20Filing/Support/Stand-Alone%20Workpaper%20for%20Staff%20(7-30-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"/>
      <sheetName val="Plant Addition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="85" zoomScaleNormal="85" workbookViewId="0">
      <pane ySplit="5" topLeftCell="A6" activePane="bottomLeft" state="frozen"/>
      <selection pane="bottomLeft" activeCell="K19" sqref="K19"/>
    </sheetView>
  </sheetViews>
  <sheetFormatPr defaultColWidth="8.7109375" defaultRowHeight="15.75" x14ac:dyDescent="0.25"/>
  <cols>
    <col min="1" max="1" width="9.28515625" style="209" customWidth="1"/>
    <col min="2" max="2" width="54.85546875" style="209" bestFit="1" customWidth="1"/>
    <col min="3" max="3" width="17.140625" style="209" customWidth="1"/>
    <col min="4" max="4" width="1.5703125" style="209" customWidth="1"/>
    <col min="5" max="5" width="18.85546875" style="209" bestFit="1" customWidth="1"/>
    <col min="6" max="6" width="14.28515625" style="209" bestFit="1" customWidth="1"/>
    <col min="7" max="7" width="18.28515625" style="209" bestFit="1" customWidth="1"/>
    <col min="8" max="16384" width="8.7109375" style="209"/>
  </cols>
  <sheetData>
    <row r="1" spans="1:12" x14ac:dyDescent="0.25">
      <c r="A1" s="155" t="s">
        <v>176</v>
      </c>
    </row>
    <row r="2" spans="1:12" x14ac:dyDescent="0.25">
      <c r="A2" s="155" t="s">
        <v>226</v>
      </c>
      <c r="E2" s="33"/>
      <c r="F2" s="33"/>
      <c r="G2" s="33"/>
      <c r="H2" s="33"/>
      <c r="I2" s="33"/>
      <c r="J2" s="33"/>
      <c r="K2" s="33"/>
      <c r="L2" s="33"/>
    </row>
    <row r="4" spans="1:12" x14ac:dyDescent="0.25">
      <c r="C4" s="210" t="s">
        <v>182</v>
      </c>
      <c r="D4" s="210"/>
    </row>
    <row r="5" spans="1:12" x14ac:dyDescent="0.25">
      <c r="A5" s="211" t="s">
        <v>188</v>
      </c>
      <c r="B5" s="211" t="s">
        <v>15</v>
      </c>
      <c r="C5" s="211" t="s">
        <v>183</v>
      </c>
      <c r="D5" s="211"/>
    </row>
    <row r="6" spans="1:12" x14ac:dyDescent="0.25">
      <c r="B6" s="212" t="s">
        <v>173</v>
      </c>
    </row>
    <row r="7" spans="1:12" x14ac:dyDescent="0.25">
      <c r="A7" s="213">
        <f>ROW()</f>
        <v>7</v>
      </c>
      <c r="B7" s="214" t="s">
        <v>84</v>
      </c>
      <c r="C7" s="215">
        <f>'Plant Additions'!C50</f>
        <v>243198713.57000002</v>
      </c>
      <c r="D7" s="215"/>
      <c r="E7" s="156"/>
      <c r="F7" s="217"/>
    </row>
    <row r="8" spans="1:12" x14ac:dyDescent="0.25">
      <c r="A8" s="213">
        <f>ROW()</f>
        <v>8</v>
      </c>
      <c r="B8" s="214" t="s">
        <v>85</v>
      </c>
      <c r="C8" s="218">
        <f>'Plant Additions'!C51</f>
        <v>-13922882.476620706</v>
      </c>
      <c r="D8" s="218"/>
      <c r="E8" s="237"/>
      <c r="F8" s="217"/>
    </row>
    <row r="9" spans="1:12" x14ac:dyDescent="0.25">
      <c r="A9" s="213">
        <f>ROW()</f>
        <v>9</v>
      </c>
      <c r="B9" s="214" t="s">
        <v>178</v>
      </c>
      <c r="C9" s="218">
        <f>'Plant Additions'!C52</f>
        <v>-3877235.511316264</v>
      </c>
      <c r="D9" s="218"/>
      <c r="E9" s="237"/>
      <c r="F9" s="217"/>
    </row>
    <row r="10" spans="1:12" x14ac:dyDescent="0.25">
      <c r="A10" s="213">
        <f>ROW()</f>
        <v>10</v>
      </c>
      <c r="B10" s="214" t="s">
        <v>172</v>
      </c>
      <c r="C10" s="157">
        <f>SUM(C7:C9)</f>
        <v>225398595.58206305</v>
      </c>
      <c r="D10" s="237"/>
      <c r="E10" s="237"/>
      <c r="F10" s="217"/>
    </row>
    <row r="11" spans="1:12" x14ac:dyDescent="0.25">
      <c r="A11" s="213"/>
      <c r="C11" s="157"/>
      <c r="D11" s="237"/>
      <c r="E11" s="237"/>
      <c r="F11" s="217"/>
    </row>
    <row r="12" spans="1:12" x14ac:dyDescent="0.25">
      <c r="A12" s="213"/>
      <c r="B12" s="212" t="s">
        <v>174</v>
      </c>
      <c r="C12" s="218"/>
      <c r="D12" s="218"/>
      <c r="E12" s="237"/>
      <c r="F12" s="217"/>
    </row>
    <row r="13" spans="1:12" x14ac:dyDescent="0.25">
      <c r="A13" s="213">
        <f>ROW()</f>
        <v>13</v>
      </c>
      <c r="B13" s="214" t="s">
        <v>224</v>
      </c>
      <c r="C13" s="234">
        <f>'LNG Depreciation Deferral'!E59</f>
        <v>10770091.317115707</v>
      </c>
      <c r="D13" s="234"/>
      <c r="E13" s="382"/>
      <c r="F13" s="217"/>
    </row>
    <row r="14" spans="1:12" x14ac:dyDescent="0.25">
      <c r="A14" s="213">
        <f>ROW()</f>
        <v>14</v>
      </c>
      <c r="B14" s="214" t="s">
        <v>225</v>
      </c>
      <c r="C14" s="247">
        <f>'LNG O&amp;M Deferral'!E59</f>
        <v>8879093.6488682032</v>
      </c>
      <c r="D14" s="235"/>
      <c r="E14" s="383"/>
      <c r="F14" s="217"/>
    </row>
    <row r="15" spans="1:12" x14ac:dyDescent="0.25">
      <c r="A15" s="213">
        <f>ROW()</f>
        <v>15</v>
      </c>
      <c r="B15" s="214" t="s">
        <v>194</v>
      </c>
      <c r="C15" s="247">
        <f>'LNG Depreciation Deferral'!$H$59</f>
        <v>-1346261.4146394632</v>
      </c>
      <c r="D15" s="235"/>
      <c r="E15" s="383"/>
      <c r="F15" s="217"/>
    </row>
    <row r="16" spans="1:12" x14ac:dyDescent="0.25">
      <c r="A16" s="213">
        <f>ROW()</f>
        <v>16</v>
      </c>
      <c r="B16" s="214" t="s">
        <v>195</v>
      </c>
      <c r="C16" s="247">
        <f>'LNG O&amp;M Deferral'!H59</f>
        <v>-1109886.7061085256</v>
      </c>
      <c r="D16" s="235"/>
      <c r="E16" s="383"/>
      <c r="F16" s="217"/>
    </row>
    <row r="17" spans="1:7" x14ac:dyDescent="0.25">
      <c r="A17" s="213">
        <f>ROW()</f>
        <v>17</v>
      </c>
      <c r="B17" s="214" t="s">
        <v>196</v>
      </c>
      <c r="C17" s="247">
        <f>'LNG Depreciation Deferral'!L59</f>
        <v>-1979004.2795200106</v>
      </c>
      <c r="D17" s="235"/>
      <c r="E17" s="383"/>
      <c r="F17" s="217"/>
    </row>
    <row r="18" spans="1:7" x14ac:dyDescent="0.25">
      <c r="A18" s="213">
        <f>ROW()</f>
        <v>18</v>
      </c>
      <c r="B18" s="214" t="s">
        <v>197</v>
      </c>
      <c r="C18" s="247">
        <f>'LNG O&amp;M Deferral'!$L$59</f>
        <v>-1631533.4579795317</v>
      </c>
      <c r="D18" s="235"/>
      <c r="E18" s="383"/>
      <c r="F18" s="217"/>
    </row>
    <row r="19" spans="1:7" x14ac:dyDescent="0.25">
      <c r="A19" s="213">
        <f>ROW()</f>
        <v>19</v>
      </c>
      <c r="B19" s="214" t="s">
        <v>40</v>
      </c>
      <c r="C19" s="236">
        <f>SUM(C13:C18)</f>
        <v>13582499.107736383</v>
      </c>
      <c r="D19" s="238"/>
      <c r="E19" s="238"/>
      <c r="F19" s="217"/>
    </row>
    <row r="20" spans="1:7" x14ac:dyDescent="0.25">
      <c r="A20" s="213"/>
      <c r="C20" s="157"/>
      <c r="D20" s="237"/>
      <c r="E20" s="237"/>
      <c r="F20" s="217"/>
    </row>
    <row r="21" spans="1:7" x14ac:dyDescent="0.25">
      <c r="A21" s="213">
        <f>ROW()</f>
        <v>21</v>
      </c>
      <c r="B21" s="219" t="s">
        <v>41</v>
      </c>
      <c r="C21" s="156">
        <f>C10+C19</f>
        <v>238981094.68979943</v>
      </c>
      <c r="D21" s="156"/>
      <c r="E21" s="156"/>
      <c r="F21" s="217"/>
    </row>
    <row r="22" spans="1:7" x14ac:dyDescent="0.25">
      <c r="A22" s="213"/>
      <c r="C22" s="156"/>
      <c r="D22" s="156"/>
      <c r="E22" s="156"/>
      <c r="F22" s="217"/>
    </row>
    <row r="23" spans="1:7" x14ac:dyDescent="0.25">
      <c r="A23" s="213">
        <f>ROW()</f>
        <v>23</v>
      </c>
      <c r="B23" s="209" t="s">
        <v>184</v>
      </c>
      <c r="C23" s="220">
        <f>ROUND(ROR!E6,4)</f>
        <v>7.1599999999999997E-2</v>
      </c>
      <c r="D23" s="220"/>
      <c r="E23" s="384"/>
      <c r="F23" s="217"/>
    </row>
    <row r="24" spans="1:7" x14ac:dyDescent="0.25">
      <c r="A24" s="213">
        <f>ROW()</f>
        <v>24</v>
      </c>
      <c r="B24" s="209" t="s">
        <v>185</v>
      </c>
      <c r="C24" s="220">
        <f>ROR!E4</f>
        <v>2.5500000000000002E-2</v>
      </c>
      <c r="D24" s="220"/>
      <c r="E24" s="384"/>
      <c r="F24" s="217"/>
    </row>
    <row r="25" spans="1:7" x14ac:dyDescent="0.25">
      <c r="A25" s="213">
        <f>ROW()</f>
        <v>25</v>
      </c>
      <c r="B25" s="209" t="s">
        <v>186</v>
      </c>
      <c r="C25" s="221">
        <v>0.21</v>
      </c>
      <c r="D25" s="221"/>
      <c r="E25" s="385"/>
      <c r="F25" s="217"/>
    </row>
    <row r="26" spans="1:7" x14ac:dyDescent="0.25">
      <c r="A26" s="213">
        <f>ROW()</f>
        <v>26</v>
      </c>
      <c r="B26" s="209" t="s">
        <v>223</v>
      </c>
      <c r="C26" s="222">
        <f>C21*C23</f>
        <v>17111046.379789639</v>
      </c>
      <c r="D26" s="156"/>
      <c r="E26" s="156"/>
      <c r="F26" s="217"/>
    </row>
    <row r="27" spans="1:7" x14ac:dyDescent="0.25">
      <c r="A27" s="213"/>
      <c r="C27" s="156"/>
      <c r="D27" s="156"/>
      <c r="E27" s="156"/>
      <c r="F27" s="217"/>
    </row>
    <row r="28" spans="1:7" x14ac:dyDescent="0.25">
      <c r="A28" s="213"/>
      <c r="B28" s="155" t="s">
        <v>187</v>
      </c>
      <c r="C28" s="156"/>
      <c r="D28" s="156"/>
      <c r="E28" s="156"/>
      <c r="F28" s="217"/>
    </row>
    <row r="29" spans="1:7" x14ac:dyDescent="0.25">
      <c r="A29" s="213">
        <f>ROW()</f>
        <v>29</v>
      </c>
      <c r="B29" s="214" t="s">
        <v>16</v>
      </c>
      <c r="C29" s="215">
        <f>'O&amp;M'!U27</f>
        <v>-4244174.6789823789</v>
      </c>
      <c r="D29" s="215"/>
      <c r="E29" s="156"/>
      <c r="F29" s="217"/>
      <c r="G29" s="223"/>
    </row>
    <row r="30" spans="1:7" x14ac:dyDescent="0.25">
      <c r="A30" s="213">
        <f>ROW()</f>
        <v>30</v>
      </c>
      <c r="B30" s="214" t="s">
        <v>17</v>
      </c>
      <c r="C30" s="248">
        <f>-SUM('Plant Additions'!F33:F44)*0.79</f>
        <v>-4981410.0320178997</v>
      </c>
      <c r="D30" s="215"/>
      <c r="E30" s="386"/>
      <c r="F30" s="217"/>
      <c r="G30" s="223"/>
    </row>
    <row r="31" spans="1:7" x14ac:dyDescent="0.25">
      <c r="A31" s="213">
        <f>ROW()</f>
        <v>31</v>
      </c>
      <c r="B31" s="214" t="s">
        <v>179</v>
      </c>
      <c r="C31" s="248">
        <f>'Total Deferrals'!D10</f>
        <v>-10823500.596413851</v>
      </c>
      <c r="D31" s="215"/>
      <c r="E31" s="386"/>
      <c r="F31" s="217"/>
      <c r="G31" s="223"/>
    </row>
    <row r="32" spans="1:7" ht="15.95" customHeight="1" x14ac:dyDescent="0.25">
      <c r="A32" s="213">
        <f>ROW()</f>
        <v>32</v>
      </c>
      <c r="B32" s="214" t="s">
        <v>229</v>
      </c>
      <c r="C32" s="248">
        <f>C21*C24*C25</f>
        <v>1279743.762063876</v>
      </c>
      <c r="D32" s="215"/>
      <c r="E32" s="386"/>
      <c r="F32" s="217"/>
    </row>
    <row r="33" spans="1:6" x14ac:dyDescent="0.25">
      <c r="A33" s="213">
        <f>ROW()</f>
        <v>33</v>
      </c>
      <c r="B33" s="224" t="s">
        <v>42</v>
      </c>
      <c r="C33" s="222">
        <f>C26-SUM(C29:C32)</f>
        <v>35880387.925139889</v>
      </c>
      <c r="D33" s="156"/>
      <c r="E33" s="156"/>
      <c r="F33" s="217"/>
    </row>
    <row r="34" spans="1:6" x14ac:dyDescent="0.25">
      <c r="A34" s="213"/>
      <c r="B34" s="224"/>
      <c r="C34" s="156"/>
      <c r="D34" s="156"/>
      <c r="E34" s="156"/>
      <c r="F34" s="217"/>
    </row>
    <row r="35" spans="1:6" x14ac:dyDescent="0.25">
      <c r="A35" s="213">
        <f>ROW()</f>
        <v>35</v>
      </c>
      <c r="B35" s="214" t="s">
        <v>18</v>
      </c>
      <c r="C35" s="225">
        <f>'Gas Conv Factor'!F23</f>
        <v>0.75322100000000003</v>
      </c>
      <c r="D35" s="225"/>
      <c r="E35" s="387"/>
      <c r="F35" s="217"/>
    </row>
    <row r="36" spans="1:6" ht="16.5" thickBot="1" x14ac:dyDescent="0.3">
      <c r="A36" s="213">
        <f>ROW()</f>
        <v>36</v>
      </c>
      <c r="B36" s="214" t="s">
        <v>44</v>
      </c>
      <c r="C36" s="226">
        <f>C33/C35</f>
        <v>47635936.763765067</v>
      </c>
      <c r="D36" s="156"/>
      <c r="E36" s="156"/>
      <c r="F36" s="217"/>
    </row>
    <row r="37" spans="1:6" ht="16.5" thickTop="1" x14ac:dyDescent="0.25">
      <c r="A37" s="213"/>
      <c r="B37" s="214"/>
      <c r="C37" s="227"/>
      <c r="D37" s="227"/>
      <c r="E37" s="216"/>
      <c r="F37" s="217"/>
    </row>
    <row r="38" spans="1:6" x14ac:dyDescent="0.25">
      <c r="A38" s="213"/>
      <c r="C38" s="228"/>
      <c r="D38" s="228"/>
    </row>
    <row r="39" spans="1:6" x14ac:dyDescent="0.25">
      <c r="A39" s="213"/>
    </row>
  </sheetData>
  <printOptions horizontalCentered="1"/>
  <pageMargins left="0.7" right="0.7" top="0.75" bottom="0.75" header="0.3" footer="0.3"/>
  <pageSetup orientation="portrait" r:id="rId1"/>
  <headerFooter>
    <oddFooter xml:space="preserve">&amp;R&amp;"Times New Roman,Regular"&amp;10Exh. SEF-3 Page 1 of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710937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263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2.8000000000000001E-2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2.8000000000000001E-2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28745.279041666668</v>
      </c>
      <c r="E15" s="304">
        <v>0</v>
      </c>
      <c r="F15" s="303">
        <f t="shared" ref="F15:F28" si="0">-D15+F14</f>
        <v>-28745.279041666668</v>
      </c>
      <c r="G15" s="304">
        <f t="shared" ref="G15:G28" si="1">+G14-E15</f>
        <v>0</v>
      </c>
      <c r="H15" s="303">
        <f t="shared" ref="H15:I28" si="2">B15+F15</f>
        <v>-28745.279041666668</v>
      </c>
      <c r="I15" s="303">
        <f t="shared" si="2"/>
        <v>0</v>
      </c>
      <c r="J15" s="303">
        <f t="shared" ref="J15:J28" si="3">I15-H15</f>
        <v>28745.279041666668</v>
      </c>
      <c r="K15" s="303">
        <f t="shared" ref="K15:K28" si="4">-J15*$K$11</f>
        <v>-6036.5085987500006</v>
      </c>
      <c r="L15" s="303">
        <f t="shared" ref="L15:L28" si="5">-K15+K14</f>
        <v>6036.5085987500006</v>
      </c>
      <c r="M15" s="363"/>
    </row>
    <row r="16" spans="1:23" x14ac:dyDescent="0.2">
      <c r="A16" s="314">
        <v>44620</v>
      </c>
      <c r="B16" s="303">
        <v>6898866.9699999997</v>
      </c>
      <c r="C16" s="313">
        <v>6898866.9699999997</v>
      </c>
      <c r="D16" s="303">
        <f>(($B$14*$C$6/12)+(($B$16-$B$14)*$B$6/12))+M16</f>
        <v>28745.279041666668</v>
      </c>
      <c r="E16" s="304">
        <f t="shared" ref="E16:E25" si="6">+(C15*$E$10/12)+(((C16-C15)*$E$10/12)*0.5)</f>
        <v>8048.6781316666666</v>
      </c>
      <c r="F16" s="303">
        <f t="shared" si="0"/>
        <v>-57490.558083333337</v>
      </c>
      <c r="G16" s="304">
        <f t="shared" si="1"/>
        <v>-8048.6781316666666</v>
      </c>
      <c r="H16" s="303">
        <f t="shared" si="2"/>
        <v>6841376.4119166667</v>
      </c>
      <c r="I16" s="303">
        <f t="shared" si="2"/>
        <v>6890818.2918683328</v>
      </c>
      <c r="J16" s="303">
        <f t="shared" si="3"/>
        <v>49441.879951666109</v>
      </c>
      <c r="K16" s="303">
        <f t="shared" si="4"/>
        <v>-10382.794789849882</v>
      </c>
      <c r="L16" s="303">
        <f t="shared" si="5"/>
        <v>4346.2861910998818</v>
      </c>
      <c r="M16" s="363"/>
    </row>
    <row r="17" spans="1:15" ht="15" x14ac:dyDescent="0.25">
      <c r="A17" s="314">
        <v>44651</v>
      </c>
      <c r="B17" s="303">
        <v>6911071.7400000002</v>
      </c>
      <c r="C17" s="313">
        <v>6911071.7400000002</v>
      </c>
      <c r="D17" s="303">
        <f>(($B$14*$C$6/12)+((B17-$B$14)*$B$6/12))+M17</f>
        <v>28796.132250000006</v>
      </c>
      <c r="E17" s="304">
        <f t="shared" si="6"/>
        <v>16111.595161666666</v>
      </c>
      <c r="F17" s="303">
        <f t="shared" si="0"/>
        <v>-86286.690333333347</v>
      </c>
      <c r="G17" s="304">
        <f t="shared" si="1"/>
        <v>-24160.273293333332</v>
      </c>
      <c r="H17" s="303">
        <f t="shared" si="2"/>
        <v>6824785.0496666664</v>
      </c>
      <c r="I17" s="303">
        <f t="shared" si="2"/>
        <v>6886911.4667066671</v>
      </c>
      <c r="J17" s="303">
        <f t="shared" si="3"/>
        <v>62126.41704000067</v>
      </c>
      <c r="K17" s="303">
        <f t="shared" si="4"/>
        <v>-13046.547578400141</v>
      </c>
      <c r="L17" s="303">
        <f t="shared" si="5"/>
        <v>2663.7527885502586</v>
      </c>
      <c r="M17" s="361"/>
      <c r="N17" s="320"/>
    </row>
    <row r="18" spans="1:15" ht="15" x14ac:dyDescent="0.25">
      <c r="A18" s="314">
        <v>44681</v>
      </c>
      <c r="B18" s="303">
        <v>6916333.3799999999</v>
      </c>
      <c r="C18" s="313">
        <v>6916333.3799999999</v>
      </c>
      <c r="D18" s="303">
        <f>(($B$14*$C$6/12)+((B18-$B$14)*$B$6/12))+M18</f>
        <v>28818.05575</v>
      </c>
      <c r="E18" s="304">
        <f t="shared" si="6"/>
        <v>16131.97264</v>
      </c>
      <c r="F18" s="303">
        <f t="shared" si="0"/>
        <v>-115104.74608333335</v>
      </c>
      <c r="G18" s="304">
        <f t="shared" si="1"/>
        <v>-40292.245933333332</v>
      </c>
      <c r="H18" s="303">
        <f t="shared" si="2"/>
        <v>6801228.6339166667</v>
      </c>
      <c r="I18" s="303">
        <f t="shared" si="2"/>
        <v>6876041.1340666665</v>
      </c>
      <c r="J18" s="303">
        <f t="shared" si="3"/>
        <v>74812.500149999745</v>
      </c>
      <c r="K18" s="303">
        <f t="shared" si="4"/>
        <v>-15710.625031499945</v>
      </c>
      <c r="L18" s="303">
        <f t="shared" si="5"/>
        <v>2664.0774530998042</v>
      </c>
      <c r="M18" s="361"/>
    </row>
    <row r="19" spans="1:15" ht="15" x14ac:dyDescent="0.25">
      <c r="A19" s="314">
        <v>44712</v>
      </c>
      <c r="B19" s="303">
        <v>6921660.5700000003</v>
      </c>
      <c r="C19" s="313">
        <v>6921660.5700000003</v>
      </c>
      <c r="D19" s="303">
        <f>(($B$14*$C$6/12)+((B19-$B$14)*$B$6/12))+M19</f>
        <v>28840.252375</v>
      </c>
      <c r="E19" s="304">
        <f t="shared" si="6"/>
        <v>16144.326274999999</v>
      </c>
      <c r="F19" s="303">
        <f t="shared" si="0"/>
        <v>-143944.99845833334</v>
      </c>
      <c r="G19" s="304">
        <f t="shared" si="1"/>
        <v>-56436.572208333331</v>
      </c>
      <c r="H19" s="303">
        <f t="shared" si="2"/>
        <v>6777715.571541667</v>
      </c>
      <c r="I19" s="303">
        <f t="shared" si="2"/>
        <v>6865223.9977916665</v>
      </c>
      <c r="J19" s="303">
        <f t="shared" si="3"/>
        <v>87508.426249999553</v>
      </c>
      <c r="K19" s="303">
        <f t="shared" si="4"/>
        <v>-18376.769512499905</v>
      </c>
      <c r="L19" s="303">
        <f t="shared" si="5"/>
        <v>2666.1444809999593</v>
      </c>
      <c r="M19" s="361"/>
    </row>
    <row r="20" spans="1:15" ht="15" x14ac:dyDescent="0.25">
      <c r="A20" s="314">
        <v>44742</v>
      </c>
      <c r="B20" s="303">
        <v>6924897.3700000001</v>
      </c>
      <c r="C20" s="313">
        <v>6924897.3700000001</v>
      </c>
      <c r="D20" s="303">
        <f>(($B$14*$C$6/12)+((B20-$B$14)*$B$6/12))+M20</f>
        <v>28853.739041666671</v>
      </c>
      <c r="E20" s="304">
        <f t="shared" si="6"/>
        <v>16154.317596666666</v>
      </c>
      <c r="F20" s="303">
        <f t="shared" si="0"/>
        <v>-172798.73750000002</v>
      </c>
      <c r="G20" s="304">
        <f t="shared" si="1"/>
        <v>-72590.889804999999</v>
      </c>
      <c r="H20" s="303">
        <f t="shared" si="2"/>
        <v>6752098.6325000003</v>
      </c>
      <c r="I20" s="303">
        <f t="shared" si="2"/>
        <v>6852306.4801949998</v>
      </c>
      <c r="J20" s="303">
        <f t="shared" si="3"/>
        <v>100207.84769499954</v>
      </c>
      <c r="K20" s="303">
        <f t="shared" si="4"/>
        <v>-21043.648015949901</v>
      </c>
      <c r="L20" s="303">
        <f t="shared" si="5"/>
        <v>2666.8785034499961</v>
      </c>
      <c r="M20" s="361"/>
    </row>
    <row r="21" spans="1:15" ht="15" x14ac:dyDescent="0.25">
      <c r="A21" s="314">
        <v>44773</v>
      </c>
      <c r="B21" s="303">
        <v>6929094.5599999996</v>
      </c>
      <c r="C21" s="313">
        <v>6929094.5599999996</v>
      </c>
      <c r="D21" s="303">
        <f>(($B$14*$C$6/12)+((B21-$B$14)*$B$6/12))+M21</f>
        <v>28871.227333333332</v>
      </c>
      <c r="E21" s="304">
        <f t="shared" si="6"/>
        <v>16162.990585</v>
      </c>
      <c r="F21" s="303">
        <f t="shared" si="0"/>
        <v>-201669.96483333336</v>
      </c>
      <c r="G21" s="304">
        <f t="shared" si="1"/>
        <v>-88753.880390000006</v>
      </c>
      <c r="H21" s="303">
        <f t="shared" si="2"/>
        <v>6727424.5951666664</v>
      </c>
      <c r="I21" s="303">
        <f t="shared" si="2"/>
        <v>6840340.67961</v>
      </c>
      <c r="J21" s="303">
        <f t="shared" si="3"/>
        <v>112916.08444333356</v>
      </c>
      <c r="K21" s="303">
        <f t="shared" si="4"/>
        <v>-23712.377733100046</v>
      </c>
      <c r="L21" s="303">
        <f t="shared" si="5"/>
        <v>2668.729717150145</v>
      </c>
      <c r="M21" s="361"/>
    </row>
    <row r="22" spans="1:15" ht="15" x14ac:dyDescent="0.25">
      <c r="A22" s="314">
        <v>44804</v>
      </c>
      <c r="B22" s="303">
        <v>6934958.0300000003</v>
      </c>
      <c r="C22" s="313">
        <v>6934958.0300000003</v>
      </c>
      <c r="D22" s="303">
        <f>(($B$14*$C$6/12)+((B22-$B$14)*$B$6/12))+M22</f>
        <v>28895.658458333335</v>
      </c>
      <c r="E22" s="304">
        <f t="shared" si="6"/>
        <v>16174.728021666666</v>
      </c>
      <c r="F22" s="303">
        <f t="shared" si="0"/>
        <v>-230565.62329166671</v>
      </c>
      <c r="G22" s="304">
        <f t="shared" si="1"/>
        <v>-104928.60841166668</v>
      </c>
      <c r="H22" s="303">
        <f t="shared" si="2"/>
        <v>6704392.4067083336</v>
      </c>
      <c r="I22" s="303">
        <f t="shared" si="2"/>
        <v>6830029.4215883333</v>
      </c>
      <c r="J22" s="303">
        <f t="shared" si="3"/>
        <v>125637.01487999968</v>
      </c>
      <c r="K22" s="303">
        <f t="shared" si="4"/>
        <v>-26383.773124799933</v>
      </c>
      <c r="L22" s="303">
        <f t="shared" si="5"/>
        <v>2671.3953916998871</v>
      </c>
      <c r="M22" s="361"/>
    </row>
    <row r="23" spans="1:15" ht="15" x14ac:dyDescent="0.25">
      <c r="A23" s="314">
        <v>44834</v>
      </c>
      <c r="B23" s="303">
        <v>6948052.0999999996</v>
      </c>
      <c r="C23" s="313">
        <v>6948052.0999999996</v>
      </c>
      <c r="D23" s="303">
        <f>(($B$14*$C$6/12)+((B23-$B$14)*$B$6/12))+M23</f>
        <v>28950.217083333333</v>
      </c>
      <c r="E23" s="304">
        <f t="shared" si="6"/>
        <v>16196.845151666666</v>
      </c>
      <c r="F23" s="303">
        <f t="shared" si="0"/>
        <v>-259515.84037500003</v>
      </c>
      <c r="G23" s="304">
        <f t="shared" si="1"/>
        <v>-121125.45356333334</v>
      </c>
      <c r="H23" s="303">
        <f t="shared" si="2"/>
        <v>6688536.2596249999</v>
      </c>
      <c r="I23" s="303">
        <f t="shared" si="2"/>
        <v>6826926.6464366661</v>
      </c>
      <c r="J23" s="303">
        <f t="shared" si="3"/>
        <v>138390.38681166619</v>
      </c>
      <c r="K23" s="303">
        <f t="shared" si="4"/>
        <v>-29061.981230449899</v>
      </c>
      <c r="L23" s="303">
        <f t="shared" si="5"/>
        <v>2678.2081056499665</v>
      </c>
      <c r="M23" s="361"/>
      <c r="O23" s="299"/>
    </row>
    <row r="24" spans="1:15" ht="15" x14ac:dyDescent="0.25">
      <c r="A24" s="314">
        <v>44865</v>
      </c>
      <c r="B24" s="303">
        <v>6950912.9400000004</v>
      </c>
      <c r="C24" s="313">
        <v>6950912.9400000004</v>
      </c>
      <c r="D24" s="303">
        <f>(($B$14*$C$6/12)+((B24-$B$14)*$B$6/12))+M24</f>
        <v>28962.137250000003</v>
      </c>
      <c r="E24" s="304">
        <f t="shared" si="6"/>
        <v>16215.459213333334</v>
      </c>
      <c r="F24" s="303">
        <f t="shared" si="0"/>
        <v>-288477.97762500006</v>
      </c>
      <c r="G24" s="304">
        <f t="shared" si="1"/>
        <v>-137340.91277666666</v>
      </c>
      <c r="H24" s="303">
        <f t="shared" si="2"/>
        <v>6662434.9623750001</v>
      </c>
      <c r="I24" s="303">
        <f t="shared" si="2"/>
        <v>6813572.0272233337</v>
      </c>
      <c r="J24" s="303">
        <f t="shared" si="3"/>
        <v>151137.0648483336</v>
      </c>
      <c r="K24" s="303">
        <f t="shared" si="4"/>
        <v>-31738.783618150053</v>
      </c>
      <c r="L24" s="303">
        <f t="shared" si="5"/>
        <v>2676.8023877001542</v>
      </c>
      <c r="M24" s="361"/>
      <c r="N24" s="299"/>
      <c r="O24" s="299"/>
    </row>
    <row r="25" spans="1:15" ht="15" x14ac:dyDescent="0.25">
      <c r="A25" s="314">
        <v>44895</v>
      </c>
      <c r="B25" s="303">
        <v>6953786.0199999996</v>
      </c>
      <c r="C25" s="313">
        <v>6953786.0199999996</v>
      </c>
      <c r="D25" s="303">
        <f>(($B$14*$C$6/12)+((B25-$B$14)*$B$6/12))+M25</f>
        <v>28974.108416666666</v>
      </c>
      <c r="E25" s="304">
        <f t="shared" si="6"/>
        <v>16222.148786666668</v>
      </c>
      <c r="F25" s="303">
        <f t="shared" si="0"/>
        <v>-317452.08604166674</v>
      </c>
      <c r="G25" s="304">
        <f t="shared" si="1"/>
        <v>-153563.06156333332</v>
      </c>
      <c r="H25" s="303">
        <f t="shared" si="2"/>
        <v>6636333.933958333</v>
      </c>
      <c r="I25" s="303">
        <f t="shared" si="2"/>
        <v>6800222.9584366661</v>
      </c>
      <c r="J25" s="303">
        <f t="shared" si="3"/>
        <v>163889.02447833307</v>
      </c>
      <c r="K25" s="303">
        <f t="shared" si="4"/>
        <v>-34416.695140449941</v>
      </c>
      <c r="L25" s="303">
        <f t="shared" si="5"/>
        <v>2677.911522299888</v>
      </c>
      <c r="M25" s="361"/>
      <c r="N25" s="315"/>
      <c r="O25" s="299"/>
    </row>
    <row r="26" spans="1:15" ht="15" x14ac:dyDescent="0.25">
      <c r="A26" s="314">
        <v>44926</v>
      </c>
      <c r="B26" s="303">
        <v>6959805.7599999998</v>
      </c>
      <c r="C26" s="313">
        <v>6959805.7599999998</v>
      </c>
      <c r="D26" s="303">
        <f>(($B$14*$C$6/12)+((B26-$B$14)*$B$6/12))+M26</f>
        <v>28999.190666666665</v>
      </c>
      <c r="E26" s="304">
        <f>+(C25*$E$10/12)+(((C26-C25)*$E$10/12)*0.5)</f>
        <v>16232.523743333333</v>
      </c>
      <c r="F26" s="303">
        <f t="shared" si="0"/>
        <v>-346451.2767083334</v>
      </c>
      <c r="G26" s="304">
        <f t="shared" si="1"/>
        <v>-169795.58530666665</v>
      </c>
      <c r="H26" s="303">
        <f t="shared" si="2"/>
        <v>6613354.483291666</v>
      </c>
      <c r="I26" s="303">
        <f t="shared" si="2"/>
        <v>6790010.174693333</v>
      </c>
      <c r="J26" s="303">
        <f t="shared" si="3"/>
        <v>176655.69140166696</v>
      </c>
      <c r="K26" s="303">
        <f t="shared" si="4"/>
        <v>-37097.695194350061</v>
      </c>
      <c r="L26" s="303">
        <f t="shared" si="5"/>
        <v>2681.0000539001194</v>
      </c>
      <c r="M26" s="361"/>
      <c r="O26" s="299"/>
    </row>
    <row r="27" spans="1:15" ht="15" x14ac:dyDescent="0.25">
      <c r="A27" s="314">
        <v>44957</v>
      </c>
      <c r="B27" s="303">
        <v>6958819.9500000002</v>
      </c>
      <c r="C27" s="313">
        <v>6958819.9500000002</v>
      </c>
      <c r="D27" s="303">
        <f>(($B$14*$D$6/12)+(($B$26-$B$14)*$C$6/12)+((B27-$B$26)*$B$6/12))</f>
        <v>55094.354725000005</v>
      </c>
      <c r="E27" s="304">
        <f>+(C26*$E$10/12)+(((C27-C26)*$E$10/12)*0.5)</f>
        <v>16238.396661666668</v>
      </c>
      <c r="F27" s="303">
        <f t="shared" si="0"/>
        <v>-401545.63143333339</v>
      </c>
      <c r="G27" s="304">
        <f t="shared" si="1"/>
        <v>-186033.9819683333</v>
      </c>
      <c r="H27" s="303">
        <f t="shared" si="2"/>
        <v>6557274.3185666669</v>
      </c>
      <c r="I27" s="303">
        <f t="shared" si="2"/>
        <v>6772785.9680316672</v>
      </c>
      <c r="J27" s="303">
        <f t="shared" si="3"/>
        <v>215511.64946500026</v>
      </c>
      <c r="K27" s="303">
        <f t="shared" si="4"/>
        <v>-45257.446387650052</v>
      </c>
      <c r="L27" s="303">
        <f t="shared" si="5"/>
        <v>8159.7511932999914</v>
      </c>
      <c r="M27" s="361"/>
      <c r="O27" s="299"/>
    </row>
    <row r="28" spans="1:15" ht="15" x14ac:dyDescent="0.25">
      <c r="A28" s="314">
        <v>44985</v>
      </c>
      <c r="B28" s="303">
        <v>6960812.6900000004</v>
      </c>
      <c r="C28" s="313">
        <v>6960812.6900000004</v>
      </c>
      <c r="D28" s="303">
        <f>(($B$14*$D$6/12)+(($B$26-$B$14)*$C$6/12)+((B28-$B$26)*$B$6/12))</f>
        <v>55102.657808333337</v>
      </c>
      <c r="E28" s="304">
        <f>+(C27*$E$10/12)+(((C28-C27)*$E$10/12)*0.5)</f>
        <v>16239.571413333335</v>
      </c>
      <c r="F28" s="303">
        <f t="shared" si="0"/>
        <v>-456648.28924166673</v>
      </c>
      <c r="G28" s="304">
        <f t="shared" si="1"/>
        <v>-202273.55338166663</v>
      </c>
      <c r="H28" s="303">
        <f t="shared" si="2"/>
        <v>6504164.4007583335</v>
      </c>
      <c r="I28" s="303">
        <f t="shared" si="2"/>
        <v>6758539.1366183339</v>
      </c>
      <c r="J28" s="303">
        <f t="shared" si="3"/>
        <v>254374.73586000036</v>
      </c>
      <c r="K28" s="303">
        <f t="shared" si="4"/>
        <v>-53418.694530600078</v>
      </c>
      <c r="L28" s="303">
        <f t="shared" si="5"/>
        <v>8161.2481429500258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6961545.0199999996</v>
      </c>
      <c r="C29" s="313">
        <v>6961545.0199999996</v>
      </c>
      <c r="D29" s="303">
        <f>(($B$14*$D$6/12)+(($B$26-$B$14)*$C$6/12)+(($B$38-$B$26)*$B$6/12))</f>
        <v>55105.709183333332</v>
      </c>
      <c r="E29" s="304">
        <f>+(C28*$E$10/12)+(((C29-C28)*$E$10/12)*0.5)</f>
        <v>16242.750661666667</v>
      </c>
      <c r="F29" s="303">
        <f>-D29+F28</f>
        <v>-511753.99842500006</v>
      </c>
      <c r="G29" s="304">
        <f>+G28-E29</f>
        <v>-218516.30404333331</v>
      </c>
      <c r="H29" s="303">
        <f>B29+F29</f>
        <v>6449791.0215749992</v>
      </c>
      <c r="I29" s="303">
        <f>C29+G29</f>
        <v>6743028.7159566665</v>
      </c>
      <c r="J29" s="303">
        <f>I29-H29</f>
        <v>293237.6943816673</v>
      </c>
      <c r="K29" s="303">
        <f>-J29*$K$11</f>
        <v>-61579.915820150134</v>
      </c>
      <c r="L29" s="303">
        <f>-K29+K28</f>
        <v>8161.2212895500561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6961545.0199999996</v>
      </c>
      <c r="C30" s="313">
        <f>C29</f>
        <v>6961545.0199999996</v>
      </c>
      <c r="D30" s="303">
        <f>(($B$14*$D$6/12)+(($B$26-$B$14)*$C$6/12)+(($B$38-$B$26)*$B$6/12))</f>
        <v>55105.709183333332</v>
      </c>
      <c r="E30" s="304">
        <f>+(C29*$E$10/12)+(((C30-C29)*$E$10/12)*0.5)</f>
        <v>16243.605046666666</v>
      </c>
      <c r="F30" s="303">
        <f>-D30+F29</f>
        <v>-566859.70760833344</v>
      </c>
      <c r="G30" s="304">
        <f>+G29-E30</f>
        <v>-234759.90908999997</v>
      </c>
      <c r="H30" s="303">
        <f>B30+F30</f>
        <v>6394685.3123916658</v>
      </c>
      <c r="I30" s="303">
        <f>C30+G30</f>
        <v>6726785.1109099993</v>
      </c>
      <c r="J30" s="303">
        <f>I30-H30</f>
        <v>332099.79851833358</v>
      </c>
      <c r="K30" s="303">
        <f>-J30*$K$11</f>
        <v>-69740.957688850045</v>
      </c>
      <c r="L30" s="303">
        <f>-K30+K29</f>
        <v>8161.041868699911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6961545.0199999996</v>
      </c>
      <c r="C31" s="313">
        <f>C30</f>
        <v>6961545.0199999996</v>
      </c>
      <c r="D31" s="303">
        <f>(($B$14*$D$6/12)+(($B$26-$B$14)*$C$6/12)+(($B$38-$B$26)*$B$6/12))</f>
        <v>55105.709183333332</v>
      </c>
      <c r="E31" s="304">
        <f>+(C30*$E$10/12)+(((C31-C30)*$E$10/12)*0.5)</f>
        <v>16243.605046666666</v>
      </c>
      <c r="F31" s="303">
        <f>-D31+F30</f>
        <v>-621965.41679166676</v>
      </c>
      <c r="G31" s="304">
        <f>+G30-E31</f>
        <v>-251003.51413666664</v>
      </c>
      <c r="H31" s="303">
        <f>B31+F31</f>
        <v>6339579.6032083333</v>
      </c>
      <c r="I31" s="303">
        <f>C31+G31</f>
        <v>6710541.5058633331</v>
      </c>
      <c r="J31" s="303">
        <f>I31-H31</f>
        <v>370961.90265499987</v>
      </c>
      <c r="K31" s="303">
        <f>-J31*$K$11</f>
        <v>-77901.999557549963</v>
      </c>
      <c r="L31" s="303">
        <f>-K31+K30</f>
        <v>8161.0418686999183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6961545.0199999996</v>
      </c>
      <c r="C32" s="313">
        <f>C31</f>
        <v>6961545.0199999996</v>
      </c>
      <c r="D32" s="303">
        <f>(($B$14*$D$6/12)+(($B$26-$B$14)*$C$6/12)+(($B$38-$B$26)*$B$6/12))</f>
        <v>55105.709183333332</v>
      </c>
      <c r="E32" s="304">
        <f>+(C31*$E$10/12)+(((C32-C31)*$E$10/12)*0.5)</f>
        <v>16243.605046666666</v>
      </c>
      <c r="F32" s="303">
        <f>-D32+F31</f>
        <v>-677071.12597500009</v>
      </c>
      <c r="G32" s="304">
        <f>+G31-E32</f>
        <v>-267247.1191833333</v>
      </c>
      <c r="H32" s="303">
        <f>B32+F32</f>
        <v>6284473.8940249998</v>
      </c>
      <c r="I32" s="303">
        <f>C32+G32</f>
        <v>6694297.900816666</v>
      </c>
      <c r="J32" s="303">
        <f>I32-H32</f>
        <v>409824.00679166615</v>
      </c>
      <c r="K32" s="303">
        <f>-J32*$K$11</f>
        <v>-86063.041426249882</v>
      </c>
      <c r="L32" s="303">
        <f>-K32+K31</f>
        <v>8161.0418686999183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6961545.0199999996</v>
      </c>
      <c r="C33" s="313">
        <f>C32</f>
        <v>6961545.0199999996</v>
      </c>
      <c r="D33" s="303">
        <f>(($B$14*$D$6/12)+(($B$26-$B$14)*$C$6/12)+(($B$38-$B$26)*$B$6/12))</f>
        <v>55105.709183333332</v>
      </c>
      <c r="E33" s="304">
        <f>+(C32*$E$10/12)+(((C33-C32)*$E$10/12)*0.5)</f>
        <v>16243.605046666666</v>
      </c>
      <c r="F33" s="303">
        <f>-D33+F32</f>
        <v>-732176.83515833342</v>
      </c>
      <c r="G33" s="304">
        <f>+G32-E33</f>
        <v>-283490.72422999999</v>
      </c>
      <c r="H33" s="303">
        <f>B33+F33</f>
        <v>6229368.1848416664</v>
      </c>
      <c r="I33" s="303">
        <f>C33+G33</f>
        <v>6678054.2957699997</v>
      </c>
      <c r="J33" s="303">
        <f>I33-H33</f>
        <v>448686.11092833336</v>
      </c>
      <c r="K33" s="303">
        <f>-J33*$K$11</f>
        <v>-94224.083294950004</v>
      </c>
      <c r="L33" s="303">
        <f>-K33+K32</f>
        <v>8161.041868700122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6961545.0199999996</v>
      </c>
      <c r="C34" s="313">
        <f>C33</f>
        <v>6961545.0199999996</v>
      </c>
      <c r="D34" s="303">
        <f>(($B$14*$D$6/12)+(($B$26-$B$14)*$C$6/12)+(($B$38-$B$26)*$B$6/12))</f>
        <v>55105.709183333332</v>
      </c>
      <c r="E34" s="304">
        <f>+(C33*$E$10/12)+(((C34-C33)*$E$10/12)*0.5)</f>
        <v>16243.605046666666</v>
      </c>
      <c r="F34" s="303">
        <f>-D34+F33</f>
        <v>-787282.54434166674</v>
      </c>
      <c r="G34" s="304">
        <f>+G33-E34</f>
        <v>-299734.32927666669</v>
      </c>
      <c r="H34" s="303">
        <f>B34+F34</f>
        <v>6174262.4756583329</v>
      </c>
      <c r="I34" s="303">
        <f>C34+G34</f>
        <v>6661810.6907233326</v>
      </c>
      <c r="J34" s="303">
        <f>I34-H34</f>
        <v>487548.21506499965</v>
      </c>
      <c r="K34" s="303">
        <f>-J34*$K$11</f>
        <v>-102385.12516364992</v>
      </c>
      <c r="L34" s="303">
        <f>-K34+K33</f>
        <v>8161.0418686999183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6961545.0199999996</v>
      </c>
      <c r="C35" s="313">
        <f>C34</f>
        <v>6961545.0199999996</v>
      </c>
      <c r="D35" s="303">
        <f>(($B$14*$D$6/12)+(($B$26-$B$14)*$C$6/12)+(($B$38-$B$26)*$B$6/12))</f>
        <v>55105.709183333332</v>
      </c>
      <c r="E35" s="304">
        <f>+(C34*$E$10/12)+(((C35-C34)*$E$10/12)*0.5)</f>
        <v>16243.605046666666</v>
      </c>
      <c r="F35" s="303">
        <f>-D35+F34</f>
        <v>-842388.25352500007</v>
      </c>
      <c r="G35" s="304">
        <f>+G34-E35</f>
        <v>-315977.93432333338</v>
      </c>
      <c r="H35" s="303">
        <f>B35+F35</f>
        <v>6119156.7664749995</v>
      </c>
      <c r="I35" s="303">
        <f>C35+G35</f>
        <v>6645567.0856766663</v>
      </c>
      <c r="J35" s="303">
        <f>I35-H35</f>
        <v>526410.31920166686</v>
      </c>
      <c r="K35" s="303">
        <f>-J35*$K$11</f>
        <v>-110546.16703235004</v>
      </c>
      <c r="L35" s="303">
        <f>-K35+K34</f>
        <v>8161.041868700122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6961545.0199999996</v>
      </c>
      <c r="C36" s="313">
        <f>C35</f>
        <v>6961545.0199999996</v>
      </c>
      <c r="D36" s="303">
        <f>(($B$14*$D$6/12)+(($B$26-$B$14)*$C$6/12)+(($B$38-$B$26)*$B$6/12))</f>
        <v>55105.709183333332</v>
      </c>
      <c r="E36" s="304">
        <f>+(C35*$E$10/12)+(((C36-C35)*$E$10/12)*0.5)</f>
        <v>16243.605046666666</v>
      </c>
      <c r="F36" s="303">
        <f>-D36+F35</f>
        <v>-897493.96270833339</v>
      </c>
      <c r="G36" s="304">
        <f>+G35-E36</f>
        <v>-332221.53937000007</v>
      </c>
      <c r="H36" s="303">
        <f>B36+F36</f>
        <v>6064051.057291666</v>
      </c>
      <c r="I36" s="303">
        <f>C36+G36</f>
        <v>6629323.4806299992</v>
      </c>
      <c r="J36" s="303">
        <f>I36-H36</f>
        <v>565272.42333833314</v>
      </c>
      <c r="K36" s="303">
        <f>-J36*$K$11</f>
        <v>-118707.20890104996</v>
      </c>
      <c r="L36" s="303">
        <f>-K36+K35</f>
        <v>8161.0418686999183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6961545.0199999996</v>
      </c>
      <c r="C37" s="313">
        <f>C36</f>
        <v>6961545.0199999996</v>
      </c>
      <c r="D37" s="303">
        <f>(($B$14*$D$6/12)+(($B$26-$B$14)*$C$6/12)+(($B$38-$B$26)*$B$6/12))</f>
        <v>55105.709183333332</v>
      </c>
      <c r="E37" s="304">
        <f>+(C36*$E$10/12)+(((C37-C36)*$E$10/12)*0.5)</f>
        <v>16243.605046666666</v>
      </c>
      <c r="F37" s="303">
        <f>-D37+F36</f>
        <v>-952599.67189166672</v>
      </c>
      <c r="G37" s="304">
        <f>+G36-E37</f>
        <v>-348465.14441666676</v>
      </c>
      <c r="H37" s="303">
        <f>B37+F37</f>
        <v>6008945.3481083326</v>
      </c>
      <c r="I37" s="303">
        <f>C37+G37</f>
        <v>6613079.875583333</v>
      </c>
      <c r="J37" s="303">
        <f>I37-H37</f>
        <v>604134.52747500036</v>
      </c>
      <c r="K37" s="303">
        <f>-J37*$K$11</f>
        <v>-126868.25076975007</v>
      </c>
      <c r="L37" s="303">
        <f>-K37+K36</f>
        <v>8161.0418687001074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6961545.0199999996</v>
      </c>
      <c r="C38" s="313">
        <f>C37</f>
        <v>6961545.0199999996</v>
      </c>
      <c r="D38" s="303">
        <f>(($B$14*$D$6/12)+(($B$26-$B$14)*$C$6/12)+(($B$38-$B$26)*$B$6/12))</f>
        <v>55105.709183333332</v>
      </c>
      <c r="E38" s="304">
        <f>+(C37*$E$10/12)+(((C38-C37)*$E$10/12)*0.5)</f>
        <v>16243.605046666666</v>
      </c>
      <c r="F38" s="303">
        <f>-D38+F37</f>
        <v>-1007705.381075</v>
      </c>
      <c r="G38" s="304">
        <f>+G37-E38</f>
        <v>-364708.74946333346</v>
      </c>
      <c r="H38" s="303">
        <f>B38+F38</f>
        <v>5953839.6389249992</v>
      </c>
      <c r="I38" s="303">
        <f>C38+G38</f>
        <v>6596836.2705366658</v>
      </c>
      <c r="J38" s="303">
        <f>I38-H38</f>
        <v>642996.63161166664</v>
      </c>
      <c r="K38" s="303">
        <f>-J38*$K$11</f>
        <v>-135029.29263844999</v>
      </c>
      <c r="L38" s="303">
        <f>-K38+K37</f>
        <v>8161.0418686999183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6961545.0199999996</v>
      </c>
      <c r="C39" s="313">
        <f>C38</f>
        <v>6961545.0199999996</v>
      </c>
      <c r="D39" s="303">
        <f>(($B$14*$E$6/12)+(($B$26-$B$14)*$D$6/12)+(($B$38-$B$26)*$C$6/12)+(($B$50-$B$38)*$B$6/12))</f>
        <v>49602.385181666665</v>
      </c>
      <c r="E39" s="304">
        <f>+(C38*$E$10/12)+(((C39-C38)*$E$10/12)*0.5)</f>
        <v>16243.605046666666</v>
      </c>
      <c r="F39" s="303">
        <f>-D39+F38</f>
        <v>-1057307.7662566667</v>
      </c>
      <c r="G39" s="304">
        <f>+G38-E39</f>
        <v>-380952.35451000015</v>
      </c>
      <c r="H39" s="303">
        <f>B39+F39</f>
        <v>5904237.2537433328</v>
      </c>
      <c r="I39" s="303">
        <f>C39+G39</f>
        <v>6580592.6654899996</v>
      </c>
      <c r="J39" s="303">
        <f>I39-H39</f>
        <v>676355.41174666677</v>
      </c>
      <c r="K39" s="303">
        <f>-J39*$K$11</f>
        <v>-142034.6364668</v>
      </c>
      <c r="L39" s="303">
        <f>-K39+K38</f>
        <v>7005.3438283500145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6961545.0199999996</v>
      </c>
      <c r="C40" s="313">
        <f>C39</f>
        <v>6961545.0199999996</v>
      </c>
      <c r="D40" s="303">
        <f>(($B$14*$E$6/12)+(($B$26-$B$14)*$D$6/12)+(($B$38-$B$26)*$C$6/12)+(($B$50-$B$38)*$B$6/12))</f>
        <v>49602.385181666665</v>
      </c>
      <c r="E40" s="304">
        <f>+(C39*$E$10/12)+(((C40-C39)*$E$10/12)*0.5)</f>
        <v>16243.605046666666</v>
      </c>
      <c r="F40" s="303">
        <f>-D40+F39</f>
        <v>-1106910.1514383333</v>
      </c>
      <c r="G40" s="304">
        <f>+G39-E40</f>
        <v>-397195.95955666684</v>
      </c>
      <c r="H40" s="303">
        <f>B40+F40</f>
        <v>5854634.8685616665</v>
      </c>
      <c r="I40" s="303">
        <f>C40+G40</f>
        <v>6564349.0604433324</v>
      </c>
      <c r="J40" s="303">
        <f>I40-H40</f>
        <v>709714.19188166596</v>
      </c>
      <c r="K40" s="303">
        <f>-J40*$K$11</f>
        <v>-149039.98029514984</v>
      </c>
      <c r="L40" s="303">
        <f>-K40+K39</f>
        <v>7005.3438283498399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6961545.0199999996</v>
      </c>
      <c r="C41" s="313">
        <f>C40</f>
        <v>6961545.0199999996</v>
      </c>
      <c r="D41" s="303">
        <f>(($B$14*$E$6/12)+(($B$26-$B$14)*$D$6/12)+(($B$38-$B$26)*$C$6/12)+(($B$50-$B$38)*$B$6/12))</f>
        <v>49602.385181666665</v>
      </c>
      <c r="E41" s="304">
        <f>+(C40*$E$10/12)+(((C41-C40)*$E$10/12)*0.5)</f>
        <v>16243.605046666666</v>
      </c>
      <c r="F41" s="303">
        <f>-D41+F40</f>
        <v>-1156512.5366199999</v>
      </c>
      <c r="G41" s="304">
        <f>+G40-E41</f>
        <v>-413439.56460333354</v>
      </c>
      <c r="H41" s="303">
        <f>B41+F41</f>
        <v>5805032.4833799992</v>
      </c>
      <c r="I41" s="303">
        <f>C41+G41</f>
        <v>6548105.4553966662</v>
      </c>
      <c r="J41" s="303">
        <f>I41-H41</f>
        <v>743072.97201666702</v>
      </c>
      <c r="K41" s="303">
        <f>-J41*$K$11</f>
        <v>-156045.32412350006</v>
      </c>
      <c r="L41" s="303">
        <f>-K41+K40</f>
        <v>7005.3438283502182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6961545.0199999996</v>
      </c>
      <c r="C42" s="313">
        <f>C41</f>
        <v>6961545.0199999996</v>
      </c>
      <c r="D42" s="303">
        <f>(($B$14*$E$6/12)+(($B$26-$B$14)*$D$6/12)+(($B$38-$B$26)*$C$6/12)+(($B$50-$B$38)*$B$6/12))</f>
        <v>49602.385181666665</v>
      </c>
      <c r="E42" s="304">
        <f>+(C41*$E$10/12)+(((C42-C41)*$E$10/12)*0.5)</f>
        <v>16243.605046666666</v>
      </c>
      <c r="F42" s="303">
        <f>-D42+F41</f>
        <v>-1206114.9218016665</v>
      </c>
      <c r="G42" s="304">
        <f>+G41-E42</f>
        <v>-429683.16965000023</v>
      </c>
      <c r="H42" s="303">
        <f>B42+F42</f>
        <v>5755430.0981983328</v>
      </c>
      <c r="I42" s="303">
        <f>C42+G42</f>
        <v>6531861.850349999</v>
      </c>
      <c r="J42" s="303">
        <f>I42-H42</f>
        <v>776431.75215166621</v>
      </c>
      <c r="K42" s="303">
        <f>-J42*$K$11</f>
        <v>-163050.6679518499</v>
      </c>
      <c r="L42" s="303">
        <f>-K42+K41</f>
        <v>7005.3438283498399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6961545.0199999996</v>
      </c>
      <c r="C43" s="313">
        <f>C42</f>
        <v>6961545.0199999996</v>
      </c>
      <c r="D43" s="303">
        <f>(($B$14*$E$6/12)+(($B$26-$B$14)*$D$6/12)+(($B$38-$B$26)*$C$6/12)+(($B$50-$B$38)*$B$6/12))</f>
        <v>49602.385181666665</v>
      </c>
      <c r="E43" s="304">
        <f>+(C42*$E$10/12)+(((C43-C42)*$E$10/12)*0.5)</f>
        <v>16243.605046666666</v>
      </c>
      <c r="F43" s="303">
        <f>-D43+F42</f>
        <v>-1255717.3069833331</v>
      </c>
      <c r="G43" s="304">
        <f>+G42-E43</f>
        <v>-445926.77469666692</v>
      </c>
      <c r="H43" s="303">
        <f>B43+F43</f>
        <v>5705827.7130166665</v>
      </c>
      <c r="I43" s="303">
        <f>C43+G43</f>
        <v>6515618.2453033328</v>
      </c>
      <c r="J43" s="303">
        <f>I43-H43</f>
        <v>809790.53228666633</v>
      </c>
      <c r="K43" s="303">
        <f>-J43*$K$11</f>
        <v>-170056.01178019991</v>
      </c>
      <c r="L43" s="303">
        <f>-K43+K42</f>
        <v>7005.3438283500145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6961545.0199999996</v>
      </c>
      <c r="C44" s="313">
        <f>C43</f>
        <v>6961545.0199999996</v>
      </c>
      <c r="D44" s="303">
        <f>(($B$14*$E$6/12)+(($B$26-$B$14)*$D$6/12)+(($B$38-$B$26)*$C$6/12)+(($B$50-$B$38)*$B$6/12))</f>
        <v>49602.385181666665</v>
      </c>
      <c r="E44" s="304">
        <f>+(C43*$E$10/12)+(((C44-C43)*$E$10/12)*0.5)</f>
        <v>16243.605046666666</v>
      </c>
      <c r="F44" s="303">
        <f>-D44+F43</f>
        <v>-1305319.6921649997</v>
      </c>
      <c r="G44" s="304">
        <f>+G43-E44</f>
        <v>-462170.37974333361</v>
      </c>
      <c r="H44" s="303">
        <f>B44+F44</f>
        <v>5656225.3278350001</v>
      </c>
      <c r="I44" s="303">
        <f>C44+G44</f>
        <v>6499374.6402566656</v>
      </c>
      <c r="J44" s="303">
        <f>I44-H44</f>
        <v>843149.31242166553</v>
      </c>
      <c r="K44" s="303">
        <f>-J44*$K$11</f>
        <v>-177061.35560854975</v>
      </c>
      <c r="L44" s="303">
        <f>-K44+K43</f>
        <v>7005.3438283498399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6961545.0199999996</v>
      </c>
      <c r="C45" s="313">
        <f>C44</f>
        <v>6961545.0199999996</v>
      </c>
      <c r="D45" s="303">
        <f>(($B$14*$E$6/12)+(($B$26-$B$14)*$D$6/12)+(($B$38-$B$26)*$C$6/12)+(($B$50-$B$38)*$B$6/12))</f>
        <v>49602.385181666665</v>
      </c>
      <c r="E45" s="304">
        <f>+(C44*$E$10/12)+(((C45-C44)*$E$10/12)*0.5)</f>
        <v>16243.605046666666</v>
      </c>
      <c r="F45" s="303">
        <f>-D45+F44</f>
        <v>-1354922.0773466663</v>
      </c>
      <c r="G45" s="304">
        <f>+G44-E45</f>
        <v>-478413.98479000031</v>
      </c>
      <c r="H45" s="303">
        <f>B45+F45</f>
        <v>5606622.9426533338</v>
      </c>
      <c r="I45" s="303">
        <f>C45+G45</f>
        <v>6483131.0352099994</v>
      </c>
      <c r="J45" s="303">
        <f>I45-H45</f>
        <v>876508.09255666565</v>
      </c>
      <c r="K45" s="303">
        <f>-J45*$K$11</f>
        <v>-184066.69943689977</v>
      </c>
      <c r="L45" s="303">
        <f>-K45+K44</f>
        <v>7005.3438283500145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6961545.0199999996</v>
      </c>
      <c r="C46" s="313">
        <f>C45</f>
        <v>6961545.0199999996</v>
      </c>
      <c r="D46" s="303">
        <f>(($B$14*$E$6/12)+(($B$26-$B$14)*$D$6/12)+(($B$38-$B$26)*$C$6/12)+(($B$50-$B$38)*$B$6/12))</f>
        <v>49602.385181666665</v>
      </c>
      <c r="E46" s="304">
        <f>+(C45*$E$10/12)+(((C46-C45)*$E$10/12)*0.5)</f>
        <v>16243.605046666666</v>
      </c>
      <c r="F46" s="303">
        <f>-D46+F45</f>
        <v>-1404524.4625283328</v>
      </c>
      <c r="G46" s="304">
        <f>+G45-E46</f>
        <v>-494657.589836667</v>
      </c>
      <c r="H46" s="303">
        <f>B46+F46</f>
        <v>5557020.5574716665</v>
      </c>
      <c r="I46" s="303">
        <f>C46+G46</f>
        <v>6466887.4301633323</v>
      </c>
      <c r="J46" s="303">
        <f>I46-H46</f>
        <v>909866.87269166578</v>
      </c>
      <c r="K46" s="303">
        <f>-J46*$K$11</f>
        <v>-191072.04326524981</v>
      </c>
      <c r="L46" s="303">
        <f>-K46+K45</f>
        <v>7005.3438283500436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6961545.0199999996</v>
      </c>
      <c r="C47" s="313">
        <f>C46</f>
        <v>6961545.0199999996</v>
      </c>
      <c r="D47" s="303">
        <f>(($B$14*$E$6/12)+(($B$26-$B$14)*$D$6/12)+(($B$38-$B$26)*$C$6/12)+(($B$50-$B$38)*$B$6/12))</f>
        <v>49602.385181666665</v>
      </c>
      <c r="E47" s="304">
        <f>+(C46*$E$10/12)+(((C47-C46)*$E$10/12)*0.5)</f>
        <v>16243.605046666666</v>
      </c>
      <c r="F47" s="303">
        <f>-D47+F46</f>
        <v>-1454126.8477099994</v>
      </c>
      <c r="G47" s="304">
        <f>+G46-E47</f>
        <v>-510901.19488333369</v>
      </c>
      <c r="H47" s="303">
        <f>B47+F47</f>
        <v>5507418.1722900001</v>
      </c>
      <c r="I47" s="303">
        <f>C47+G47</f>
        <v>6450643.825116666</v>
      </c>
      <c r="J47" s="303">
        <f>I47-H47</f>
        <v>943225.6528266659</v>
      </c>
      <c r="K47" s="303">
        <f>-J47*$K$11</f>
        <v>-198077.38709359983</v>
      </c>
      <c r="L47" s="303">
        <f>-K47+K46</f>
        <v>7005.3438283500145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6961545.0199999996</v>
      </c>
      <c r="C48" s="313">
        <f>C47</f>
        <v>6961545.0199999996</v>
      </c>
      <c r="D48" s="303">
        <f>(($B$14*$E$6/12)+(($B$26-$B$14)*$D$6/12)+(($B$38-$B$26)*$C$6/12)+(($B$50-$B$38)*$B$6/12))</f>
        <v>49602.385181666665</v>
      </c>
      <c r="E48" s="304">
        <f>+(C47*$E$10/12)+(((C48-C47)*$E$10/12)*0.5)</f>
        <v>16243.605046666666</v>
      </c>
      <c r="F48" s="303">
        <f>-D48+F47</f>
        <v>-1503729.232891666</v>
      </c>
      <c r="G48" s="304">
        <f>+G47-E48</f>
        <v>-527144.79993000033</v>
      </c>
      <c r="H48" s="303">
        <f>B48+F48</f>
        <v>5457815.7871083338</v>
      </c>
      <c r="I48" s="303">
        <f>C48+G48</f>
        <v>6434400.2200699989</v>
      </c>
      <c r="J48" s="303">
        <f>I48-H48</f>
        <v>976584.43296166509</v>
      </c>
      <c r="K48" s="303">
        <f>-J48*$K$11</f>
        <v>-205082.73092194967</v>
      </c>
      <c r="L48" s="303">
        <f>-K48+K47</f>
        <v>7005.3438283498399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6961545.0199999996</v>
      </c>
      <c r="C49" s="313">
        <f>C48</f>
        <v>6961545.0199999996</v>
      </c>
      <c r="D49" s="303">
        <f>(($B$14*$E$6/12)+(($B$26-$B$14)*$D$6/12)+(($B$38-$B$26)*$C$6/12)+(($B$50-$B$38)*$B$6/12))</f>
        <v>49602.385181666665</v>
      </c>
      <c r="E49" s="304">
        <f>+(C48*$E$10/12)+(((C49-C48)*$E$10/12)*0.5)</f>
        <v>16243.605046666666</v>
      </c>
      <c r="F49" s="303">
        <f>-D49+F48</f>
        <v>-1553331.6180733326</v>
      </c>
      <c r="G49" s="304">
        <f>+G48-E49</f>
        <v>-543388.40497666702</v>
      </c>
      <c r="H49" s="303">
        <f>B49+F49</f>
        <v>5408213.4019266665</v>
      </c>
      <c r="I49" s="303">
        <f>C49+G49</f>
        <v>6418156.6150233326</v>
      </c>
      <c r="J49" s="303">
        <f>I49-H49</f>
        <v>1009943.2130966661</v>
      </c>
      <c r="K49" s="303">
        <f>-J49*$K$11</f>
        <v>-212088.07475029989</v>
      </c>
      <c r="L49" s="303">
        <f>-K49+K48</f>
        <v>7005.3438283502182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6961545.0199999996</v>
      </c>
      <c r="C50" s="313">
        <f>C49</f>
        <v>6961545.0199999996</v>
      </c>
      <c r="D50" s="303">
        <f>(($B$14*$E$6/12)+(($B$26-$B$14)*$D$6/12)+(($B$38-$B$26)*$C$6/12)+(($B$50-$B$38)*$B$6/12))</f>
        <v>49602.385181666665</v>
      </c>
      <c r="E50" s="304">
        <f>+(C49*$E$10/12)+(((C50-C49)*$E$10/12)*0.5)</f>
        <v>16243.605046666666</v>
      </c>
      <c r="F50" s="303">
        <f>-D50+F49</f>
        <v>-1602934.0032549992</v>
      </c>
      <c r="G50" s="304">
        <f>+G49-E50</f>
        <v>-559632.01002333371</v>
      </c>
      <c r="H50" s="303">
        <f>B50+F50</f>
        <v>5358611.0167450001</v>
      </c>
      <c r="I50" s="303">
        <f>C50+G50</f>
        <v>6401913.0099766655</v>
      </c>
      <c r="J50" s="303">
        <f>I50-H50</f>
        <v>1043301.9932316653</v>
      </c>
      <c r="K50" s="303">
        <f>-J50*$K$11</f>
        <v>-219093.41857864973</v>
      </c>
      <c r="L50" s="303">
        <f>-K50+K49</f>
        <v>7005.3438283498399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6961545.0199999996</v>
      </c>
      <c r="C51" s="313">
        <f>C50</f>
        <v>6961545.0199999996</v>
      </c>
      <c r="D51" s="303">
        <f>(($B$14*$F$6/12)+(($B$26-$B$14)*$E$6/12)+(($B$38-$B$26)*$D$6/12)+(($B$50-$B$38)*$C$6/12)+(($B$62-$B$50)*$B$6/12))</f>
        <v>44671.145854166665</v>
      </c>
      <c r="E51" s="304">
        <f>+(C50*$E$10/12)+(((C51-C50)*$E$10/12)*0.5)</f>
        <v>16243.605046666666</v>
      </c>
      <c r="F51" s="303">
        <f>-D51+F50</f>
        <v>-1647605.1491091659</v>
      </c>
      <c r="G51" s="304">
        <f>+G50-E51</f>
        <v>-575875.61507000041</v>
      </c>
      <c r="H51" s="303">
        <f>B51+F51</f>
        <v>5313939.8708908334</v>
      </c>
      <c r="I51" s="303">
        <f>C51+G51</f>
        <v>6385669.4049299993</v>
      </c>
      <c r="J51" s="303">
        <f>I51-H51</f>
        <v>1071729.5340391658</v>
      </c>
      <c r="K51" s="303">
        <f>-J51*$K$11</f>
        <v>-225063.20214822481</v>
      </c>
      <c r="L51" s="303">
        <f>-K51+K50</f>
        <v>5969.7835695750837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6961545.0199999996</v>
      </c>
      <c r="C52" s="313">
        <f>C51</f>
        <v>6961545.0199999996</v>
      </c>
      <c r="D52" s="303">
        <f>(($B$14*$F$6/12)+(($B$26-$B$14)*$E$6/12)+(($B$38-$B$26)*$D$6/12)+(($B$50-$B$38)*$C$6/12)+(($B$62-$B$50)*$B$6/12))</f>
        <v>44671.145854166665</v>
      </c>
      <c r="E52" s="304">
        <f>+(C51*$E$10/12)+(((C52-C51)*$E$10/12)*0.5)</f>
        <v>16243.605046666666</v>
      </c>
      <c r="F52" s="303">
        <f>-D52+F51</f>
        <v>-1692276.2949633326</v>
      </c>
      <c r="G52" s="304">
        <f>+G51-E52</f>
        <v>-592119.2201166671</v>
      </c>
      <c r="H52" s="303">
        <f>B52+F52</f>
        <v>5269268.7250366667</v>
      </c>
      <c r="I52" s="303">
        <f>C52+G52</f>
        <v>6369425.7998833321</v>
      </c>
      <c r="J52" s="303">
        <f>I52-H52</f>
        <v>1100157.0748466654</v>
      </c>
      <c r="K52" s="303">
        <f>-J52*$K$11</f>
        <v>-231032.98571779972</v>
      </c>
      <c r="L52" s="303">
        <f>-K52+K51</f>
        <v>5969.7835695749091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6961545.0199999996</v>
      </c>
      <c r="C53" s="313">
        <f>C52</f>
        <v>6961545.0199999996</v>
      </c>
      <c r="D53" s="303">
        <f>(($B$14*$F$6/12)+(($B$26-$B$14)*$E$6/12)+(($B$38-$B$26)*$D$6/12)+(($B$50-$B$38)*$C$6/12)+(($B$62-$B$50)*$B$6/12))</f>
        <v>44671.145854166665</v>
      </c>
      <c r="E53" s="304">
        <f>+(C52*$E$10/12)+(((C53-C52)*$E$10/12)*0.5)</f>
        <v>16243.605046666666</v>
      </c>
      <c r="F53" s="303">
        <f>-D53+F52</f>
        <v>-1736947.4408174993</v>
      </c>
      <c r="G53" s="304">
        <f>+G52-E53</f>
        <v>-608362.82516333379</v>
      </c>
      <c r="H53" s="303">
        <f>B53+F53</f>
        <v>5224597.5791825</v>
      </c>
      <c r="I53" s="303">
        <f>C53+G53</f>
        <v>6353182.1948366659</v>
      </c>
      <c r="J53" s="303">
        <f>I53-H53</f>
        <v>1128584.6156541659</v>
      </c>
      <c r="K53" s="303">
        <f>-J53*$K$11</f>
        <v>-237002.76928737483</v>
      </c>
      <c r="L53" s="303">
        <f>-K53+K52</f>
        <v>5969.7835695751128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6961545.0199999996</v>
      </c>
      <c r="C54" s="313">
        <f>C53</f>
        <v>6961545.0199999996</v>
      </c>
      <c r="D54" s="303">
        <f>(($B$14*$F$6/12)+(($B$26-$B$14)*$E$6/12)+(($B$38-$B$26)*$D$6/12)+(($B$50-$B$38)*$C$6/12)+(($B$62-$B$50)*$B$6/12))</f>
        <v>44671.145854166665</v>
      </c>
      <c r="E54" s="304">
        <f>+(C53*$E$10/12)+(((C54-C53)*$E$10/12)*0.5)</f>
        <v>16243.605046666666</v>
      </c>
      <c r="F54" s="303">
        <f>-D54+F53</f>
        <v>-1781618.586671666</v>
      </c>
      <c r="G54" s="304">
        <f>+G53-E54</f>
        <v>-624606.43021000049</v>
      </c>
      <c r="H54" s="303">
        <f>B54+F54</f>
        <v>5179926.4333283333</v>
      </c>
      <c r="I54" s="303">
        <f>C54+G54</f>
        <v>6336938.5897899987</v>
      </c>
      <c r="J54" s="303">
        <f>I54-H54</f>
        <v>1157012.1564616654</v>
      </c>
      <c r="K54" s="303">
        <f>-J54*$K$11</f>
        <v>-242972.55285694974</v>
      </c>
      <c r="L54" s="303">
        <f>-K54+K53</f>
        <v>5969.7835695749091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6961545.0199999996</v>
      </c>
      <c r="C55" s="313">
        <f>C54</f>
        <v>6961545.0199999996</v>
      </c>
      <c r="D55" s="303">
        <f>(($B$14*$F$6/12)+(($B$26-$B$14)*$E$6/12)+(($B$38-$B$26)*$D$6/12)+(($B$50-$B$38)*$C$6/12)+(($B$62-$B$50)*$B$6/12))</f>
        <v>44671.145854166665</v>
      </c>
      <c r="E55" s="304">
        <f>+(C54*$E$10/12)+(((C55-C54)*$E$10/12)*0.5)</f>
        <v>16243.605046666666</v>
      </c>
      <c r="F55" s="303">
        <f>-D55+F54</f>
        <v>-1826289.7325258327</v>
      </c>
      <c r="G55" s="304">
        <f>+G54-E55</f>
        <v>-640850.03525666718</v>
      </c>
      <c r="H55" s="303">
        <f>B55+F55</f>
        <v>5135255.2874741666</v>
      </c>
      <c r="I55" s="303">
        <f>C55+G55</f>
        <v>6320694.9847433325</v>
      </c>
      <c r="J55" s="303">
        <f>I55-H55</f>
        <v>1185439.6972691659</v>
      </c>
      <c r="K55" s="303">
        <f>-J55*$K$11</f>
        <v>-248942.33642652482</v>
      </c>
      <c r="L55" s="303">
        <f>-K55+K54</f>
        <v>5969.7835695750837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6961545.0199999996</v>
      </c>
      <c r="C56" s="313">
        <f>C55</f>
        <v>6961545.0199999996</v>
      </c>
      <c r="D56" s="303">
        <f>(($B$14*$F$6/12)+(($B$26-$B$14)*$E$6/12)+(($B$38-$B$26)*$D$6/12)+(($B$50-$B$38)*$C$6/12)+(($B$62-$B$50)*$B$6/12))</f>
        <v>44671.145854166665</v>
      </c>
      <c r="E56" s="304">
        <f>+(C55*$E$10/12)+(((C56-C55)*$E$10/12)*0.5)</f>
        <v>16243.605046666666</v>
      </c>
      <c r="F56" s="303">
        <f>-D56+F55</f>
        <v>-1870960.8783799994</v>
      </c>
      <c r="G56" s="304">
        <f>+G55-E56</f>
        <v>-657093.64030333387</v>
      </c>
      <c r="H56" s="303">
        <f>B56+F56</f>
        <v>5090584.1416199999</v>
      </c>
      <c r="I56" s="303">
        <f>C56+G56</f>
        <v>6304451.3796966653</v>
      </c>
      <c r="J56" s="303">
        <f>I56-H56</f>
        <v>1213867.2380766654</v>
      </c>
      <c r="K56" s="303">
        <f>-J56*$K$11</f>
        <v>-254912.11999609973</v>
      </c>
      <c r="L56" s="303">
        <f>-K56+K55</f>
        <v>5969.7835695749091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6961545.0199999996</v>
      </c>
      <c r="C57" s="313">
        <f>C56</f>
        <v>6961545.0199999996</v>
      </c>
      <c r="D57" s="303">
        <f>(($B$14*$F$6/12)+(($B$26-$B$14)*$E$6/12)+(($B$38-$B$26)*$D$6/12)+(($B$50-$B$38)*$C$6/12)+(($B$62-$B$50)*$B$6/12))</f>
        <v>44671.145854166665</v>
      </c>
      <c r="E57" s="304">
        <f>+(C56*$E$10/12)+(((C57-C56)*$E$10/12)*0.5)</f>
        <v>16243.605046666666</v>
      </c>
      <c r="F57" s="303">
        <f>-D57+F56</f>
        <v>-1915632.0242341661</v>
      </c>
      <c r="G57" s="304">
        <f>+G56-E57</f>
        <v>-673337.24535000056</v>
      </c>
      <c r="H57" s="303">
        <f>B57+F57</f>
        <v>5045912.9957658332</v>
      </c>
      <c r="I57" s="303">
        <f>C57+G57</f>
        <v>6288207.7746499991</v>
      </c>
      <c r="J57" s="303">
        <f>I57-H57</f>
        <v>1242294.7788841659</v>
      </c>
      <c r="K57" s="303">
        <f>-J57*$K$11</f>
        <v>-260881.90356567485</v>
      </c>
      <c r="L57" s="303">
        <f>-K57+K56</f>
        <v>5969.7835695751128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6961545.0199999996</v>
      </c>
      <c r="C58" s="313">
        <f>C57</f>
        <v>6961545.0199999996</v>
      </c>
      <c r="D58" s="303">
        <f>(($B$14*$F$6/12)+(($B$26-$B$14)*$E$6/12)+(($B$38-$B$26)*$D$6/12)+(($B$50-$B$38)*$C$6/12)+(($B$62-$B$50)*$B$6/12))</f>
        <v>44671.145854166665</v>
      </c>
      <c r="E58" s="304">
        <f>+(C57*$E$10/12)+(((C58-C57)*$E$10/12)*0.5)</f>
        <v>16243.605046666666</v>
      </c>
      <c r="F58" s="303">
        <f>-D58+F57</f>
        <v>-1960303.1700883328</v>
      </c>
      <c r="G58" s="304">
        <f>+G57-E58</f>
        <v>-689580.85039666726</v>
      </c>
      <c r="H58" s="303">
        <f>B58+F58</f>
        <v>5001241.8499116665</v>
      </c>
      <c r="I58" s="303">
        <f>C58+G58</f>
        <v>6271964.1696033319</v>
      </c>
      <c r="J58" s="303">
        <f>I58-H58</f>
        <v>1270722.3196916655</v>
      </c>
      <c r="K58" s="303">
        <f>-J58*$K$11</f>
        <v>-266851.68713524973</v>
      </c>
      <c r="L58" s="303">
        <f>-K58+K57</f>
        <v>5969.7835695748799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6961545.0199999996</v>
      </c>
      <c r="C59" s="313">
        <f>C58</f>
        <v>6961545.0199999996</v>
      </c>
      <c r="D59" s="303">
        <f>(($B$14*$F$6/12)+(($B$26-$B$14)*$E$6/12)+(($B$38-$B$26)*$D$6/12)+(($B$50-$B$38)*$C$6/12)+(($B$62-$B$50)*$B$6/12))</f>
        <v>44671.145854166665</v>
      </c>
      <c r="E59" s="304">
        <f>+(C58*$E$10/12)+(((C59-C58)*$E$10/12)*0.5)</f>
        <v>16243.605046666666</v>
      </c>
      <c r="F59" s="303">
        <f>-D59+F58</f>
        <v>-2004974.3159424996</v>
      </c>
      <c r="G59" s="304">
        <f>+G58-E59</f>
        <v>-705824.45544333395</v>
      </c>
      <c r="H59" s="303">
        <f>B59+F59</f>
        <v>4956570.7040574998</v>
      </c>
      <c r="I59" s="303">
        <f>C59+G59</f>
        <v>6255720.5645566657</v>
      </c>
      <c r="J59" s="303">
        <f>I59-H59</f>
        <v>1299149.860499166</v>
      </c>
      <c r="K59" s="303">
        <f>-J59*$K$11</f>
        <v>-272821.47070482484</v>
      </c>
      <c r="L59" s="303">
        <f>-K59+K58</f>
        <v>5969.7835695751128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6961545.0199999996</v>
      </c>
      <c r="C60" s="313">
        <f>C59</f>
        <v>6961545.0199999996</v>
      </c>
      <c r="D60" s="303">
        <f>(($B$14*$F$6/12)+(($B$26-$B$14)*$E$6/12)+(($B$38-$B$26)*$D$6/12)+(($B$50-$B$38)*$C$6/12)+(($B$62-$B$50)*$B$6/12))</f>
        <v>44671.145854166665</v>
      </c>
      <c r="E60" s="304">
        <f>+(C59*$E$10/12)+(((C60-C59)*$E$10/12)*0.5)</f>
        <v>16243.605046666666</v>
      </c>
      <c r="F60" s="303">
        <f>-D60+F59</f>
        <v>-2049645.4617966663</v>
      </c>
      <c r="G60" s="304">
        <f>+G59-E60</f>
        <v>-722068.06049000064</v>
      </c>
      <c r="H60" s="303">
        <f>B60+F60</f>
        <v>4911899.5582033331</v>
      </c>
      <c r="I60" s="303">
        <f>C60+G60</f>
        <v>6239476.9595099986</v>
      </c>
      <c r="J60" s="303">
        <f>I60-H60</f>
        <v>1327577.4013066655</v>
      </c>
      <c r="K60" s="303">
        <f>-J60*$K$11</f>
        <v>-278791.25427439972</v>
      </c>
      <c r="L60" s="303">
        <f>-K60+K59</f>
        <v>5969.7835695748799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6961545.0199999996</v>
      </c>
      <c r="C61" s="313">
        <f>C60</f>
        <v>6961545.0199999996</v>
      </c>
      <c r="D61" s="303">
        <f>(($B$14*$F$6/12)+(($B$26-$B$14)*$E$6/12)+(($B$38-$B$26)*$D$6/12)+(($B$50-$B$38)*$C$6/12)+(($B$62-$B$50)*$B$6/12))</f>
        <v>44671.145854166665</v>
      </c>
      <c r="E61" s="304">
        <f>+(C60*$E$10/12)+(((C61-C60)*$E$10/12)*0.5)</f>
        <v>16243.605046666666</v>
      </c>
      <c r="F61" s="303">
        <f>-D61+F60</f>
        <v>-2094316.607650833</v>
      </c>
      <c r="G61" s="304">
        <f>+G60-E61</f>
        <v>-738311.66553666734</v>
      </c>
      <c r="H61" s="303">
        <f>B61+F61</f>
        <v>4867228.4123491663</v>
      </c>
      <c r="I61" s="303">
        <f>C61+G61</f>
        <v>6223233.3544633323</v>
      </c>
      <c r="J61" s="303">
        <f>I61-H61</f>
        <v>1356004.942114166</v>
      </c>
      <c r="K61" s="303">
        <f>-J61*$K$11</f>
        <v>-284761.03784397483</v>
      </c>
      <c r="L61" s="303">
        <f>-K61+K60</f>
        <v>5969.7835695751128</v>
      </c>
      <c r="M61" s="361"/>
      <c r="N61" s="299"/>
    </row>
    <row r="62" spans="1:15" ht="15" x14ac:dyDescent="0.25">
      <c r="A62" s="314">
        <v>46022</v>
      </c>
      <c r="B62" s="303">
        <f>C62</f>
        <v>6961545.0199999996</v>
      </c>
      <c r="C62" s="313">
        <f>C61</f>
        <v>6961545.0199999996</v>
      </c>
      <c r="D62" s="303">
        <f>(($B$14*$F$6/12)+(($B$26-$B$14)*$E$6/12)+(($B$38-$B$26)*$D$6/12)+(($B$50-$B$38)*$C$6/12)+(($B$62-$B$50)*$B$6/12))</f>
        <v>44671.145854166665</v>
      </c>
      <c r="E62" s="304">
        <f>+(C61*$E$10/12)+(((C62-C61)*$E$10/12)*0.5)</f>
        <v>16243.605046666666</v>
      </c>
      <c r="F62" s="303">
        <f>-D62+F61</f>
        <v>-2138987.7535049994</v>
      </c>
      <c r="G62" s="304">
        <f>+G61-E62</f>
        <v>-754555.27058333403</v>
      </c>
      <c r="H62" s="303">
        <f>B62+F62</f>
        <v>4822557.2664950006</v>
      </c>
      <c r="I62" s="303">
        <f>C62+G62</f>
        <v>6206989.7494166652</v>
      </c>
      <c r="J62" s="303">
        <f>I62-H62</f>
        <v>1384432.4829216646</v>
      </c>
      <c r="K62" s="303">
        <f>-J62*$K$11</f>
        <v>-290730.82141354954</v>
      </c>
      <c r="L62" s="303">
        <f>-K62+K61</f>
        <v>5969.7835695747053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6959805.7599999998</v>
      </c>
      <c r="C68" s="285">
        <f>C26</f>
        <v>6959805.7599999998</v>
      </c>
      <c r="D68" s="285">
        <f>SUM(D15:D26)</f>
        <v>346451.2767083334</v>
      </c>
      <c r="E68" s="285">
        <f>SUM(E15:E26)</f>
        <v>169795.58530666665</v>
      </c>
      <c r="F68" s="285">
        <f>F26</f>
        <v>-346451.2767083334</v>
      </c>
      <c r="G68" s="285">
        <f>G26</f>
        <v>-169795.58530666665</v>
      </c>
      <c r="H68" s="285">
        <f>H26</f>
        <v>6613354.483291666</v>
      </c>
      <c r="I68" s="285">
        <f>I26</f>
        <v>6790010.174693333</v>
      </c>
      <c r="J68" s="285">
        <f>J26</f>
        <v>176655.69140166696</v>
      </c>
      <c r="K68" s="285">
        <f>K26</f>
        <v>-37097.695194350061</v>
      </c>
      <c r="L68" s="285">
        <f>SUM(L15:L26)</f>
        <v>37097.695194350061</v>
      </c>
      <c r="M68" s="297"/>
      <c r="N68" s="297"/>
    </row>
    <row r="69" spans="1:15" x14ac:dyDescent="0.2">
      <c r="A69" s="301" t="s">
        <v>248</v>
      </c>
      <c r="B69" s="285">
        <f>(B14+B26+SUM(B15:B25)*2)/24</f>
        <v>6064128.0466666669</v>
      </c>
      <c r="C69" s="285">
        <f>(C14+C26+SUM(C15:C25)*2)/24</f>
        <v>6064128.0466666669</v>
      </c>
      <c r="D69" s="285"/>
      <c r="E69" s="300"/>
      <c r="F69" s="285">
        <f>(F14+F26+SUM(F15:F25)*2)/24</f>
        <v>-172939.84500173613</v>
      </c>
      <c r="G69" s="285">
        <f>(G14+G26+SUM(G15:G25)*2)/24</f>
        <v>-74344.864060833337</v>
      </c>
      <c r="H69" s="285">
        <f>(H14+H26+SUM(H15:H25)*2)/24</f>
        <v>5891188.2016649311</v>
      </c>
      <c r="I69" s="285">
        <f>(I14+I26+SUM(I15:I25)*2)/24</f>
        <v>5989783.1826058337</v>
      </c>
      <c r="J69" s="285">
        <f>(J14+J26+SUM(J15:J25)*2)/24</f>
        <v>98594.980940902649</v>
      </c>
      <c r="K69" s="285">
        <f>(K14+K26+SUM(K15:K25)*2)/24</f>
        <v>-20704.945997589555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570312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264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2.8000000000000001E-2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2.8000000000000001E-2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15142.94975</v>
      </c>
      <c r="E15" s="304">
        <v>0</v>
      </c>
      <c r="F15" s="303">
        <f t="shared" ref="F15:F28" si="0">-D15+F14</f>
        <v>-15142.94975</v>
      </c>
      <c r="G15" s="304">
        <f t="shared" ref="G15:G28" si="1">+G14-E15</f>
        <v>0</v>
      </c>
      <c r="H15" s="303">
        <f t="shared" ref="H15:I28" si="2">B15+F15</f>
        <v>-15142.94975</v>
      </c>
      <c r="I15" s="303">
        <f t="shared" si="2"/>
        <v>0</v>
      </c>
      <c r="J15" s="303">
        <f t="shared" ref="J15:J28" si="3">I15-H15</f>
        <v>15142.94975</v>
      </c>
      <c r="K15" s="303">
        <f t="shared" ref="K15:K28" si="4">-J15*$K$11</f>
        <v>-3180.0194474999998</v>
      </c>
      <c r="L15" s="303">
        <f t="shared" ref="L15:L28" si="5">-K15+K14</f>
        <v>3180.0194474999998</v>
      </c>
      <c r="M15" s="363"/>
    </row>
    <row r="16" spans="1:23" x14ac:dyDescent="0.2">
      <c r="A16" s="314">
        <v>44620</v>
      </c>
      <c r="B16" s="303">
        <v>3634307.94</v>
      </c>
      <c r="C16" s="313">
        <v>3634307.94</v>
      </c>
      <c r="D16" s="303">
        <f>(($B$14*$C$6/12)+(($B$16-$B$14)*$B$6/12))+M16</f>
        <v>15142.94975</v>
      </c>
      <c r="E16" s="304">
        <f t="shared" ref="E16:E25" si="6">+(C15*$E$10/12)+(((C16-C15)*$E$10/12)*0.5)</f>
        <v>4240.0259299999998</v>
      </c>
      <c r="F16" s="303">
        <f t="shared" si="0"/>
        <v>-30285.8995</v>
      </c>
      <c r="G16" s="304">
        <f t="shared" si="1"/>
        <v>-4240.0259299999998</v>
      </c>
      <c r="H16" s="303">
        <f t="shared" si="2"/>
        <v>3604022.0405000001</v>
      </c>
      <c r="I16" s="303">
        <f t="shared" si="2"/>
        <v>3630067.9140699999</v>
      </c>
      <c r="J16" s="303">
        <f t="shared" si="3"/>
        <v>26045.873569999821</v>
      </c>
      <c r="K16" s="303">
        <f t="shared" si="4"/>
        <v>-5469.6334496999625</v>
      </c>
      <c r="L16" s="303">
        <f t="shared" si="5"/>
        <v>2289.6140021999627</v>
      </c>
      <c r="M16" s="363"/>
    </row>
    <row r="17" spans="1:15" ht="15" x14ac:dyDescent="0.25">
      <c r="A17" s="314">
        <v>44651</v>
      </c>
      <c r="B17" s="303">
        <v>3637510.28</v>
      </c>
      <c r="C17" s="313">
        <v>3637510.28</v>
      </c>
      <c r="D17" s="303">
        <f>(($B$14*$C$6/12)+((B17-$B$14)*$B$6/12))+M17</f>
        <v>15156.292833333333</v>
      </c>
      <c r="E17" s="304">
        <f t="shared" si="6"/>
        <v>8483.7879233333333</v>
      </c>
      <c r="F17" s="303">
        <f t="shared" si="0"/>
        <v>-45442.192333333332</v>
      </c>
      <c r="G17" s="304">
        <f t="shared" si="1"/>
        <v>-12723.813853333333</v>
      </c>
      <c r="H17" s="303">
        <f t="shared" si="2"/>
        <v>3592068.0876666666</v>
      </c>
      <c r="I17" s="303">
        <f t="shared" si="2"/>
        <v>3624786.4661466666</v>
      </c>
      <c r="J17" s="303">
        <f t="shared" si="3"/>
        <v>32718.378479999956</v>
      </c>
      <c r="K17" s="303">
        <f t="shared" si="4"/>
        <v>-6870.8594807999907</v>
      </c>
      <c r="L17" s="303">
        <f t="shared" si="5"/>
        <v>1401.2260311000282</v>
      </c>
      <c r="M17" s="361"/>
      <c r="N17" s="320"/>
    </row>
    <row r="18" spans="1:15" ht="15" x14ac:dyDescent="0.25">
      <c r="A18" s="314">
        <v>44681</v>
      </c>
      <c r="B18" s="303">
        <v>3638884.71</v>
      </c>
      <c r="C18" s="313">
        <v>3638884.71</v>
      </c>
      <c r="D18" s="303">
        <f>(($B$14*$C$6/12)+((B18-$B$14)*$B$6/12))+M18</f>
        <v>15162.019625000001</v>
      </c>
      <c r="E18" s="304">
        <f t="shared" si="6"/>
        <v>8489.1274883333317</v>
      </c>
      <c r="F18" s="303">
        <f t="shared" si="0"/>
        <v>-60604.211958333333</v>
      </c>
      <c r="G18" s="304">
        <f t="shared" si="1"/>
        <v>-21212.941341666665</v>
      </c>
      <c r="H18" s="303">
        <f t="shared" si="2"/>
        <v>3578280.4980416666</v>
      </c>
      <c r="I18" s="303">
        <f t="shared" si="2"/>
        <v>3617671.7686583335</v>
      </c>
      <c r="J18" s="303">
        <f t="shared" si="3"/>
        <v>39391.27061666688</v>
      </c>
      <c r="K18" s="303">
        <f t="shared" si="4"/>
        <v>-8272.1668295000436</v>
      </c>
      <c r="L18" s="303">
        <f t="shared" si="5"/>
        <v>1401.3073487000529</v>
      </c>
      <c r="M18" s="361"/>
    </row>
    <row r="19" spans="1:15" ht="15" x14ac:dyDescent="0.25">
      <c r="A19" s="314">
        <v>44712</v>
      </c>
      <c r="B19" s="303">
        <v>3640446.17</v>
      </c>
      <c r="C19" s="313">
        <v>3640446.17</v>
      </c>
      <c r="D19" s="303">
        <f>(($B$14*$C$6/12)+((B19-$B$14)*$B$6/12))+M19</f>
        <v>15168.525708333334</v>
      </c>
      <c r="E19" s="304">
        <f t="shared" si="6"/>
        <v>8492.5526933333331</v>
      </c>
      <c r="F19" s="303">
        <f t="shared" si="0"/>
        <v>-75772.737666666668</v>
      </c>
      <c r="G19" s="304">
        <f t="shared" si="1"/>
        <v>-29705.494034999996</v>
      </c>
      <c r="H19" s="303">
        <f t="shared" si="2"/>
        <v>3564673.4323333334</v>
      </c>
      <c r="I19" s="303">
        <f t="shared" si="2"/>
        <v>3610740.6759649999</v>
      </c>
      <c r="J19" s="303">
        <f t="shared" si="3"/>
        <v>46067.243631666526</v>
      </c>
      <c r="K19" s="303">
        <f t="shared" si="4"/>
        <v>-9674.1211626499698</v>
      </c>
      <c r="L19" s="303">
        <f t="shared" si="5"/>
        <v>1401.9543331499262</v>
      </c>
      <c r="M19" s="361"/>
    </row>
    <row r="20" spans="1:15" ht="15" x14ac:dyDescent="0.25">
      <c r="A20" s="314">
        <v>44742</v>
      </c>
      <c r="B20" s="303">
        <v>3641319.28</v>
      </c>
      <c r="C20" s="313">
        <v>3641319.28</v>
      </c>
      <c r="D20" s="303">
        <f>(($B$14*$C$6/12)+((B20-$B$14)*$B$6/12))+M20</f>
        <v>15172.163666666667</v>
      </c>
      <c r="E20" s="304">
        <f t="shared" si="6"/>
        <v>8495.3930249999994</v>
      </c>
      <c r="F20" s="303">
        <f t="shared" si="0"/>
        <v>-90944.901333333342</v>
      </c>
      <c r="G20" s="304">
        <f t="shared" si="1"/>
        <v>-38200.887059999994</v>
      </c>
      <c r="H20" s="303">
        <f t="shared" si="2"/>
        <v>3550374.3786666663</v>
      </c>
      <c r="I20" s="303">
        <f t="shared" si="2"/>
        <v>3603118.3929399997</v>
      </c>
      <c r="J20" s="303">
        <f t="shared" si="3"/>
        <v>52744.014273333363</v>
      </c>
      <c r="K20" s="303">
        <f t="shared" si="4"/>
        <v>-11076.242997400006</v>
      </c>
      <c r="L20" s="303">
        <f t="shared" si="5"/>
        <v>1402.1218347500362</v>
      </c>
      <c r="M20" s="361"/>
    </row>
    <row r="21" spans="1:15" ht="15" x14ac:dyDescent="0.25">
      <c r="A21" s="314">
        <v>44773</v>
      </c>
      <c r="B21" s="303">
        <v>3642389.54</v>
      </c>
      <c r="C21" s="313">
        <v>3642389.54</v>
      </c>
      <c r="D21" s="303">
        <f>(($B$14*$C$6/12)+((B21-$B$14)*$B$6/12))+M21</f>
        <v>15176.623083333334</v>
      </c>
      <c r="E21" s="304">
        <f t="shared" si="6"/>
        <v>8497.6602899999998</v>
      </c>
      <c r="F21" s="303">
        <f t="shared" si="0"/>
        <v>-106121.52441666668</v>
      </c>
      <c r="G21" s="304">
        <f t="shared" si="1"/>
        <v>-46698.547349999993</v>
      </c>
      <c r="H21" s="303">
        <f t="shared" si="2"/>
        <v>3536268.0155833336</v>
      </c>
      <c r="I21" s="303">
        <f t="shared" si="2"/>
        <v>3595690.9926499999</v>
      </c>
      <c r="J21" s="303">
        <f t="shared" si="3"/>
        <v>59422.977066666353</v>
      </c>
      <c r="K21" s="303">
        <f t="shared" si="4"/>
        <v>-12478.825183999934</v>
      </c>
      <c r="L21" s="303">
        <f t="shared" si="5"/>
        <v>1402.5821865999278</v>
      </c>
      <c r="M21" s="361"/>
    </row>
    <row r="22" spans="1:15" ht="15" x14ac:dyDescent="0.25">
      <c r="A22" s="314">
        <v>44804</v>
      </c>
      <c r="B22" s="303">
        <v>3643859.93</v>
      </c>
      <c r="C22" s="313">
        <v>3643859.93</v>
      </c>
      <c r="D22" s="303">
        <f>(($B$14*$C$6/12)+((B22-$B$14)*$B$6/12))+M22</f>
        <v>15182.749708333335</v>
      </c>
      <c r="E22" s="304">
        <f t="shared" si="6"/>
        <v>8500.6243816666665</v>
      </c>
      <c r="F22" s="303">
        <f t="shared" si="0"/>
        <v>-121304.27412500001</v>
      </c>
      <c r="G22" s="304">
        <f t="shared" si="1"/>
        <v>-55199.171731666662</v>
      </c>
      <c r="H22" s="303">
        <f t="shared" si="2"/>
        <v>3522555.6558750002</v>
      </c>
      <c r="I22" s="303">
        <f t="shared" si="2"/>
        <v>3588660.7582683335</v>
      </c>
      <c r="J22" s="303">
        <f t="shared" si="3"/>
        <v>66105.102393333334</v>
      </c>
      <c r="K22" s="303">
        <f t="shared" si="4"/>
        <v>-13882.0715026</v>
      </c>
      <c r="L22" s="303">
        <f t="shared" si="5"/>
        <v>1403.2463186000659</v>
      </c>
      <c r="M22" s="361"/>
    </row>
    <row r="23" spans="1:15" ht="15" x14ac:dyDescent="0.25">
      <c r="A23" s="314">
        <v>44834</v>
      </c>
      <c r="B23" s="303">
        <v>3647138.1</v>
      </c>
      <c r="C23" s="313">
        <v>3647138.1</v>
      </c>
      <c r="D23" s="303">
        <f>(($B$14*$C$6/12)+((B23-$B$14)*$B$6/12))+M23</f>
        <v>15196.408750000002</v>
      </c>
      <c r="E23" s="304">
        <f t="shared" si="6"/>
        <v>8506.164368333335</v>
      </c>
      <c r="F23" s="303">
        <f t="shared" si="0"/>
        <v>-136500.682875</v>
      </c>
      <c r="G23" s="304">
        <f t="shared" si="1"/>
        <v>-63705.3361</v>
      </c>
      <c r="H23" s="303">
        <f t="shared" si="2"/>
        <v>3510637.4171250002</v>
      </c>
      <c r="I23" s="303">
        <f t="shared" si="2"/>
        <v>3583432.7639000001</v>
      </c>
      <c r="J23" s="303">
        <f t="shared" si="3"/>
        <v>72795.346774999984</v>
      </c>
      <c r="K23" s="303">
        <f t="shared" si="4"/>
        <v>-15287.022822749996</v>
      </c>
      <c r="L23" s="303">
        <f t="shared" si="5"/>
        <v>1404.9513201499958</v>
      </c>
      <c r="M23" s="361"/>
      <c r="O23" s="299"/>
    </row>
    <row r="24" spans="1:15" ht="15" x14ac:dyDescent="0.25">
      <c r="A24" s="314">
        <v>44865</v>
      </c>
      <c r="B24" s="303">
        <v>3647923.09</v>
      </c>
      <c r="C24" s="313">
        <v>3647923.09</v>
      </c>
      <c r="D24" s="303">
        <f>(($B$14*$C$6/12)+((B24-$B$14)*$B$6/12))+M24</f>
        <v>15199.679541666666</v>
      </c>
      <c r="E24" s="304">
        <f t="shared" si="6"/>
        <v>8510.9047216666659</v>
      </c>
      <c r="F24" s="303">
        <f t="shared" si="0"/>
        <v>-151700.36241666667</v>
      </c>
      <c r="G24" s="304">
        <f t="shared" si="1"/>
        <v>-72216.240821666666</v>
      </c>
      <c r="H24" s="303">
        <f t="shared" si="2"/>
        <v>3496222.7275833334</v>
      </c>
      <c r="I24" s="303">
        <f t="shared" si="2"/>
        <v>3575706.8491783333</v>
      </c>
      <c r="J24" s="303">
        <f t="shared" si="3"/>
        <v>79484.121594999917</v>
      </c>
      <c r="K24" s="303">
        <f t="shared" si="4"/>
        <v>-16691.665534949982</v>
      </c>
      <c r="L24" s="303">
        <f t="shared" si="5"/>
        <v>1404.6427121999859</v>
      </c>
      <c r="M24" s="361"/>
      <c r="N24" s="299"/>
      <c r="O24" s="299"/>
    </row>
    <row r="25" spans="1:15" ht="15" x14ac:dyDescent="0.25">
      <c r="A25" s="314">
        <v>44895</v>
      </c>
      <c r="B25" s="303">
        <v>3648775.69</v>
      </c>
      <c r="C25" s="313">
        <v>3648775.69</v>
      </c>
      <c r="D25" s="303">
        <f>(($B$14*$C$6/12)+((B25-$B$14)*$B$6/12))+M25</f>
        <v>15203.232041666668</v>
      </c>
      <c r="E25" s="304">
        <f t="shared" si="6"/>
        <v>8512.8152433333325</v>
      </c>
      <c r="F25" s="303">
        <f t="shared" si="0"/>
        <v>-166903.59445833333</v>
      </c>
      <c r="G25" s="304">
        <f t="shared" si="1"/>
        <v>-80729.056064999997</v>
      </c>
      <c r="H25" s="303">
        <f t="shared" si="2"/>
        <v>3481872.0955416667</v>
      </c>
      <c r="I25" s="303">
        <f t="shared" si="2"/>
        <v>3568046.6339349998</v>
      </c>
      <c r="J25" s="303">
        <f t="shared" si="3"/>
        <v>86174.538393333089</v>
      </c>
      <c r="K25" s="303">
        <f t="shared" si="4"/>
        <v>-18096.653062599948</v>
      </c>
      <c r="L25" s="303">
        <f t="shared" si="5"/>
        <v>1404.9875276499661</v>
      </c>
      <c r="M25" s="361"/>
      <c r="N25" s="315"/>
      <c r="O25" s="299"/>
    </row>
    <row r="26" spans="1:15" ht="15" x14ac:dyDescent="0.25">
      <c r="A26" s="314">
        <v>44926</v>
      </c>
      <c r="B26" s="303">
        <v>3650392.49</v>
      </c>
      <c r="C26" s="313">
        <v>3650392.49</v>
      </c>
      <c r="D26" s="303">
        <f>(($B$14*$C$6/12)+((B26-$B$14)*$B$6/12))+M26</f>
        <v>15209.968708333336</v>
      </c>
      <c r="E26" s="304">
        <f>+(C25*$E$10/12)+(((C26-C25)*$E$10/12)*0.5)</f>
        <v>8515.6962100000001</v>
      </c>
      <c r="F26" s="303">
        <f t="shared" si="0"/>
        <v>-182113.56316666666</v>
      </c>
      <c r="G26" s="304">
        <f t="shared" si="1"/>
        <v>-89244.752274999992</v>
      </c>
      <c r="H26" s="303">
        <f t="shared" si="2"/>
        <v>3468278.9268333334</v>
      </c>
      <c r="I26" s="303">
        <f t="shared" si="2"/>
        <v>3561147.7377250004</v>
      </c>
      <c r="J26" s="303">
        <f t="shared" si="3"/>
        <v>92868.810891666915</v>
      </c>
      <c r="K26" s="303">
        <f t="shared" si="4"/>
        <v>-19502.450287250052</v>
      </c>
      <c r="L26" s="303">
        <f t="shared" si="5"/>
        <v>1405.7972246501049</v>
      </c>
      <c r="M26" s="361"/>
      <c r="O26" s="299"/>
    </row>
    <row r="27" spans="1:15" ht="15" x14ac:dyDescent="0.25">
      <c r="A27" s="314">
        <v>44957</v>
      </c>
      <c r="B27" s="303">
        <v>3650146.04</v>
      </c>
      <c r="C27" s="313">
        <v>3650146.04</v>
      </c>
      <c r="D27" s="303">
        <f>(($B$14*$D$6/12)+(($B$26-$B$14)*$C$6/12)+((B27-$B$26)*$B$6/12))</f>
        <v>28897.913670833335</v>
      </c>
      <c r="E27" s="304">
        <f>+(C26*$E$10/12)+(((C27-C26)*$E$10/12)*0.5)</f>
        <v>8517.2949516666686</v>
      </c>
      <c r="F27" s="303">
        <f t="shared" si="0"/>
        <v>-211011.4768375</v>
      </c>
      <c r="G27" s="304">
        <f t="shared" si="1"/>
        <v>-97762.047226666662</v>
      </c>
      <c r="H27" s="303">
        <f t="shared" si="2"/>
        <v>3439134.5631625</v>
      </c>
      <c r="I27" s="303">
        <f t="shared" si="2"/>
        <v>3552383.9927733336</v>
      </c>
      <c r="J27" s="303">
        <f t="shared" si="3"/>
        <v>113249.42961083353</v>
      </c>
      <c r="K27" s="303">
        <f t="shared" si="4"/>
        <v>-23782.380218275041</v>
      </c>
      <c r="L27" s="303">
        <f t="shared" si="5"/>
        <v>4279.929931024988</v>
      </c>
      <c r="M27" s="361"/>
      <c r="O27" s="299"/>
    </row>
    <row r="28" spans="1:15" ht="15" x14ac:dyDescent="0.25">
      <c r="A28" s="314">
        <v>44985</v>
      </c>
      <c r="B28" s="303">
        <v>3650644.38</v>
      </c>
      <c r="C28" s="313">
        <v>3650644.38</v>
      </c>
      <c r="D28" s="303">
        <f>(($B$14*$D$6/12)+(($B$26-$B$14)*$C$6/12)+((B28-$B$26)*$B$6/12))</f>
        <v>28899.990087499998</v>
      </c>
      <c r="E28" s="304">
        <f>+(C27*$E$10/12)+(((C28-C27)*$E$10/12)*0.5)</f>
        <v>8517.5888233333335</v>
      </c>
      <c r="F28" s="303">
        <f t="shared" si="0"/>
        <v>-239911.46692499999</v>
      </c>
      <c r="G28" s="304">
        <f t="shared" si="1"/>
        <v>-106279.63605</v>
      </c>
      <c r="H28" s="303">
        <f t="shared" si="2"/>
        <v>3410732.913075</v>
      </c>
      <c r="I28" s="303">
        <f t="shared" si="2"/>
        <v>3544364.74395</v>
      </c>
      <c r="J28" s="303">
        <f t="shared" si="3"/>
        <v>133631.83087499999</v>
      </c>
      <c r="K28" s="303">
        <f t="shared" si="4"/>
        <v>-28062.684483749996</v>
      </c>
      <c r="L28" s="303">
        <f t="shared" si="5"/>
        <v>4280.3042654749552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3650827.45</v>
      </c>
      <c r="C29" s="313">
        <v>3650827.45</v>
      </c>
      <c r="D29" s="303">
        <f>(($B$14*$D$6/12)+(($B$26-$B$14)*$C$6/12)+(($B$38-$B$26)*$B$6/12))</f>
        <v>28900.752879166666</v>
      </c>
      <c r="E29" s="304">
        <f>+(C28*$E$10/12)+(((C29-C28)*$E$10/12)*0.5)</f>
        <v>8518.3838016666668</v>
      </c>
      <c r="F29" s="303">
        <f>-D29+F28</f>
        <v>-268812.21980416664</v>
      </c>
      <c r="G29" s="304">
        <f>+G28-E29</f>
        <v>-114798.01985166667</v>
      </c>
      <c r="H29" s="303">
        <f>B29+F29</f>
        <v>3382015.2301958334</v>
      </c>
      <c r="I29" s="303">
        <f>C29+G29</f>
        <v>3536029.4301483333</v>
      </c>
      <c r="J29" s="303">
        <f>I29-H29</f>
        <v>154014.19995249994</v>
      </c>
      <c r="K29" s="303">
        <f>-J29*$K$11</f>
        <v>-32342.981990024986</v>
      </c>
      <c r="L29" s="303">
        <f>-K29+K28</f>
        <v>4280.2975062749902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3650827.45</v>
      </c>
      <c r="C30" s="313">
        <f>C29</f>
        <v>3650827.45</v>
      </c>
      <c r="D30" s="303">
        <f>(($B$14*$D$6/12)+(($B$26-$B$14)*$C$6/12)+(($B$38-$B$26)*$B$6/12))</f>
        <v>28900.752879166666</v>
      </c>
      <c r="E30" s="304">
        <f>+(C29*$E$10/12)+(((C30-C29)*$E$10/12)*0.5)</f>
        <v>8518.5973833333337</v>
      </c>
      <c r="F30" s="303">
        <f>-D30+F29</f>
        <v>-297712.97268333333</v>
      </c>
      <c r="G30" s="304">
        <f>+G29-E30</f>
        <v>-123316.61723500001</v>
      </c>
      <c r="H30" s="303">
        <f>B30+F30</f>
        <v>3353114.4773166669</v>
      </c>
      <c r="I30" s="303">
        <f>C30+G30</f>
        <v>3527510.8327649999</v>
      </c>
      <c r="J30" s="303">
        <f>I30-H30</f>
        <v>174396.35544833308</v>
      </c>
      <c r="K30" s="303">
        <f>-J30*$K$11</f>
        <v>-36623.234644149947</v>
      </c>
      <c r="L30" s="303">
        <f>-K30+K29</f>
        <v>4280.2526541249608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3650827.45</v>
      </c>
      <c r="C31" s="313">
        <f>C30</f>
        <v>3650827.45</v>
      </c>
      <c r="D31" s="303">
        <f>(($B$14*$D$6/12)+(($B$26-$B$14)*$C$6/12)+(($B$38-$B$26)*$B$6/12))</f>
        <v>28900.752879166666</v>
      </c>
      <c r="E31" s="304">
        <f>+(C30*$E$10/12)+(((C31-C30)*$E$10/12)*0.5)</f>
        <v>8518.5973833333337</v>
      </c>
      <c r="F31" s="303">
        <f>-D31+F30</f>
        <v>-326613.72556250001</v>
      </c>
      <c r="G31" s="304">
        <f>+G30-E31</f>
        <v>-131835.21461833335</v>
      </c>
      <c r="H31" s="303">
        <f>B31+F31</f>
        <v>3324213.7244375004</v>
      </c>
      <c r="I31" s="303">
        <f>C31+G31</f>
        <v>3518992.235381667</v>
      </c>
      <c r="J31" s="303">
        <f>I31-H31</f>
        <v>194778.51094416669</v>
      </c>
      <c r="K31" s="303">
        <f>-J31*$K$11</f>
        <v>-40903.487298275002</v>
      </c>
      <c r="L31" s="303">
        <f>-K31+K30</f>
        <v>4280.2526541250554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3650827.45</v>
      </c>
      <c r="C32" s="313">
        <f>C31</f>
        <v>3650827.45</v>
      </c>
      <c r="D32" s="303">
        <f>(($B$14*$D$6/12)+(($B$26-$B$14)*$C$6/12)+(($B$38-$B$26)*$B$6/12))</f>
        <v>28900.752879166666</v>
      </c>
      <c r="E32" s="304">
        <f>+(C31*$E$10/12)+(((C32-C31)*$E$10/12)*0.5)</f>
        <v>8518.5973833333337</v>
      </c>
      <c r="F32" s="303">
        <f>-D32+F31</f>
        <v>-355514.4784416667</v>
      </c>
      <c r="G32" s="304">
        <f>+G31-E32</f>
        <v>-140353.81200166669</v>
      </c>
      <c r="H32" s="303">
        <f>B32+F32</f>
        <v>3295312.9715583334</v>
      </c>
      <c r="I32" s="303">
        <f>C32+G32</f>
        <v>3510473.6379983337</v>
      </c>
      <c r="J32" s="303">
        <f>I32-H32</f>
        <v>215160.66644000029</v>
      </c>
      <c r="K32" s="303">
        <f>-J32*$K$11</f>
        <v>-45183.739952400058</v>
      </c>
      <c r="L32" s="303">
        <f>-K32+K31</f>
        <v>4280.2526541250554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3650827.45</v>
      </c>
      <c r="C33" s="313">
        <f>C32</f>
        <v>3650827.45</v>
      </c>
      <c r="D33" s="303">
        <f>(($B$14*$D$6/12)+(($B$26-$B$14)*$C$6/12)+(($B$38-$B$26)*$B$6/12))</f>
        <v>28900.752879166666</v>
      </c>
      <c r="E33" s="304">
        <f>+(C32*$E$10/12)+(((C33-C32)*$E$10/12)*0.5)</f>
        <v>8518.5973833333337</v>
      </c>
      <c r="F33" s="303">
        <f>-D33+F32</f>
        <v>-384415.23132083338</v>
      </c>
      <c r="G33" s="304">
        <f>+G32-E33</f>
        <v>-148872.40938500004</v>
      </c>
      <c r="H33" s="303">
        <f>B33+F33</f>
        <v>3266412.2186791669</v>
      </c>
      <c r="I33" s="303">
        <f>C33+G33</f>
        <v>3501955.0406150003</v>
      </c>
      <c r="J33" s="303">
        <f>I33-H33</f>
        <v>235542.82193583343</v>
      </c>
      <c r="K33" s="303">
        <f>-J33*$K$11</f>
        <v>-49463.992606525018</v>
      </c>
      <c r="L33" s="303">
        <f>-K33+K32</f>
        <v>4280.2526541249608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3650827.45</v>
      </c>
      <c r="C34" s="313">
        <f>C33</f>
        <v>3650827.45</v>
      </c>
      <c r="D34" s="303">
        <f>(($B$14*$D$6/12)+(($B$26-$B$14)*$C$6/12)+(($B$38-$B$26)*$B$6/12))</f>
        <v>28900.752879166666</v>
      </c>
      <c r="E34" s="304">
        <f>+(C33*$E$10/12)+(((C34-C33)*$E$10/12)*0.5)</f>
        <v>8518.5973833333337</v>
      </c>
      <c r="F34" s="303">
        <f>-D34+F33</f>
        <v>-413315.98420000006</v>
      </c>
      <c r="G34" s="304">
        <f>+G33-E34</f>
        <v>-157391.00676833338</v>
      </c>
      <c r="H34" s="303">
        <f>B34+F34</f>
        <v>3237511.4658000004</v>
      </c>
      <c r="I34" s="303">
        <f>C34+G34</f>
        <v>3493436.4432316669</v>
      </c>
      <c r="J34" s="303">
        <f>I34-H34</f>
        <v>255924.97743166657</v>
      </c>
      <c r="K34" s="303">
        <f>-J34*$K$11</f>
        <v>-53744.245260649979</v>
      </c>
      <c r="L34" s="303">
        <f>-K34+K33</f>
        <v>4280.2526541249608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3650827.45</v>
      </c>
      <c r="C35" s="313">
        <f>C34</f>
        <v>3650827.45</v>
      </c>
      <c r="D35" s="303">
        <f>(($B$14*$D$6/12)+(($B$26-$B$14)*$C$6/12)+(($B$38-$B$26)*$B$6/12))</f>
        <v>28900.752879166666</v>
      </c>
      <c r="E35" s="304">
        <f>+(C34*$E$10/12)+(((C35-C34)*$E$10/12)*0.5)</f>
        <v>8518.5973833333337</v>
      </c>
      <c r="F35" s="303">
        <f>-D35+F34</f>
        <v>-442216.73707916675</v>
      </c>
      <c r="G35" s="304">
        <f>+G34-E35</f>
        <v>-165909.60415166672</v>
      </c>
      <c r="H35" s="303">
        <f>B35+F35</f>
        <v>3208610.7129208334</v>
      </c>
      <c r="I35" s="303">
        <f>C35+G35</f>
        <v>3484917.8458483336</v>
      </c>
      <c r="J35" s="303">
        <f>I35-H35</f>
        <v>276307.13292750018</v>
      </c>
      <c r="K35" s="303">
        <f>-J35*$K$11</f>
        <v>-58024.497914775035</v>
      </c>
      <c r="L35" s="303">
        <f>-K35+K34</f>
        <v>4280.2526541250554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3650827.45</v>
      </c>
      <c r="C36" s="313">
        <f>C35</f>
        <v>3650827.45</v>
      </c>
      <c r="D36" s="303">
        <f>(($B$14*$D$6/12)+(($B$26-$B$14)*$C$6/12)+(($B$38-$B$26)*$B$6/12))</f>
        <v>28900.752879166666</v>
      </c>
      <c r="E36" s="304">
        <f>+(C35*$E$10/12)+(((C36-C35)*$E$10/12)*0.5)</f>
        <v>8518.5973833333337</v>
      </c>
      <c r="F36" s="303">
        <f>-D36+F35</f>
        <v>-471117.48995833343</v>
      </c>
      <c r="G36" s="304">
        <f>+G35-E36</f>
        <v>-174428.20153500006</v>
      </c>
      <c r="H36" s="303">
        <f>B36+F36</f>
        <v>3179709.9600416669</v>
      </c>
      <c r="I36" s="303">
        <f>C36+G36</f>
        <v>3476399.2484650002</v>
      </c>
      <c r="J36" s="303">
        <f>I36-H36</f>
        <v>296689.28842333332</v>
      </c>
      <c r="K36" s="303">
        <f>-J36*$K$11</f>
        <v>-62304.750568899995</v>
      </c>
      <c r="L36" s="303">
        <f>-K36+K35</f>
        <v>4280.2526541249608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3650827.45</v>
      </c>
      <c r="C37" s="313">
        <f>C36</f>
        <v>3650827.45</v>
      </c>
      <c r="D37" s="303">
        <f>(($B$14*$D$6/12)+(($B$26-$B$14)*$C$6/12)+(($B$38-$B$26)*$B$6/12))</f>
        <v>28900.752879166666</v>
      </c>
      <c r="E37" s="304">
        <f>+(C36*$E$10/12)+(((C37-C36)*$E$10/12)*0.5)</f>
        <v>8518.5973833333337</v>
      </c>
      <c r="F37" s="303">
        <f>-D37+F36</f>
        <v>-500018.24283750012</v>
      </c>
      <c r="G37" s="304">
        <f>+G36-E37</f>
        <v>-182946.7989183334</v>
      </c>
      <c r="H37" s="303">
        <f>B37+F37</f>
        <v>3150809.2071624999</v>
      </c>
      <c r="I37" s="303">
        <f>C37+G37</f>
        <v>3467880.6510816668</v>
      </c>
      <c r="J37" s="303">
        <f>I37-H37</f>
        <v>317071.44391916692</v>
      </c>
      <c r="K37" s="303">
        <f>-J37*$K$11</f>
        <v>-66585.003223025051</v>
      </c>
      <c r="L37" s="303">
        <f>-K37+K36</f>
        <v>4280.2526541250554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3650827.45</v>
      </c>
      <c r="C38" s="313">
        <f>C37</f>
        <v>3650827.45</v>
      </c>
      <c r="D38" s="303">
        <f>(($B$14*$D$6/12)+(($B$26-$B$14)*$C$6/12)+(($B$38-$B$26)*$B$6/12))</f>
        <v>28900.752879166666</v>
      </c>
      <c r="E38" s="304">
        <f>+(C37*$E$10/12)+(((C38-C37)*$E$10/12)*0.5)</f>
        <v>8518.5973833333337</v>
      </c>
      <c r="F38" s="303">
        <f>-D38+F37</f>
        <v>-528918.9957166668</v>
      </c>
      <c r="G38" s="304">
        <f>+G37-E38</f>
        <v>-191465.39630166674</v>
      </c>
      <c r="H38" s="303">
        <f>B38+F38</f>
        <v>3121908.4542833334</v>
      </c>
      <c r="I38" s="303">
        <f>C38+G38</f>
        <v>3459362.0536983334</v>
      </c>
      <c r="J38" s="303">
        <f>I38-H38</f>
        <v>337453.59941500006</v>
      </c>
      <c r="K38" s="303">
        <f>-J38*$K$11</f>
        <v>-70865.255877150004</v>
      </c>
      <c r="L38" s="303">
        <f>-K38+K37</f>
        <v>4280.2526541249536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3650827.45</v>
      </c>
      <c r="C39" s="313">
        <f>C38</f>
        <v>3650827.45</v>
      </c>
      <c r="D39" s="303">
        <f>(($B$14*$E$6/12)+(($B$26-$B$14)*$D$6/12)+(($B$38-$B$26)*$C$6/12)+(($B$50-$B$38)*$B$6/12))</f>
        <v>26012.489924583337</v>
      </c>
      <c r="E39" s="304">
        <f>+(C38*$E$10/12)+(((C39-C38)*$E$10/12)*0.5)</f>
        <v>8518.5973833333337</v>
      </c>
      <c r="F39" s="303">
        <f>-D39+F38</f>
        <v>-554931.48564125015</v>
      </c>
      <c r="G39" s="304">
        <f>+G38-E39</f>
        <v>-199983.99368500008</v>
      </c>
      <c r="H39" s="303">
        <f>B39+F39</f>
        <v>3095895.9643587498</v>
      </c>
      <c r="I39" s="303">
        <f>C39+G39</f>
        <v>3450843.4563150001</v>
      </c>
      <c r="J39" s="303">
        <f>I39-H39</f>
        <v>354947.49195625028</v>
      </c>
      <c r="K39" s="303">
        <f>-J39*$K$11</f>
        <v>-74538.973310812551</v>
      </c>
      <c r="L39" s="303">
        <f>-K39+K38</f>
        <v>3673.7174336625467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3650827.45</v>
      </c>
      <c r="C40" s="313">
        <f>C39</f>
        <v>3650827.45</v>
      </c>
      <c r="D40" s="303">
        <f>(($B$14*$E$6/12)+(($B$26-$B$14)*$D$6/12)+(($B$38-$B$26)*$C$6/12)+(($B$50-$B$38)*$B$6/12))</f>
        <v>26012.489924583337</v>
      </c>
      <c r="E40" s="304">
        <f>+(C39*$E$10/12)+(((C40-C39)*$E$10/12)*0.5)</f>
        <v>8518.5973833333337</v>
      </c>
      <c r="F40" s="303">
        <f>-D40+F39</f>
        <v>-580943.97556583351</v>
      </c>
      <c r="G40" s="304">
        <f>+G39-E40</f>
        <v>-208502.59106833342</v>
      </c>
      <c r="H40" s="303">
        <f>B40+F40</f>
        <v>3069883.4744341667</v>
      </c>
      <c r="I40" s="303">
        <f>C40+G40</f>
        <v>3442324.8589316667</v>
      </c>
      <c r="J40" s="303">
        <f>I40-H40</f>
        <v>372441.38449750002</v>
      </c>
      <c r="K40" s="303">
        <f>-J40*$K$11</f>
        <v>-78212.690744474996</v>
      </c>
      <c r="L40" s="303">
        <f>-K40+K39</f>
        <v>3673.7174336624448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3650827.45</v>
      </c>
      <c r="C41" s="313">
        <f>C40</f>
        <v>3650827.45</v>
      </c>
      <c r="D41" s="303">
        <f>(($B$14*$E$6/12)+(($B$26-$B$14)*$D$6/12)+(($B$38-$B$26)*$C$6/12)+(($B$50-$B$38)*$B$6/12))</f>
        <v>26012.489924583337</v>
      </c>
      <c r="E41" s="304">
        <f>+(C40*$E$10/12)+(((C41-C40)*$E$10/12)*0.5)</f>
        <v>8518.5973833333337</v>
      </c>
      <c r="F41" s="303">
        <f>-D41+F40</f>
        <v>-606956.46549041686</v>
      </c>
      <c r="G41" s="304">
        <f>+G40-E41</f>
        <v>-217021.18845166676</v>
      </c>
      <c r="H41" s="303">
        <f>B41+F41</f>
        <v>3043870.9845095836</v>
      </c>
      <c r="I41" s="303">
        <f>C41+G41</f>
        <v>3433806.2615483333</v>
      </c>
      <c r="J41" s="303">
        <f>I41-H41</f>
        <v>389935.27703874977</v>
      </c>
      <c r="K41" s="303">
        <f>-J41*$K$11</f>
        <v>-81886.408178137455</v>
      </c>
      <c r="L41" s="303">
        <f>-K41+K40</f>
        <v>3673.7174336624594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3650827.45</v>
      </c>
      <c r="C42" s="313">
        <f>C41</f>
        <v>3650827.45</v>
      </c>
      <c r="D42" s="303">
        <f>(($B$14*$E$6/12)+(($B$26-$B$14)*$D$6/12)+(($B$38-$B$26)*$C$6/12)+(($B$50-$B$38)*$B$6/12))</f>
        <v>26012.489924583337</v>
      </c>
      <c r="E42" s="304">
        <f>+(C41*$E$10/12)+(((C42-C41)*$E$10/12)*0.5)</f>
        <v>8518.5973833333337</v>
      </c>
      <c r="F42" s="303">
        <f>-D42+F41</f>
        <v>-632968.95541500021</v>
      </c>
      <c r="G42" s="304">
        <f>+G41-E42</f>
        <v>-225539.7858350001</v>
      </c>
      <c r="H42" s="303">
        <f>B42+F42</f>
        <v>3017858.494585</v>
      </c>
      <c r="I42" s="303">
        <f>C42+G42</f>
        <v>3425287.664165</v>
      </c>
      <c r="J42" s="303">
        <f>I42-H42</f>
        <v>407429.16957999999</v>
      </c>
      <c r="K42" s="303">
        <f>-J42*$K$11</f>
        <v>-85560.125611799987</v>
      </c>
      <c r="L42" s="303">
        <f>-K42+K41</f>
        <v>3673.7174336625321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3650827.45</v>
      </c>
      <c r="C43" s="313">
        <f>C42</f>
        <v>3650827.45</v>
      </c>
      <c r="D43" s="303">
        <f>(($B$14*$E$6/12)+(($B$26-$B$14)*$D$6/12)+(($B$38-$B$26)*$C$6/12)+(($B$50-$B$38)*$B$6/12))</f>
        <v>26012.489924583337</v>
      </c>
      <c r="E43" s="304">
        <f>+(C42*$E$10/12)+(((C43-C42)*$E$10/12)*0.5)</f>
        <v>8518.5973833333337</v>
      </c>
      <c r="F43" s="303">
        <f>-D43+F42</f>
        <v>-658981.44533958356</v>
      </c>
      <c r="G43" s="304">
        <f>+G42-E43</f>
        <v>-234058.38321833345</v>
      </c>
      <c r="H43" s="303">
        <f>B43+F43</f>
        <v>2991846.0046604164</v>
      </c>
      <c r="I43" s="303">
        <f>C43+G43</f>
        <v>3416769.0667816666</v>
      </c>
      <c r="J43" s="303">
        <f>I43-H43</f>
        <v>424923.0621212502</v>
      </c>
      <c r="K43" s="303">
        <f>-J43*$K$11</f>
        <v>-89233.843045462534</v>
      </c>
      <c r="L43" s="303">
        <f>-K43+K42</f>
        <v>3673.7174336625467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3650827.45</v>
      </c>
      <c r="C44" s="313">
        <f>C43</f>
        <v>3650827.45</v>
      </c>
      <c r="D44" s="303">
        <f>(($B$14*$E$6/12)+(($B$26-$B$14)*$D$6/12)+(($B$38-$B$26)*$C$6/12)+(($B$50-$B$38)*$B$6/12))</f>
        <v>26012.489924583337</v>
      </c>
      <c r="E44" s="304">
        <f>+(C43*$E$10/12)+(((C44-C43)*$E$10/12)*0.5)</f>
        <v>8518.5973833333337</v>
      </c>
      <c r="F44" s="303">
        <f>-D44+F43</f>
        <v>-684993.93526416691</v>
      </c>
      <c r="G44" s="304">
        <f>+G43-E44</f>
        <v>-242576.98060166679</v>
      </c>
      <c r="H44" s="303">
        <f>B44+F44</f>
        <v>2965833.5147358333</v>
      </c>
      <c r="I44" s="303">
        <f>C44+G44</f>
        <v>3408250.4693983332</v>
      </c>
      <c r="J44" s="303">
        <f>I44-H44</f>
        <v>442416.95466249995</v>
      </c>
      <c r="K44" s="303">
        <f>-J44*$K$11</f>
        <v>-92907.560479124979</v>
      </c>
      <c r="L44" s="303">
        <f>-K44+K43</f>
        <v>3673.7174336624448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3650827.45</v>
      </c>
      <c r="C45" s="313">
        <f>C44</f>
        <v>3650827.45</v>
      </c>
      <c r="D45" s="303">
        <f>(($B$14*$E$6/12)+(($B$26-$B$14)*$D$6/12)+(($B$38-$B$26)*$C$6/12)+(($B$50-$B$38)*$B$6/12))</f>
        <v>26012.489924583337</v>
      </c>
      <c r="E45" s="304">
        <f>+(C44*$E$10/12)+(((C45-C44)*$E$10/12)*0.5)</f>
        <v>8518.5973833333337</v>
      </c>
      <c r="F45" s="303">
        <f>-D45+F44</f>
        <v>-711006.42518875026</v>
      </c>
      <c r="G45" s="304">
        <f>+G44-E45</f>
        <v>-251095.57798500013</v>
      </c>
      <c r="H45" s="303">
        <f>B45+F45</f>
        <v>2939821.0248112502</v>
      </c>
      <c r="I45" s="303">
        <f>C45+G45</f>
        <v>3399731.8720149999</v>
      </c>
      <c r="J45" s="303">
        <f>I45-H45</f>
        <v>459910.8472037497</v>
      </c>
      <c r="K45" s="303">
        <f>-J45*$K$11</f>
        <v>-96581.277912787438</v>
      </c>
      <c r="L45" s="303">
        <f>-K45+K44</f>
        <v>3673.7174336624594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3650827.45</v>
      </c>
      <c r="C46" s="313">
        <f>C45</f>
        <v>3650827.45</v>
      </c>
      <c r="D46" s="303">
        <f>(($B$14*$E$6/12)+(($B$26-$B$14)*$D$6/12)+(($B$38-$B$26)*$C$6/12)+(($B$50-$B$38)*$B$6/12))</f>
        <v>26012.489924583337</v>
      </c>
      <c r="E46" s="304">
        <f>+(C45*$E$10/12)+(((C46-C45)*$E$10/12)*0.5)</f>
        <v>8518.5973833333337</v>
      </c>
      <c r="F46" s="303">
        <f>-D46+F45</f>
        <v>-737018.91511333361</v>
      </c>
      <c r="G46" s="304">
        <f>+G45-E46</f>
        <v>-259614.17536833347</v>
      </c>
      <c r="H46" s="303">
        <f>B46+F46</f>
        <v>2913808.5348866666</v>
      </c>
      <c r="I46" s="303">
        <f>C46+G46</f>
        <v>3391213.274631667</v>
      </c>
      <c r="J46" s="303">
        <f>I46-H46</f>
        <v>477404.73974500038</v>
      </c>
      <c r="K46" s="303">
        <f>-J46*$K$11</f>
        <v>-100254.99534645007</v>
      </c>
      <c r="L46" s="303">
        <f>-K46+K45</f>
        <v>3673.717433662634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3650827.45</v>
      </c>
      <c r="C47" s="313">
        <f>C46</f>
        <v>3650827.45</v>
      </c>
      <c r="D47" s="303">
        <f>(($B$14*$E$6/12)+(($B$26-$B$14)*$D$6/12)+(($B$38-$B$26)*$C$6/12)+(($B$50-$B$38)*$B$6/12))</f>
        <v>26012.489924583337</v>
      </c>
      <c r="E47" s="304">
        <f>+(C46*$E$10/12)+(((C47-C46)*$E$10/12)*0.5)</f>
        <v>8518.5973833333337</v>
      </c>
      <c r="F47" s="303">
        <f>-D47+F46</f>
        <v>-763031.40503791696</v>
      </c>
      <c r="G47" s="304">
        <f>+G46-E47</f>
        <v>-268132.77275166678</v>
      </c>
      <c r="H47" s="303">
        <f>B47+F47</f>
        <v>2887796.044962083</v>
      </c>
      <c r="I47" s="303">
        <f>C47+G47</f>
        <v>3382694.6772483336</v>
      </c>
      <c r="J47" s="303">
        <f>I47-H47</f>
        <v>494898.63228625059</v>
      </c>
      <c r="K47" s="303">
        <f>-J47*$K$11</f>
        <v>-103928.71278011262</v>
      </c>
      <c r="L47" s="303">
        <f>-K47+K46</f>
        <v>3673.7174336625467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3650827.45</v>
      </c>
      <c r="C48" s="313">
        <f>C47</f>
        <v>3650827.45</v>
      </c>
      <c r="D48" s="303">
        <f>(($B$14*$E$6/12)+(($B$26-$B$14)*$D$6/12)+(($B$38-$B$26)*$C$6/12)+(($B$50-$B$38)*$B$6/12))</f>
        <v>26012.489924583337</v>
      </c>
      <c r="E48" s="304">
        <f>+(C47*$E$10/12)+(((C48-C47)*$E$10/12)*0.5)</f>
        <v>8518.5973833333337</v>
      </c>
      <c r="F48" s="303">
        <f>-D48+F47</f>
        <v>-789043.89496250032</v>
      </c>
      <c r="G48" s="304">
        <f>+G47-E48</f>
        <v>-276651.37013500009</v>
      </c>
      <c r="H48" s="303">
        <f>B48+F48</f>
        <v>2861783.5550374999</v>
      </c>
      <c r="I48" s="303">
        <f>C48+G48</f>
        <v>3374176.0798650002</v>
      </c>
      <c r="J48" s="303">
        <f>I48-H48</f>
        <v>512392.52482750034</v>
      </c>
      <c r="K48" s="303">
        <f>-J48*$K$11</f>
        <v>-107602.43021377506</v>
      </c>
      <c r="L48" s="303">
        <f>-K48+K47</f>
        <v>3673.7174336624448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3650827.45</v>
      </c>
      <c r="C49" s="313">
        <f>C48</f>
        <v>3650827.45</v>
      </c>
      <c r="D49" s="303">
        <f>(($B$14*$E$6/12)+(($B$26-$B$14)*$D$6/12)+(($B$38-$B$26)*$C$6/12)+(($B$50-$B$38)*$B$6/12))</f>
        <v>26012.489924583337</v>
      </c>
      <c r="E49" s="304">
        <f>+(C48*$E$10/12)+(((C49-C48)*$E$10/12)*0.5)</f>
        <v>8518.5973833333337</v>
      </c>
      <c r="F49" s="303">
        <f>-D49+F48</f>
        <v>-815056.38488708367</v>
      </c>
      <c r="G49" s="304">
        <f>+G48-E49</f>
        <v>-285169.9675183334</v>
      </c>
      <c r="H49" s="303">
        <f>B49+F49</f>
        <v>2835771.0651129168</v>
      </c>
      <c r="I49" s="303">
        <f>C49+G49</f>
        <v>3365657.4824816668</v>
      </c>
      <c r="J49" s="303">
        <f>I49-H49</f>
        <v>529886.41736875009</v>
      </c>
      <c r="K49" s="303">
        <f>-J49*$K$11</f>
        <v>-111276.14764743751</v>
      </c>
      <c r="L49" s="303">
        <f>-K49+K48</f>
        <v>3673.7174336624448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3650827.45</v>
      </c>
      <c r="C50" s="313">
        <f>C49</f>
        <v>3650827.45</v>
      </c>
      <c r="D50" s="303">
        <f>(($B$14*$E$6/12)+(($B$26-$B$14)*$D$6/12)+(($B$38-$B$26)*$C$6/12)+(($B$50-$B$38)*$B$6/12))</f>
        <v>26012.489924583337</v>
      </c>
      <c r="E50" s="304">
        <f>+(C49*$E$10/12)+(((C50-C49)*$E$10/12)*0.5)</f>
        <v>8518.5973833333337</v>
      </c>
      <c r="F50" s="303">
        <f>-D50+F49</f>
        <v>-841068.87481166702</v>
      </c>
      <c r="G50" s="304">
        <f>+G49-E50</f>
        <v>-293688.56490166672</v>
      </c>
      <c r="H50" s="303">
        <f>B50+F50</f>
        <v>2809758.5751883332</v>
      </c>
      <c r="I50" s="303">
        <f>C50+G50</f>
        <v>3357138.8850983335</v>
      </c>
      <c r="J50" s="303">
        <f>I50-H50</f>
        <v>547380.3099100003</v>
      </c>
      <c r="K50" s="303">
        <f>-J50*$K$11</f>
        <v>-114949.86508110006</v>
      </c>
      <c r="L50" s="303">
        <f>-K50+K49</f>
        <v>3673.7174336625467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3650827.45</v>
      </c>
      <c r="C51" s="313">
        <f>C50</f>
        <v>3650827.45</v>
      </c>
      <c r="D51" s="303">
        <f>(($B$14*$F$6/12)+(($B$26-$B$14)*$E$6/12)+(($B$38-$B$26)*$D$6/12)+(($B$50-$B$38)*$C$6/12)+(($B$62-$B$50)*$B$6/12))</f>
        <v>23426.450900833333</v>
      </c>
      <c r="E51" s="304">
        <f>+(C50*$E$10/12)+(((C51-C50)*$E$10/12)*0.5)</f>
        <v>8518.5973833333337</v>
      </c>
      <c r="F51" s="303">
        <f>-D51+F50</f>
        <v>-864495.32571250037</v>
      </c>
      <c r="G51" s="304">
        <f>+G50-E51</f>
        <v>-302207.16228500003</v>
      </c>
      <c r="H51" s="303">
        <f>B51+F51</f>
        <v>2786332.1242875</v>
      </c>
      <c r="I51" s="303">
        <f>C51+G51</f>
        <v>3348620.2877150001</v>
      </c>
      <c r="J51" s="303">
        <f>I51-H51</f>
        <v>562288.16342750005</v>
      </c>
      <c r="K51" s="303">
        <f>-J51*$K$11</f>
        <v>-118080.514319775</v>
      </c>
      <c r="L51" s="303">
        <f>-K51+K50</f>
        <v>3130.6492386749451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3650827.45</v>
      </c>
      <c r="C52" s="313">
        <f>C51</f>
        <v>3650827.45</v>
      </c>
      <c r="D52" s="303">
        <f>(($B$14*$F$6/12)+(($B$26-$B$14)*$E$6/12)+(($B$38-$B$26)*$D$6/12)+(($B$50-$B$38)*$C$6/12)+(($B$62-$B$50)*$B$6/12))</f>
        <v>23426.450900833333</v>
      </c>
      <c r="E52" s="304">
        <f>+(C51*$E$10/12)+(((C52-C51)*$E$10/12)*0.5)</f>
        <v>8518.5973833333337</v>
      </c>
      <c r="F52" s="303">
        <f>-D52+F51</f>
        <v>-887921.77661333373</v>
      </c>
      <c r="G52" s="304">
        <f>+G51-E52</f>
        <v>-310725.75966833334</v>
      </c>
      <c r="H52" s="303">
        <f>B52+F52</f>
        <v>2762905.6733866665</v>
      </c>
      <c r="I52" s="303">
        <f>C52+G52</f>
        <v>3340101.6903316667</v>
      </c>
      <c r="J52" s="303">
        <f>I52-H52</f>
        <v>577196.01694500027</v>
      </c>
      <c r="K52" s="303">
        <f>-J52*$K$11</f>
        <v>-121211.16355845005</v>
      </c>
      <c r="L52" s="303">
        <f>-K52+K51</f>
        <v>3130.6492386750469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3650827.45</v>
      </c>
      <c r="C53" s="313">
        <f>C52</f>
        <v>3650827.45</v>
      </c>
      <c r="D53" s="303">
        <f>(($B$14*$F$6/12)+(($B$26-$B$14)*$E$6/12)+(($B$38-$B$26)*$D$6/12)+(($B$50-$B$38)*$C$6/12)+(($B$62-$B$50)*$B$6/12))</f>
        <v>23426.450900833333</v>
      </c>
      <c r="E53" s="304">
        <f>+(C52*$E$10/12)+(((C53-C52)*$E$10/12)*0.5)</f>
        <v>8518.5973833333337</v>
      </c>
      <c r="F53" s="303">
        <f>-D53+F52</f>
        <v>-911348.22751416708</v>
      </c>
      <c r="G53" s="304">
        <f>+G52-E53</f>
        <v>-319244.35705166665</v>
      </c>
      <c r="H53" s="303">
        <f>B53+F53</f>
        <v>2739479.2224858329</v>
      </c>
      <c r="I53" s="303">
        <f>C53+G53</f>
        <v>3331583.0929483334</v>
      </c>
      <c r="J53" s="303">
        <f>I53-H53</f>
        <v>592103.87046250049</v>
      </c>
      <c r="K53" s="303">
        <f>-J53*$K$11</f>
        <v>-124341.81279712509</v>
      </c>
      <c r="L53" s="303">
        <f>-K53+K52</f>
        <v>3130.6492386750469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3650827.45</v>
      </c>
      <c r="C54" s="313">
        <f>C53</f>
        <v>3650827.45</v>
      </c>
      <c r="D54" s="303">
        <f>(($B$14*$F$6/12)+(($B$26-$B$14)*$E$6/12)+(($B$38-$B$26)*$D$6/12)+(($B$50-$B$38)*$C$6/12)+(($B$62-$B$50)*$B$6/12))</f>
        <v>23426.450900833333</v>
      </c>
      <c r="E54" s="304">
        <f>+(C53*$E$10/12)+(((C54-C53)*$E$10/12)*0.5)</f>
        <v>8518.5973833333337</v>
      </c>
      <c r="F54" s="303">
        <f>-D54+F53</f>
        <v>-934774.67841500044</v>
      </c>
      <c r="G54" s="304">
        <f>+G53-E54</f>
        <v>-327762.95443499996</v>
      </c>
      <c r="H54" s="303">
        <f>B54+F54</f>
        <v>2716052.7715849997</v>
      </c>
      <c r="I54" s="303">
        <f>C54+G54</f>
        <v>3323064.495565</v>
      </c>
      <c r="J54" s="303">
        <f>I54-H54</f>
        <v>607011.72398000024</v>
      </c>
      <c r="K54" s="303">
        <f>-J54*$K$11</f>
        <v>-127472.46203580004</v>
      </c>
      <c r="L54" s="303">
        <f>-K54+K53</f>
        <v>3130.6492386749451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3650827.45</v>
      </c>
      <c r="C55" s="313">
        <f>C54</f>
        <v>3650827.45</v>
      </c>
      <c r="D55" s="303">
        <f>(($B$14*$F$6/12)+(($B$26-$B$14)*$E$6/12)+(($B$38-$B$26)*$D$6/12)+(($B$50-$B$38)*$C$6/12)+(($B$62-$B$50)*$B$6/12))</f>
        <v>23426.450900833333</v>
      </c>
      <c r="E55" s="304">
        <f>+(C54*$E$10/12)+(((C55-C54)*$E$10/12)*0.5)</f>
        <v>8518.5973833333337</v>
      </c>
      <c r="F55" s="303">
        <f>-D55+F54</f>
        <v>-958201.12931583379</v>
      </c>
      <c r="G55" s="304">
        <f>+G54-E55</f>
        <v>-336281.55181833328</v>
      </c>
      <c r="H55" s="303">
        <f>B55+F55</f>
        <v>2692626.3206841666</v>
      </c>
      <c r="I55" s="303">
        <f>C55+G55</f>
        <v>3314545.8981816671</v>
      </c>
      <c r="J55" s="303">
        <f>I55-H55</f>
        <v>621919.57749750046</v>
      </c>
      <c r="K55" s="303">
        <f>-J55*$K$11</f>
        <v>-130603.11127447509</v>
      </c>
      <c r="L55" s="303">
        <f>-K55+K54</f>
        <v>3130.6492386750469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3650827.45</v>
      </c>
      <c r="C56" s="313">
        <f>C55</f>
        <v>3650827.45</v>
      </c>
      <c r="D56" s="303">
        <f>(($B$14*$F$6/12)+(($B$26-$B$14)*$E$6/12)+(($B$38-$B$26)*$D$6/12)+(($B$50-$B$38)*$C$6/12)+(($B$62-$B$50)*$B$6/12))</f>
        <v>23426.450900833333</v>
      </c>
      <c r="E56" s="304">
        <f>+(C55*$E$10/12)+(((C56-C55)*$E$10/12)*0.5)</f>
        <v>8518.5973833333337</v>
      </c>
      <c r="F56" s="303">
        <f>-D56+F55</f>
        <v>-981627.58021666715</v>
      </c>
      <c r="G56" s="304">
        <f>+G55-E56</f>
        <v>-344800.14920166659</v>
      </c>
      <c r="H56" s="303">
        <f>B56+F56</f>
        <v>2669199.869783333</v>
      </c>
      <c r="I56" s="303">
        <f>C56+G56</f>
        <v>3306027.3007983337</v>
      </c>
      <c r="J56" s="303">
        <f>I56-H56</f>
        <v>636827.43101500068</v>
      </c>
      <c r="K56" s="303">
        <f>-J56*$K$11</f>
        <v>-133733.76051315013</v>
      </c>
      <c r="L56" s="303">
        <f>-K56+K55</f>
        <v>3130.6492386750469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3650827.45</v>
      </c>
      <c r="C57" s="313">
        <f>C56</f>
        <v>3650827.45</v>
      </c>
      <c r="D57" s="303">
        <f>(($B$14*$F$6/12)+(($B$26-$B$14)*$E$6/12)+(($B$38-$B$26)*$D$6/12)+(($B$50-$B$38)*$C$6/12)+(($B$62-$B$50)*$B$6/12))</f>
        <v>23426.450900833333</v>
      </c>
      <c r="E57" s="304">
        <f>+(C56*$E$10/12)+(((C57-C56)*$E$10/12)*0.5)</f>
        <v>8518.5973833333337</v>
      </c>
      <c r="F57" s="303">
        <f>-D57+F56</f>
        <v>-1005054.0311175005</v>
      </c>
      <c r="G57" s="304">
        <f>+G56-E57</f>
        <v>-353318.7465849999</v>
      </c>
      <c r="H57" s="303">
        <f>B57+F57</f>
        <v>2645773.4188824994</v>
      </c>
      <c r="I57" s="303">
        <f>C57+G57</f>
        <v>3297508.7034150003</v>
      </c>
      <c r="J57" s="303">
        <f>I57-H57</f>
        <v>651735.2845325009</v>
      </c>
      <c r="K57" s="303">
        <f>-J57*$K$11</f>
        <v>-136864.40975182518</v>
      </c>
      <c r="L57" s="303">
        <f>-K57+K56</f>
        <v>3130.6492386750469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3650827.45</v>
      </c>
      <c r="C58" s="313">
        <f>C57</f>
        <v>3650827.45</v>
      </c>
      <c r="D58" s="303">
        <f>(($B$14*$F$6/12)+(($B$26-$B$14)*$E$6/12)+(($B$38-$B$26)*$D$6/12)+(($B$50-$B$38)*$C$6/12)+(($B$62-$B$50)*$B$6/12))</f>
        <v>23426.450900833333</v>
      </c>
      <c r="E58" s="304">
        <f>+(C57*$E$10/12)+(((C58-C57)*$E$10/12)*0.5)</f>
        <v>8518.5973833333337</v>
      </c>
      <c r="F58" s="303">
        <f>-D58+F57</f>
        <v>-1028480.4820183339</v>
      </c>
      <c r="G58" s="304">
        <f>+G57-E58</f>
        <v>-361837.34396833321</v>
      </c>
      <c r="H58" s="303">
        <f>B58+F58</f>
        <v>2622346.9679816663</v>
      </c>
      <c r="I58" s="303">
        <f>C58+G58</f>
        <v>3288990.106031667</v>
      </c>
      <c r="J58" s="303">
        <f>I58-H58</f>
        <v>666643.13805000065</v>
      </c>
      <c r="K58" s="303">
        <f>-J58*$K$11</f>
        <v>-139995.05899050014</v>
      </c>
      <c r="L58" s="303">
        <f>-K58+K57</f>
        <v>3130.6492386749596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3650827.45</v>
      </c>
      <c r="C59" s="313">
        <f>C58</f>
        <v>3650827.45</v>
      </c>
      <c r="D59" s="303">
        <f>(($B$14*$F$6/12)+(($B$26-$B$14)*$E$6/12)+(($B$38-$B$26)*$D$6/12)+(($B$50-$B$38)*$C$6/12)+(($B$62-$B$50)*$B$6/12))</f>
        <v>23426.450900833333</v>
      </c>
      <c r="E59" s="304">
        <f>+(C58*$E$10/12)+(((C59-C58)*$E$10/12)*0.5)</f>
        <v>8518.5973833333337</v>
      </c>
      <c r="F59" s="303">
        <f>-D59+F58</f>
        <v>-1051906.9329191672</v>
      </c>
      <c r="G59" s="304">
        <f>+G58-E59</f>
        <v>-370355.94135166652</v>
      </c>
      <c r="H59" s="303">
        <f>B59+F59</f>
        <v>2598920.5170808332</v>
      </c>
      <c r="I59" s="303">
        <f>C59+G59</f>
        <v>3280471.5086483336</v>
      </c>
      <c r="J59" s="303">
        <f>I59-H59</f>
        <v>681550.9915675004</v>
      </c>
      <c r="K59" s="303">
        <f>-J59*$K$11</f>
        <v>-143125.70822917507</v>
      </c>
      <c r="L59" s="303">
        <f>-K59+K58</f>
        <v>3130.6492386749305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3650827.45</v>
      </c>
      <c r="C60" s="313">
        <f>C59</f>
        <v>3650827.45</v>
      </c>
      <c r="D60" s="303">
        <f>(($B$14*$F$6/12)+(($B$26-$B$14)*$E$6/12)+(($B$38-$B$26)*$D$6/12)+(($B$50-$B$38)*$C$6/12)+(($B$62-$B$50)*$B$6/12))</f>
        <v>23426.450900833333</v>
      </c>
      <c r="E60" s="304">
        <f>+(C59*$E$10/12)+(((C60-C59)*$E$10/12)*0.5)</f>
        <v>8518.5973833333337</v>
      </c>
      <c r="F60" s="303">
        <f>-D60+F59</f>
        <v>-1075333.3838200006</v>
      </c>
      <c r="G60" s="304">
        <f>+G59-E60</f>
        <v>-378874.53873499983</v>
      </c>
      <c r="H60" s="303">
        <f>B60+F60</f>
        <v>2575494.0661799996</v>
      </c>
      <c r="I60" s="303">
        <f>C60+G60</f>
        <v>3271952.9112650002</v>
      </c>
      <c r="J60" s="303">
        <f>I60-H60</f>
        <v>696458.84508500062</v>
      </c>
      <c r="K60" s="303">
        <f>-J60*$K$11</f>
        <v>-146256.35746785012</v>
      </c>
      <c r="L60" s="303">
        <f>-K60+K59</f>
        <v>3130.6492386750469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3650827.45</v>
      </c>
      <c r="C61" s="313">
        <f>C60</f>
        <v>3650827.45</v>
      </c>
      <c r="D61" s="303">
        <f>(($B$14*$F$6/12)+(($B$26-$B$14)*$E$6/12)+(($B$38-$B$26)*$D$6/12)+(($B$50-$B$38)*$C$6/12)+(($B$62-$B$50)*$B$6/12))</f>
        <v>23426.450900833333</v>
      </c>
      <c r="E61" s="304">
        <f>+(C60*$E$10/12)+(((C61-C60)*$E$10/12)*0.5)</f>
        <v>8518.5973833333337</v>
      </c>
      <c r="F61" s="303">
        <f>-D61+F60</f>
        <v>-1098759.8347208339</v>
      </c>
      <c r="G61" s="304">
        <f>+G60-E61</f>
        <v>-387393.13611833315</v>
      </c>
      <c r="H61" s="303">
        <f>B61+F61</f>
        <v>2552067.615279166</v>
      </c>
      <c r="I61" s="303">
        <f>C61+G61</f>
        <v>3263434.3138816669</v>
      </c>
      <c r="J61" s="303">
        <f>I61-H61</f>
        <v>711366.69860250084</v>
      </c>
      <c r="K61" s="303">
        <f>-J61*$K$11</f>
        <v>-149387.00670652516</v>
      </c>
      <c r="L61" s="303">
        <f>-K61+K60</f>
        <v>3130.6492386750469</v>
      </c>
      <c r="M61" s="361"/>
      <c r="N61" s="299"/>
    </row>
    <row r="62" spans="1:15" ht="15" x14ac:dyDescent="0.25">
      <c r="A62" s="314">
        <v>46022</v>
      </c>
      <c r="B62" s="303">
        <f>C62</f>
        <v>3650827.45</v>
      </c>
      <c r="C62" s="313">
        <f>C61</f>
        <v>3650827.45</v>
      </c>
      <c r="D62" s="303">
        <f>(($B$14*$F$6/12)+(($B$26-$B$14)*$E$6/12)+(($B$38-$B$26)*$D$6/12)+(($B$50-$B$38)*$C$6/12)+(($B$62-$B$50)*$B$6/12))</f>
        <v>23426.450900833333</v>
      </c>
      <c r="E62" s="304">
        <f>+(C61*$E$10/12)+(((C62-C61)*$E$10/12)*0.5)</f>
        <v>8518.5973833333337</v>
      </c>
      <c r="F62" s="303">
        <f>-D62+F61</f>
        <v>-1122186.2856216673</v>
      </c>
      <c r="G62" s="304">
        <f>+G61-E62</f>
        <v>-395911.73350166646</v>
      </c>
      <c r="H62" s="303">
        <f>B62+F62</f>
        <v>2528641.1643783329</v>
      </c>
      <c r="I62" s="303">
        <f>C62+G62</f>
        <v>3254915.716498334</v>
      </c>
      <c r="J62" s="303">
        <f>I62-H62</f>
        <v>726274.55212000106</v>
      </c>
      <c r="K62" s="303">
        <f>-J62*$K$11</f>
        <v>-152517.65594520021</v>
      </c>
      <c r="L62" s="303">
        <f>-K62+K61</f>
        <v>3130.6492386750469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8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3650392.49</v>
      </c>
      <c r="C68" s="285">
        <f>C26</f>
        <v>3650392.49</v>
      </c>
      <c r="D68" s="285">
        <f>SUM(D15:D26)</f>
        <v>182113.56316666666</v>
      </c>
      <c r="E68" s="285">
        <f>SUM(E15:E26)</f>
        <v>89244.752274999992</v>
      </c>
      <c r="F68" s="285">
        <f>F26</f>
        <v>-182113.56316666666</v>
      </c>
      <c r="G68" s="285">
        <f>G26</f>
        <v>-89244.752274999992</v>
      </c>
      <c r="H68" s="285">
        <f>H26</f>
        <v>3468278.9268333334</v>
      </c>
      <c r="I68" s="285">
        <f>I26</f>
        <v>3561147.7377250004</v>
      </c>
      <c r="J68" s="285">
        <f>J26</f>
        <v>92868.810891666915</v>
      </c>
      <c r="K68" s="285">
        <f>K26</f>
        <v>-19502.450287250052</v>
      </c>
      <c r="L68" s="285">
        <f>SUM(L15:L26)</f>
        <v>19502.450287250052</v>
      </c>
      <c r="M68" s="297"/>
      <c r="N68" s="297"/>
    </row>
    <row r="69" spans="1:15" x14ac:dyDescent="0.2">
      <c r="A69" s="301" t="s">
        <v>248</v>
      </c>
      <c r="B69" s="285">
        <f>(B14+B26+SUM(B15:B25)*2)/24</f>
        <v>3187312.5812499993</v>
      </c>
      <c r="C69" s="285">
        <f>(C14+C26+SUM(C15:C25)*2)/24</f>
        <v>3187312.5812499993</v>
      </c>
      <c r="D69" s="285"/>
      <c r="E69" s="300"/>
      <c r="F69" s="285">
        <f>(F14+F26+SUM(F15:F25)*2)/24</f>
        <v>-90981.67603472223</v>
      </c>
      <c r="G69" s="285">
        <f>(G14+G26+SUM(G15:G25)*2)/24</f>
        <v>-39104.490868819441</v>
      </c>
      <c r="H69" s="285">
        <f>(H14+H26+SUM(H15:H25)*2)/24</f>
        <v>3096330.9052152778</v>
      </c>
      <c r="I69" s="285">
        <f>(I14+I26+SUM(I15:I25)*2)/24</f>
        <v>3148208.0903811809</v>
      </c>
      <c r="J69" s="285">
        <f>(J14+J26+SUM(J15:J25)*2)/24</f>
        <v>51877.185165902723</v>
      </c>
      <c r="K69" s="285">
        <f>(K14+K26+SUM(K15:K25)*2)/24</f>
        <v>-10894.208884839571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7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7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7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1:12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1:12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570312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264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2.8000000000000001E-2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2.8000000000000001E-2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7773.3890416666682</v>
      </c>
      <c r="E15" s="304">
        <v>0</v>
      </c>
      <c r="F15" s="303">
        <f t="shared" ref="F15:F28" si="0">-D15+F14</f>
        <v>-7773.3890416666682</v>
      </c>
      <c r="G15" s="304">
        <f t="shared" ref="G15:G28" si="1">+G14-E15</f>
        <v>0</v>
      </c>
      <c r="H15" s="303">
        <f t="shared" ref="H15:I28" si="2">B15+F15</f>
        <v>-7773.3890416666682</v>
      </c>
      <c r="I15" s="303">
        <f t="shared" si="2"/>
        <v>0</v>
      </c>
      <c r="J15" s="303">
        <f t="shared" ref="J15:J28" si="3">I15-H15</f>
        <v>7773.3890416666682</v>
      </c>
      <c r="K15" s="303">
        <f t="shared" ref="K15:K28" si="4">-J15*$K$11</f>
        <v>-1632.4116987500001</v>
      </c>
      <c r="L15" s="303">
        <f t="shared" ref="L15:L28" si="5">-K15+K14</f>
        <v>1632.4116987500001</v>
      </c>
      <c r="M15" s="363"/>
    </row>
    <row r="16" spans="1:23" x14ac:dyDescent="0.2">
      <c r="A16" s="314">
        <v>44620</v>
      </c>
      <c r="B16" s="303">
        <v>1865613.37</v>
      </c>
      <c r="C16" s="313">
        <v>1865613.37</v>
      </c>
      <c r="D16" s="303">
        <f>(($B$14*$C$6/12)+(($B$16-$B$14)*$B$6/12))+M16</f>
        <v>7773.3890416666682</v>
      </c>
      <c r="E16" s="304">
        <f t="shared" ref="E16:E25" si="6">+(C15*$E$10/12)+(((C16-C15)*$E$10/12)*0.5)</f>
        <v>2176.5489316666667</v>
      </c>
      <c r="F16" s="303">
        <f t="shared" si="0"/>
        <v>-15546.778083333336</v>
      </c>
      <c r="G16" s="304">
        <f t="shared" si="1"/>
        <v>-2176.5489316666667</v>
      </c>
      <c r="H16" s="303">
        <f t="shared" si="2"/>
        <v>1850066.5919166668</v>
      </c>
      <c r="I16" s="303">
        <f t="shared" si="2"/>
        <v>1863436.8210683335</v>
      </c>
      <c r="J16" s="303">
        <f t="shared" si="3"/>
        <v>13370.22915166663</v>
      </c>
      <c r="K16" s="303">
        <f t="shared" si="4"/>
        <v>-2807.748121849992</v>
      </c>
      <c r="L16" s="303">
        <f t="shared" si="5"/>
        <v>1175.3364230999919</v>
      </c>
      <c r="M16" s="363"/>
    </row>
    <row r="17" spans="1:15" ht="15" x14ac:dyDescent="0.25">
      <c r="A17" s="314">
        <v>44651</v>
      </c>
      <c r="B17" s="303">
        <v>1868815.71</v>
      </c>
      <c r="C17" s="313">
        <v>1868815.71</v>
      </c>
      <c r="D17" s="303">
        <f>(($B$14*$C$6/12)+((B17-$B$14)*$B$6/12))+M17</f>
        <v>7786.7321249999995</v>
      </c>
      <c r="E17" s="304">
        <f t="shared" si="6"/>
        <v>4356.8339266666662</v>
      </c>
      <c r="F17" s="303">
        <f t="shared" si="0"/>
        <v>-23333.510208333337</v>
      </c>
      <c r="G17" s="304">
        <f t="shared" si="1"/>
        <v>-6533.3828583333325</v>
      </c>
      <c r="H17" s="303">
        <f t="shared" si="2"/>
        <v>1845482.1997916666</v>
      </c>
      <c r="I17" s="303">
        <f t="shared" si="2"/>
        <v>1862282.3271416666</v>
      </c>
      <c r="J17" s="303">
        <f t="shared" si="3"/>
        <v>16800.127349999966</v>
      </c>
      <c r="K17" s="303">
        <f t="shared" si="4"/>
        <v>-3528.0267434999928</v>
      </c>
      <c r="L17" s="303">
        <f t="shared" si="5"/>
        <v>720.27862165000079</v>
      </c>
      <c r="M17" s="361"/>
      <c r="N17" s="320"/>
    </row>
    <row r="18" spans="1:15" ht="15" x14ac:dyDescent="0.25">
      <c r="A18" s="314">
        <v>44681</v>
      </c>
      <c r="B18" s="303">
        <v>1870146.28</v>
      </c>
      <c r="C18" s="313">
        <v>1870146.28</v>
      </c>
      <c r="D18" s="303">
        <f>(($B$14*$C$6/12)+((B18-$B$14)*$B$6/12))+M18</f>
        <v>7792.2761666666675</v>
      </c>
      <c r="E18" s="304">
        <f t="shared" si="6"/>
        <v>4362.1223216666667</v>
      </c>
      <c r="F18" s="303">
        <f t="shared" si="0"/>
        <v>-31125.786375000003</v>
      </c>
      <c r="G18" s="304">
        <f t="shared" si="1"/>
        <v>-10895.50518</v>
      </c>
      <c r="H18" s="303">
        <f t="shared" si="2"/>
        <v>1839020.4936250001</v>
      </c>
      <c r="I18" s="303">
        <f t="shared" si="2"/>
        <v>1859250.7748199999</v>
      </c>
      <c r="J18" s="303">
        <f t="shared" si="3"/>
        <v>20230.281194999814</v>
      </c>
      <c r="K18" s="303">
        <f t="shared" si="4"/>
        <v>-4248.3590509499609</v>
      </c>
      <c r="L18" s="303">
        <f t="shared" si="5"/>
        <v>720.33230744996808</v>
      </c>
      <c r="M18" s="361"/>
    </row>
    <row r="19" spans="1:15" ht="15" x14ac:dyDescent="0.25">
      <c r="A19" s="314">
        <v>44712</v>
      </c>
      <c r="B19" s="303">
        <v>1871707.74</v>
      </c>
      <c r="C19" s="313">
        <v>1871707.74</v>
      </c>
      <c r="D19" s="303">
        <f>(($B$14*$C$6/12)+((B19-$B$14)*$B$6/12))+M19</f>
        <v>7798.7822500000002</v>
      </c>
      <c r="E19" s="304">
        <f t="shared" si="6"/>
        <v>4365.4963566666665</v>
      </c>
      <c r="F19" s="303">
        <f t="shared" si="0"/>
        <v>-38924.568625</v>
      </c>
      <c r="G19" s="304">
        <f t="shared" si="1"/>
        <v>-15261.001536666667</v>
      </c>
      <c r="H19" s="303">
        <f t="shared" si="2"/>
        <v>1832783.1713749999</v>
      </c>
      <c r="I19" s="303">
        <f t="shared" si="2"/>
        <v>1856446.7384633333</v>
      </c>
      <c r="J19" s="303">
        <f t="shared" si="3"/>
        <v>23663.567088333424</v>
      </c>
      <c r="K19" s="303">
        <f t="shared" si="4"/>
        <v>-4969.3490885500187</v>
      </c>
      <c r="L19" s="303">
        <f t="shared" si="5"/>
        <v>720.9900376000578</v>
      </c>
      <c r="M19" s="361"/>
    </row>
    <row r="20" spans="1:15" ht="15" x14ac:dyDescent="0.25">
      <c r="A20" s="314">
        <v>44742</v>
      </c>
      <c r="B20" s="303">
        <v>1872580.85</v>
      </c>
      <c r="C20" s="313">
        <v>1872580.85</v>
      </c>
      <c r="D20" s="303">
        <f>(($B$14*$C$6/12)+((B20-$B$14)*$B$6/12))+M20</f>
        <v>7802.4202083333339</v>
      </c>
      <c r="E20" s="304">
        <f t="shared" si="6"/>
        <v>4368.3366883333338</v>
      </c>
      <c r="F20" s="303">
        <f t="shared" si="0"/>
        <v>-46726.988833333337</v>
      </c>
      <c r="G20" s="304">
        <f t="shared" si="1"/>
        <v>-19629.338225</v>
      </c>
      <c r="H20" s="303">
        <f t="shared" si="2"/>
        <v>1825853.8611666667</v>
      </c>
      <c r="I20" s="303">
        <f t="shared" si="2"/>
        <v>1852951.511775</v>
      </c>
      <c r="J20" s="303">
        <f t="shared" si="3"/>
        <v>27097.650608333293</v>
      </c>
      <c r="K20" s="303">
        <f t="shared" si="4"/>
        <v>-5690.5066277499918</v>
      </c>
      <c r="L20" s="303">
        <f t="shared" si="5"/>
        <v>721.15753919997314</v>
      </c>
      <c r="M20" s="361"/>
    </row>
    <row r="21" spans="1:15" ht="15" x14ac:dyDescent="0.25">
      <c r="A21" s="314">
        <v>44773</v>
      </c>
      <c r="B21" s="303">
        <v>1873651.11</v>
      </c>
      <c r="C21" s="313">
        <v>1873651.11</v>
      </c>
      <c r="D21" s="303">
        <f>(($B$14*$C$6/12)+((B21-$B$14)*$B$6/12))+M21</f>
        <v>7806.8796250000014</v>
      </c>
      <c r="E21" s="304">
        <f t="shared" si="6"/>
        <v>4370.6039533333333</v>
      </c>
      <c r="F21" s="303">
        <f t="shared" si="0"/>
        <v>-54533.868458333338</v>
      </c>
      <c r="G21" s="304">
        <f t="shared" si="1"/>
        <v>-23999.942178333331</v>
      </c>
      <c r="H21" s="303">
        <f t="shared" si="2"/>
        <v>1819117.2415416667</v>
      </c>
      <c r="I21" s="303">
        <f t="shared" si="2"/>
        <v>1849651.1678216667</v>
      </c>
      <c r="J21" s="303">
        <f t="shared" si="3"/>
        <v>30533.926280000014</v>
      </c>
      <c r="K21" s="303">
        <f t="shared" si="4"/>
        <v>-6412.124518800003</v>
      </c>
      <c r="L21" s="303">
        <f t="shared" si="5"/>
        <v>721.61789105001117</v>
      </c>
      <c r="M21" s="361"/>
    </row>
    <row r="22" spans="1:15" ht="15" x14ac:dyDescent="0.25">
      <c r="A22" s="314">
        <v>44804</v>
      </c>
      <c r="B22" s="303">
        <v>1875121.5</v>
      </c>
      <c r="C22" s="313">
        <v>1875121.5</v>
      </c>
      <c r="D22" s="303">
        <f>(($B$14*$C$6/12)+((B22-$B$14)*$B$6/12))+M22</f>
        <v>7813.0062500000013</v>
      </c>
      <c r="E22" s="304">
        <f t="shared" si="6"/>
        <v>4373.568045</v>
      </c>
      <c r="F22" s="303">
        <f t="shared" si="0"/>
        <v>-62346.874708333336</v>
      </c>
      <c r="G22" s="304">
        <f t="shared" si="1"/>
        <v>-28373.510223333331</v>
      </c>
      <c r="H22" s="303">
        <f t="shared" si="2"/>
        <v>1812774.6252916667</v>
      </c>
      <c r="I22" s="303">
        <f t="shared" si="2"/>
        <v>1846747.9897766667</v>
      </c>
      <c r="J22" s="303">
        <f t="shared" si="3"/>
        <v>33973.364485000027</v>
      </c>
      <c r="K22" s="303">
        <f t="shared" si="4"/>
        <v>-7134.4065418500059</v>
      </c>
      <c r="L22" s="303">
        <f t="shared" si="5"/>
        <v>722.28202305000286</v>
      </c>
      <c r="M22" s="361"/>
    </row>
    <row r="23" spans="1:15" ht="15" x14ac:dyDescent="0.25">
      <c r="A23" s="314">
        <v>44834</v>
      </c>
      <c r="B23" s="303">
        <v>1878399.67</v>
      </c>
      <c r="C23" s="313">
        <v>1878399.67</v>
      </c>
      <c r="D23" s="303">
        <f>(($B$14*$C$6/12)+((B23-$B$14)*$B$6/12))+M23</f>
        <v>7826.6652916666671</v>
      </c>
      <c r="E23" s="304">
        <f t="shared" si="6"/>
        <v>4379.1080316666666</v>
      </c>
      <c r="F23" s="303">
        <f t="shared" si="0"/>
        <v>-70173.540000000008</v>
      </c>
      <c r="G23" s="304">
        <f t="shared" si="1"/>
        <v>-32752.618254999998</v>
      </c>
      <c r="H23" s="303">
        <f t="shared" si="2"/>
        <v>1808226.13</v>
      </c>
      <c r="I23" s="303">
        <f t="shared" si="2"/>
        <v>1845647.0517449998</v>
      </c>
      <c r="J23" s="303">
        <f t="shared" si="3"/>
        <v>37420.921744999941</v>
      </c>
      <c r="K23" s="303">
        <f t="shared" si="4"/>
        <v>-7858.3935664499877</v>
      </c>
      <c r="L23" s="303">
        <f t="shared" si="5"/>
        <v>723.98702459998185</v>
      </c>
      <c r="M23" s="361"/>
      <c r="O23" s="299"/>
    </row>
    <row r="24" spans="1:15" ht="15" x14ac:dyDescent="0.25">
      <c r="A24" s="314">
        <v>44865</v>
      </c>
      <c r="B24" s="303">
        <v>1879184.66</v>
      </c>
      <c r="C24" s="313">
        <v>1879184.66</v>
      </c>
      <c r="D24" s="303">
        <f>(($B$14*$C$6/12)+((B24-$B$14)*$B$6/12))+M24</f>
        <v>7829.936083333334</v>
      </c>
      <c r="E24" s="304">
        <f t="shared" si="6"/>
        <v>4383.8483849999993</v>
      </c>
      <c r="F24" s="303">
        <f t="shared" si="0"/>
        <v>-78003.476083333342</v>
      </c>
      <c r="G24" s="304">
        <f t="shared" si="1"/>
        <v>-37136.466639999999</v>
      </c>
      <c r="H24" s="303">
        <f t="shared" si="2"/>
        <v>1801181.1839166665</v>
      </c>
      <c r="I24" s="303">
        <f t="shared" si="2"/>
        <v>1842048.1933599999</v>
      </c>
      <c r="J24" s="303">
        <f t="shared" si="3"/>
        <v>40867.009443333372</v>
      </c>
      <c r="K24" s="303">
        <f t="shared" si="4"/>
        <v>-8582.0719831000079</v>
      </c>
      <c r="L24" s="303">
        <f t="shared" si="5"/>
        <v>723.67841665002015</v>
      </c>
      <c r="M24" s="361"/>
      <c r="N24" s="299"/>
      <c r="O24" s="299"/>
    </row>
    <row r="25" spans="1:15" ht="15" x14ac:dyDescent="0.25">
      <c r="A25" s="314">
        <v>44895</v>
      </c>
      <c r="B25" s="303">
        <v>1880037.26</v>
      </c>
      <c r="C25" s="313">
        <v>1880037.26</v>
      </c>
      <c r="D25" s="303">
        <f>(($B$14*$C$6/12)+((B25-$B$14)*$B$6/12))+M25</f>
        <v>7833.4885833333346</v>
      </c>
      <c r="E25" s="304">
        <f t="shared" si="6"/>
        <v>4385.7589066666669</v>
      </c>
      <c r="F25" s="303">
        <f t="shared" si="0"/>
        <v>-85836.964666666681</v>
      </c>
      <c r="G25" s="304">
        <f t="shared" si="1"/>
        <v>-41522.225546666668</v>
      </c>
      <c r="H25" s="303">
        <f t="shared" si="2"/>
        <v>1794200.2953333333</v>
      </c>
      <c r="I25" s="303">
        <f t="shared" si="2"/>
        <v>1838515.0344533334</v>
      </c>
      <c r="J25" s="303">
        <f t="shared" si="3"/>
        <v>44314.739120000042</v>
      </c>
      <c r="K25" s="303">
        <f t="shared" si="4"/>
        <v>-9306.0952152000082</v>
      </c>
      <c r="L25" s="303">
        <f t="shared" si="5"/>
        <v>724.02323210000031</v>
      </c>
      <c r="M25" s="361"/>
      <c r="N25" s="315"/>
      <c r="O25" s="299"/>
    </row>
    <row r="26" spans="1:15" ht="15" x14ac:dyDescent="0.25">
      <c r="A26" s="314">
        <v>44926</v>
      </c>
      <c r="B26" s="303">
        <v>1881654.06</v>
      </c>
      <c r="C26" s="313">
        <v>1881654.06</v>
      </c>
      <c r="D26" s="303">
        <f>(($B$14*$C$6/12)+((B26-$B$14)*$B$6/12))+M26</f>
        <v>7840.2252500000004</v>
      </c>
      <c r="E26" s="304">
        <f>+(C25*$E$10/12)+(((C26-C25)*$E$10/12)*0.5)</f>
        <v>4388.6398733333326</v>
      </c>
      <c r="F26" s="303">
        <f t="shared" si="0"/>
        <v>-93677.189916666684</v>
      </c>
      <c r="G26" s="304">
        <f t="shared" si="1"/>
        <v>-45910.865420000002</v>
      </c>
      <c r="H26" s="303">
        <f t="shared" si="2"/>
        <v>1787976.8700833335</v>
      </c>
      <c r="I26" s="303">
        <f t="shared" si="2"/>
        <v>1835743.1945800001</v>
      </c>
      <c r="J26" s="303">
        <f t="shared" si="3"/>
        <v>47766.324496666668</v>
      </c>
      <c r="K26" s="303">
        <f t="shared" si="4"/>
        <v>-10030.9281443</v>
      </c>
      <c r="L26" s="303">
        <f t="shared" si="5"/>
        <v>724.83292909999182</v>
      </c>
      <c r="M26" s="361"/>
      <c r="O26" s="299"/>
    </row>
    <row r="27" spans="1:15" ht="15" x14ac:dyDescent="0.25">
      <c r="A27" s="314">
        <v>44957</v>
      </c>
      <c r="B27" s="303">
        <v>1881407.61</v>
      </c>
      <c r="C27" s="313">
        <v>1881407.61</v>
      </c>
      <c r="D27" s="303">
        <f>(($B$14*$D$6/12)+(($B$26-$B$14)*$C$6/12)+((B27-$B$26)*$B$6/12))</f>
        <v>14895.401100000001</v>
      </c>
      <c r="E27" s="304">
        <f>+(C26*$E$10/12)+(((C27-C26)*$E$10/12)*0.5)</f>
        <v>4390.2386150000002</v>
      </c>
      <c r="F27" s="303">
        <f t="shared" si="0"/>
        <v>-108572.59101666669</v>
      </c>
      <c r="G27" s="304">
        <f t="shared" si="1"/>
        <v>-50301.104035000004</v>
      </c>
      <c r="H27" s="303">
        <f t="shared" si="2"/>
        <v>1772835.0189833334</v>
      </c>
      <c r="I27" s="303">
        <f t="shared" si="2"/>
        <v>1831106.505965</v>
      </c>
      <c r="J27" s="303">
        <f t="shared" si="3"/>
        <v>58271.486981666647</v>
      </c>
      <c r="K27" s="303">
        <f t="shared" si="4"/>
        <v>-12237.012266149995</v>
      </c>
      <c r="L27" s="303">
        <f t="shared" si="5"/>
        <v>2206.0841218499954</v>
      </c>
      <c r="M27" s="361"/>
      <c r="O27" s="299"/>
    </row>
    <row r="28" spans="1:15" ht="15" x14ac:dyDescent="0.25">
      <c r="A28" s="314">
        <v>44985</v>
      </c>
      <c r="B28" s="303">
        <v>1881905.95</v>
      </c>
      <c r="C28" s="313">
        <v>1881905.95</v>
      </c>
      <c r="D28" s="303">
        <f>(($B$14*$D$6/12)+(($B$26-$B$14)*$C$6/12)+((B28-$B$26)*$B$6/12))</f>
        <v>14897.477516666666</v>
      </c>
      <c r="E28" s="304">
        <f>+(C27*$E$10/12)+(((C28-C27)*$E$10/12)*0.5)</f>
        <v>4390.532486666667</v>
      </c>
      <c r="F28" s="303">
        <f t="shared" si="0"/>
        <v>-123470.06853333335</v>
      </c>
      <c r="G28" s="304">
        <f t="shared" si="1"/>
        <v>-54691.636521666675</v>
      </c>
      <c r="H28" s="303">
        <f t="shared" si="2"/>
        <v>1758435.8814666667</v>
      </c>
      <c r="I28" s="303">
        <f t="shared" si="2"/>
        <v>1827214.3134783332</v>
      </c>
      <c r="J28" s="303">
        <f t="shared" si="3"/>
        <v>68778.432011666475</v>
      </c>
      <c r="K28" s="303">
        <f t="shared" si="4"/>
        <v>-14443.47072244996</v>
      </c>
      <c r="L28" s="303">
        <f t="shared" si="5"/>
        <v>2206.4584562999644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1882089.02</v>
      </c>
      <c r="C29" s="313">
        <v>1882089.02</v>
      </c>
      <c r="D29" s="303">
        <f>(($B$14*$D$6/12)+(($B$26-$B$14)*$C$6/12)+(($B$38-$B$26)*$B$6/12))</f>
        <v>14898.240308333334</v>
      </c>
      <c r="E29" s="304">
        <f>+(C28*$E$10/12)+(((C29-C28)*$E$10/12)*0.5)</f>
        <v>4391.3274650000003</v>
      </c>
      <c r="F29" s="303">
        <f>-D29+F28</f>
        <v>-138368.30884166667</v>
      </c>
      <c r="G29" s="304">
        <f>+G28-E29</f>
        <v>-59082.963986666677</v>
      </c>
      <c r="H29" s="303">
        <f>B29+F29</f>
        <v>1743720.7111583333</v>
      </c>
      <c r="I29" s="303">
        <f>C29+G29</f>
        <v>1823006.0560133334</v>
      </c>
      <c r="J29" s="303">
        <f>I29-H29</f>
        <v>79285.344855000032</v>
      </c>
      <c r="K29" s="303">
        <f>-J29*$K$11</f>
        <v>-16649.922419550006</v>
      </c>
      <c r="L29" s="303">
        <f>-K29+K28</f>
        <v>2206.4516971000467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1882089.02</v>
      </c>
      <c r="C30" s="313">
        <f>C29</f>
        <v>1882089.02</v>
      </c>
      <c r="D30" s="303">
        <f>(($B$14*$D$6/12)+(($B$26-$B$14)*$C$6/12)+(($B$38-$B$26)*$B$6/12))</f>
        <v>14898.240308333334</v>
      </c>
      <c r="E30" s="304">
        <f>+(C29*$E$10/12)+(((C30-C29)*$E$10/12)*0.5)</f>
        <v>4391.5410466666663</v>
      </c>
      <c r="F30" s="303">
        <f>-D30+F29</f>
        <v>-153266.54915000001</v>
      </c>
      <c r="G30" s="304">
        <f>+G29-E30</f>
        <v>-63474.505033333342</v>
      </c>
      <c r="H30" s="303">
        <f>B30+F30</f>
        <v>1728822.4708499999</v>
      </c>
      <c r="I30" s="303">
        <f>C30+G30</f>
        <v>1818614.5149666667</v>
      </c>
      <c r="J30" s="303">
        <f>I30-H30</f>
        <v>89792.044116666773</v>
      </c>
      <c r="K30" s="303">
        <f>-J30*$K$11</f>
        <v>-18856.329264500022</v>
      </c>
      <c r="L30" s="303">
        <f>-K30+K29</f>
        <v>2206.4068449500155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1882089.02</v>
      </c>
      <c r="C31" s="313">
        <f>C30</f>
        <v>1882089.02</v>
      </c>
      <c r="D31" s="303">
        <f>(($B$14*$D$6/12)+(($B$26-$B$14)*$C$6/12)+(($B$38-$B$26)*$B$6/12))</f>
        <v>14898.240308333334</v>
      </c>
      <c r="E31" s="304">
        <f>+(C30*$E$10/12)+(((C31-C30)*$E$10/12)*0.5)</f>
        <v>4391.5410466666663</v>
      </c>
      <c r="F31" s="303">
        <f>-D31+F30</f>
        <v>-168164.78945833334</v>
      </c>
      <c r="G31" s="304">
        <f>+G30-E31</f>
        <v>-67866.046080000015</v>
      </c>
      <c r="H31" s="303">
        <f>B31+F31</f>
        <v>1713924.2305416667</v>
      </c>
      <c r="I31" s="303">
        <f>C31+G31</f>
        <v>1814222.97392</v>
      </c>
      <c r="J31" s="303">
        <f>I31-H31</f>
        <v>100298.74337833328</v>
      </c>
      <c r="K31" s="303">
        <f>-J31*$K$11</f>
        <v>-21062.73610944999</v>
      </c>
      <c r="L31" s="303">
        <f>-K31+K30</f>
        <v>2206.4068449499682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1882089.02</v>
      </c>
      <c r="C32" s="313">
        <f>C31</f>
        <v>1882089.02</v>
      </c>
      <c r="D32" s="303">
        <f>(($B$14*$D$6/12)+(($B$26-$B$14)*$C$6/12)+(($B$38-$B$26)*$B$6/12))</f>
        <v>14898.240308333334</v>
      </c>
      <c r="E32" s="304">
        <f>+(C31*$E$10/12)+(((C32-C31)*$E$10/12)*0.5)</f>
        <v>4391.5410466666663</v>
      </c>
      <c r="F32" s="303">
        <f>-D32+F31</f>
        <v>-183063.02976666667</v>
      </c>
      <c r="G32" s="304">
        <f>+G31-E32</f>
        <v>-72257.58712666668</v>
      </c>
      <c r="H32" s="303">
        <f>B32+F32</f>
        <v>1699025.9902333333</v>
      </c>
      <c r="I32" s="303">
        <f>C32+G32</f>
        <v>1809831.4328733333</v>
      </c>
      <c r="J32" s="303">
        <f>I32-H32</f>
        <v>110805.44264000002</v>
      </c>
      <c r="K32" s="303">
        <f>-J32*$K$11</f>
        <v>-23269.142954400006</v>
      </c>
      <c r="L32" s="303">
        <f>-K32+K31</f>
        <v>2206.4068449500155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1882089.02</v>
      </c>
      <c r="C33" s="313">
        <f>C32</f>
        <v>1882089.02</v>
      </c>
      <c r="D33" s="303">
        <f>(($B$14*$D$6/12)+(($B$26-$B$14)*$C$6/12)+(($B$38-$B$26)*$B$6/12))</f>
        <v>14898.240308333334</v>
      </c>
      <c r="E33" s="304">
        <f>+(C32*$E$10/12)+(((C33-C32)*$E$10/12)*0.5)</f>
        <v>4391.5410466666663</v>
      </c>
      <c r="F33" s="303">
        <f>-D33+F32</f>
        <v>-197961.27007500001</v>
      </c>
      <c r="G33" s="304">
        <f>+G32-E33</f>
        <v>-76649.128173333345</v>
      </c>
      <c r="H33" s="303">
        <f>B33+F33</f>
        <v>1684127.7499250001</v>
      </c>
      <c r="I33" s="303">
        <f>C33+G33</f>
        <v>1805439.8918266667</v>
      </c>
      <c r="J33" s="303">
        <f>I33-H33</f>
        <v>121312.14190166653</v>
      </c>
      <c r="K33" s="303">
        <f>-J33*$K$11</f>
        <v>-25475.54979934997</v>
      </c>
      <c r="L33" s="303">
        <f>-K33+K32</f>
        <v>2206.4068449499646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1882089.02</v>
      </c>
      <c r="C34" s="313">
        <f>C33</f>
        <v>1882089.02</v>
      </c>
      <c r="D34" s="303">
        <f>(($B$14*$D$6/12)+(($B$26-$B$14)*$C$6/12)+(($B$38-$B$26)*$B$6/12))</f>
        <v>14898.240308333334</v>
      </c>
      <c r="E34" s="304">
        <f>+(C33*$E$10/12)+(((C34-C33)*$E$10/12)*0.5)</f>
        <v>4391.5410466666663</v>
      </c>
      <c r="F34" s="303">
        <f>-D34+F33</f>
        <v>-212859.51038333334</v>
      </c>
      <c r="G34" s="304">
        <f>+G33-E34</f>
        <v>-81040.669220000011</v>
      </c>
      <c r="H34" s="303">
        <f>B34+F34</f>
        <v>1669229.5096166667</v>
      </c>
      <c r="I34" s="303">
        <f>C34+G34</f>
        <v>1801048.35078</v>
      </c>
      <c r="J34" s="303">
        <f>I34-H34</f>
        <v>131818.84116333327</v>
      </c>
      <c r="K34" s="303">
        <f>-J34*$K$11</f>
        <v>-27681.956644299986</v>
      </c>
      <c r="L34" s="303">
        <f>-K34+K33</f>
        <v>2206.4068449500155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1882089.02</v>
      </c>
      <c r="C35" s="313">
        <f>C34</f>
        <v>1882089.02</v>
      </c>
      <c r="D35" s="303">
        <f>(($B$14*$D$6/12)+(($B$26-$B$14)*$C$6/12)+(($B$38-$B$26)*$B$6/12))</f>
        <v>14898.240308333334</v>
      </c>
      <c r="E35" s="304">
        <f>+(C34*$E$10/12)+(((C35-C34)*$E$10/12)*0.5)</f>
        <v>4391.5410466666663</v>
      </c>
      <c r="F35" s="303">
        <f>-D35+F34</f>
        <v>-227757.75069166668</v>
      </c>
      <c r="G35" s="304">
        <f>+G34-E35</f>
        <v>-85432.210266666676</v>
      </c>
      <c r="H35" s="303">
        <f>B35+F35</f>
        <v>1654331.2693083333</v>
      </c>
      <c r="I35" s="303">
        <f>C35+G35</f>
        <v>1796656.8097333333</v>
      </c>
      <c r="J35" s="303">
        <f>I35-H35</f>
        <v>142325.54042500001</v>
      </c>
      <c r="K35" s="303">
        <f>-J35*$K$11</f>
        <v>-29888.363489250001</v>
      </c>
      <c r="L35" s="303">
        <f>-K35+K34</f>
        <v>2206.4068449500155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1882089.02</v>
      </c>
      <c r="C36" s="313">
        <f>C35</f>
        <v>1882089.02</v>
      </c>
      <c r="D36" s="303">
        <f>(($B$14*$D$6/12)+(($B$26-$B$14)*$C$6/12)+(($B$38-$B$26)*$B$6/12))</f>
        <v>14898.240308333334</v>
      </c>
      <c r="E36" s="304">
        <f>+(C35*$E$10/12)+(((C36-C35)*$E$10/12)*0.5)</f>
        <v>4391.5410466666663</v>
      </c>
      <c r="F36" s="303">
        <f>-D36+F35</f>
        <v>-242655.99100000001</v>
      </c>
      <c r="G36" s="304">
        <f>+G35-E36</f>
        <v>-89823.751313333341</v>
      </c>
      <c r="H36" s="303">
        <f>B36+F36</f>
        <v>1639433.0290000001</v>
      </c>
      <c r="I36" s="303">
        <f>C36+G36</f>
        <v>1792265.2686866666</v>
      </c>
      <c r="J36" s="303">
        <f>I36-H36</f>
        <v>152832.23968666652</v>
      </c>
      <c r="K36" s="303">
        <f>-J36*$K$11</f>
        <v>-32094.77033419997</v>
      </c>
      <c r="L36" s="303">
        <f>-K36+K35</f>
        <v>2206.4068449499682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1882089.02</v>
      </c>
      <c r="C37" s="313">
        <f>C36</f>
        <v>1882089.02</v>
      </c>
      <c r="D37" s="303">
        <f>(($B$14*$D$6/12)+(($B$26-$B$14)*$C$6/12)+(($B$38-$B$26)*$B$6/12))</f>
        <v>14898.240308333334</v>
      </c>
      <c r="E37" s="304">
        <f>+(C36*$E$10/12)+(((C37-C36)*$E$10/12)*0.5)</f>
        <v>4391.5410466666663</v>
      </c>
      <c r="F37" s="303">
        <f>-D37+F36</f>
        <v>-257554.23130833334</v>
      </c>
      <c r="G37" s="304">
        <f>+G36-E37</f>
        <v>-94215.292360000007</v>
      </c>
      <c r="H37" s="303">
        <f>B37+F37</f>
        <v>1624534.7886916667</v>
      </c>
      <c r="I37" s="303">
        <f>C37+G37</f>
        <v>1787873.7276399999</v>
      </c>
      <c r="J37" s="303">
        <f>I37-H37</f>
        <v>163338.93894833326</v>
      </c>
      <c r="K37" s="303">
        <f>-J37*$K$11</f>
        <v>-34301.177179149985</v>
      </c>
      <c r="L37" s="303">
        <f>-K37+K36</f>
        <v>2206.4068449500155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1882089.02</v>
      </c>
      <c r="C38" s="313">
        <f>C37</f>
        <v>1882089.02</v>
      </c>
      <c r="D38" s="303">
        <f>(($B$14*$D$6/12)+(($B$26-$B$14)*$C$6/12)+(($B$38-$B$26)*$B$6/12))</f>
        <v>14898.240308333334</v>
      </c>
      <c r="E38" s="304">
        <f>+(C37*$E$10/12)+(((C38-C37)*$E$10/12)*0.5)</f>
        <v>4391.5410466666663</v>
      </c>
      <c r="F38" s="303">
        <f>-D38+F37</f>
        <v>-272452.47161666665</v>
      </c>
      <c r="G38" s="304">
        <f>+G37-E38</f>
        <v>-98606.833406666672</v>
      </c>
      <c r="H38" s="303">
        <f>B38+F38</f>
        <v>1609636.5483833333</v>
      </c>
      <c r="I38" s="303">
        <f>C38+G38</f>
        <v>1783482.1865933333</v>
      </c>
      <c r="J38" s="303">
        <f>I38-H38</f>
        <v>173845.63821</v>
      </c>
      <c r="K38" s="303">
        <f>-J38*$K$11</f>
        <v>-36507.584024099997</v>
      </c>
      <c r="L38" s="303">
        <f>-K38+K37</f>
        <v>2206.4068449500119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1882089.02</v>
      </c>
      <c r="C39" s="313">
        <f>C38</f>
        <v>1882089.02</v>
      </c>
      <c r="D39" s="303">
        <f>(($B$14*$E$6/12)+(($B$26-$B$14)*$D$6/12)+(($B$38-$B$26)*$C$6/12)+(($B$50-$B$38)*$B$6/12))</f>
        <v>13410.228610833336</v>
      </c>
      <c r="E39" s="304">
        <f>+(C38*$E$10/12)+(((C39-C38)*$E$10/12)*0.5)</f>
        <v>4391.5410466666663</v>
      </c>
      <c r="F39" s="303">
        <f>-D39+F38</f>
        <v>-285862.7002275</v>
      </c>
      <c r="G39" s="304">
        <f>+G38-E39</f>
        <v>-102998.37445333334</v>
      </c>
      <c r="H39" s="303">
        <f>B39+F39</f>
        <v>1596226.3197725001</v>
      </c>
      <c r="I39" s="303">
        <f>C39+G39</f>
        <v>1779090.6455466666</v>
      </c>
      <c r="J39" s="303">
        <f>I39-H39</f>
        <v>182864.3257741665</v>
      </c>
      <c r="K39" s="303">
        <f>-J39*$K$11</f>
        <v>-38401.508412574964</v>
      </c>
      <c r="L39" s="303">
        <f>-K39+K38</f>
        <v>1893.9243884749667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1882089.02</v>
      </c>
      <c r="C40" s="313">
        <f>C39</f>
        <v>1882089.02</v>
      </c>
      <c r="D40" s="303">
        <f>(($B$14*$E$6/12)+(($B$26-$B$14)*$D$6/12)+(($B$38-$B$26)*$C$6/12)+(($B$50-$B$38)*$B$6/12))</f>
        <v>13410.228610833336</v>
      </c>
      <c r="E40" s="304">
        <f>+(C39*$E$10/12)+(((C40-C39)*$E$10/12)*0.5)</f>
        <v>4391.5410466666663</v>
      </c>
      <c r="F40" s="303">
        <f>-D40+F39</f>
        <v>-299272.92883833335</v>
      </c>
      <c r="G40" s="304">
        <f>+G39-E40</f>
        <v>-107389.9155</v>
      </c>
      <c r="H40" s="303">
        <f>B40+F40</f>
        <v>1582816.0911616667</v>
      </c>
      <c r="I40" s="303">
        <f>C40+G40</f>
        <v>1774699.1044999999</v>
      </c>
      <c r="J40" s="303">
        <f>I40-H40</f>
        <v>191883.01333833323</v>
      </c>
      <c r="K40" s="303">
        <f>-J40*$K$11</f>
        <v>-40295.432801049974</v>
      </c>
      <c r="L40" s="303">
        <f>-K40+K39</f>
        <v>1893.9243884750103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1882089.02</v>
      </c>
      <c r="C41" s="313">
        <f>C40</f>
        <v>1882089.02</v>
      </c>
      <c r="D41" s="303">
        <f>(($B$14*$E$6/12)+(($B$26-$B$14)*$D$6/12)+(($B$38-$B$26)*$C$6/12)+(($B$50-$B$38)*$B$6/12))</f>
        <v>13410.228610833336</v>
      </c>
      <c r="E41" s="304">
        <f>+(C40*$E$10/12)+(((C41-C40)*$E$10/12)*0.5)</f>
        <v>4391.5410466666663</v>
      </c>
      <c r="F41" s="303">
        <f>-D41+F40</f>
        <v>-312683.1574491667</v>
      </c>
      <c r="G41" s="304">
        <f>+G40-E41</f>
        <v>-111781.45654666667</v>
      </c>
      <c r="H41" s="303">
        <f>B41+F41</f>
        <v>1569405.8625508333</v>
      </c>
      <c r="I41" s="303">
        <f>C41+G41</f>
        <v>1770307.5634533335</v>
      </c>
      <c r="J41" s="303">
        <f>I41-H41</f>
        <v>200901.70090250019</v>
      </c>
      <c r="K41" s="303">
        <f>-J41*$K$11</f>
        <v>-42189.357189525035</v>
      </c>
      <c r="L41" s="303">
        <f>-K41+K40</f>
        <v>1893.9243884750613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1882089.02</v>
      </c>
      <c r="C42" s="313">
        <f>C41</f>
        <v>1882089.02</v>
      </c>
      <c r="D42" s="303">
        <f>(($B$14*$E$6/12)+(($B$26-$B$14)*$D$6/12)+(($B$38-$B$26)*$C$6/12)+(($B$50-$B$38)*$B$6/12))</f>
        <v>13410.228610833336</v>
      </c>
      <c r="E42" s="304">
        <f>+(C41*$E$10/12)+(((C42-C41)*$E$10/12)*0.5)</f>
        <v>4391.5410466666663</v>
      </c>
      <c r="F42" s="303">
        <f>-D42+F41</f>
        <v>-326093.38606000005</v>
      </c>
      <c r="G42" s="304">
        <f>+G41-E42</f>
        <v>-116172.99759333333</v>
      </c>
      <c r="H42" s="303">
        <f>B42+F42</f>
        <v>1555995.6339400001</v>
      </c>
      <c r="I42" s="303">
        <f>C42+G42</f>
        <v>1765916.0224066668</v>
      </c>
      <c r="J42" s="303">
        <f>I42-H42</f>
        <v>209920.38846666669</v>
      </c>
      <c r="K42" s="303">
        <f>-J42*$K$11</f>
        <v>-44083.281578000002</v>
      </c>
      <c r="L42" s="303">
        <f>-K42+K41</f>
        <v>1893.9243884749667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1882089.02</v>
      </c>
      <c r="C43" s="313">
        <f>C42</f>
        <v>1882089.02</v>
      </c>
      <c r="D43" s="303">
        <f>(($B$14*$E$6/12)+(($B$26-$B$14)*$D$6/12)+(($B$38-$B$26)*$C$6/12)+(($B$50-$B$38)*$B$6/12))</f>
        <v>13410.228610833336</v>
      </c>
      <c r="E43" s="304">
        <f>+(C42*$E$10/12)+(((C43-C42)*$E$10/12)*0.5)</f>
        <v>4391.5410466666663</v>
      </c>
      <c r="F43" s="303">
        <f>-D43+F42</f>
        <v>-339503.6146708334</v>
      </c>
      <c r="G43" s="304">
        <f>+G42-E43</f>
        <v>-120564.53864</v>
      </c>
      <c r="H43" s="303">
        <f>B43+F43</f>
        <v>1542585.4053291667</v>
      </c>
      <c r="I43" s="303">
        <f>C43+G43</f>
        <v>1761524.4813600001</v>
      </c>
      <c r="J43" s="303">
        <f>I43-H43</f>
        <v>218939.07603083341</v>
      </c>
      <c r="K43" s="303">
        <f>-J43*$K$11</f>
        <v>-45977.205966475012</v>
      </c>
      <c r="L43" s="303">
        <f>-K43+K42</f>
        <v>1893.9243884750103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1882089.02</v>
      </c>
      <c r="C44" s="313">
        <f>C43</f>
        <v>1882089.02</v>
      </c>
      <c r="D44" s="303">
        <f>(($B$14*$E$6/12)+(($B$26-$B$14)*$D$6/12)+(($B$38-$B$26)*$C$6/12)+(($B$50-$B$38)*$B$6/12))</f>
        <v>13410.228610833336</v>
      </c>
      <c r="E44" s="304">
        <f>+(C43*$E$10/12)+(((C44-C43)*$E$10/12)*0.5)</f>
        <v>4391.5410466666663</v>
      </c>
      <c r="F44" s="303">
        <f>-D44+F43</f>
        <v>-352913.84328166675</v>
      </c>
      <c r="G44" s="304">
        <f>+G43-E44</f>
        <v>-124956.07968666666</v>
      </c>
      <c r="H44" s="303">
        <f>B44+F44</f>
        <v>1529175.1767183333</v>
      </c>
      <c r="I44" s="303">
        <f>C44+G44</f>
        <v>1757132.9403133334</v>
      </c>
      <c r="J44" s="303">
        <f>I44-H44</f>
        <v>227957.76359500014</v>
      </c>
      <c r="K44" s="303">
        <f>-J44*$K$11</f>
        <v>-47871.13035495003</v>
      </c>
      <c r="L44" s="303">
        <f>-K44+K43</f>
        <v>1893.9243884750176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1882089.02</v>
      </c>
      <c r="C45" s="313">
        <f>C44</f>
        <v>1882089.02</v>
      </c>
      <c r="D45" s="303">
        <f>(($B$14*$E$6/12)+(($B$26-$B$14)*$D$6/12)+(($B$38-$B$26)*$C$6/12)+(($B$50-$B$38)*$B$6/12))</f>
        <v>13410.228610833336</v>
      </c>
      <c r="E45" s="304">
        <f>+(C44*$E$10/12)+(((C45-C44)*$E$10/12)*0.5)</f>
        <v>4391.5410466666663</v>
      </c>
      <c r="F45" s="303">
        <f>-D45+F44</f>
        <v>-366324.0718925001</v>
      </c>
      <c r="G45" s="304">
        <f>+G44-E45</f>
        <v>-129347.62073333333</v>
      </c>
      <c r="H45" s="303">
        <f>B45+F45</f>
        <v>1515764.9481074999</v>
      </c>
      <c r="I45" s="303">
        <f>C45+G45</f>
        <v>1752741.3992666667</v>
      </c>
      <c r="J45" s="303">
        <f>I45-H45</f>
        <v>236976.45115916687</v>
      </c>
      <c r="K45" s="303">
        <f>-J45*$K$11</f>
        <v>-49765.05474342504</v>
      </c>
      <c r="L45" s="303">
        <f>-K45+K44</f>
        <v>1893.9243884750103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1882089.02</v>
      </c>
      <c r="C46" s="313">
        <f>C45</f>
        <v>1882089.02</v>
      </c>
      <c r="D46" s="303">
        <f>(($B$14*$E$6/12)+(($B$26-$B$14)*$D$6/12)+(($B$38-$B$26)*$C$6/12)+(($B$50-$B$38)*$B$6/12))</f>
        <v>13410.228610833336</v>
      </c>
      <c r="E46" s="304">
        <f>+(C45*$E$10/12)+(((C46-C45)*$E$10/12)*0.5)</f>
        <v>4391.5410466666663</v>
      </c>
      <c r="F46" s="303">
        <f>-D46+F45</f>
        <v>-379734.30050333345</v>
      </c>
      <c r="G46" s="304">
        <f>+G45-E46</f>
        <v>-133739.16177999999</v>
      </c>
      <c r="H46" s="303">
        <f>B46+F46</f>
        <v>1502354.7194966665</v>
      </c>
      <c r="I46" s="303">
        <f>C46+G46</f>
        <v>1748349.8582200001</v>
      </c>
      <c r="J46" s="303">
        <f>I46-H46</f>
        <v>245995.1387233336</v>
      </c>
      <c r="K46" s="303">
        <f>-J46*$K$11</f>
        <v>-51658.979131900051</v>
      </c>
      <c r="L46" s="303">
        <f>-K46+K45</f>
        <v>1893.9243884750103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1882089.02</v>
      </c>
      <c r="C47" s="313">
        <f>C46</f>
        <v>1882089.02</v>
      </c>
      <c r="D47" s="303">
        <f>(($B$14*$E$6/12)+(($B$26-$B$14)*$D$6/12)+(($B$38-$B$26)*$C$6/12)+(($B$50-$B$38)*$B$6/12))</f>
        <v>13410.228610833336</v>
      </c>
      <c r="E47" s="304">
        <f>+(C46*$E$10/12)+(((C47-C46)*$E$10/12)*0.5)</f>
        <v>4391.5410466666663</v>
      </c>
      <c r="F47" s="303">
        <f>-D47+F46</f>
        <v>-393144.5291141668</v>
      </c>
      <c r="G47" s="304">
        <f>+G46-E47</f>
        <v>-138130.70282666667</v>
      </c>
      <c r="H47" s="303">
        <f>B47+F47</f>
        <v>1488944.4908858333</v>
      </c>
      <c r="I47" s="303">
        <f>C47+G47</f>
        <v>1743958.3171733334</v>
      </c>
      <c r="J47" s="303">
        <f>I47-H47</f>
        <v>255013.82628750009</v>
      </c>
      <c r="K47" s="303">
        <f>-J47*$K$11</f>
        <v>-53552.903520375017</v>
      </c>
      <c r="L47" s="303">
        <f>-K47+K46</f>
        <v>1893.9243884749667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1882089.02</v>
      </c>
      <c r="C48" s="313">
        <f>C47</f>
        <v>1882089.02</v>
      </c>
      <c r="D48" s="303">
        <f>(($B$14*$E$6/12)+(($B$26-$B$14)*$D$6/12)+(($B$38-$B$26)*$C$6/12)+(($B$50-$B$38)*$B$6/12))</f>
        <v>13410.228610833336</v>
      </c>
      <c r="E48" s="304">
        <f>+(C47*$E$10/12)+(((C48-C47)*$E$10/12)*0.5)</f>
        <v>4391.5410466666663</v>
      </c>
      <c r="F48" s="303">
        <f>-D48+F47</f>
        <v>-406554.75772500015</v>
      </c>
      <c r="G48" s="304">
        <f>+G47-E48</f>
        <v>-142522.24387333335</v>
      </c>
      <c r="H48" s="303">
        <f>B48+F48</f>
        <v>1475534.2622749999</v>
      </c>
      <c r="I48" s="303">
        <f>C48+G48</f>
        <v>1739566.7761266667</v>
      </c>
      <c r="J48" s="303">
        <f>I48-H48</f>
        <v>264032.51385166682</v>
      </c>
      <c r="K48" s="303">
        <f>-J48*$K$11</f>
        <v>-55446.827908850028</v>
      </c>
      <c r="L48" s="303">
        <f>-K48+K47</f>
        <v>1893.9243884750103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1882089.02</v>
      </c>
      <c r="C49" s="313">
        <f>C48</f>
        <v>1882089.02</v>
      </c>
      <c r="D49" s="303">
        <f>(($B$14*$E$6/12)+(($B$26-$B$14)*$D$6/12)+(($B$38-$B$26)*$C$6/12)+(($B$50-$B$38)*$B$6/12))</f>
        <v>13410.228610833336</v>
      </c>
      <c r="E49" s="304">
        <f>+(C48*$E$10/12)+(((C49-C48)*$E$10/12)*0.5)</f>
        <v>4391.5410466666663</v>
      </c>
      <c r="F49" s="303">
        <f>-D49+F48</f>
        <v>-419964.9863358335</v>
      </c>
      <c r="G49" s="304">
        <f>+G48-E49</f>
        <v>-146913.78492000003</v>
      </c>
      <c r="H49" s="303">
        <f>B49+F49</f>
        <v>1462124.0336641665</v>
      </c>
      <c r="I49" s="303">
        <f>C49+G49</f>
        <v>1735175.23508</v>
      </c>
      <c r="J49" s="303">
        <f>I49-H49</f>
        <v>273051.20141583355</v>
      </c>
      <c r="K49" s="303">
        <f>-J49*$K$11</f>
        <v>-57340.752297325045</v>
      </c>
      <c r="L49" s="303">
        <f>-K49+K48</f>
        <v>1893.9243884750176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1882089.02</v>
      </c>
      <c r="C50" s="313">
        <f>C49</f>
        <v>1882089.02</v>
      </c>
      <c r="D50" s="303">
        <f>(($B$14*$E$6/12)+(($B$26-$B$14)*$D$6/12)+(($B$38-$B$26)*$C$6/12)+(($B$50-$B$38)*$B$6/12))</f>
        <v>13410.228610833336</v>
      </c>
      <c r="E50" s="304">
        <f>+(C49*$E$10/12)+(((C50-C49)*$E$10/12)*0.5)</f>
        <v>4391.5410466666663</v>
      </c>
      <c r="F50" s="303">
        <f>-D50+F49</f>
        <v>-433375.21494666685</v>
      </c>
      <c r="G50" s="304">
        <f>+G49-E50</f>
        <v>-151305.32596666671</v>
      </c>
      <c r="H50" s="303">
        <f>B50+F50</f>
        <v>1448713.8050533333</v>
      </c>
      <c r="I50" s="303">
        <f>C50+G50</f>
        <v>1730783.6940333333</v>
      </c>
      <c r="J50" s="303">
        <f>I50-H50</f>
        <v>282069.88898000005</v>
      </c>
      <c r="K50" s="303">
        <f>-J50*$K$11</f>
        <v>-59234.676685800005</v>
      </c>
      <c r="L50" s="303">
        <f>-K50+K49</f>
        <v>1893.9243884749594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1882089.02</v>
      </c>
      <c r="C51" s="313">
        <f>C50</f>
        <v>1882089.02</v>
      </c>
      <c r="D51" s="303">
        <f>(($B$14*$F$6/12)+(($B$26-$B$14)*$E$6/12)+(($B$38-$B$26)*$D$6/12)+(($B$50-$B$38)*$C$6/12)+(($B$62-$B$50)*$B$6/12))</f>
        <v>12077.045974999999</v>
      </c>
      <c r="E51" s="304">
        <f>+(C50*$E$10/12)+(((C51-C50)*$E$10/12)*0.5)</f>
        <v>4391.5410466666663</v>
      </c>
      <c r="F51" s="303">
        <f>-D51+F50</f>
        <v>-445452.26092166686</v>
      </c>
      <c r="G51" s="304">
        <f>+G50-E51</f>
        <v>-155696.86701333339</v>
      </c>
      <c r="H51" s="303">
        <f>B51+F51</f>
        <v>1436636.7590783332</v>
      </c>
      <c r="I51" s="303">
        <f>C51+G51</f>
        <v>1726392.1529866667</v>
      </c>
      <c r="J51" s="303">
        <f>I51-H51</f>
        <v>289755.3939083335</v>
      </c>
      <c r="K51" s="303">
        <f>-J51*$K$11</f>
        <v>-60848.632720750029</v>
      </c>
      <c r="L51" s="303">
        <f>-K51+K50</f>
        <v>1613.9560349500243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1882089.02</v>
      </c>
      <c r="C52" s="313">
        <f>C51</f>
        <v>1882089.02</v>
      </c>
      <c r="D52" s="303">
        <f>(($B$14*$F$6/12)+(($B$26-$B$14)*$E$6/12)+(($B$38-$B$26)*$D$6/12)+(($B$50-$B$38)*$C$6/12)+(($B$62-$B$50)*$B$6/12))</f>
        <v>12077.045974999999</v>
      </c>
      <c r="E52" s="304">
        <f>+(C51*$E$10/12)+(((C52-C51)*$E$10/12)*0.5)</f>
        <v>4391.5410466666663</v>
      </c>
      <c r="F52" s="303">
        <f>-D52+F51</f>
        <v>-457529.30689666688</v>
      </c>
      <c r="G52" s="304">
        <f>+G51-E52</f>
        <v>-160088.40806000007</v>
      </c>
      <c r="H52" s="303">
        <f>B52+F52</f>
        <v>1424559.713103333</v>
      </c>
      <c r="I52" s="303">
        <f>C52+G52</f>
        <v>1722000.61194</v>
      </c>
      <c r="J52" s="303">
        <f>I52-H52</f>
        <v>297440.89883666695</v>
      </c>
      <c r="K52" s="303">
        <f>-J52*$K$11</f>
        <v>-62462.588755700061</v>
      </c>
      <c r="L52" s="303">
        <f>-K52+K51</f>
        <v>1613.9560349500316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1882089.02</v>
      </c>
      <c r="C53" s="313">
        <f>C52</f>
        <v>1882089.02</v>
      </c>
      <c r="D53" s="303">
        <f>(($B$14*$F$6/12)+(($B$26-$B$14)*$E$6/12)+(($B$38-$B$26)*$D$6/12)+(($B$50-$B$38)*$C$6/12)+(($B$62-$B$50)*$B$6/12))</f>
        <v>12077.045974999999</v>
      </c>
      <c r="E53" s="304">
        <f>+(C52*$E$10/12)+(((C53-C52)*$E$10/12)*0.5)</f>
        <v>4391.5410466666663</v>
      </c>
      <c r="F53" s="303">
        <f>-D53+F52</f>
        <v>-469606.3528716669</v>
      </c>
      <c r="G53" s="304">
        <f>+G52-E53</f>
        <v>-164479.94910666675</v>
      </c>
      <c r="H53" s="303">
        <f>B53+F53</f>
        <v>1412482.6671283331</v>
      </c>
      <c r="I53" s="303">
        <f>C53+G53</f>
        <v>1717609.0708933333</v>
      </c>
      <c r="J53" s="303">
        <f>I53-H53</f>
        <v>305126.40376500017</v>
      </c>
      <c r="K53" s="303">
        <f>-J53*$K$11</f>
        <v>-64076.544790650034</v>
      </c>
      <c r="L53" s="303">
        <f>-K53+K52</f>
        <v>1613.9560349499734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1882089.02</v>
      </c>
      <c r="C54" s="313">
        <f>C53</f>
        <v>1882089.02</v>
      </c>
      <c r="D54" s="303">
        <f>(($B$14*$F$6/12)+(($B$26-$B$14)*$E$6/12)+(($B$38-$B$26)*$D$6/12)+(($B$50-$B$38)*$C$6/12)+(($B$62-$B$50)*$B$6/12))</f>
        <v>12077.045974999999</v>
      </c>
      <c r="E54" s="304">
        <f>+(C53*$E$10/12)+(((C54-C53)*$E$10/12)*0.5)</f>
        <v>4391.5410466666663</v>
      </c>
      <c r="F54" s="303">
        <f>-D54+F53</f>
        <v>-481683.39884666691</v>
      </c>
      <c r="G54" s="304">
        <f>+G53-E54</f>
        <v>-168871.49015333343</v>
      </c>
      <c r="H54" s="303">
        <f>B54+F54</f>
        <v>1400405.6211533332</v>
      </c>
      <c r="I54" s="303">
        <f>C54+G54</f>
        <v>1713217.5298466666</v>
      </c>
      <c r="J54" s="303">
        <f>I54-H54</f>
        <v>312811.90869333339</v>
      </c>
      <c r="K54" s="303">
        <f>-J54*$K$11</f>
        <v>-65690.500825600015</v>
      </c>
      <c r="L54" s="303">
        <f>-K54+K53</f>
        <v>1613.9560349499807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1882089.02</v>
      </c>
      <c r="C55" s="313">
        <f>C54</f>
        <v>1882089.02</v>
      </c>
      <c r="D55" s="303">
        <f>(($B$14*$F$6/12)+(($B$26-$B$14)*$E$6/12)+(($B$38-$B$26)*$D$6/12)+(($B$50-$B$38)*$C$6/12)+(($B$62-$B$50)*$B$6/12))</f>
        <v>12077.045974999999</v>
      </c>
      <c r="E55" s="304">
        <f>+(C54*$E$10/12)+(((C55-C54)*$E$10/12)*0.5)</f>
        <v>4391.5410466666663</v>
      </c>
      <c r="F55" s="303">
        <f>-D55+F54</f>
        <v>-493760.44482166693</v>
      </c>
      <c r="G55" s="304">
        <f>+G54-E55</f>
        <v>-173263.03120000011</v>
      </c>
      <c r="H55" s="303">
        <f>B55+F55</f>
        <v>1388328.5751783331</v>
      </c>
      <c r="I55" s="303">
        <f>C55+G55</f>
        <v>1708825.9887999999</v>
      </c>
      <c r="J55" s="303">
        <f>I55-H55</f>
        <v>320497.41362166684</v>
      </c>
      <c r="K55" s="303">
        <f>-J55*$K$11</f>
        <v>-67304.456860550039</v>
      </c>
      <c r="L55" s="303">
        <f>-K55+K54</f>
        <v>1613.9560349500243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1882089.02</v>
      </c>
      <c r="C56" s="313">
        <f>C55</f>
        <v>1882089.02</v>
      </c>
      <c r="D56" s="303">
        <f>(($B$14*$F$6/12)+(($B$26-$B$14)*$E$6/12)+(($B$38-$B$26)*$D$6/12)+(($B$50-$B$38)*$C$6/12)+(($B$62-$B$50)*$B$6/12))</f>
        <v>12077.045974999999</v>
      </c>
      <c r="E56" s="304">
        <f>+(C55*$E$10/12)+(((C56-C55)*$E$10/12)*0.5)</f>
        <v>4391.5410466666663</v>
      </c>
      <c r="F56" s="303">
        <f>-D56+F55</f>
        <v>-505837.49079666694</v>
      </c>
      <c r="G56" s="304">
        <f>+G55-E56</f>
        <v>-177654.57224666679</v>
      </c>
      <c r="H56" s="303">
        <f>B56+F56</f>
        <v>1376251.529203333</v>
      </c>
      <c r="I56" s="303">
        <f>C56+G56</f>
        <v>1704434.4477533333</v>
      </c>
      <c r="J56" s="303">
        <f>I56-H56</f>
        <v>328182.91855000029</v>
      </c>
      <c r="K56" s="303">
        <f>-J56*$K$11</f>
        <v>-68918.412895500063</v>
      </c>
      <c r="L56" s="303">
        <f>-K56+K55</f>
        <v>1613.9560349500243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1882089.02</v>
      </c>
      <c r="C57" s="313">
        <f>C56</f>
        <v>1882089.02</v>
      </c>
      <c r="D57" s="303">
        <f>(($B$14*$F$6/12)+(($B$26-$B$14)*$E$6/12)+(($B$38-$B$26)*$D$6/12)+(($B$50-$B$38)*$C$6/12)+(($B$62-$B$50)*$B$6/12))</f>
        <v>12077.045974999999</v>
      </c>
      <c r="E57" s="304">
        <f>+(C56*$E$10/12)+(((C57-C56)*$E$10/12)*0.5)</f>
        <v>4391.5410466666663</v>
      </c>
      <c r="F57" s="303">
        <f>-D57+F56</f>
        <v>-517914.53677166696</v>
      </c>
      <c r="G57" s="304">
        <f>+G56-E57</f>
        <v>-182046.11329333347</v>
      </c>
      <c r="H57" s="303">
        <f>B57+F57</f>
        <v>1364174.4832283331</v>
      </c>
      <c r="I57" s="303">
        <f>C57+G57</f>
        <v>1700042.9067066666</v>
      </c>
      <c r="J57" s="303">
        <f>I57-H57</f>
        <v>335868.42347833351</v>
      </c>
      <c r="K57" s="303">
        <f>-J57*$K$11</f>
        <v>-70532.368930450029</v>
      </c>
      <c r="L57" s="303">
        <f>-K57+K56</f>
        <v>1613.9560349499661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1882089.02</v>
      </c>
      <c r="C58" s="313">
        <f>C57</f>
        <v>1882089.02</v>
      </c>
      <c r="D58" s="303">
        <f>(($B$14*$F$6/12)+(($B$26-$B$14)*$E$6/12)+(($B$38-$B$26)*$D$6/12)+(($B$50-$B$38)*$C$6/12)+(($B$62-$B$50)*$B$6/12))</f>
        <v>12077.045974999999</v>
      </c>
      <c r="E58" s="304">
        <f>+(C57*$E$10/12)+(((C58-C57)*$E$10/12)*0.5)</f>
        <v>4391.5410466666663</v>
      </c>
      <c r="F58" s="303">
        <f>-D58+F57</f>
        <v>-529991.58274666697</v>
      </c>
      <c r="G58" s="304">
        <f>+G57-E58</f>
        <v>-186437.65434000015</v>
      </c>
      <c r="H58" s="303">
        <f>B58+F58</f>
        <v>1352097.4372533332</v>
      </c>
      <c r="I58" s="303">
        <f>C58+G58</f>
        <v>1695651.3656599999</v>
      </c>
      <c r="J58" s="303">
        <f>I58-H58</f>
        <v>343553.92840666673</v>
      </c>
      <c r="K58" s="303">
        <f>-J58*$K$11</f>
        <v>-72146.32496540001</v>
      </c>
      <c r="L58" s="303">
        <f>-K58+K57</f>
        <v>1613.9560349499807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1882089.02</v>
      </c>
      <c r="C59" s="313">
        <f>C58</f>
        <v>1882089.02</v>
      </c>
      <c r="D59" s="303">
        <f>(($B$14*$F$6/12)+(($B$26-$B$14)*$E$6/12)+(($B$38-$B$26)*$D$6/12)+(($B$50-$B$38)*$C$6/12)+(($B$62-$B$50)*$B$6/12))</f>
        <v>12077.045974999999</v>
      </c>
      <c r="E59" s="304">
        <f>+(C58*$E$10/12)+(((C59-C58)*$E$10/12)*0.5)</f>
        <v>4391.5410466666663</v>
      </c>
      <c r="F59" s="303">
        <f>-D59+F58</f>
        <v>-542068.62872166699</v>
      </c>
      <c r="G59" s="304">
        <f>+G58-E59</f>
        <v>-190829.19538666683</v>
      </c>
      <c r="H59" s="303">
        <f>B59+F59</f>
        <v>1340020.391278333</v>
      </c>
      <c r="I59" s="303">
        <f>C59+G59</f>
        <v>1691259.8246133332</v>
      </c>
      <c r="J59" s="303">
        <f>I59-H59</f>
        <v>351239.43333500018</v>
      </c>
      <c r="K59" s="303">
        <f>-J59*$K$11</f>
        <v>-73760.281000350034</v>
      </c>
      <c r="L59" s="303">
        <f>-K59+K58</f>
        <v>1613.9560349500243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1882089.02</v>
      </c>
      <c r="C60" s="313">
        <f>C59</f>
        <v>1882089.02</v>
      </c>
      <c r="D60" s="303">
        <f>(($B$14*$F$6/12)+(($B$26-$B$14)*$E$6/12)+(($B$38-$B$26)*$D$6/12)+(($B$50-$B$38)*$C$6/12)+(($B$62-$B$50)*$B$6/12))</f>
        <v>12077.045974999999</v>
      </c>
      <c r="E60" s="304">
        <f>+(C59*$E$10/12)+(((C60-C59)*$E$10/12)*0.5)</f>
        <v>4391.5410466666663</v>
      </c>
      <c r="F60" s="303">
        <f>-D60+F59</f>
        <v>-554145.674696667</v>
      </c>
      <c r="G60" s="304">
        <f>+G59-E60</f>
        <v>-195220.73643333351</v>
      </c>
      <c r="H60" s="303">
        <f>B60+F60</f>
        <v>1327943.3453033329</v>
      </c>
      <c r="I60" s="303">
        <f>C60+G60</f>
        <v>1686868.2835666665</v>
      </c>
      <c r="J60" s="303">
        <f>I60-H60</f>
        <v>358924.93826333364</v>
      </c>
      <c r="K60" s="303">
        <f>-J60*$K$11</f>
        <v>-75374.237035300059</v>
      </c>
      <c r="L60" s="303">
        <f>-K60+K59</f>
        <v>1613.9560349500243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1882089.02</v>
      </c>
      <c r="C61" s="313">
        <f>C60</f>
        <v>1882089.02</v>
      </c>
      <c r="D61" s="303">
        <f>(($B$14*$F$6/12)+(($B$26-$B$14)*$E$6/12)+(($B$38-$B$26)*$D$6/12)+(($B$50-$B$38)*$C$6/12)+(($B$62-$B$50)*$B$6/12))</f>
        <v>12077.045974999999</v>
      </c>
      <c r="E61" s="304">
        <f>+(C60*$E$10/12)+(((C61-C60)*$E$10/12)*0.5)</f>
        <v>4391.5410466666663</v>
      </c>
      <c r="F61" s="303">
        <f>-D61+F60</f>
        <v>-566222.72067166702</v>
      </c>
      <c r="G61" s="304">
        <f>+G60-E61</f>
        <v>-199612.27748000019</v>
      </c>
      <c r="H61" s="303">
        <f>B61+F61</f>
        <v>1315866.299328333</v>
      </c>
      <c r="I61" s="303">
        <f>C61+G61</f>
        <v>1682476.7425199999</v>
      </c>
      <c r="J61" s="303">
        <f>I61-H61</f>
        <v>366610.44319166685</v>
      </c>
      <c r="K61" s="303">
        <f>-J61*$K$11</f>
        <v>-76988.193070250039</v>
      </c>
      <c r="L61" s="303">
        <f>-K61+K60</f>
        <v>1613.9560349499807</v>
      </c>
      <c r="M61" s="361"/>
      <c r="N61" s="299"/>
    </row>
    <row r="62" spans="1:15" ht="15" x14ac:dyDescent="0.25">
      <c r="A62" s="314">
        <v>46022</v>
      </c>
      <c r="B62" s="303">
        <f>C62</f>
        <v>1882089.02</v>
      </c>
      <c r="C62" s="313">
        <f>C61</f>
        <v>1882089.02</v>
      </c>
      <c r="D62" s="303">
        <f>(($B$14*$F$6/12)+(($B$26-$B$14)*$E$6/12)+(($B$38-$B$26)*$D$6/12)+(($B$50-$B$38)*$C$6/12)+(($B$62-$B$50)*$B$6/12))</f>
        <v>12077.045974999999</v>
      </c>
      <c r="E62" s="304">
        <f>+(C61*$E$10/12)+(((C62-C61)*$E$10/12)*0.5)</f>
        <v>4391.5410466666663</v>
      </c>
      <c r="F62" s="303">
        <f>-D62+F61</f>
        <v>-578299.76664666703</v>
      </c>
      <c r="G62" s="304">
        <f>+G61-E62</f>
        <v>-204003.81852666687</v>
      </c>
      <c r="H62" s="303">
        <f>B62+F62</f>
        <v>1303789.2533533331</v>
      </c>
      <c r="I62" s="303">
        <f>C62+G62</f>
        <v>1678085.2014733332</v>
      </c>
      <c r="J62" s="303">
        <f>I62-H62</f>
        <v>374295.94812000007</v>
      </c>
      <c r="K62" s="303">
        <f>-J62*$K$11</f>
        <v>-78602.149105200006</v>
      </c>
      <c r="L62" s="303">
        <f>-K62+K61</f>
        <v>1613.9560349499661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8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1881654.06</v>
      </c>
      <c r="C68" s="285">
        <f>C26</f>
        <v>1881654.06</v>
      </c>
      <c r="D68" s="285">
        <f>SUM(D15:D26)</f>
        <v>93677.189916666684</v>
      </c>
      <c r="E68" s="285">
        <f>SUM(E15:E26)</f>
        <v>45910.865420000002</v>
      </c>
      <c r="F68" s="285">
        <f>F26</f>
        <v>-93677.189916666684</v>
      </c>
      <c r="G68" s="285">
        <f>G26</f>
        <v>-45910.865420000002</v>
      </c>
      <c r="H68" s="285">
        <f>H26</f>
        <v>1787976.8700833335</v>
      </c>
      <c r="I68" s="285">
        <f>I26</f>
        <v>1835743.1945800001</v>
      </c>
      <c r="J68" s="285">
        <f>J26</f>
        <v>47766.324496666668</v>
      </c>
      <c r="K68" s="285">
        <f>K26</f>
        <v>-10030.9281443</v>
      </c>
      <c r="L68" s="285">
        <f>SUM(L15:L26)</f>
        <v>10030.9281443</v>
      </c>
      <c r="M68" s="297"/>
      <c r="N68" s="297"/>
    </row>
    <row r="69" spans="1:15" x14ac:dyDescent="0.2">
      <c r="A69" s="301" t="s">
        <v>248</v>
      </c>
      <c r="B69" s="285">
        <f>(B14+B26+SUM(B15:B25)*2)/24</f>
        <v>1639673.7650000004</v>
      </c>
      <c r="C69" s="285">
        <f>(C14+C26+SUM(C15:C25)*2)/24</f>
        <v>1639673.7650000004</v>
      </c>
      <c r="D69" s="285"/>
      <c r="E69" s="300"/>
      <c r="F69" s="285">
        <f>(F14+F26+SUM(F15:F25)*2)/24</f>
        <v>-46763.695003472232</v>
      </c>
      <c r="G69" s="285">
        <f>(G14+G26+SUM(G15:G25)*2)/24</f>
        <v>-20102.997690416665</v>
      </c>
      <c r="H69" s="285">
        <f>(H14+H26+SUM(H15:H25)*2)/24</f>
        <v>1592910.0699965276</v>
      </c>
      <c r="I69" s="285">
        <f>(I14+I26+SUM(I15:I25)*2)/24</f>
        <v>1619570.7673095835</v>
      </c>
      <c r="J69" s="285">
        <f>(J14+J26+SUM(J15:J25)*2)/24</f>
        <v>26660.697313055542</v>
      </c>
      <c r="K69" s="285">
        <f>(K14+K26+SUM(K15:K25)*2)/24</f>
        <v>-5598.7464357416648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7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7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7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1:12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1:12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570312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264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2.76E-2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2.76E-2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3973.6485416666669</v>
      </c>
      <c r="E15" s="304">
        <v>0</v>
      </c>
      <c r="F15" s="303">
        <f t="shared" ref="F15:F28" si="0">-D15+F14</f>
        <v>-3973.6485416666669</v>
      </c>
      <c r="G15" s="304">
        <f t="shared" ref="G15:G28" si="1">+G14-E15</f>
        <v>0</v>
      </c>
      <c r="H15" s="303">
        <f t="shared" ref="H15:I28" si="2">B15+F15</f>
        <v>-3973.6485416666669</v>
      </c>
      <c r="I15" s="303">
        <f t="shared" si="2"/>
        <v>0</v>
      </c>
      <c r="J15" s="303">
        <f t="shared" ref="J15:J28" si="3">I15-H15</f>
        <v>3973.6485416666669</v>
      </c>
      <c r="K15" s="303">
        <f t="shared" ref="K15:K28" si="4">-J15*$K$11</f>
        <v>-834.46619375</v>
      </c>
      <c r="L15" s="303">
        <f t="shared" ref="L15:L28" si="5">-K15+K14</f>
        <v>834.46619375</v>
      </c>
      <c r="M15" s="363"/>
    </row>
    <row r="16" spans="1:23" x14ac:dyDescent="0.2">
      <c r="A16" s="314">
        <v>44620</v>
      </c>
      <c r="B16" s="303">
        <v>953675.65</v>
      </c>
      <c r="C16" s="313">
        <v>953675.65</v>
      </c>
      <c r="D16" s="303">
        <f>(($B$14*$C$6/12)+(($B$16-$B$14)*$B$6/12))+M16</f>
        <v>3973.6485416666669</v>
      </c>
      <c r="E16" s="304">
        <f t="shared" ref="E16:E25" si="6">+(C15*$E$10/12)+(((C16-C15)*$E$10/12)*0.5)</f>
        <v>1096.7269975000002</v>
      </c>
      <c r="F16" s="303">
        <f t="shared" si="0"/>
        <v>-7947.2970833333338</v>
      </c>
      <c r="G16" s="304">
        <f t="shared" si="1"/>
        <v>-1096.7269975000002</v>
      </c>
      <c r="H16" s="303">
        <f t="shared" si="2"/>
        <v>945728.35291666666</v>
      </c>
      <c r="I16" s="303">
        <f t="shared" si="2"/>
        <v>952578.92300249997</v>
      </c>
      <c r="J16" s="303">
        <f t="shared" si="3"/>
        <v>6850.5700858333148</v>
      </c>
      <c r="K16" s="303">
        <f t="shared" si="4"/>
        <v>-1438.619718024996</v>
      </c>
      <c r="L16" s="303">
        <f t="shared" si="5"/>
        <v>604.15352427499602</v>
      </c>
      <c r="M16" s="363"/>
    </row>
    <row r="17" spans="1:15" ht="15" x14ac:dyDescent="0.25">
      <c r="A17" s="314">
        <v>44651</v>
      </c>
      <c r="B17" s="303">
        <v>955579.11</v>
      </c>
      <c r="C17" s="313">
        <v>955579.11</v>
      </c>
      <c r="D17" s="303">
        <f>(($B$14*$C$6/12)+((B17-$B$14)*$B$6/12))+M17</f>
        <v>3981.5796250000003</v>
      </c>
      <c r="E17" s="304">
        <f t="shared" si="6"/>
        <v>2195.6429740000003</v>
      </c>
      <c r="F17" s="303">
        <f t="shared" si="0"/>
        <v>-11928.876708333333</v>
      </c>
      <c r="G17" s="304">
        <f t="shared" si="1"/>
        <v>-3292.3699715000002</v>
      </c>
      <c r="H17" s="303">
        <f t="shared" si="2"/>
        <v>943650.23329166661</v>
      </c>
      <c r="I17" s="303">
        <f t="shared" si="2"/>
        <v>952286.74002849997</v>
      </c>
      <c r="J17" s="303">
        <f t="shared" si="3"/>
        <v>8636.5067368333694</v>
      </c>
      <c r="K17" s="303">
        <f t="shared" si="4"/>
        <v>-1813.6664147350075</v>
      </c>
      <c r="L17" s="303">
        <f t="shared" si="5"/>
        <v>375.04669671001147</v>
      </c>
      <c r="M17" s="361"/>
      <c r="N17" s="320"/>
    </row>
    <row r="18" spans="1:15" ht="15" x14ac:dyDescent="0.25">
      <c r="A18" s="314">
        <v>44681</v>
      </c>
      <c r="B18" s="303">
        <v>956269.09</v>
      </c>
      <c r="C18" s="313">
        <v>956269.09</v>
      </c>
      <c r="D18" s="303">
        <f>(($B$14*$C$6/12)+((B18-$B$14)*$B$6/12))+M18</f>
        <v>3984.4545416666665</v>
      </c>
      <c r="E18" s="304">
        <f t="shared" si="6"/>
        <v>2198.6254300000001</v>
      </c>
      <c r="F18" s="303">
        <f t="shared" si="0"/>
        <v>-15913.331249999999</v>
      </c>
      <c r="G18" s="304">
        <f t="shared" si="1"/>
        <v>-5490.9954015000003</v>
      </c>
      <c r="H18" s="303">
        <f t="shared" si="2"/>
        <v>940355.75874999992</v>
      </c>
      <c r="I18" s="303">
        <f t="shared" si="2"/>
        <v>950778.09459849994</v>
      </c>
      <c r="J18" s="303">
        <f t="shared" si="3"/>
        <v>10422.335848500021</v>
      </c>
      <c r="K18" s="303">
        <f t="shared" si="4"/>
        <v>-2188.6905281850045</v>
      </c>
      <c r="L18" s="303">
        <f t="shared" si="5"/>
        <v>375.024113449997</v>
      </c>
      <c r="M18" s="361"/>
    </row>
    <row r="19" spans="1:15" ht="15" x14ac:dyDescent="0.25">
      <c r="A19" s="314">
        <v>44712</v>
      </c>
      <c r="B19" s="303">
        <v>957509.11</v>
      </c>
      <c r="C19" s="313">
        <v>957509.11</v>
      </c>
      <c r="D19" s="303">
        <f>(($B$14*$C$6/12)+((B19-$B$14)*$B$6/12))+M19</f>
        <v>3989.6212916666668</v>
      </c>
      <c r="E19" s="304">
        <f t="shared" si="6"/>
        <v>2200.8449299999997</v>
      </c>
      <c r="F19" s="303">
        <f t="shared" si="0"/>
        <v>-19902.952541666666</v>
      </c>
      <c r="G19" s="304">
        <f t="shared" si="1"/>
        <v>-7691.8403314999996</v>
      </c>
      <c r="H19" s="303">
        <f t="shared" si="2"/>
        <v>937606.1574583333</v>
      </c>
      <c r="I19" s="303">
        <f t="shared" si="2"/>
        <v>949817.26966849994</v>
      </c>
      <c r="J19" s="303">
        <f t="shared" si="3"/>
        <v>12211.112210166641</v>
      </c>
      <c r="K19" s="303">
        <f t="shared" si="4"/>
        <v>-2564.3335641349945</v>
      </c>
      <c r="L19" s="303">
        <f t="shared" si="5"/>
        <v>375.64303594999001</v>
      </c>
      <c r="M19" s="361"/>
    </row>
    <row r="20" spans="1:15" ht="15" x14ac:dyDescent="0.25">
      <c r="A20" s="314">
        <v>44742</v>
      </c>
      <c r="B20" s="303">
        <v>958073.45</v>
      </c>
      <c r="C20" s="313">
        <v>958073.45</v>
      </c>
      <c r="D20" s="303">
        <f>(($B$14*$C$6/12)+((B20-$B$14)*$B$6/12))+M20</f>
        <v>3991.9727083333332</v>
      </c>
      <c r="E20" s="304">
        <f t="shared" si="6"/>
        <v>2202.9199439999998</v>
      </c>
      <c r="F20" s="303">
        <f t="shared" si="0"/>
        <v>-23894.92525</v>
      </c>
      <c r="G20" s="304">
        <f t="shared" si="1"/>
        <v>-9894.7602754999989</v>
      </c>
      <c r="H20" s="303">
        <f t="shared" si="2"/>
        <v>934178.52474999998</v>
      </c>
      <c r="I20" s="303">
        <f t="shared" si="2"/>
        <v>948178.68972449994</v>
      </c>
      <c r="J20" s="303">
        <f t="shared" si="3"/>
        <v>14000.164974499959</v>
      </c>
      <c r="K20" s="303">
        <f t="shared" si="4"/>
        <v>-2940.0346446449912</v>
      </c>
      <c r="L20" s="303">
        <f t="shared" si="5"/>
        <v>375.7010805099967</v>
      </c>
      <c r="M20" s="361"/>
    </row>
    <row r="21" spans="1:15" ht="15" x14ac:dyDescent="0.25">
      <c r="A21" s="314">
        <v>44773</v>
      </c>
      <c r="B21" s="303">
        <v>958650.5</v>
      </c>
      <c r="C21" s="313">
        <v>958650.5</v>
      </c>
      <c r="D21" s="303">
        <f>(($B$14*$C$6/12)+((B21-$B$14)*$B$6/12))+M21</f>
        <v>3994.3770833333333</v>
      </c>
      <c r="E21" s="304">
        <f t="shared" si="6"/>
        <v>2204.2325424999999</v>
      </c>
      <c r="F21" s="303">
        <f t="shared" si="0"/>
        <v>-27889.302333333333</v>
      </c>
      <c r="G21" s="304">
        <f t="shared" si="1"/>
        <v>-12098.992817999999</v>
      </c>
      <c r="H21" s="303">
        <f t="shared" si="2"/>
        <v>930761.1976666667</v>
      </c>
      <c r="I21" s="303">
        <f t="shared" si="2"/>
        <v>946551.50718199997</v>
      </c>
      <c r="J21" s="303">
        <f t="shared" si="3"/>
        <v>15790.309515333269</v>
      </c>
      <c r="K21" s="303">
        <f t="shared" si="4"/>
        <v>-3315.9649982199862</v>
      </c>
      <c r="L21" s="303">
        <f t="shared" si="5"/>
        <v>375.93035357499502</v>
      </c>
      <c r="M21" s="361"/>
    </row>
    <row r="22" spans="1:15" ht="15" x14ac:dyDescent="0.25">
      <c r="A22" s="314">
        <v>44804</v>
      </c>
      <c r="B22" s="303">
        <v>959394.73</v>
      </c>
      <c r="C22" s="313">
        <v>959394.73</v>
      </c>
      <c r="D22" s="303">
        <f>(($B$14*$C$6/12)+((B22-$B$14)*$B$6/12))+M22</f>
        <v>3997.4780416666667</v>
      </c>
      <c r="E22" s="304">
        <f t="shared" si="6"/>
        <v>2205.7520144999999</v>
      </c>
      <c r="F22" s="303">
        <f t="shared" si="0"/>
        <v>-31886.780374999998</v>
      </c>
      <c r="G22" s="304">
        <f t="shared" si="1"/>
        <v>-14304.744832499999</v>
      </c>
      <c r="H22" s="303">
        <f t="shared" si="2"/>
        <v>927507.94962500001</v>
      </c>
      <c r="I22" s="303">
        <f t="shared" si="2"/>
        <v>945089.98516749998</v>
      </c>
      <c r="J22" s="303">
        <f t="shared" si="3"/>
        <v>17582.035542499973</v>
      </c>
      <c r="K22" s="303">
        <f t="shared" si="4"/>
        <v>-3692.227463924994</v>
      </c>
      <c r="L22" s="303">
        <f t="shared" si="5"/>
        <v>376.2624657050078</v>
      </c>
      <c r="M22" s="361"/>
    </row>
    <row r="23" spans="1:15" ht="15" x14ac:dyDescent="0.25">
      <c r="A23" s="314">
        <v>44834</v>
      </c>
      <c r="B23" s="303">
        <v>961043.13</v>
      </c>
      <c r="C23" s="313">
        <v>961043.13</v>
      </c>
      <c r="D23" s="303">
        <f>(($B$14*$C$6/12)+((B23-$B$14)*$B$6/12))+M23</f>
        <v>4004.3463750000005</v>
      </c>
      <c r="E23" s="304">
        <f t="shared" si="6"/>
        <v>2208.5035389999998</v>
      </c>
      <c r="F23" s="303">
        <f t="shared" si="0"/>
        <v>-35891.126749999996</v>
      </c>
      <c r="G23" s="304">
        <f t="shared" si="1"/>
        <v>-16513.248371499998</v>
      </c>
      <c r="H23" s="303">
        <f t="shared" si="2"/>
        <v>925152.00325000007</v>
      </c>
      <c r="I23" s="303">
        <f t="shared" si="2"/>
        <v>944529.88162850006</v>
      </c>
      <c r="J23" s="303">
        <f t="shared" si="3"/>
        <v>19377.878378499998</v>
      </c>
      <c r="K23" s="303">
        <f t="shared" si="4"/>
        <v>-4069.3544594849996</v>
      </c>
      <c r="L23" s="303">
        <f t="shared" si="5"/>
        <v>377.12699556000553</v>
      </c>
      <c r="M23" s="361"/>
      <c r="O23" s="299"/>
    </row>
    <row r="24" spans="1:15" ht="15" x14ac:dyDescent="0.25">
      <c r="A24" s="314">
        <v>44865</v>
      </c>
      <c r="B24" s="303">
        <v>961575.21</v>
      </c>
      <c r="C24" s="313">
        <v>961575.21</v>
      </c>
      <c r="D24" s="303">
        <f>(($B$14*$C$6/12)+((B24-$B$14)*$B$6/12))+M24</f>
        <v>4006.5633750000002</v>
      </c>
      <c r="E24" s="304">
        <f t="shared" si="6"/>
        <v>2211.0110909999999</v>
      </c>
      <c r="F24" s="303">
        <f t="shared" si="0"/>
        <v>-39897.690124999994</v>
      </c>
      <c r="G24" s="304">
        <f t="shared" si="1"/>
        <v>-18724.259462499998</v>
      </c>
      <c r="H24" s="303">
        <f t="shared" si="2"/>
        <v>921677.519875</v>
      </c>
      <c r="I24" s="303">
        <f t="shared" si="2"/>
        <v>942850.95053749997</v>
      </c>
      <c r="J24" s="303">
        <f t="shared" si="3"/>
        <v>21173.430662499974</v>
      </c>
      <c r="K24" s="303">
        <f t="shared" si="4"/>
        <v>-4446.4204391249941</v>
      </c>
      <c r="L24" s="303">
        <f t="shared" si="5"/>
        <v>377.06597963999457</v>
      </c>
      <c r="M24" s="361"/>
      <c r="N24" s="299"/>
      <c r="O24" s="299"/>
    </row>
    <row r="25" spans="1:15" ht="15" x14ac:dyDescent="0.25">
      <c r="A25" s="314">
        <v>44895</v>
      </c>
      <c r="B25" s="303">
        <v>962270.17</v>
      </c>
      <c r="C25" s="313">
        <v>962270.17</v>
      </c>
      <c r="D25" s="303">
        <f>(($B$14*$C$6/12)+((B25-$B$14)*$B$6/12))+M25</f>
        <v>4009.459041666667</v>
      </c>
      <c r="E25" s="304">
        <f t="shared" si="6"/>
        <v>2212.4221869999997</v>
      </c>
      <c r="F25" s="303">
        <f t="shared" si="0"/>
        <v>-43907.149166666662</v>
      </c>
      <c r="G25" s="304">
        <f t="shared" si="1"/>
        <v>-20936.681649499998</v>
      </c>
      <c r="H25" s="303">
        <f t="shared" si="2"/>
        <v>918363.02083333337</v>
      </c>
      <c r="I25" s="303">
        <f t="shared" si="2"/>
        <v>941333.4883505</v>
      </c>
      <c r="J25" s="303">
        <f t="shared" si="3"/>
        <v>22970.467517166631</v>
      </c>
      <c r="K25" s="303">
        <f t="shared" si="4"/>
        <v>-4823.7981786049922</v>
      </c>
      <c r="L25" s="303">
        <f t="shared" si="5"/>
        <v>377.37773947999813</v>
      </c>
      <c r="M25" s="361"/>
      <c r="N25" s="315"/>
      <c r="O25" s="299"/>
    </row>
    <row r="26" spans="1:15" ht="15" x14ac:dyDescent="0.25">
      <c r="A26" s="314">
        <v>44926</v>
      </c>
      <c r="B26" s="303">
        <v>963302.32</v>
      </c>
      <c r="C26" s="313">
        <v>963302.32</v>
      </c>
      <c r="D26" s="303">
        <f>(($B$14*$C$6/12)+((B26-$B$14)*$B$6/12))+M26</f>
        <v>4013.7596666666668</v>
      </c>
      <c r="E26" s="304">
        <f>+(C25*$E$10/12)+(((C26-C25)*$E$10/12)*0.5)</f>
        <v>2214.4083634999997</v>
      </c>
      <c r="F26" s="303">
        <f t="shared" si="0"/>
        <v>-47920.908833333327</v>
      </c>
      <c r="G26" s="304">
        <f t="shared" si="1"/>
        <v>-23151.090012999997</v>
      </c>
      <c r="H26" s="303">
        <f t="shared" si="2"/>
        <v>915381.41116666666</v>
      </c>
      <c r="I26" s="303">
        <f t="shared" si="2"/>
        <v>940151.229987</v>
      </c>
      <c r="J26" s="303">
        <f t="shared" si="3"/>
        <v>24769.818820333341</v>
      </c>
      <c r="K26" s="303">
        <f t="shared" si="4"/>
        <v>-5201.6619522700012</v>
      </c>
      <c r="L26" s="303">
        <f t="shared" si="5"/>
        <v>377.86377366500892</v>
      </c>
      <c r="M26" s="361"/>
      <c r="O26" s="299"/>
    </row>
    <row r="27" spans="1:15" ht="15" x14ac:dyDescent="0.25">
      <c r="A27" s="314">
        <v>44957</v>
      </c>
      <c r="B27" s="303">
        <v>963179.1</v>
      </c>
      <c r="C27" s="313">
        <v>963179.1</v>
      </c>
      <c r="D27" s="303">
        <f>(($B$14*$D$6/12)+(($B$26-$B$14)*$C$6/12)+((B27-$B$26)*$B$6/12))</f>
        <v>7625.6299499999996</v>
      </c>
      <c r="E27" s="304">
        <f>+(C26*$E$10/12)+(((C27-C26)*$E$10/12)*0.5)</f>
        <v>2215.4536330000001</v>
      </c>
      <c r="F27" s="303">
        <f t="shared" si="0"/>
        <v>-55546.53878333333</v>
      </c>
      <c r="G27" s="304">
        <f t="shared" si="1"/>
        <v>-25366.543645999998</v>
      </c>
      <c r="H27" s="303">
        <f t="shared" si="2"/>
        <v>907632.5612166666</v>
      </c>
      <c r="I27" s="303">
        <f t="shared" si="2"/>
        <v>937812.556354</v>
      </c>
      <c r="J27" s="303">
        <f t="shared" si="3"/>
        <v>30179.995137333404</v>
      </c>
      <c r="K27" s="303">
        <f t="shared" si="4"/>
        <v>-6337.7989788400146</v>
      </c>
      <c r="L27" s="303">
        <f t="shared" si="5"/>
        <v>1136.1370265700134</v>
      </c>
      <c r="M27" s="361"/>
      <c r="O27" s="299"/>
    </row>
    <row r="28" spans="1:15" ht="15" x14ac:dyDescent="0.25">
      <c r="A28" s="314">
        <v>44985</v>
      </c>
      <c r="B28" s="303">
        <v>963428.56</v>
      </c>
      <c r="C28" s="313">
        <v>963428.56</v>
      </c>
      <c r="D28" s="303">
        <f>(($B$14*$D$6/12)+(($B$26-$B$14)*$C$6/12)+((B28-$B$26)*$B$6/12))</f>
        <v>7626.669366666667</v>
      </c>
      <c r="E28" s="304">
        <f>+(C27*$E$10/12)+(((C28-C27)*$E$10/12)*0.5)</f>
        <v>2215.5988090000001</v>
      </c>
      <c r="F28" s="303">
        <f t="shared" si="0"/>
        <v>-63173.208149999999</v>
      </c>
      <c r="G28" s="304">
        <f t="shared" si="1"/>
        <v>-27582.142454999997</v>
      </c>
      <c r="H28" s="303">
        <f t="shared" si="2"/>
        <v>900255.35185000009</v>
      </c>
      <c r="I28" s="303">
        <f t="shared" si="2"/>
        <v>935846.41754500009</v>
      </c>
      <c r="J28" s="303">
        <f t="shared" si="3"/>
        <v>35591.065694999998</v>
      </c>
      <c r="K28" s="303">
        <f t="shared" si="4"/>
        <v>-7474.1237959499995</v>
      </c>
      <c r="L28" s="303">
        <f t="shared" si="5"/>
        <v>1136.3248171099849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963520.11</v>
      </c>
      <c r="C29" s="313">
        <v>963520.11</v>
      </c>
      <c r="D29" s="303">
        <f>(($B$14*$D$6/12)+(($B$26-$B$14)*$C$6/12)+(($B$38-$B$26)*$B$6/12))</f>
        <v>7627.0508249999993</v>
      </c>
      <c r="E29" s="304">
        <f>+(C28*$E$10/12)+(((C29-C28)*$E$10/12)*0.5)</f>
        <v>2215.9909704999995</v>
      </c>
      <c r="F29" s="303">
        <f>-D29+F28</f>
        <v>-70800.258975000004</v>
      </c>
      <c r="G29" s="304">
        <f>+G28-E29</f>
        <v>-29798.133425499997</v>
      </c>
      <c r="H29" s="303">
        <f>B29+F29</f>
        <v>892719.85102499998</v>
      </c>
      <c r="I29" s="303">
        <f>C29+G29</f>
        <v>933721.97657449997</v>
      </c>
      <c r="J29" s="303">
        <f>I29-H29</f>
        <v>41002.125549499993</v>
      </c>
      <c r="K29" s="303">
        <f>-J29*$K$11</f>
        <v>-8610.4463653949988</v>
      </c>
      <c r="L29" s="303">
        <f>-K29+K28</f>
        <v>1136.3225694449993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963520.11</v>
      </c>
      <c r="C30" s="313">
        <f>C29</f>
        <v>963520.11</v>
      </c>
      <c r="D30" s="303">
        <f>(($B$14*$D$6/12)+(($B$26-$B$14)*$C$6/12)+(($B$38-$B$26)*$B$6/12))</f>
        <v>7627.0508249999993</v>
      </c>
      <c r="E30" s="304">
        <f>+(C29*$E$10/12)+(((C30-C29)*$E$10/12)*0.5)</f>
        <v>2216.0962530000002</v>
      </c>
      <c r="F30" s="303">
        <f>-D30+F29</f>
        <v>-78427.309800000003</v>
      </c>
      <c r="G30" s="304">
        <f>+G29-E30</f>
        <v>-32014.229678499996</v>
      </c>
      <c r="H30" s="303">
        <f>B30+F30</f>
        <v>885092.80019999994</v>
      </c>
      <c r="I30" s="303">
        <f>C30+G30</f>
        <v>931505.88032150001</v>
      </c>
      <c r="J30" s="303">
        <f>I30-H30</f>
        <v>46413.080121500068</v>
      </c>
      <c r="K30" s="303">
        <f>-J30*$K$11</f>
        <v>-9746.7468255150143</v>
      </c>
      <c r="L30" s="303">
        <f>-K30+K29</f>
        <v>1136.3004601200155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963520.11</v>
      </c>
      <c r="C31" s="313">
        <f>C30</f>
        <v>963520.11</v>
      </c>
      <c r="D31" s="303">
        <f>(($B$14*$D$6/12)+(($B$26-$B$14)*$C$6/12)+(($B$38-$B$26)*$B$6/12))</f>
        <v>7627.0508249999993</v>
      </c>
      <c r="E31" s="304">
        <f>+(C30*$E$10/12)+(((C31-C30)*$E$10/12)*0.5)</f>
        <v>2216.0962530000002</v>
      </c>
      <c r="F31" s="303">
        <f>-D31+F30</f>
        <v>-86054.360625000001</v>
      </c>
      <c r="G31" s="304">
        <f>+G30-E31</f>
        <v>-34230.325931499996</v>
      </c>
      <c r="H31" s="303">
        <f>B31+F31</f>
        <v>877465.74937500001</v>
      </c>
      <c r="I31" s="303">
        <f>C31+G31</f>
        <v>929289.78406850004</v>
      </c>
      <c r="J31" s="303">
        <f>I31-H31</f>
        <v>51824.034693500027</v>
      </c>
      <c r="K31" s="303">
        <f>-J31*$K$11</f>
        <v>-10883.047285635006</v>
      </c>
      <c r="L31" s="303">
        <f>-K31+K30</f>
        <v>1136.3004601199918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963520.11</v>
      </c>
      <c r="C32" s="313">
        <f>C31</f>
        <v>963520.11</v>
      </c>
      <c r="D32" s="303">
        <f>(($B$14*$D$6/12)+(($B$26-$B$14)*$C$6/12)+(($B$38-$B$26)*$B$6/12))</f>
        <v>7627.0508249999993</v>
      </c>
      <c r="E32" s="304">
        <f>+(C31*$E$10/12)+(((C32-C31)*$E$10/12)*0.5)</f>
        <v>2216.0962530000002</v>
      </c>
      <c r="F32" s="303">
        <f>-D32+F31</f>
        <v>-93681.41145</v>
      </c>
      <c r="G32" s="304">
        <f>+G31-E32</f>
        <v>-36446.422184499999</v>
      </c>
      <c r="H32" s="303">
        <f>B32+F32</f>
        <v>869838.69854999997</v>
      </c>
      <c r="I32" s="303">
        <f>C32+G32</f>
        <v>927073.68781549996</v>
      </c>
      <c r="J32" s="303">
        <f>I32-H32</f>
        <v>57234.989265499986</v>
      </c>
      <c r="K32" s="303">
        <f>-J32*$K$11</f>
        <v>-12019.347745754996</v>
      </c>
      <c r="L32" s="303">
        <f>-K32+K31</f>
        <v>1136.30046011999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963520.11</v>
      </c>
      <c r="C33" s="313">
        <f>C32</f>
        <v>963520.11</v>
      </c>
      <c r="D33" s="303">
        <f>(($B$14*$D$6/12)+(($B$26-$B$14)*$C$6/12)+(($B$38-$B$26)*$B$6/12))</f>
        <v>7627.0508249999993</v>
      </c>
      <c r="E33" s="304">
        <f>+(C32*$E$10/12)+(((C33-C32)*$E$10/12)*0.5)</f>
        <v>2216.0962530000002</v>
      </c>
      <c r="F33" s="303">
        <f>-D33+F32</f>
        <v>-101308.462275</v>
      </c>
      <c r="G33" s="304">
        <f>+G32-E33</f>
        <v>-38662.518437500003</v>
      </c>
      <c r="H33" s="303">
        <f>B33+F33</f>
        <v>862211.64772500005</v>
      </c>
      <c r="I33" s="303">
        <f>C33+G33</f>
        <v>924857.59156249999</v>
      </c>
      <c r="J33" s="303">
        <f>I33-H33</f>
        <v>62645.943837499944</v>
      </c>
      <c r="K33" s="303">
        <f>-J33*$K$11</f>
        <v>-13155.648205874988</v>
      </c>
      <c r="L33" s="303">
        <f>-K33+K32</f>
        <v>1136.3004601199918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963520.11</v>
      </c>
      <c r="C34" s="313">
        <f>C33</f>
        <v>963520.11</v>
      </c>
      <c r="D34" s="303">
        <f>(($B$14*$D$6/12)+(($B$26-$B$14)*$C$6/12)+(($B$38-$B$26)*$B$6/12))</f>
        <v>7627.0508249999993</v>
      </c>
      <c r="E34" s="304">
        <f>+(C33*$E$10/12)+(((C34-C33)*$E$10/12)*0.5)</f>
        <v>2216.0962530000002</v>
      </c>
      <c r="F34" s="303">
        <f>-D34+F33</f>
        <v>-108935.5131</v>
      </c>
      <c r="G34" s="304">
        <f>+G33-E34</f>
        <v>-40878.614690500006</v>
      </c>
      <c r="H34" s="303">
        <f>B34+F34</f>
        <v>854584.5969</v>
      </c>
      <c r="I34" s="303">
        <f>C34+G34</f>
        <v>922641.49530950002</v>
      </c>
      <c r="J34" s="303">
        <f>I34-H34</f>
        <v>68056.89840950002</v>
      </c>
      <c r="K34" s="303">
        <f>-J34*$K$11</f>
        <v>-14291.948665995003</v>
      </c>
      <c r="L34" s="303">
        <f>-K34+K33</f>
        <v>1136.3004601200155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963520.11</v>
      </c>
      <c r="C35" s="313">
        <f>C34</f>
        <v>963520.11</v>
      </c>
      <c r="D35" s="303">
        <f>(($B$14*$D$6/12)+(($B$26-$B$14)*$C$6/12)+(($B$38-$B$26)*$B$6/12))</f>
        <v>7627.0508249999993</v>
      </c>
      <c r="E35" s="304">
        <f>+(C34*$E$10/12)+(((C35-C34)*$E$10/12)*0.5)</f>
        <v>2216.0962530000002</v>
      </c>
      <c r="F35" s="303">
        <f>-D35+F34</f>
        <v>-116562.56392499999</v>
      </c>
      <c r="G35" s="304">
        <f>+G34-E35</f>
        <v>-43094.710943500009</v>
      </c>
      <c r="H35" s="303">
        <f>B35+F35</f>
        <v>846957.54607499996</v>
      </c>
      <c r="I35" s="303">
        <f>C35+G35</f>
        <v>920425.39905649994</v>
      </c>
      <c r="J35" s="303">
        <f>I35-H35</f>
        <v>73467.852981499978</v>
      </c>
      <c r="K35" s="303">
        <f>-J35*$K$11</f>
        <v>-15428.249126114995</v>
      </c>
      <c r="L35" s="303">
        <f>-K35+K34</f>
        <v>1136.3004601199918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963520.11</v>
      </c>
      <c r="C36" s="313">
        <f>C35</f>
        <v>963520.11</v>
      </c>
      <c r="D36" s="303">
        <f>(($B$14*$D$6/12)+(($B$26-$B$14)*$C$6/12)+(($B$38-$B$26)*$B$6/12))</f>
        <v>7627.0508249999993</v>
      </c>
      <c r="E36" s="304">
        <f>+(C35*$E$10/12)+(((C36-C35)*$E$10/12)*0.5)</f>
        <v>2216.0962530000002</v>
      </c>
      <c r="F36" s="303">
        <f>-D36+F35</f>
        <v>-124189.61474999999</v>
      </c>
      <c r="G36" s="304">
        <f>+G35-E36</f>
        <v>-45310.807196500013</v>
      </c>
      <c r="H36" s="303">
        <f>B36+F36</f>
        <v>839330.49525000004</v>
      </c>
      <c r="I36" s="303">
        <f>C36+G36</f>
        <v>918209.30280349997</v>
      </c>
      <c r="J36" s="303">
        <f>I36-H36</f>
        <v>78878.807553499937</v>
      </c>
      <c r="K36" s="303">
        <f>-J36*$K$11</f>
        <v>-16564.549586234985</v>
      </c>
      <c r="L36" s="303">
        <f>-K36+K35</f>
        <v>1136.30046011999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963520.11</v>
      </c>
      <c r="C37" s="313">
        <f>C36</f>
        <v>963520.11</v>
      </c>
      <c r="D37" s="303">
        <f>(($B$14*$D$6/12)+(($B$26-$B$14)*$C$6/12)+(($B$38-$B$26)*$B$6/12))</f>
        <v>7627.0508249999993</v>
      </c>
      <c r="E37" s="304">
        <f>+(C36*$E$10/12)+(((C37-C36)*$E$10/12)*0.5)</f>
        <v>2216.0962530000002</v>
      </c>
      <c r="F37" s="303">
        <f>-D37+F36</f>
        <v>-131816.66557499999</v>
      </c>
      <c r="G37" s="304">
        <f>+G36-E37</f>
        <v>-47526.903449500016</v>
      </c>
      <c r="H37" s="303">
        <f>B37+F37</f>
        <v>831703.44442499999</v>
      </c>
      <c r="I37" s="303">
        <f>C37+G37</f>
        <v>915993.20655050001</v>
      </c>
      <c r="J37" s="303">
        <f>I37-H37</f>
        <v>84289.762125500012</v>
      </c>
      <c r="K37" s="303">
        <f>-J37*$K$11</f>
        <v>-17700.850046355001</v>
      </c>
      <c r="L37" s="303">
        <f>-K37+K36</f>
        <v>1136.3004601200155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963520.11</v>
      </c>
      <c r="C38" s="313">
        <f>C37</f>
        <v>963520.11</v>
      </c>
      <c r="D38" s="303">
        <f>(($B$14*$D$6/12)+(($B$26-$B$14)*$C$6/12)+(($B$38-$B$26)*$B$6/12))</f>
        <v>7627.0508249999993</v>
      </c>
      <c r="E38" s="304">
        <f>+(C37*$E$10/12)+(((C38-C37)*$E$10/12)*0.5)</f>
        <v>2216.0962530000002</v>
      </c>
      <c r="F38" s="303">
        <f>-D38+F37</f>
        <v>-139443.7164</v>
      </c>
      <c r="G38" s="304">
        <f>+G37-E38</f>
        <v>-49742.999702500019</v>
      </c>
      <c r="H38" s="303">
        <f>B38+F38</f>
        <v>824076.39359999995</v>
      </c>
      <c r="I38" s="303">
        <f>C38+G38</f>
        <v>913777.11029749992</v>
      </c>
      <c r="J38" s="303">
        <f>I38-H38</f>
        <v>89700.716697499971</v>
      </c>
      <c r="K38" s="303">
        <f>-J38*$K$11</f>
        <v>-18837.150506474994</v>
      </c>
      <c r="L38" s="303">
        <f>-K38+K37</f>
        <v>1136.3004601199937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963520.11</v>
      </c>
      <c r="C39" s="313">
        <f>C38</f>
        <v>963520.11</v>
      </c>
      <c r="D39" s="303">
        <f>(($B$14*$E$6/12)+(($B$26-$B$14)*$D$6/12)+(($B$38-$B$26)*$C$6/12)+(($B$50-$B$38)*$B$6/12))</f>
        <v>6865.2532008333346</v>
      </c>
      <c r="E39" s="304">
        <f>+(C38*$E$10/12)+(((C39-C38)*$E$10/12)*0.5)</f>
        <v>2216.0962530000002</v>
      </c>
      <c r="F39" s="303">
        <f>-D39+F38</f>
        <v>-146308.96960083334</v>
      </c>
      <c r="G39" s="304">
        <f>+G38-E39</f>
        <v>-51959.095955500023</v>
      </c>
      <c r="H39" s="303">
        <f>B39+F39</f>
        <v>817211.14039916662</v>
      </c>
      <c r="I39" s="303">
        <f>C39+G39</f>
        <v>911561.01404449996</v>
      </c>
      <c r="J39" s="303">
        <f>I39-H39</f>
        <v>94349.87364533334</v>
      </c>
      <c r="K39" s="303">
        <f>-J39*$K$11</f>
        <v>-19813.473465520001</v>
      </c>
      <c r="L39" s="303">
        <f>-K39+K38</f>
        <v>976.32295904500643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963520.11</v>
      </c>
      <c r="C40" s="313">
        <f>C39</f>
        <v>963520.11</v>
      </c>
      <c r="D40" s="303">
        <f>(($B$14*$E$6/12)+(($B$26-$B$14)*$D$6/12)+(($B$38-$B$26)*$C$6/12)+(($B$50-$B$38)*$B$6/12))</f>
        <v>6865.2532008333346</v>
      </c>
      <c r="E40" s="304">
        <f>+(C39*$E$10/12)+(((C40-C39)*$E$10/12)*0.5)</f>
        <v>2216.0962530000002</v>
      </c>
      <c r="F40" s="303">
        <f>-D40+F39</f>
        <v>-153174.22280166668</v>
      </c>
      <c r="G40" s="304">
        <f>+G39-E40</f>
        <v>-54175.192208500026</v>
      </c>
      <c r="H40" s="303">
        <f>B40+F40</f>
        <v>810345.88719833328</v>
      </c>
      <c r="I40" s="303">
        <f>C40+G40</f>
        <v>909344.91779149999</v>
      </c>
      <c r="J40" s="303">
        <f>I40-H40</f>
        <v>98999.03059316671</v>
      </c>
      <c r="K40" s="303">
        <f>-J40*$K$11</f>
        <v>-20789.796424565007</v>
      </c>
      <c r="L40" s="303">
        <f>-K40+K39</f>
        <v>976.32295904500643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963520.11</v>
      </c>
      <c r="C41" s="313">
        <f>C40</f>
        <v>963520.11</v>
      </c>
      <c r="D41" s="303">
        <f>(($B$14*$E$6/12)+(($B$26-$B$14)*$D$6/12)+(($B$38-$B$26)*$C$6/12)+(($B$50-$B$38)*$B$6/12))</f>
        <v>6865.2532008333346</v>
      </c>
      <c r="E41" s="304">
        <f>+(C40*$E$10/12)+(((C41-C40)*$E$10/12)*0.5)</f>
        <v>2216.0962530000002</v>
      </c>
      <c r="F41" s="303">
        <f>-D41+F40</f>
        <v>-160039.47600250001</v>
      </c>
      <c r="G41" s="304">
        <f>+G40-E41</f>
        <v>-56391.288461500029</v>
      </c>
      <c r="H41" s="303">
        <f>B41+F41</f>
        <v>803480.63399749994</v>
      </c>
      <c r="I41" s="303">
        <f>C41+G41</f>
        <v>907128.82153849991</v>
      </c>
      <c r="J41" s="303">
        <f>I41-H41</f>
        <v>103648.18754099996</v>
      </c>
      <c r="K41" s="303">
        <f>-J41*$K$11</f>
        <v>-21766.119383609992</v>
      </c>
      <c r="L41" s="303">
        <f>-K41+K40</f>
        <v>976.3229590449846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963520.11</v>
      </c>
      <c r="C42" s="313">
        <f>C41</f>
        <v>963520.11</v>
      </c>
      <c r="D42" s="303">
        <f>(($B$14*$E$6/12)+(($B$26-$B$14)*$D$6/12)+(($B$38-$B$26)*$C$6/12)+(($B$50-$B$38)*$B$6/12))</f>
        <v>6865.2532008333346</v>
      </c>
      <c r="E42" s="304">
        <f>+(C41*$E$10/12)+(((C42-C41)*$E$10/12)*0.5)</f>
        <v>2216.0962530000002</v>
      </c>
      <c r="F42" s="303">
        <f>-D42+F41</f>
        <v>-166904.72920333335</v>
      </c>
      <c r="G42" s="304">
        <f>+G41-E42</f>
        <v>-58607.384714500033</v>
      </c>
      <c r="H42" s="303">
        <f>B42+F42</f>
        <v>796615.38079666661</v>
      </c>
      <c r="I42" s="303">
        <f>C42+G42</f>
        <v>904912.72528549994</v>
      </c>
      <c r="J42" s="303">
        <f>I42-H42</f>
        <v>108297.34448883333</v>
      </c>
      <c r="K42" s="303">
        <f>-J42*$K$11</f>
        <v>-22742.442342654998</v>
      </c>
      <c r="L42" s="303">
        <f>-K42+K41</f>
        <v>976.32295904500643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963520.11</v>
      </c>
      <c r="C43" s="313">
        <f>C42</f>
        <v>963520.11</v>
      </c>
      <c r="D43" s="303">
        <f>(($B$14*$E$6/12)+(($B$26-$B$14)*$D$6/12)+(($B$38-$B$26)*$C$6/12)+(($B$50-$B$38)*$B$6/12))</f>
        <v>6865.2532008333346</v>
      </c>
      <c r="E43" s="304">
        <f>+(C42*$E$10/12)+(((C43-C42)*$E$10/12)*0.5)</f>
        <v>2216.0962530000002</v>
      </c>
      <c r="F43" s="303">
        <f>-D43+F42</f>
        <v>-173769.98240416669</v>
      </c>
      <c r="G43" s="304">
        <f>+G42-E43</f>
        <v>-60823.480967500036</v>
      </c>
      <c r="H43" s="303">
        <f>B43+F43</f>
        <v>789750.12759583327</v>
      </c>
      <c r="I43" s="303">
        <f>C43+G43</f>
        <v>902696.62903249997</v>
      </c>
      <c r="J43" s="303">
        <f>I43-H43</f>
        <v>112946.5014366667</v>
      </c>
      <c r="K43" s="303">
        <f>-J43*$K$11</f>
        <v>-23718.765301700005</v>
      </c>
      <c r="L43" s="303">
        <f>-K43+K42</f>
        <v>976.32295904500643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963520.11</v>
      </c>
      <c r="C44" s="313">
        <f>C43</f>
        <v>963520.11</v>
      </c>
      <c r="D44" s="303">
        <f>(($B$14*$E$6/12)+(($B$26-$B$14)*$D$6/12)+(($B$38-$B$26)*$C$6/12)+(($B$50-$B$38)*$B$6/12))</f>
        <v>6865.2532008333346</v>
      </c>
      <c r="E44" s="304">
        <f>+(C43*$E$10/12)+(((C44-C43)*$E$10/12)*0.5)</f>
        <v>2216.0962530000002</v>
      </c>
      <c r="F44" s="303">
        <f>-D44+F43</f>
        <v>-180635.23560500002</v>
      </c>
      <c r="G44" s="304">
        <f>+G43-E44</f>
        <v>-63039.577220500039</v>
      </c>
      <c r="H44" s="303">
        <f>B44+F44</f>
        <v>782884.87439499993</v>
      </c>
      <c r="I44" s="303">
        <f>C44+G44</f>
        <v>900480.53277949989</v>
      </c>
      <c r="J44" s="303">
        <f>I44-H44</f>
        <v>117595.65838449995</v>
      </c>
      <c r="K44" s="303">
        <f>-J44*$K$11</f>
        <v>-24695.088260744989</v>
      </c>
      <c r="L44" s="303">
        <f>-K44+K43</f>
        <v>976.3229590449846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963520.11</v>
      </c>
      <c r="C45" s="313">
        <f>C44</f>
        <v>963520.11</v>
      </c>
      <c r="D45" s="303">
        <f>(($B$14*$E$6/12)+(($B$26-$B$14)*$D$6/12)+(($B$38-$B$26)*$C$6/12)+(($B$50-$B$38)*$B$6/12))</f>
        <v>6865.2532008333346</v>
      </c>
      <c r="E45" s="304">
        <f>+(C44*$E$10/12)+(((C45-C44)*$E$10/12)*0.5)</f>
        <v>2216.0962530000002</v>
      </c>
      <c r="F45" s="303">
        <f>-D45+F44</f>
        <v>-187500.48880583336</v>
      </c>
      <c r="G45" s="304">
        <f>+G44-E45</f>
        <v>-65255.673473500043</v>
      </c>
      <c r="H45" s="303">
        <f>B45+F45</f>
        <v>776019.6211941666</v>
      </c>
      <c r="I45" s="303">
        <f>C45+G45</f>
        <v>898264.43652649992</v>
      </c>
      <c r="J45" s="303">
        <f>I45-H45</f>
        <v>122244.81533233332</v>
      </c>
      <c r="K45" s="303">
        <f>-J45*$K$11</f>
        <v>-25671.411219789996</v>
      </c>
      <c r="L45" s="303">
        <f>-K45+K44</f>
        <v>976.32295904500643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963520.11</v>
      </c>
      <c r="C46" s="313">
        <f>C45</f>
        <v>963520.11</v>
      </c>
      <c r="D46" s="303">
        <f>(($B$14*$E$6/12)+(($B$26-$B$14)*$D$6/12)+(($B$38-$B$26)*$C$6/12)+(($B$50-$B$38)*$B$6/12))</f>
        <v>6865.2532008333346</v>
      </c>
      <c r="E46" s="304">
        <f>+(C45*$E$10/12)+(((C46-C45)*$E$10/12)*0.5)</f>
        <v>2216.0962530000002</v>
      </c>
      <c r="F46" s="303">
        <f>-D46+F45</f>
        <v>-194365.7420066667</v>
      </c>
      <c r="G46" s="304">
        <f>+G45-E46</f>
        <v>-67471.769726500046</v>
      </c>
      <c r="H46" s="303">
        <f>B46+F46</f>
        <v>769154.36799333326</v>
      </c>
      <c r="I46" s="303">
        <f>C46+G46</f>
        <v>896048.34027349995</v>
      </c>
      <c r="J46" s="303">
        <f>I46-H46</f>
        <v>126893.97228016669</v>
      </c>
      <c r="K46" s="303">
        <f>-J46*$K$11</f>
        <v>-26647.734178835006</v>
      </c>
      <c r="L46" s="303">
        <f>-K46+K45</f>
        <v>976.32295904501007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963520.11</v>
      </c>
      <c r="C47" s="313">
        <f>C46</f>
        <v>963520.11</v>
      </c>
      <c r="D47" s="303">
        <f>(($B$14*$E$6/12)+(($B$26-$B$14)*$D$6/12)+(($B$38-$B$26)*$C$6/12)+(($B$50-$B$38)*$B$6/12))</f>
        <v>6865.2532008333346</v>
      </c>
      <c r="E47" s="304">
        <f>+(C46*$E$10/12)+(((C47-C46)*$E$10/12)*0.5)</f>
        <v>2216.0962530000002</v>
      </c>
      <c r="F47" s="303">
        <f>-D47+F46</f>
        <v>-201230.99520750003</v>
      </c>
      <c r="G47" s="304">
        <f>+G46-E47</f>
        <v>-69687.865979500042</v>
      </c>
      <c r="H47" s="303">
        <f>B47+F47</f>
        <v>762289.11479249992</v>
      </c>
      <c r="I47" s="303">
        <f>C47+G47</f>
        <v>893832.24402049999</v>
      </c>
      <c r="J47" s="303">
        <f>I47-H47</f>
        <v>131543.12922800006</v>
      </c>
      <c r="K47" s="303">
        <f>-J47*$K$11</f>
        <v>-27624.057137880012</v>
      </c>
      <c r="L47" s="303">
        <f>-K47+K46</f>
        <v>976.32295904500643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963520.11</v>
      </c>
      <c r="C48" s="313">
        <f>C47</f>
        <v>963520.11</v>
      </c>
      <c r="D48" s="303">
        <f>(($B$14*$E$6/12)+(($B$26-$B$14)*$D$6/12)+(($B$38-$B$26)*$C$6/12)+(($B$50-$B$38)*$B$6/12))</f>
        <v>6865.2532008333346</v>
      </c>
      <c r="E48" s="304">
        <f>+(C47*$E$10/12)+(((C48-C47)*$E$10/12)*0.5)</f>
        <v>2216.0962530000002</v>
      </c>
      <c r="F48" s="303">
        <f>-D48+F47</f>
        <v>-208096.24840833337</v>
      </c>
      <c r="G48" s="304">
        <f>+G47-E48</f>
        <v>-71903.962232500038</v>
      </c>
      <c r="H48" s="303">
        <f>B48+F48</f>
        <v>755423.86159166659</v>
      </c>
      <c r="I48" s="303">
        <f>C48+G48</f>
        <v>891616.1477674999</v>
      </c>
      <c r="J48" s="303">
        <f>I48-H48</f>
        <v>136192.28617583332</v>
      </c>
      <c r="K48" s="303">
        <f>-J48*$K$11</f>
        <v>-28600.380096924997</v>
      </c>
      <c r="L48" s="303">
        <f>-K48+K47</f>
        <v>976.3229590449846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963520.11</v>
      </c>
      <c r="C49" s="313">
        <f>C48</f>
        <v>963520.11</v>
      </c>
      <c r="D49" s="303">
        <f>(($B$14*$E$6/12)+(($B$26-$B$14)*$D$6/12)+(($B$38-$B$26)*$C$6/12)+(($B$50-$B$38)*$B$6/12))</f>
        <v>6865.2532008333346</v>
      </c>
      <c r="E49" s="304">
        <f>+(C48*$E$10/12)+(((C49-C48)*$E$10/12)*0.5)</f>
        <v>2216.0962530000002</v>
      </c>
      <c r="F49" s="303">
        <f>-D49+F48</f>
        <v>-214961.50160916671</v>
      </c>
      <c r="G49" s="304">
        <f>+G48-E49</f>
        <v>-74120.058485500034</v>
      </c>
      <c r="H49" s="303">
        <f>B49+F49</f>
        <v>748558.60839083325</v>
      </c>
      <c r="I49" s="303">
        <f>C49+G49</f>
        <v>889400.05151449994</v>
      </c>
      <c r="J49" s="303">
        <f>I49-H49</f>
        <v>140841.44312366669</v>
      </c>
      <c r="K49" s="303">
        <f>-J49*$K$11</f>
        <v>-29576.703055970003</v>
      </c>
      <c r="L49" s="303">
        <f>-K49+K48</f>
        <v>976.32295904500643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963520.11</v>
      </c>
      <c r="C50" s="313">
        <f>C49</f>
        <v>963520.11</v>
      </c>
      <c r="D50" s="303">
        <f>(($B$14*$E$6/12)+(($B$26-$B$14)*$D$6/12)+(($B$38-$B$26)*$C$6/12)+(($B$50-$B$38)*$B$6/12))</f>
        <v>6865.2532008333346</v>
      </c>
      <c r="E50" s="304">
        <f>+(C49*$E$10/12)+(((C50-C49)*$E$10/12)*0.5)</f>
        <v>2216.0962530000002</v>
      </c>
      <c r="F50" s="303">
        <f>-D50+F49</f>
        <v>-221826.75481000004</v>
      </c>
      <c r="G50" s="304">
        <f>+G49-E50</f>
        <v>-76336.15473850003</v>
      </c>
      <c r="H50" s="303">
        <f>B50+F50</f>
        <v>741693.35518999991</v>
      </c>
      <c r="I50" s="303">
        <f>C50+G50</f>
        <v>887183.95526149997</v>
      </c>
      <c r="J50" s="303">
        <f>I50-H50</f>
        <v>145490.60007150006</v>
      </c>
      <c r="K50" s="303">
        <f>-J50*$K$11</f>
        <v>-30553.02601501501</v>
      </c>
      <c r="L50" s="303">
        <f>-K50+K49</f>
        <v>976.32295904500643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963520.11</v>
      </c>
      <c r="C51" s="313">
        <f>C50</f>
        <v>963520.11</v>
      </c>
      <c r="D51" s="303">
        <f>(($B$14*$F$6/12)+(($B$26-$B$14)*$E$6/12)+(($B$38-$B$26)*$D$6/12)+(($B$50-$B$38)*$C$6/12)+(($B$62-$B$50)*$B$6/12))</f>
        <v>6182.7416404166661</v>
      </c>
      <c r="E51" s="304">
        <f>+(C50*$E$10/12)+(((C51-C50)*$E$10/12)*0.5)</f>
        <v>2216.0962530000002</v>
      </c>
      <c r="F51" s="303">
        <f>-D51+F50</f>
        <v>-228009.49645041671</v>
      </c>
      <c r="G51" s="304">
        <f>+G50-E51</f>
        <v>-78552.250991500026</v>
      </c>
      <c r="H51" s="303">
        <f>B51+F51</f>
        <v>735510.61354958324</v>
      </c>
      <c r="I51" s="303">
        <f>C51+G51</f>
        <v>884967.8590085</v>
      </c>
      <c r="J51" s="303">
        <f>I51-H51</f>
        <v>149457.24545891676</v>
      </c>
      <c r="K51" s="303">
        <f>-J51*$K$11</f>
        <v>-31386.021546372518</v>
      </c>
      <c r="L51" s="303">
        <f>-K51+K50</f>
        <v>832.9955313575083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963520.11</v>
      </c>
      <c r="C52" s="313">
        <f>C51</f>
        <v>963520.11</v>
      </c>
      <c r="D52" s="303">
        <f>(($B$14*$F$6/12)+(($B$26-$B$14)*$E$6/12)+(($B$38-$B$26)*$D$6/12)+(($B$50-$B$38)*$C$6/12)+(($B$62-$B$50)*$B$6/12))</f>
        <v>6182.7416404166661</v>
      </c>
      <c r="E52" s="304">
        <f>+(C51*$E$10/12)+(((C52-C51)*$E$10/12)*0.5)</f>
        <v>2216.0962530000002</v>
      </c>
      <c r="F52" s="303">
        <f>-D52+F51</f>
        <v>-234192.23809083339</v>
      </c>
      <c r="G52" s="304">
        <f>+G51-E52</f>
        <v>-80768.347244500022</v>
      </c>
      <c r="H52" s="303">
        <f>B52+F52</f>
        <v>729327.87190916657</v>
      </c>
      <c r="I52" s="303">
        <f>C52+G52</f>
        <v>882751.76275549992</v>
      </c>
      <c r="J52" s="303">
        <f>I52-H52</f>
        <v>153423.89084633335</v>
      </c>
      <c r="K52" s="303">
        <f>-J52*$K$11</f>
        <v>-32219.017077730001</v>
      </c>
      <c r="L52" s="303">
        <f>-K52+K51</f>
        <v>832.99553135748283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963520.11</v>
      </c>
      <c r="C53" s="313">
        <f>C52</f>
        <v>963520.11</v>
      </c>
      <c r="D53" s="303">
        <f>(($B$14*$F$6/12)+(($B$26-$B$14)*$E$6/12)+(($B$38-$B$26)*$D$6/12)+(($B$50-$B$38)*$C$6/12)+(($B$62-$B$50)*$B$6/12))</f>
        <v>6182.7416404166661</v>
      </c>
      <c r="E53" s="304">
        <f>+(C52*$E$10/12)+(((C53-C52)*$E$10/12)*0.5)</f>
        <v>2216.0962530000002</v>
      </c>
      <c r="F53" s="303">
        <f>-D53+F52</f>
        <v>-240374.97973125006</v>
      </c>
      <c r="G53" s="304">
        <f>+G52-E53</f>
        <v>-82984.443497500019</v>
      </c>
      <c r="H53" s="303">
        <f>B53+F53</f>
        <v>723145.1302687499</v>
      </c>
      <c r="I53" s="303">
        <f>C53+G53</f>
        <v>880535.66650249995</v>
      </c>
      <c r="J53" s="303">
        <f>I53-H53</f>
        <v>157390.53623375006</v>
      </c>
      <c r="K53" s="303">
        <f>-J53*$K$11</f>
        <v>-33052.012609087513</v>
      </c>
      <c r="L53" s="303">
        <f>-K53+K52</f>
        <v>832.99553135751194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963520.11</v>
      </c>
      <c r="C54" s="313">
        <f>C53</f>
        <v>963520.11</v>
      </c>
      <c r="D54" s="303">
        <f>(($B$14*$F$6/12)+(($B$26-$B$14)*$E$6/12)+(($B$38-$B$26)*$D$6/12)+(($B$50-$B$38)*$C$6/12)+(($B$62-$B$50)*$B$6/12))</f>
        <v>6182.7416404166661</v>
      </c>
      <c r="E54" s="304">
        <f>+(C53*$E$10/12)+(((C54-C53)*$E$10/12)*0.5)</f>
        <v>2216.0962530000002</v>
      </c>
      <c r="F54" s="303">
        <f>-D54+F53</f>
        <v>-246557.72137166673</v>
      </c>
      <c r="G54" s="304">
        <f>+G53-E54</f>
        <v>-85200.539750500015</v>
      </c>
      <c r="H54" s="303">
        <f>B54+F54</f>
        <v>716962.38862833322</v>
      </c>
      <c r="I54" s="303">
        <f>C54+G54</f>
        <v>878319.57024949999</v>
      </c>
      <c r="J54" s="303">
        <f>I54-H54</f>
        <v>161357.18162116676</v>
      </c>
      <c r="K54" s="303">
        <f>-J54*$K$11</f>
        <v>-33885.008140445017</v>
      </c>
      <c r="L54" s="303">
        <f>-K54+K53</f>
        <v>832.99553135750466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963520.11</v>
      </c>
      <c r="C55" s="313">
        <f>C54</f>
        <v>963520.11</v>
      </c>
      <c r="D55" s="303">
        <f>(($B$14*$F$6/12)+(($B$26-$B$14)*$E$6/12)+(($B$38-$B$26)*$D$6/12)+(($B$50-$B$38)*$C$6/12)+(($B$62-$B$50)*$B$6/12))</f>
        <v>6182.7416404166661</v>
      </c>
      <c r="E55" s="304">
        <f>+(C54*$E$10/12)+(((C55-C54)*$E$10/12)*0.5)</f>
        <v>2216.0962530000002</v>
      </c>
      <c r="F55" s="303">
        <f>-D55+F54</f>
        <v>-252740.4630120834</v>
      </c>
      <c r="G55" s="304">
        <f>+G54-E55</f>
        <v>-87416.636003500011</v>
      </c>
      <c r="H55" s="303">
        <f>B55+F55</f>
        <v>710779.64698791655</v>
      </c>
      <c r="I55" s="303">
        <f>C55+G55</f>
        <v>876103.47399650002</v>
      </c>
      <c r="J55" s="303">
        <f>I55-H55</f>
        <v>165323.82700858347</v>
      </c>
      <c r="K55" s="303">
        <f>-J55*$K$11</f>
        <v>-34718.003671802529</v>
      </c>
      <c r="L55" s="303">
        <f>-K55+K54</f>
        <v>832.99553135751194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963520.11</v>
      </c>
      <c r="C56" s="313">
        <f>C55</f>
        <v>963520.11</v>
      </c>
      <c r="D56" s="303">
        <f>(($B$14*$F$6/12)+(($B$26-$B$14)*$E$6/12)+(($B$38-$B$26)*$D$6/12)+(($B$50-$B$38)*$C$6/12)+(($B$62-$B$50)*$B$6/12))</f>
        <v>6182.7416404166661</v>
      </c>
      <c r="E56" s="304">
        <f>+(C55*$E$10/12)+(((C56-C55)*$E$10/12)*0.5)</f>
        <v>2216.0962530000002</v>
      </c>
      <c r="F56" s="303">
        <f>-D56+F55</f>
        <v>-258923.20465250008</v>
      </c>
      <c r="G56" s="304">
        <f>+G55-E56</f>
        <v>-89632.732256500007</v>
      </c>
      <c r="H56" s="303">
        <f>B56+F56</f>
        <v>704596.90534749988</v>
      </c>
      <c r="I56" s="303">
        <f>C56+G56</f>
        <v>873887.37774349994</v>
      </c>
      <c r="J56" s="303">
        <f>I56-H56</f>
        <v>169290.47239600006</v>
      </c>
      <c r="K56" s="303">
        <f>-J56*$K$11</f>
        <v>-35550.999203160012</v>
      </c>
      <c r="L56" s="303">
        <f>-K56+K55</f>
        <v>832.99553135748283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963520.11</v>
      </c>
      <c r="C57" s="313">
        <f>C56</f>
        <v>963520.11</v>
      </c>
      <c r="D57" s="303">
        <f>(($B$14*$F$6/12)+(($B$26-$B$14)*$E$6/12)+(($B$38-$B$26)*$D$6/12)+(($B$50-$B$38)*$C$6/12)+(($B$62-$B$50)*$B$6/12))</f>
        <v>6182.7416404166661</v>
      </c>
      <c r="E57" s="304">
        <f>+(C56*$E$10/12)+(((C57-C56)*$E$10/12)*0.5)</f>
        <v>2216.0962530000002</v>
      </c>
      <c r="F57" s="303">
        <f>-D57+F56</f>
        <v>-265105.94629291672</v>
      </c>
      <c r="G57" s="304">
        <f>+G56-E57</f>
        <v>-91848.828509500003</v>
      </c>
      <c r="H57" s="303">
        <f>B57+F57</f>
        <v>698414.16370708332</v>
      </c>
      <c r="I57" s="303">
        <f>C57+G57</f>
        <v>871671.28149049997</v>
      </c>
      <c r="J57" s="303">
        <f>I57-H57</f>
        <v>173257.11778341664</v>
      </c>
      <c r="K57" s="303">
        <f>-J57*$K$11</f>
        <v>-36383.994734517495</v>
      </c>
      <c r="L57" s="303">
        <f>-K57+K56</f>
        <v>832.99553135748283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963520.11</v>
      </c>
      <c r="C58" s="313">
        <f>C57</f>
        <v>963520.11</v>
      </c>
      <c r="D58" s="303">
        <f>(($B$14*$F$6/12)+(($B$26-$B$14)*$E$6/12)+(($B$38-$B$26)*$D$6/12)+(($B$50-$B$38)*$C$6/12)+(($B$62-$B$50)*$B$6/12))</f>
        <v>6182.7416404166661</v>
      </c>
      <c r="E58" s="304">
        <f>+(C57*$E$10/12)+(((C58-C57)*$E$10/12)*0.5)</f>
        <v>2216.0962530000002</v>
      </c>
      <c r="F58" s="303">
        <f>-D58+F57</f>
        <v>-271288.68793333339</v>
      </c>
      <c r="G58" s="304">
        <f>+G57-E58</f>
        <v>-94064.924762499999</v>
      </c>
      <c r="H58" s="303">
        <f>B58+F58</f>
        <v>692231.42206666665</v>
      </c>
      <c r="I58" s="303">
        <f>C58+G58</f>
        <v>869455.1852375</v>
      </c>
      <c r="J58" s="303">
        <f>I58-H58</f>
        <v>177223.76317083335</v>
      </c>
      <c r="K58" s="303">
        <f>-J58*$K$11</f>
        <v>-37216.990265875</v>
      </c>
      <c r="L58" s="303">
        <f>-K58+K57</f>
        <v>832.99553135750466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963520.11</v>
      </c>
      <c r="C59" s="313">
        <f>C58</f>
        <v>963520.11</v>
      </c>
      <c r="D59" s="303">
        <f>(($B$14*$F$6/12)+(($B$26-$B$14)*$E$6/12)+(($B$38-$B$26)*$D$6/12)+(($B$50-$B$38)*$C$6/12)+(($B$62-$B$50)*$B$6/12))</f>
        <v>6182.7416404166661</v>
      </c>
      <c r="E59" s="304">
        <f>+(C58*$E$10/12)+(((C59-C58)*$E$10/12)*0.5)</f>
        <v>2216.0962530000002</v>
      </c>
      <c r="F59" s="303">
        <f>-D59+F58</f>
        <v>-277471.42957375007</v>
      </c>
      <c r="G59" s="304">
        <f>+G58-E59</f>
        <v>-96281.021015499995</v>
      </c>
      <c r="H59" s="303">
        <f>B59+F59</f>
        <v>686048.68042624998</v>
      </c>
      <c r="I59" s="303">
        <f>C59+G59</f>
        <v>867239.08898450003</v>
      </c>
      <c r="J59" s="303">
        <f>I59-H59</f>
        <v>181190.40855825006</v>
      </c>
      <c r="K59" s="303">
        <f>-J59*$K$11</f>
        <v>-38049.985797232512</v>
      </c>
      <c r="L59" s="303">
        <f>-K59+K58</f>
        <v>832.99553135751194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963520.11</v>
      </c>
      <c r="C60" s="313">
        <f>C59</f>
        <v>963520.11</v>
      </c>
      <c r="D60" s="303">
        <f>(($B$14*$F$6/12)+(($B$26-$B$14)*$E$6/12)+(($B$38-$B$26)*$D$6/12)+(($B$50-$B$38)*$C$6/12)+(($B$62-$B$50)*$B$6/12))</f>
        <v>6182.7416404166661</v>
      </c>
      <c r="E60" s="304">
        <f>+(C59*$E$10/12)+(((C60-C59)*$E$10/12)*0.5)</f>
        <v>2216.0962530000002</v>
      </c>
      <c r="F60" s="303">
        <f>-D60+F59</f>
        <v>-283654.17121416674</v>
      </c>
      <c r="G60" s="304">
        <f>+G59-E60</f>
        <v>-98497.117268499991</v>
      </c>
      <c r="H60" s="303">
        <f>B60+F60</f>
        <v>679865.93878583331</v>
      </c>
      <c r="I60" s="303">
        <f>C60+G60</f>
        <v>865022.99273149995</v>
      </c>
      <c r="J60" s="303">
        <f>I60-H60</f>
        <v>185157.05394566664</v>
      </c>
      <c r="K60" s="303">
        <f>-J60*$K$11</f>
        <v>-38882.981328589995</v>
      </c>
      <c r="L60" s="303">
        <f>-K60+K59</f>
        <v>832.99553135748283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963520.11</v>
      </c>
      <c r="C61" s="313">
        <f>C60</f>
        <v>963520.11</v>
      </c>
      <c r="D61" s="303">
        <f>(($B$14*$F$6/12)+(($B$26-$B$14)*$E$6/12)+(($B$38-$B$26)*$D$6/12)+(($B$50-$B$38)*$C$6/12)+(($B$62-$B$50)*$B$6/12))</f>
        <v>6182.7416404166661</v>
      </c>
      <c r="E61" s="304">
        <f>+(C60*$E$10/12)+(((C61-C60)*$E$10/12)*0.5)</f>
        <v>2216.0962530000002</v>
      </c>
      <c r="F61" s="303">
        <f>-D61+F60</f>
        <v>-289836.91285458341</v>
      </c>
      <c r="G61" s="304">
        <f>+G60-E61</f>
        <v>-100713.21352149999</v>
      </c>
      <c r="H61" s="303">
        <f>B61+F61</f>
        <v>673683.19714541663</v>
      </c>
      <c r="I61" s="303">
        <f>C61+G61</f>
        <v>862806.89647849998</v>
      </c>
      <c r="J61" s="303">
        <f>I61-H61</f>
        <v>189123.69933308335</v>
      </c>
      <c r="K61" s="303">
        <f>-J61*$K$11</f>
        <v>-39715.976859947499</v>
      </c>
      <c r="L61" s="303">
        <f>-K61+K60</f>
        <v>832.99553135750466</v>
      </c>
      <c r="M61" s="361"/>
      <c r="N61" s="299"/>
    </row>
    <row r="62" spans="1:15" ht="15" x14ac:dyDescent="0.25">
      <c r="A62" s="314">
        <v>46022</v>
      </c>
      <c r="B62" s="303">
        <f>C62</f>
        <v>963520.11</v>
      </c>
      <c r="C62" s="313">
        <f>C61</f>
        <v>963520.11</v>
      </c>
      <c r="D62" s="303">
        <f>(($B$14*$F$6/12)+(($B$26-$B$14)*$E$6/12)+(($B$38-$B$26)*$D$6/12)+(($B$50-$B$38)*$C$6/12)+(($B$62-$B$50)*$B$6/12))</f>
        <v>6182.7416404166661</v>
      </c>
      <c r="E62" s="304">
        <f>+(C61*$E$10/12)+(((C62-C61)*$E$10/12)*0.5)</f>
        <v>2216.0962530000002</v>
      </c>
      <c r="F62" s="303">
        <f>-D62+F61</f>
        <v>-296019.65449500008</v>
      </c>
      <c r="G62" s="304">
        <f>+G61-E62</f>
        <v>-102929.30977449998</v>
      </c>
      <c r="H62" s="303">
        <f>B62+F62</f>
        <v>667500.45550499996</v>
      </c>
      <c r="I62" s="303">
        <f>C62+G62</f>
        <v>860590.80022550002</v>
      </c>
      <c r="J62" s="303">
        <f>I62-H62</f>
        <v>193090.34472050006</v>
      </c>
      <c r="K62" s="303">
        <f>-J62*$K$11</f>
        <v>-40548.972391305011</v>
      </c>
      <c r="L62" s="303">
        <f>-K62+K61</f>
        <v>832.99553135751194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8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963302.32</v>
      </c>
      <c r="C68" s="285">
        <f>C26</f>
        <v>963302.32</v>
      </c>
      <c r="D68" s="285">
        <f>SUM(D15:D26)</f>
        <v>47920.908833333327</v>
      </c>
      <c r="E68" s="285">
        <f>SUM(E15:E26)</f>
        <v>23151.090012999997</v>
      </c>
      <c r="F68" s="285">
        <f>F26</f>
        <v>-47920.908833333327</v>
      </c>
      <c r="G68" s="285">
        <f>G26</f>
        <v>-23151.090012999997</v>
      </c>
      <c r="H68" s="285">
        <f>H26</f>
        <v>915381.41116666666</v>
      </c>
      <c r="I68" s="285">
        <f>I26</f>
        <v>940151.229987</v>
      </c>
      <c r="J68" s="285">
        <f>J26</f>
        <v>24769.818820333341</v>
      </c>
      <c r="K68" s="285">
        <f>K26</f>
        <v>-5201.6619522700012</v>
      </c>
      <c r="L68" s="285">
        <f>SUM(L15:L26)</f>
        <v>5201.6619522700012</v>
      </c>
      <c r="M68" s="297"/>
      <c r="N68" s="297"/>
    </row>
    <row r="69" spans="1:15" x14ac:dyDescent="0.2">
      <c r="A69" s="301" t="s">
        <v>248</v>
      </c>
      <c r="B69" s="285">
        <f>(B14+B26+SUM(B15:B25)*2)/24</f>
        <v>838807.60916666675</v>
      </c>
      <c r="C69" s="285">
        <f>(C14+C26+SUM(C15:C25)*2)/24</f>
        <v>838807.60916666675</v>
      </c>
      <c r="D69" s="285"/>
      <c r="E69" s="300"/>
      <c r="F69" s="285">
        <f>(F14+F26+SUM(F15:F25)*2)/24</f>
        <v>-23916.12787847222</v>
      </c>
      <c r="G69" s="285">
        <f>(G14+G26+SUM(G15:G25)*2)/24</f>
        <v>-10135.013759833333</v>
      </c>
      <c r="H69" s="285">
        <f>(H14+H26+SUM(H15:H25)*2)/24</f>
        <v>814891.48128819454</v>
      </c>
      <c r="I69" s="285">
        <f>(I14+I26+SUM(I15:I25)*2)/24</f>
        <v>828672.59540683322</v>
      </c>
      <c r="J69" s="285">
        <f>(J14+J26+SUM(J15:J25)*2)/24</f>
        <v>13781.114118638876</v>
      </c>
      <c r="K69" s="285">
        <f>(K14+K26+SUM(K15:K25)*2)/24</f>
        <v>-2894.0339649141638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7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7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7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1:12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1:12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0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E16" sqref="E16"/>
    </sheetView>
  </sheetViews>
  <sheetFormatPr defaultColWidth="8.85546875" defaultRowHeight="12.75" x14ac:dyDescent="0.2"/>
  <cols>
    <col min="1" max="1" width="26.28515625" style="295" bestFit="1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267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266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0.1429</v>
      </c>
      <c r="C6" s="344">
        <v>0.24490000000000001</v>
      </c>
      <c r="D6" s="344">
        <v>0.1749</v>
      </c>
      <c r="E6" s="344">
        <v>0.1249</v>
      </c>
      <c r="F6" s="344">
        <v>8.9300000000000004E-2</v>
      </c>
      <c r="G6" s="344">
        <v>8.9200000000000002E-2</v>
      </c>
      <c r="H6" s="344">
        <v>8.9300000000000004E-2</v>
      </c>
      <c r="I6" s="344">
        <v>4.4600000000000001E-2</v>
      </c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0.2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0.2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2595.4784030833339</v>
      </c>
      <c r="E15" s="304">
        <v>0</v>
      </c>
      <c r="F15" s="303">
        <f t="shared" ref="F15:F28" si="0">-D15+F14</f>
        <v>-2595.4784030833339</v>
      </c>
      <c r="G15" s="304">
        <f t="shared" ref="G15:G28" si="1">+G14-E15</f>
        <v>0</v>
      </c>
      <c r="H15" s="303">
        <f t="shared" ref="H15:I28" si="2">B15+F15</f>
        <v>-2595.4784030833339</v>
      </c>
      <c r="I15" s="303">
        <f t="shared" si="2"/>
        <v>0</v>
      </c>
      <c r="J15" s="303">
        <f t="shared" ref="J15:J28" si="3">I15-H15</f>
        <v>2595.4784030833339</v>
      </c>
      <c r="K15" s="303">
        <f t="shared" ref="K15:K28" si="4">-J15*$K$11</f>
        <v>-545.05046464750012</v>
      </c>
      <c r="L15" s="303">
        <f t="shared" ref="L15:L28" si="5">-K15+K14</f>
        <v>545.05046464750012</v>
      </c>
      <c r="M15" s="363">
        <f>2595-3995</f>
        <v>-1400</v>
      </c>
    </row>
    <row r="16" spans="1:23" x14ac:dyDescent="0.2">
      <c r="A16" s="314">
        <v>44620</v>
      </c>
      <c r="B16" s="303">
        <v>335519.53000000003</v>
      </c>
      <c r="C16" s="313">
        <v>335519.53000000003</v>
      </c>
      <c r="D16" s="303">
        <f>(($B$14*$C$6/12)+(($B$16-$B$14)*$B$6/12))+M16</f>
        <v>3995.4784030833339</v>
      </c>
      <c r="E16" s="304">
        <f>+(C15*$E$10/12)+(((C16-C15)*$E$10/12))</f>
        <v>5591.9921666666669</v>
      </c>
      <c r="F16" s="303">
        <f t="shared" si="0"/>
        <v>-6590.9568061666678</v>
      </c>
      <c r="G16" s="304">
        <f t="shared" si="1"/>
        <v>-5591.9921666666669</v>
      </c>
      <c r="H16" s="303">
        <f t="shared" si="2"/>
        <v>328928.57319383335</v>
      </c>
      <c r="I16" s="303">
        <f t="shared" si="2"/>
        <v>329927.53783333336</v>
      </c>
      <c r="J16" s="303">
        <f t="shared" si="3"/>
        <v>998.96463950001635</v>
      </c>
      <c r="K16" s="303">
        <f t="shared" si="4"/>
        <v>-209.78257429500343</v>
      </c>
      <c r="L16" s="303">
        <f t="shared" si="5"/>
        <v>-335.26789035249669</v>
      </c>
      <c r="M16" s="363"/>
    </row>
    <row r="17" spans="1:15" ht="15" x14ac:dyDescent="0.25">
      <c r="A17" s="314">
        <v>44651</v>
      </c>
      <c r="B17" s="303">
        <v>335519.53000000003</v>
      </c>
      <c r="C17" s="313">
        <v>335519.53000000003</v>
      </c>
      <c r="D17" s="303">
        <f>(($B$14*$C$6/12)+((B17-$B$14)*$B$6/12))+M17</f>
        <v>3995.4784030833339</v>
      </c>
      <c r="E17" s="304">
        <f t="shared" ref="E16:E25" si="6">+(C16*$E$10/12)+(((C17-C16)*$E$10/12)*0.5)</f>
        <v>5591.9921666666669</v>
      </c>
      <c r="F17" s="303">
        <f t="shared" si="0"/>
        <v>-10586.435209250001</v>
      </c>
      <c r="G17" s="304">
        <f t="shared" si="1"/>
        <v>-11183.984333333334</v>
      </c>
      <c r="H17" s="303">
        <f t="shared" si="2"/>
        <v>324933.09479075001</v>
      </c>
      <c r="I17" s="303">
        <f t="shared" si="2"/>
        <v>324335.5456666667</v>
      </c>
      <c r="J17" s="303">
        <f t="shared" si="3"/>
        <v>-597.54912408330711</v>
      </c>
      <c r="K17" s="303">
        <f t="shared" si="4"/>
        <v>125.48531605749449</v>
      </c>
      <c r="L17" s="303">
        <f t="shared" si="5"/>
        <v>-335.26789035249794</v>
      </c>
      <c r="M17" s="361"/>
      <c r="N17" s="320"/>
    </row>
    <row r="18" spans="1:15" ht="15" x14ac:dyDescent="0.25">
      <c r="A18" s="314">
        <v>44681</v>
      </c>
      <c r="B18" s="303">
        <v>335519.53000000003</v>
      </c>
      <c r="C18" s="313">
        <v>335519.53000000003</v>
      </c>
      <c r="D18" s="303">
        <f>(($B$14*$C$6/12)+((B18-$B$14)*$B$6/12))+M18</f>
        <v>3995.4784030833339</v>
      </c>
      <c r="E18" s="304">
        <f t="shared" si="6"/>
        <v>5591.9921666666669</v>
      </c>
      <c r="F18" s="303">
        <f t="shared" si="0"/>
        <v>-14581.913612333336</v>
      </c>
      <c r="G18" s="304">
        <f t="shared" si="1"/>
        <v>-16775.976500000001</v>
      </c>
      <c r="H18" s="303">
        <f t="shared" si="2"/>
        <v>320937.61638766667</v>
      </c>
      <c r="I18" s="303">
        <f t="shared" si="2"/>
        <v>318743.55350000004</v>
      </c>
      <c r="J18" s="303">
        <f t="shared" si="3"/>
        <v>-2194.0628876666306</v>
      </c>
      <c r="K18" s="303">
        <f t="shared" si="4"/>
        <v>460.7532064099924</v>
      </c>
      <c r="L18" s="303">
        <f t="shared" si="5"/>
        <v>-335.26789035249794</v>
      </c>
      <c r="M18" s="361"/>
    </row>
    <row r="19" spans="1:15" ht="15" x14ac:dyDescent="0.25">
      <c r="A19" s="314">
        <v>44712</v>
      </c>
      <c r="B19" s="303">
        <v>335519.53000000003</v>
      </c>
      <c r="C19" s="313">
        <v>335519.53000000003</v>
      </c>
      <c r="D19" s="303">
        <f>(($B$14*$C$6/12)+((B19-$B$14)*$B$6/12))+M19</f>
        <v>3995.4784030833339</v>
      </c>
      <c r="E19" s="304">
        <f t="shared" si="6"/>
        <v>5591.9921666666669</v>
      </c>
      <c r="F19" s="303">
        <f t="shared" si="0"/>
        <v>-18577.39201541667</v>
      </c>
      <c r="G19" s="304">
        <f t="shared" si="1"/>
        <v>-22367.968666666668</v>
      </c>
      <c r="H19" s="303">
        <f t="shared" si="2"/>
        <v>316942.13798458339</v>
      </c>
      <c r="I19" s="303">
        <f t="shared" si="2"/>
        <v>313151.56133333337</v>
      </c>
      <c r="J19" s="303">
        <f t="shared" si="3"/>
        <v>-3790.5766512500122</v>
      </c>
      <c r="K19" s="303">
        <f t="shared" si="4"/>
        <v>796.02109676250257</v>
      </c>
      <c r="L19" s="303">
        <f t="shared" si="5"/>
        <v>-335.26789035251016</v>
      </c>
      <c r="M19" s="361"/>
    </row>
    <row r="20" spans="1:15" ht="15" x14ac:dyDescent="0.25">
      <c r="A20" s="314">
        <v>44742</v>
      </c>
      <c r="B20" s="303">
        <v>335519.53000000003</v>
      </c>
      <c r="C20" s="313">
        <v>335519.53000000003</v>
      </c>
      <c r="D20" s="303">
        <f>(($B$14*$C$6/12)+((B20-$B$14)*$B$6/12))+M20</f>
        <v>3995.4784030833339</v>
      </c>
      <c r="E20" s="304">
        <f t="shared" si="6"/>
        <v>5591.9921666666669</v>
      </c>
      <c r="F20" s="303">
        <f t="shared" si="0"/>
        <v>-22572.870418500002</v>
      </c>
      <c r="G20" s="304">
        <f t="shared" si="1"/>
        <v>-27959.960833333334</v>
      </c>
      <c r="H20" s="303">
        <f t="shared" si="2"/>
        <v>312946.65958150005</v>
      </c>
      <c r="I20" s="303">
        <f t="shared" si="2"/>
        <v>307559.56916666671</v>
      </c>
      <c r="J20" s="303">
        <f t="shared" si="3"/>
        <v>-5387.0904148333357</v>
      </c>
      <c r="K20" s="303">
        <f t="shared" si="4"/>
        <v>1131.2889871150005</v>
      </c>
      <c r="L20" s="303">
        <f t="shared" si="5"/>
        <v>-335.26789035249794</v>
      </c>
      <c r="M20" s="361"/>
    </row>
    <row r="21" spans="1:15" ht="15" x14ac:dyDescent="0.25">
      <c r="A21" s="314">
        <v>44773</v>
      </c>
      <c r="B21" s="303">
        <v>335519.53000000003</v>
      </c>
      <c r="C21" s="313">
        <v>335519.53000000003</v>
      </c>
      <c r="D21" s="303">
        <f>(($B$14*$C$6/12)+((B21-$B$14)*$B$6/12))+M21</f>
        <v>3995.4784030833339</v>
      </c>
      <c r="E21" s="304">
        <f t="shared" si="6"/>
        <v>5591.9921666666669</v>
      </c>
      <c r="F21" s="303">
        <f t="shared" si="0"/>
        <v>-26568.348821583335</v>
      </c>
      <c r="G21" s="304">
        <f t="shared" si="1"/>
        <v>-33551.953000000001</v>
      </c>
      <c r="H21" s="303">
        <f t="shared" si="2"/>
        <v>308951.18117841671</v>
      </c>
      <c r="I21" s="303">
        <f t="shared" si="2"/>
        <v>301967.57700000005</v>
      </c>
      <c r="J21" s="303">
        <f t="shared" si="3"/>
        <v>-6983.6041784166591</v>
      </c>
      <c r="K21" s="303">
        <f t="shared" si="4"/>
        <v>1466.5568774674985</v>
      </c>
      <c r="L21" s="303">
        <f t="shared" si="5"/>
        <v>-335.26789035249794</v>
      </c>
      <c r="M21" s="361"/>
    </row>
    <row r="22" spans="1:15" ht="15" x14ac:dyDescent="0.25">
      <c r="A22" s="314">
        <v>44804</v>
      </c>
      <c r="B22" s="303">
        <v>335519.53000000003</v>
      </c>
      <c r="C22" s="313">
        <v>335519.53000000003</v>
      </c>
      <c r="D22" s="303">
        <f>(($B$14*$C$6/12)+((B22-$B$14)*$B$6/12))+M22</f>
        <v>3995.4784030833339</v>
      </c>
      <c r="E22" s="304">
        <f t="shared" si="6"/>
        <v>5591.9921666666669</v>
      </c>
      <c r="F22" s="303">
        <f t="shared" si="0"/>
        <v>-30563.827224666667</v>
      </c>
      <c r="G22" s="304">
        <f t="shared" si="1"/>
        <v>-39143.945166666672</v>
      </c>
      <c r="H22" s="303">
        <f t="shared" si="2"/>
        <v>304955.70277533337</v>
      </c>
      <c r="I22" s="303">
        <f t="shared" si="2"/>
        <v>296375.58483333339</v>
      </c>
      <c r="J22" s="303">
        <f t="shared" si="3"/>
        <v>-8580.1179419999826</v>
      </c>
      <c r="K22" s="303">
        <f t="shared" si="4"/>
        <v>1801.8247678199962</v>
      </c>
      <c r="L22" s="303">
        <f t="shared" si="5"/>
        <v>-335.26789035249772</v>
      </c>
      <c r="M22" s="361"/>
    </row>
    <row r="23" spans="1:15" ht="15" x14ac:dyDescent="0.25">
      <c r="A23" s="314">
        <v>44834</v>
      </c>
      <c r="B23" s="303">
        <v>335519.53000000003</v>
      </c>
      <c r="C23" s="313">
        <v>335519.53000000003</v>
      </c>
      <c r="D23" s="303">
        <f>(($B$14*$C$6/12)+((B23-$B$14)*$B$6/12))+M23</f>
        <v>3995.4784030833339</v>
      </c>
      <c r="E23" s="304">
        <f t="shared" si="6"/>
        <v>5591.9921666666669</v>
      </c>
      <c r="F23" s="303">
        <f t="shared" si="0"/>
        <v>-34559.30562775</v>
      </c>
      <c r="G23" s="304">
        <f t="shared" si="1"/>
        <v>-44735.937333333335</v>
      </c>
      <c r="H23" s="303">
        <f t="shared" si="2"/>
        <v>300960.22437225003</v>
      </c>
      <c r="I23" s="303">
        <f t="shared" si="2"/>
        <v>290783.59266666672</v>
      </c>
      <c r="J23" s="303">
        <f t="shared" si="3"/>
        <v>-10176.631705583306</v>
      </c>
      <c r="K23" s="303">
        <f t="shared" si="4"/>
        <v>2137.0926581724943</v>
      </c>
      <c r="L23" s="303">
        <f t="shared" si="5"/>
        <v>-335.26789035249817</v>
      </c>
      <c r="M23" s="361"/>
      <c r="O23" s="299"/>
    </row>
    <row r="24" spans="1:15" ht="15" x14ac:dyDescent="0.25">
      <c r="A24" s="314">
        <v>44865</v>
      </c>
      <c r="B24" s="303">
        <v>335519.53000000003</v>
      </c>
      <c r="C24" s="313">
        <v>335519.53000000003</v>
      </c>
      <c r="D24" s="303">
        <f>(($B$14*$C$6/12)+((B24-$B$14)*$B$6/12))+M24</f>
        <v>3995.4784030833339</v>
      </c>
      <c r="E24" s="304">
        <f t="shared" si="6"/>
        <v>5591.9921666666669</v>
      </c>
      <c r="F24" s="303">
        <f t="shared" si="0"/>
        <v>-38554.784030833333</v>
      </c>
      <c r="G24" s="304">
        <f t="shared" si="1"/>
        <v>-50327.929499999998</v>
      </c>
      <c r="H24" s="303">
        <f t="shared" si="2"/>
        <v>296964.74596916669</v>
      </c>
      <c r="I24" s="303">
        <f t="shared" si="2"/>
        <v>285191.60050000006</v>
      </c>
      <c r="J24" s="303">
        <f t="shared" si="3"/>
        <v>-11773.145469166629</v>
      </c>
      <c r="K24" s="303">
        <f t="shared" si="4"/>
        <v>2472.3605485249923</v>
      </c>
      <c r="L24" s="303">
        <f t="shared" si="5"/>
        <v>-335.26789035249794</v>
      </c>
      <c r="M24" s="361"/>
      <c r="N24" s="299"/>
      <c r="O24" s="299"/>
    </row>
    <row r="25" spans="1:15" ht="15" x14ac:dyDescent="0.25">
      <c r="A25" s="314">
        <v>44895</v>
      </c>
      <c r="B25" s="303">
        <v>335519.53000000003</v>
      </c>
      <c r="C25" s="313">
        <v>335519.53000000003</v>
      </c>
      <c r="D25" s="303">
        <f>(($B$14*$C$6/12)+((B25-$B$14)*$B$6/12))+M25</f>
        <v>3995.4784030833339</v>
      </c>
      <c r="E25" s="304">
        <f t="shared" si="6"/>
        <v>5591.9921666666669</v>
      </c>
      <c r="F25" s="303">
        <f t="shared" si="0"/>
        <v>-42550.262433916665</v>
      </c>
      <c r="G25" s="304">
        <f t="shared" si="1"/>
        <v>-55919.921666666662</v>
      </c>
      <c r="H25" s="303">
        <f t="shared" si="2"/>
        <v>292969.26756608335</v>
      </c>
      <c r="I25" s="303">
        <f t="shared" si="2"/>
        <v>279599.6083333334</v>
      </c>
      <c r="J25" s="303">
        <f t="shared" si="3"/>
        <v>-13369.659232749953</v>
      </c>
      <c r="K25" s="303">
        <f t="shared" si="4"/>
        <v>2807.6284388774902</v>
      </c>
      <c r="L25" s="303">
        <f t="shared" si="5"/>
        <v>-335.26789035249794</v>
      </c>
      <c r="M25" s="361"/>
      <c r="N25" s="315"/>
      <c r="O25" s="299"/>
    </row>
    <row r="26" spans="1:15" ht="15" x14ac:dyDescent="0.25">
      <c r="A26" s="314">
        <v>44926</v>
      </c>
      <c r="B26" s="303">
        <v>335519.53000000003</v>
      </c>
      <c r="C26" s="313">
        <v>335519.53000000003</v>
      </c>
      <c r="D26" s="303">
        <f>(($B$14*$C$6/12)+((B26-$B$14)*$B$6/12))+M26</f>
        <v>3995.4784030833339</v>
      </c>
      <c r="E26" s="304">
        <f>+(C25*$E$10/12)+(((C26-C25)*$E$10/12)*0.5)</f>
        <v>5591.9921666666669</v>
      </c>
      <c r="F26" s="303">
        <f t="shared" si="0"/>
        <v>-46545.740836999998</v>
      </c>
      <c r="G26" s="304">
        <f t="shared" si="1"/>
        <v>-61511.913833333325</v>
      </c>
      <c r="H26" s="303">
        <f t="shared" si="2"/>
        <v>288973.78916300001</v>
      </c>
      <c r="I26" s="303">
        <f t="shared" si="2"/>
        <v>274007.61616666673</v>
      </c>
      <c r="J26" s="303">
        <f t="shared" si="3"/>
        <v>-14966.172996333276</v>
      </c>
      <c r="K26" s="303">
        <f t="shared" si="4"/>
        <v>3142.8963292299877</v>
      </c>
      <c r="L26" s="303">
        <f t="shared" si="5"/>
        <v>-335.26789035249749</v>
      </c>
      <c r="M26" s="361"/>
      <c r="O26" s="299"/>
    </row>
    <row r="27" spans="1:15" ht="15" x14ac:dyDescent="0.25">
      <c r="A27" s="314">
        <v>44957</v>
      </c>
      <c r="B27" s="303">
        <v>335519.53000000003</v>
      </c>
      <c r="C27" s="313">
        <v>335519.53000000003</v>
      </c>
      <c r="D27" s="303">
        <f>(($B$14*$D$6/12)+(($B$26-$B$14)*$C$6/12)+((B27-$B$26)*$B$6/12))</f>
        <v>6847.3944080833344</v>
      </c>
      <c r="E27" s="304">
        <f>+(C26*$E$10/12)+(((C27-C26)*$E$10/12)*0.5)</f>
        <v>5591.9921666666669</v>
      </c>
      <c r="F27" s="303">
        <f t="shared" si="0"/>
        <v>-53393.135245083329</v>
      </c>
      <c r="G27" s="304">
        <f t="shared" si="1"/>
        <v>-67103.905999999988</v>
      </c>
      <c r="H27" s="303">
        <f t="shared" si="2"/>
        <v>282126.39475491672</v>
      </c>
      <c r="I27" s="303">
        <f t="shared" si="2"/>
        <v>268415.62400000007</v>
      </c>
      <c r="J27" s="303">
        <f t="shared" si="3"/>
        <v>-13710.770754916652</v>
      </c>
      <c r="K27" s="303">
        <f t="shared" si="4"/>
        <v>2879.2618585324967</v>
      </c>
      <c r="L27" s="303">
        <f t="shared" si="5"/>
        <v>263.634470697491</v>
      </c>
      <c r="M27" s="361"/>
      <c r="O27" s="299"/>
    </row>
    <row r="28" spans="1:15" ht="15" x14ac:dyDescent="0.25">
      <c r="A28" s="314">
        <v>44985</v>
      </c>
      <c r="B28" s="303">
        <v>335519.53000000003</v>
      </c>
      <c r="C28" s="313">
        <v>335519.53000000003</v>
      </c>
      <c r="D28" s="303">
        <f>(($B$14*$D$6/12)+(($B$26-$B$14)*$C$6/12)+((B28-$B$26)*$B$6/12))</f>
        <v>6847.3944080833344</v>
      </c>
      <c r="E28" s="304">
        <f>+(C27*$E$10/12)+(((C28-C27)*$E$10/12)*0.5)</f>
        <v>5591.9921666666669</v>
      </c>
      <c r="F28" s="303">
        <f t="shared" si="0"/>
        <v>-60240.529653166661</v>
      </c>
      <c r="G28" s="304">
        <f t="shared" si="1"/>
        <v>-72695.898166666651</v>
      </c>
      <c r="H28" s="303">
        <f t="shared" si="2"/>
        <v>275279.00034683337</v>
      </c>
      <c r="I28" s="303">
        <f t="shared" si="2"/>
        <v>262823.63183333341</v>
      </c>
      <c r="J28" s="303">
        <f t="shared" si="3"/>
        <v>-12455.368513499969</v>
      </c>
      <c r="K28" s="303">
        <f t="shared" si="4"/>
        <v>2615.6273878349934</v>
      </c>
      <c r="L28" s="303">
        <f t="shared" si="5"/>
        <v>263.63447069750328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335519.53000000003</v>
      </c>
      <c r="C29" s="313">
        <v>335519.53000000003</v>
      </c>
      <c r="D29" s="303">
        <f>(($B$14*$D$6/12)+(($B$26-$B$14)*$C$6/12)+(($B$38-$B$26)*$B$6/12))</f>
        <v>6847.3944080833344</v>
      </c>
      <c r="E29" s="304">
        <f>+(C28*$E$10/12)+(((C29-C28)*$E$10/12)*0.5)</f>
        <v>5591.9921666666669</v>
      </c>
      <c r="F29" s="303">
        <f>-D29+F28</f>
        <v>-67087.92406125</v>
      </c>
      <c r="G29" s="304">
        <f>+G28-E29</f>
        <v>-78287.890333333315</v>
      </c>
      <c r="H29" s="303">
        <f>B29+F29</f>
        <v>268431.60593875003</v>
      </c>
      <c r="I29" s="303">
        <f>C29+G29</f>
        <v>257231.63966666671</v>
      </c>
      <c r="J29" s="303">
        <f>I29-H29</f>
        <v>-11199.966272083315</v>
      </c>
      <c r="K29" s="303">
        <f>-J29*$K$11</f>
        <v>2351.9929171374961</v>
      </c>
      <c r="L29" s="303">
        <f>-K29+K28</f>
        <v>263.63447069749736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335519.53000000003</v>
      </c>
      <c r="C30" s="313">
        <f>C29</f>
        <v>335519.53000000003</v>
      </c>
      <c r="D30" s="303">
        <f>(($B$14*$D$6/12)+(($B$26-$B$14)*$C$6/12)+(($B$38-$B$26)*$B$6/12))</f>
        <v>6847.3944080833344</v>
      </c>
      <c r="E30" s="304">
        <f>+(C29*$E$10/12)+(((C30-C29)*$E$10/12)*0.5)</f>
        <v>5591.9921666666669</v>
      </c>
      <c r="F30" s="303">
        <f>-D30+F29</f>
        <v>-73935.318469333331</v>
      </c>
      <c r="G30" s="304">
        <f>+G29-E30</f>
        <v>-83879.882499999978</v>
      </c>
      <c r="H30" s="303">
        <f>B30+F30</f>
        <v>261584.21153066668</v>
      </c>
      <c r="I30" s="303">
        <f>C30+G30</f>
        <v>251639.64750000005</v>
      </c>
      <c r="J30" s="303">
        <f>I30-H30</f>
        <v>-9944.5640306666319</v>
      </c>
      <c r="K30" s="303">
        <f>-J30*$K$11</f>
        <v>2088.3584464399928</v>
      </c>
      <c r="L30" s="303">
        <f>-K30+K29</f>
        <v>263.63447069750328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335519.53000000003</v>
      </c>
      <c r="C31" s="313">
        <f>C30</f>
        <v>335519.53000000003</v>
      </c>
      <c r="D31" s="303">
        <f>(($B$14*$D$6/12)+(($B$26-$B$14)*$C$6/12)+(($B$38-$B$26)*$B$6/12))</f>
        <v>6847.3944080833344</v>
      </c>
      <c r="E31" s="304">
        <f>+(C30*$E$10/12)+(((C31-C30)*$E$10/12)*0.5)</f>
        <v>5591.9921666666669</v>
      </c>
      <c r="F31" s="303">
        <f>-D31+F30</f>
        <v>-80782.712877416663</v>
      </c>
      <c r="G31" s="304">
        <f>+G30-E31</f>
        <v>-89471.874666666641</v>
      </c>
      <c r="H31" s="303">
        <f>B31+F31</f>
        <v>254736.81712258336</v>
      </c>
      <c r="I31" s="303">
        <f>C31+G31</f>
        <v>246047.65533333339</v>
      </c>
      <c r="J31" s="303">
        <f>I31-H31</f>
        <v>-8689.161789249978</v>
      </c>
      <c r="K31" s="303">
        <f>-J31*$K$11</f>
        <v>1824.7239757424952</v>
      </c>
      <c r="L31" s="303">
        <f>-K31+K30</f>
        <v>263.63447069749759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335519.53000000003</v>
      </c>
      <c r="C32" s="313">
        <f>C31</f>
        <v>335519.53000000003</v>
      </c>
      <c r="D32" s="303">
        <f>(($B$14*$D$6/12)+(($B$26-$B$14)*$C$6/12)+(($B$38-$B$26)*$B$6/12))</f>
        <v>6847.3944080833344</v>
      </c>
      <c r="E32" s="304">
        <f>+(C31*$E$10/12)+(((C32-C31)*$E$10/12)*0.5)</f>
        <v>5591.9921666666669</v>
      </c>
      <c r="F32" s="303">
        <f>-D32+F31</f>
        <v>-87630.107285499995</v>
      </c>
      <c r="G32" s="304">
        <f>+G31-E32</f>
        <v>-95063.866833333304</v>
      </c>
      <c r="H32" s="303">
        <f>B32+F32</f>
        <v>247889.42271450005</v>
      </c>
      <c r="I32" s="303">
        <f>C32+G32</f>
        <v>240455.66316666672</v>
      </c>
      <c r="J32" s="303">
        <f>I32-H32</f>
        <v>-7433.7595478333242</v>
      </c>
      <c r="K32" s="303">
        <f>-J32*$K$11</f>
        <v>1561.0895050449981</v>
      </c>
      <c r="L32" s="303">
        <f>-K32+K31</f>
        <v>263.63447069749714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335519.53000000003</v>
      </c>
      <c r="C33" s="313">
        <f>C32</f>
        <v>335519.53000000003</v>
      </c>
      <c r="D33" s="303">
        <f>(($B$14*$D$6/12)+(($B$26-$B$14)*$C$6/12)+(($B$38-$B$26)*$B$6/12))</f>
        <v>6847.3944080833344</v>
      </c>
      <c r="E33" s="304">
        <f>+(C32*$E$10/12)+(((C33-C32)*$E$10/12)*0.5)</f>
        <v>5591.9921666666669</v>
      </c>
      <c r="F33" s="303">
        <f>-D33+F32</f>
        <v>-94477.501693583326</v>
      </c>
      <c r="G33" s="304">
        <f>+G32-E33</f>
        <v>-100655.85899999997</v>
      </c>
      <c r="H33" s="303">
        <f>B33+F33</f>
        <v>241042.0283064167</v>
      </c>
      <c r="I33" s="303">
        <f>C33+G33</f>
        <v>234863.67100000006</v>
      </c>
      <c r="J33" s="303">
        <f>I33-H33</f>
        <v>-6178.3573064166412</v>
      </c>
      <c r="K33" s="303">
        <f>-J33*$K$11</f>
        <v>1297.4550343474946</v>
      </c>
      <c r="L33" s="303">
        <f>-K33+K32</f>
        <v>263.6344706975035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335519.53000000003</v>
      </c>
      <c r="C34" s="313">
        <f>C33</f>
        <v>335519.53000000003</v>
      </c>
      <c r="D34" s="303">
        <f>(($B$14*$D$6/12)+(($B$26-$B$14)*$C$6/12)+(($B$38-$B$26)*$B$6/12))</f>
        <v>6847.3944080833344</v>
      </c>
      <c r="E34" s="304">
        <f>+(C33*$E$10/12)+(((C34-C33)*$E$10/12)*0.5)</f>
        <v>5591.9921666666669</v>
      </c>
      <c r="F34" s="303">
        <f>-D34+F33</f>
        <v>-101324.89610166666</v>
      </c>
      <c r="G34" s="304">
        <f>+G33-E34</f>
        <v>-106247.85116666663</v>
      </c>
      <c r="H34" s="303">
        <f>B34+F34</f>
        <v>234194.63389833336</v>
      </c>
      <c r="I34" s="303">
        <f>C34+G34</f>
        <v>229271.6788333334</v>
      </c>
      <c r="J34" s="303">
        <f>I34-H34</f>
        <v>-4922.9550649999583</v>
      </c>
      <c r="K34" s="303">
        <f>-J34*$K$11</f>
        <v>1033.8205636499913</v>
      </c>
      <c r="L34" s="303">
        <f>-K34+K33</f>
        <v>263.63447069750328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335519.53000000003</v>
      </c>
      <c r="C35" s="313">
        <f>C34</f>
        <v>335519.53000000003</v>
      </c>
      <c r="D35" s="303">
        <f>(($B$14*$D$6/12)+(($B$26-$B$14)*$C$6/12)+(($B$38-$B$26)*$B$6/12))</f>
        <v>6847.3944080833344</v>
      </c>
      <c r="E35" s="304">
        <f>+(C34*$E$10/12)+(((C35-C34)*$E$10/12)*0.5)</f>
        <v>5591.9921666666669</v>
      </c>
      <c r="F35" s="303">
        <f>-D35+F34</f>
        <v>-108172.29050974999</v>
      </c>
      <c r="G35" s="304">
        <f>+G34-E35</f>
        <v>-111839.84333333329</v>
      </c>
      <c r="H35" s="303">
        <f>B35+F35</f>
        <v>227347.23949025004</v>
      </c>
      <c r="I35" s="303">
        <f>C35+G35</f>
        <v>223679.68666666673</v>
      </c>
      <c r="J35" s="303">
        <f>I35-H35</f>
        <v>-3667.5528235833044</v>
      </c>
      <c r="K35" s="303">
        <f>-J35*$K$11</f>
        <v>770.18609295249394</v>
      </c>
      <c r="L35" s="303">
        <f>-K35+K34</f>
        <v>263.63447069749736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335519.53000000003</v>
      </c>
      <c r="C36" s="313">
        <f>C35</f>
        <v>335519.53000000003</v>
      </c>
      <c r="D36" s="303">
        <f>(($B$14*$D$6/12)+(($B$26-$B$14)*$C$6/12)+(($B$38-$B$26)*$B$6/12))</f>
        <v>6847.3944080833344</v>
      </c>
      <c r="E36" s="304">
        <f>+(C35*$E$10/12)+(((C36-C35)*$E$10/12)*0.5)</f>
        <v>5591.9921666666669</v>
      </c>
      <c r="F36" s="303">
        <f>-D36+F35</f>
        <v>-115019.68491783332</v>
      </c>
      <c r="G36" s="304">
        <f>+G35-E36</f>
        <v>-117431.83549999996</v>
      </c>
      <c r="H36" s="303">
        <f>B36+F36</f>
        <v>220499.84508216672</v>
      </c>
      <c r="I36" s="303">
        <f>C36+G36</f>
        <v>218087.69450000007</v>
      </c>
      <c r="J36" s="303">
        <f>I36-H36</f>
        <v>-2412.1505821666506</v>
      </c>
      <c r="K36" s="303">
        <f>-J36*$K$11</f>
        <v>506.55162225499657</v>
      </c>
      <c r="L36" s="303">
        <f>-K36+K35</f>
        <v>263.63447069749736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335519.53000000003</v>
      </c>
      <c r="C37" s="313">
        <f>C36</f>
        <v>335519.53000000003</v>
      </c>
      <c r="D37" s="303">
        <f>(($B$14*$D$6/12)+(($B$26-$B$14)*$C$6/12)+(($B$38-$B$26)*$B$6/12))</f>
        <v>6847.3944080833344</v>
      </c>
      <c r="E37" s="304">
        <f>+(C36*$E$10/12)+(((C37-C36)*$E$10/12)*0.5)</f>
        <v>5591.9921666666669</v>
      </c>
      <c r="F37" s="303">
        <f>-D37+F36</f>
        <v>-121867.07932591665</v>
      </c>
      <c r="G37" s="304">
        <f>+G36-E37</f>
        <v>-123023.82766666662</v>
      </c>
      <c r="H37" s="303">
        <f>B37+F37</f>
        <v>213652.45067408337</v>
      </c>
      <c r="I37" s="303">
        <f>C37+G37</f>
        <v>212495.70233333341</v>
      </c>
      <c r="J37" s="303">
        <f>I37-H37</f>
        <v>-1156.7483407499676</v>
      </c>
      <c r="K37" s="303">
        <f>-J37*$K$11</f>
        <v>242.91715155749318</v>
      </c>
      <c r="L37" s="303">
        <f>-K37+K36</f>
        <v>263.63447069750339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335519.53000000003</v>
      </c>
      <c r="C38" s="313">
        <f>C37</f>
        <v>335519.53000000003</v>
      </c>
      <c r="D38" s="303">
        <f>(($B$14*$D$6/12)+(($B$26-$B$14)*$C$6/12)+(($B$38-$B$26)*$B$6/12))</f>
        <v>6847.3944080833344</v>
      </c>
      <c r="E38" s="304">
        <f>+(C37*$E$10/12)+(((C38-C37)*$E$10/12)*0.5)</f>
        <v>5591.9921666666669</v>
      </c>
      <c r="F38" s="303">
        <f>-D38+F37</f>
        <v>-128714.47373399998</v>
      </c>
      <c r="G38" s="304">
        <f>+G37-E38</f>
        <v>-128615.81983333328</v>
      </c>
      <c r="H38" s="303">
        <f>B38+F38</f>
        <v>206805.05626600003</v>
      </c>
      <c r="I38" s="303">
        <f>C38+G38</f>
        <v>206903.71016666674</v>
      </c>
      <c r="J38" s="303">
        <f>I38-H38</f>
        <v>98.653900666715344</v>
      </c>
      <c r="K38" s="303">
        <f>-J38*$K$11</f>
        <v>-20.717319140010222</v>
      </c>
      <c r="L38" s="303">
        <f>-K38+K37</f>
        <v>263.63447069750339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335519.53000000003</v>
      </c>
      <c r="C39" s="313">
        <f>C38</f>
        <v>335519.53000000003</v>
      </c>
      <c r="D39" s="303">
        <f>(($B$14*$E$6/12)+(($B$26-$B$14)*$D$6/12)+(($B$38-$B$26)*$C$6/12)+(($B$50-$B$38)*$B$6/12))</f>
        <v>4890.1971497500008</v>
      </c>
      <c r="E39" s="304">
        <f>+(C38*$E$10/12)+(((C39-C38)*$E$10/12)*0.5)</f>
        <v>5591.9921666666669</v>
      </c>
      <c r="F39" s="303">
        <f>-D39+F38</f>
        <v>-133604.67088374999</v>
      </c>
      <c r="G39" s="304">
        <f>+G38-E39</f>
        <v>-134207.81199999995</v>
      </c>
      <c r="H39" s="303">
        <f>B39+F39</f>
        <v>201914.85911625004</v>
      </c>
      <c r="I39" s="303">
        <f>C39+G39</f>
        <v>201311.71800000008</v>
      </c>
      <c r="J39" s="303">
        <f>I39-H39</f>
        <v>-603.14111624995712</v>
      </c>
      <c r="K39" s="303">
        <f>-J39*$K$11</f>
        <v>126.65963441249099</v>
      </c>
      <c r="L39" s="303">
        <f>-K39+K38</f>
        <v>-147.37695355250122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335519.53000000003</v>
      </c>
      <c r="C40" s="313">
        <f>C39</f>
        <v>335519.53000000003</v>
      </c>
      <c r="D40" s="303">
        <f>(($B$14*$E$6/12)+(($B$26-$B$14)*$D$6/12)+(($B$38-$B$26)*$C$6/12)+(($B$50-$B$38)*$B$6/12))</f>
        <v>4890.1971497500008</v>
      </c>
      <c r="E40" s="304">
        <f>+(C39*$E$10/12)+(((C40-C39)*$E$10/12)*0.5)</f>
        <v>5591.9921666666669</v>
      </c>
      <c r="F40" s="303">
        <f>-D40+F39</f>
        <v>-138494.86803349998</v>
      </c>
      <c r="G40" s="304">
        <f>+G39-E40</f>
        <v>-139799.80416666661</v>
      </c>
      <c r="H40" s="303">
        <f>B40+F40</f>
        <v>197024.66196650005</v>
      </c>
      <c r="I40" s="303">
        <f>C40+G40</f>
        <v>195719.72583333342</v>
      </c>
      <c r="J40" s="303">
        <f>I40-H40</f>
        <v>-1304.9361331666296</v>
      </c>
      <c r="K40" s="303">
        <f>-J40*$K$11</f>
        <v>274.03658796499218</v>
      </c>
      <c r="L40" s="303">
        <f>-K40+K39</f>
        <v>-147.37695355250119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335519.53000000003</v>
      </c>
      <c r="C41" s="313">
        <f>C40</f>
        <v>335519.53000000003</v>
      </c>
      <c r="D41" s="303">
        <f>(($B$14*$E$6/12)+(($B$26-$B$14)*$D$6/12)+(($B$38-$B$26)*$C$6/12)+(($B$50-$B$38)*$B$6/12))</f>
        <v>4890.1971497500008</v>
      </c>
      <c r="E41" s="304">
        <f>+(C40*$E$10/12)+(((C41-C40)*$E$10/12)*0.5)</f>
        <v>5591.9921666666669</v>
      </c>
      <c r="F41" s="303">
        <f>-D41+F40</f>
        <v>-143385.06518324997</v>
      </c>
      <c r="G41" s="304">
        <f>+G40-E41</f>
        <v>-145391.79633333327</v>
      </c>
      <c r="H41" s="303">
        <f>B41+F41</f>
        <v>192134.46481675006</v>
      </c>
      <c r="I41" s="303">
        <f>C41+G41</f>
        <v>190127.73366666675</v>
      </c>
      <c r="J41" s="303">
        <f>I41-H41</f>
        <v>-2006.7311500833021</v>
      </c>
      <c r="K41" s="303">
        <f>-J41*$K$11</f>
        <v>421.4135415174934</v>
      </c>
      <c r="L41" s="303">
        <f>-K41+K40</f>
        <v>-147.37695355250122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335519.53000000003</v>
      </c>
      <c r="C42" s="313">
        <f>C41</f>
        <v>335519.53000000003</v>
      </c>
      <c r="D42" s="303">
        <f>(($B$14*$E$6/12)+(($B$26-$B$14)*$D$6/12)+(($B$38-$B$26)*$C$6/12)+(($B$50-$B$38)*$B$6/12))</f>
        <v>4890.1971497500008</v>
      </c>
      <c r="E42" s="304">
        <f>+(C41*$E$10/12)+(((C42-C41)*$E$10/12)*0.5)</f>
        <v>5591.9921666666669</v>
      </c>
      <c r="F42" s="303">
        <f>-D42+F41</f>
        <v>-148275.26233299996</v>
      </c>
      <c r="G42" s="304">
        <f>+G41-E42</f>
        <v>-150983.78849999994</v>
      </c>
      <c r="H42" s="303">
        <f>B42+F42</f>
        <v>187244.26766700007</v>
      </c>
      <c r="I42" s="303">
        <f>C42+G42</f>
        <v>184535.74150000009</v>
      </c>
      <c r="J42" s="303">
        <f>I42-H42</f>
        <v>-2708.5261669999745</v>
      </c>
      <c r="K42" s="303">
        <f>-J42*$K$11</f>
        <v>568.79049506999468</v>
      </c>
      <c r="L42" s="303">
        <f>-K42+K41</f>
        <v>-147.37695355250128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335519.53000000003</v>
      </c>
      <c r="C43" s="313">
        <f>C42</f>
        <v>335519.53000000003</v>
      </c>
      <c r="D43" s="303">
        <f>(($B$14*$E$6/12)+(($B$26-$B$14)*$D$6/12)+(($B$38-$B$26)*$C$6/12)+(($B$50-$B$38)*$B$6/12))</f>
        <v>4890.1971497500008</v>
      </c>
      <c r="E43" s="304">
        <f>+(C42*$E$10/12)+(((C43-C42)*$E$10/12)*0.5)</f>
        <v>5591.9921666666669</v>
      </c>
      <c r="F43" s="303">
        <f>-D43+F42</f>
        <v>-153165.45948274995</v>
      </c>
      <c r="G43" s="304">
        <f>+G42-E43</f>
        <v>-156575.7806666666</v>
      </c>
      <c r="H43" s="303">
        <f>B43+F43</f>
        <v>182354.07051725007</v>
      </c>
      <c r="I43" s="303">
        <f>C43+G43</f>
        <v>178943.74933333343</v>
      </c>
      <c r="J43" s="303">
        <f>I43-H43</f>
        <v>-3410.321183916647</v>
      </c>
      <c r="K43" s="303">
        <f>-J43*$K$11</f>
        <v>716.16744862249584</v>
      </c>
      <c r="L43" s="303">
        <f>-K43+K42</f>
        <v>-147.37695355250116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335519.53000000003</v>
      </c>
      <c r="C44" s="313">
        <f>C43</f>
        <v>335519.53000000003</v>
      </c>
      <c r="D44" s="303">
        <f>(($B$14*$E$6/12)+(($B$26-$B$14)*$D$6/12)+(($B$38-$B$26)*$C$6/12)+(($B$50-$B$38)*$B$6/12))</f>
        <v>4890.1971497500008</v>
      </c>
      <c r="E44" s="304">
        <f>+(C43*$E$10/12)+(((C44-C43)*$E$10/12)*0.5)</f>
        <v>5591.9921666666669</v>
      </c>
      <c r="F44" s="303">
        <f>-D44+F43</f>
        <v>-158055.65663249994</v>
      </c>
      <c r="G44" s="304">
        <f>+G43-E44</f>
        <v>-162167.77283333326</v>
      </c>
      <c r="H44" s="303">
        <f>B44+F44</f>
        <v>177463.87336750008</v>
      </c>
      <c r="I44" s="303">
        <f>C44+G44</f>
        <v>173351.75716666676</v>
      </c>
      <c r="J44" s="303">
        <f>I44-H44</f>
        <v>-4112.1162008333195</v>
      </c>
      <c r="K44" s="303">
        <f>-J44*$K$11</f>
        <v>863.544402174997</v>
      </c>
      <c r="L44" s="303">
        <f>-K44+K43</f>
        <v>-147.37695355250116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335519.53000000003</v>
      </c>
      <c r="C45" s="313">
        <f>C44</f>
        <v>335519.53000000003</v>
      </c>
      <c r="D45" s="303">
        <f>(($B$14*$E$6/12)+(($B$26-$B$14)*$D$6/12)+(($B$38-$B$26)*$C$6/12)+(($B$50-$B$38)*$B$6/12))</f>
        <v>4890.1971497500008</v>
      </c>
      <c r="E45" s="304">
        <f>+(C44*$E$10/12)+(((C45-C44)*$E$10/12)*0.5)</f>
        <v>5591.9921666666669</v>
      </c>
      <c r="F45" s="303">
        <f>-D45+F44</f>
        <v>-162945.85378224993</v>
      </c>
      <c r="G45" s="304">
        <f>+G44-E45</f>
        <v>-167759.76499999993</v>
      </c>
      <c r="H45" s="303">
        <f>B45+F45</f>
        <v>172573.67621775009</v>
      </c>
      <c r="I45" s="303">
        <f>C45+G45</f>
        <v>167759.7650000001</v>
      </c>
      <c r="J45" s="303">
        <f>I45-H45</f>
        <v>-4813.9112177499919</v>
      </c>
      <c r="K45" s="303">
        <f>-J45*$K$11</f>
        <v>1010.9213557274983</v>
      </c>
      <c r="L45" s="303">
        <f>-K45+K44</f>
        <v>-147.37695355250128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335519.53000000003</v>
      </c>
      <c r="C46" s="313">
        <f>C45</f>
        <v>335519.53000000003</v>
      </c>
      <c r="D46" s="303">
        <f>(($B$14*$E$6/12)+(($B$26-$B$14)*$D$6/12)+(($B$38-$B$26)*$C$6/12)+(($B$50-$B$38)*$B$6/12))</f>
        <v>4890.1971497500008</v>
      </c>
      <c r="E46" s="304">
        <f>+(C45*$E$10/12)+(((C46-C45)*$E$10/12)*0.5)</f>
        <v>5591.9921666666669</v>
      </c>
      <c r="F46" s="303">
        <f>-D46+F45</f>
        <v>-167836.05093199993</v>
      </c>
      <c r="G46" s="304">
        <f>+G45-E46</f>
        <v>-173351.75716666659</v>
      </c>
      <c r="H46" s="303">
        <f>B46+F46</f>
        <v>167683.4790680001</v>
      </c>
      <c r="I46" s="303">
        <f>C46+G46</f>
        <v>162167.77283333344</v>
      </c>
      <c r="J46" s="303">
        <f>I46-H46</f>
        <v>-5515.7062346666644</v>
      </c>
      <c r="K46" s="303">
        <f>-J46*$K$11</f>
        <v>1158.2983092799996</v>
      </c>
      <c r="L46" s="303">
        <f>-K46+K45</f>
        <v>-147.37695355250128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335519.53000000003</v>
      </c>
      <c r="C47" s="313">
        <f>C46</f>
        <v>335519.53000000003</v>
      </c>
      <c r="D47" s="303">
        <f>(($B$14*$E$6/12)+(($B$26-$B$14)*$D$6/12)+(($B$38-$B$26)*$C$6/12)+(($B$50-$B$38)*$B$6/12))</f>
        <v>4890.1971497500008</v>
      </c>
      <c r="E47" s="304">
        <f>+(C46*$E$10/12)+(((C47-C46)*$E$10/12)*0.5)</f>
        <v>5591.9921666666669</v>
      </c>
      <c r="F47" s="303">
        <f>-D47+F46</f>
        <v>-172726.24808174992</v>
      </c>
      <c r="G47" s="304">
        <f>+G46-E47</f>
        <v>-178943.74933333325</v>
      </c>
      <c r="H47" s="303">
        <f>B47+F47</f>
        <v>162793.28191825011</v>
      </c>
      <c r="I47" s="303">
        <f>C47+G47</f>
        <v>156575.78066666677</v>
      </c>
      <c r="J47" s="303">
        <f>I47-H47</f>
        <v>-6217.5012515833369</v>
      </c>
      <c r="K47" s="303">
        <f>-J47*$K$11</f>
        <v>1305.6752628325007</v>
      </c>
      <c r="L47" s="303">
        <f>-K47+K46</f>
        <v>-147.37695355250116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335519.53000000003</v>
      </c>
      <c r="C48" s="313">
        <f>C47</f>
        <v>335519.53000000003</v>
      </c>
      <c r="D48" s="303">
        <f>(($B$14*$E$6/12)+(($B$26-$B$14)*$D$6/12)+(($B$38-$B$26)*$C$6/12)+(($B$50-$B$38)*$B$6/12))</f>
        <v>4890.1971497500008</v>
      </c>
      <c r="E48" s="304">
        <f>+(C47*$E$10/12)+(((C48-C47)*$E$10/12)*0.5)</f>
        <v>5591.9921666666669</v>
      </c>
      <c r="F48" s="303">
        <f>-D48+F47</f>
        <v>-177616.44523149991</v>
      </c>
      <c r="G48" s="304">
        <f>+G47-E48</f>
        <v>-184535.74149999992</v>
      </c>
      <c r="H48" s="303">
        <f>B48+F48</f>
        <v>157903.08476850012</v>
      </c>
      <c r="I48" s="303">
        <f>C48+G48</f>
        <v>150983.78850000011</v>
      </c>
      <c r="J48" s="303">
        <f>I48-H48</f>
        <v>-6919.2962685000093</v>
      </c>
      <c r="K48" s="303">
        <f>-J48*$K$11</f>
        <v>1453.0522163850019</v>
      </c>
      <c r="L48" s="303">
        <f>-K48+K47</f>
        <v>-147.37695355250116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335519.53000000003</v>
      </c>
      <c r="C49" s="313">
        <f>C48</f>
        <v>335519.53000000003</v>
      </c>
      <c r="D49" s="303">
        <f>(($B$14*$E$6/12)+(($B$26-$B$14)*$D$6/12)+(($B$38-$B$26)*$C$6/12)+(($B$50-$B$38)*$B$6/12))</f>
        <v>4890.1971497500008</v>
      </c>
      <c r="E49" s="304">
        <f>+(C48*$E$10/12)+(((C49-C48)*$E$10/12)*0.5)</f>
        <v>5591.9921666666669</v>
      </c>
      <c r="F49" s="303">
        <f>-D49+F48</f>
        <v>-182506.6423812499</v>
      </c>
      <c r="G49" s="304">
        <f>+G48-E49</f>
        <v>-190127.73366666658</v>
      </c>
      <c r="H49" s="303">
        <f>B49+F49</f>
        <v>153012.88761875013</v>
      </c>
      <c r="I49" s="303">
        <f>C49+G49</f>
        <v>145391.79633333345</v>
      </c>
      <c r="J49" s="303">
        <f>I49-H49</f>
        <v>-7621.0912854166818</v>
      </c>
      <c r="K49" s="303">
        <f>-J49*$K$11</f>
        <v>1600.429169937503</v>
      </c>
      <c r="L49" s="303">
        <f>-K49+K48</f>
        <v>-147.37695355250116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335519.53000000003</v>
      </c>
      <c r="C50" s="313">
        <f>C49</f>
        <v>335519.53000000003</v>
      </c>
      <c r="D50" s="303">
        <f>(($B$14*$E$6/12)+(($B$26-$B$14)*$D$6/12)+(($B$38-$B$26)*$C$6/12)+(($B$50-$B$38)*$B$6/12))</f>
        <v>4890.1971497500008</v>
      </c>
      <c r="E50" s="304">
        <f>+(C49*$E$10/12)+(((C50-C49)*$E$10/12)*0.5)</f>
        <v>5591.9921666666669</v>
      </c>
      <c r="F50" s="303">
        <f>-D50+F49</f>
        <v>-187396.83953099989</v>
      </c>
      <c r="G50" s="304">
        <f>+G49-E50</f>
        <v>-195719.72583333324</v>
      </c>
      <c r="H50" s="303">
        <f>B50+F50</f>
        <v>148122.69046900014</v>
      </c>
      <c r="I50" s="303">
        <f>C50+G50</f>
        <v>139799.80416666679</v>
      </c>
      <c r="J50" s="303">
        <f>I50-H50</f>
        <v>-8322.8863023333543</v>
      </c>
      <c r="K50" s="303">
        <f>-J50*$K$11</f>
        <v>1747.8061234900044</v>
      </c>
      <c r="L50" s="303">
        <f>-K50+K49</f>
        <v>-147.37695355250139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335519.53000000003</v>
      </c>
      <c r="C51" s="313">
        <f>C50</f>
        <v>335519.53000000003</v>
      </c>
      <c r="D51" s="303">
        <f>(($B$14*$F$6/12)+(($B$26-$B$14)*$E$6/12)+(($B$38-$B$26)*$D$6/12)+(($B$50-$B$38)*$C$6/12)+(($B$62-$B$50)*$B$6/12))</f>
        <v>3492.1991080833336</v>
      </c>
      <c r="E51" s="304">
        <f>+(C50*$E$10/12)+(((C51-C50)*$E$10/12)*0.5)</f>
        <v>5591.9921666666669</v>
      </c>
      <c r="F51" s="303">
        <f>-D51+F50</f>
        <v>-190889.03863908321</v>
      </c>
      <c r="G51" s="304">
        <f>+G50-E51</f>
        <v>-201311.71799999991</v>
      </c>
      <c r="H51" s="303">
        <f>B51+F51</f>
        <v>144630.49136091681</v>
      </c>
      <c r="I51" s="303">
        <f>C51+G51</f>
        <v>134207.81200000012</v>
      </c>
      <c r="J51" s="303">
        <f>I51-H51</f>
        <v>-10422.679360916693</v>
      </c>
      <c r="K51" s="303">
        <f>-J51*$K$11</f>
        <v>2188.7626657925052</v>
      </c>
      <c r="L51" s="303">
        <f>-K51+K50</f>
        <v>-440.95654230250079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335519.53000000003</v>
      </c>
      <c r="C52" s="313">
        <f>C51</f>
        <v>335519.53000000003</v>
      </c>
      <c r="D52" s="303">
        <f>(($B$14*$F$6/12)+(($B$26-$B$14)*$E$6/12)+(($B$38-$B$26)*$D$6/12)+(($B$50-$B$38)*$C$6/12)+(($B$62-$B$50)*$B$6/12))</f>
        <v>3492.1991080833336</v>
      </c>
      <c r="E52" s="304">
        <f>+(C51*$E$10/12)+(((C52-C51)*$E$10/12)*0.5)</f>
        <v>5591.9921666666669</v>
      </c>
      <c r="F52" s="303">
        <f>-D52+F51</f>
        <v>-194381.23774716654</v>
      </c>
      <c r="G52" s="304">
        <f>+G51-E52</f>
        <v>-206903.71016666657</v>
      </c>
      <c r="H52" s="303">
        <f>B52+F52</f>
        <v>141138.29225283349</v>
      </c>
      <c r="I52" s="303">
        <f>C52+G52</f>
        <v>128615.81983333346</v>
      </c>
      <c r="J52" s="303">
        <f>I52-H52</f>
        <v>-12522.472419500031</v>
      </c>
      <c r="K52" s="303">
        <f>-J52*$K$11</f>
        <v>2629.7192080950063</v>
      </c>
      <c r="L52" s="303">
        <f>-K52+K51</f>
        <v>-440.95654230250102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335519.53000000003</v>
      </c>
      <c r="C53" s="313">
        <f>C52</f>
        <v>335519.53000000003</v>
      </c>
      <c r="D53" s="303">
        <f>(($B$14*$F$6/12)+(($B$26-$B$14)*$E$6/12)+(($B$38-$B$26)*$D$6/12)+(($B$50-$B$38)*$C$6/12)+(($B$62-$B$50)*$B$6/12))</f>
        <v>3492.1991080833336</v>
      </c>
      <c r="E53" s="304">
        <f>+(C52*$E$10/12)+(((C53-C52)*$E$10/12)*0.5)</f>
        <v>5591.9921666666669</v>
      </c>
      <c r="F53" s="303">
        <f>-D53+F52</f>
        <v>-197873.43685524986</v>
      </c>
      <c r="G53" s="304">
        <f>+G52-E53</f>
        <v>-212495.70233333323</v>
      </c>
      <c r="H53" s="303">
        <f>B53+F53</f>
        <v>137646.09314475016</v>
      </c>
      <c r="I53" s="303">
        <f>C53+G53</f>
        <v>123023.8276666668</v>
      </c>
      <c r="J53" s="303">
        <f>I53-H53</f>
        <v>-14622.265478083369</v>
      </c>
      <c r="K53" s="303">
        <f>-J53*$K$11</f>
        <v>3070.6757503975073</v>
      </c>
      <c r="L53" s="303">
        <f>-K53+K52</f>
        <v>-440.95654230250102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335519.53000000003</v>
      </c>
      <c r="C54" s="313">
        <f>C53</f>
        <v>335519.53000000003</v>
      </c>
      <c r="D54" s="303">
        <f>(($B$14*$F$6/12)+(($B$26-$B$14)*$E$6/12)+(($B$38-$B$26)*$D$6/12)+(($B$50-$B$38)*$C$6/12)+(($B$62-$B$50)*$B$6/12))</f>
        <v>3492.1991080833336</v>
      </c>
      <c r="E54" s="304">
        <f>+(C53*$E$10/12)+(((C54-C53)*$E$10/12)*0.5)</f>
        <v>5591.9921666666669</v>
      </c>
      <c r="F54" s="303">
        <f>-D54+F53</f>
        <v>-201365.63596333319</v>
      </c>
      <c r="G54" s="304">
        <f>+G53-E54</f>
        <v>-218087.6944999999</v>
      </c>
      <c r="H54" s="303">
        <f>B54+F54</f>
        <v>134153.89403666684</v>
      </c>
      <c r="I54" s="303">
        <f>C54+G54</f>
        <v>117431.83550000013</v>
      </c>
      <c r="J54" s="303">
        <f>I54-H54</f>
        <v>-16722.058536666707</v>
      </c>
      <c r="K54" s="303">
        <f>-J54*$K$11</f>
        <v>3511.6322927000083</v>
      </c>
      <c r="L54" s="303">
        <f>-K54+K53</f>
        <v>-440.95654230250102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335519.53000000003</v>
      </c>
      <c r="C55" s="313">
        <f>C54</f>
        <v>335519.53000000003</v>
      </c>
      <c r="D55" s="303">
        <f>(($B$14*$F$6/12)+(($B$26-$B$14)*$E$6/12)+(($B$38-$B$26)*$D$6/12)+(($B$50-$B$38)*$C$6/12)+(($B$62-$B$50)*$B$6/12))</f>
        <v>3492.1991080833336</v>
      </c>
      <c r="E55" s="304">
        <f>+(C54*$E$10/12)+(((C55-C54)*$E$10/12)*0.5)</f>
        <v>5591.9921666666669</v>
      </c>
      <c r="F55" s="303">
        <f>-D55+F54</f>
        <v>-204857.83507141651</v>
      </c>
      <c r="G55" s="304">
        <f>+G54-E55</f>
        <v>-223679.68666666656</v>
      </c>
      <c r="H55" s="303">
        <f>B55+F55</f>
        <v>130661.69492858351</v>
      </c>
      <c r="I55" s="303">
        <f>C55+G55</f>
        <v>111839.84333333347</v>
      </c>
      <c r="J55" s="303">
        <f>I55-H55</f>
        <v>-18821.851595250046</v>
      </c>
      <c r="K55" s="303">
        <f>-J55*$K$11</f>
        <v>3952.5888350025093</v>
      </c>
      <c r="L55" s="303">
        <f>-K55+K54</f>
        <v>-440.95654230250102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335519.53000000003</v>
      </c>
      <c r="C56" s="313">
        <f>C55</f>
        <v>335519.53000000003</v>
      </c>
      <c r="D56" s="303">
        <f>(($B$14*$F$6/12)+(($B$26-$B$14)*$E$6/12)+(($B$38-$B$26)*$D$6/12)+(($B$50-$B$38)*$C$6/12)+(($B$62-$B$50)*$B$6/12))</f>
        <v>3492.1991080833336</v>
      </c>
      <c r="E56" s="304">
        <f>+(C55*$E$10/12)+(((C56-C55)*$E$10/12)*0.5)</f>
        <v>5591.9921666666669</v>
      </c>
      <c r="F56" s="303">
        <f>-D56+F55</f>
        <v>-208350.03417949984</v>
      </c>
      <c r="G56" s="304">
        <f>+G55-E56</f>
        <v>-229271.67883333322</v>
      </c>
      <c r="H56" s="303">
        <f>B56+F56</f>
        <v>127169.49582050019</v>
      </c>
      <c r="I56" s="303">
        <f>C56+G56</f>
        <v>106247.85116666681</v>
      </c>
      <c r="J56" s="303">
        <f>I56-H56</f>
        <v>-20921.644653833384</v>
      </c>
      <c r="K56" s="303">
        <f>-J56*$K$11</f>
        <v>4393.5453773050103</v>
      </c>
      <c r="L56" s="303">
        <f>-K56+K55</f>
        <v>-440.95654230250102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335519.53000000003</v>
      </c>
      <c r="C57" s="313">
        <f>C56</f>
        <v>335519.53000000003</v>
      </c>
      <c r="D57" s="303">
        <f>(($B$14*$F$6/12)+(($B$26-$B$14)*$E$6/12)+(($B$38-$B$26)*$D$6/12)+(($B$50-$B$38)*$C$6/12)+(($B$62-$B$50)*$B$6/12))</f>
        <v>3492.1991080833336</v>
      </c>
      <c r="E57" s="304">
        <f>+(C56*$E$10/12)+(((C57-C56)*$E$10/12)*0.5)</f>
        <v>5591.9921666666669</v>
      </c>
      <c r="F57" s="303">
        <f>-D57+F56</f>
        <v>-211842.23328758316</v>
      </c>
      <c r="G57" s="304">
        <f>+G56-E57</f>
        <v>-234863.67099999989</v>
      </c>
      <c r="H57" s="303">
        <f>B57+F57</f>
        <v>123677.29671241686</v>
      </c>
      <c r="I57" s="303">
        <f>C57+G57</f>
        <v>100655.85900000014</v>
      </c>
      <c r="J57" s="303">
        <f>I57-H57</f>
        <v>-23021.437712416722</v>
      </c>
      <c r="K57" s="303">
        <f>-J57*$K$11</f>
        <v>4834.5019196075118</v>
      </c>
      <c r="L57" s="303">
        <f>-K57+K56</f>
        <v>-440.95654230250148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335519.53000000003</v>
      </c>
      <c r="C58" s="313">
        <f>C57</f>
        <v>335519.53000000003</v>
      </c>
      <c r="D58" s="303">
        <f>(($B$14*$F$6/12)+(($B$26-$B$14)*$E$6/12)+(($B$38-$B$26)*$D$6/12)+(($B$50-$B$38)*$C$6/12)+(($B$62-$B$50)*$B$6/12))</f>
        <v>3492.1991080833336</v>
      </c>
      <c r="E58" s="304">
        <f>+(C57*$E$10/12)+(((C58-C57)*$E$10/12)*0.5)</f>
        <v>5591.9921666666669</v>
      </c>
      <c r="F58" s="303">
        <f>-D58+F57</f>
        <v>-215334.43239566649</v>
      </c>
      <c r="G58" s="304">
        <f>+G57-E58</f>
        <v>-240455.66316666655</v>
      </c>
      <c r="H58" s="303">
        <f>B58+F58</f>
        <v>120185.09760433354</v>
      </c>
      <c r="I58" s="303">
        <f>C58+G58</f>
        <v>95063.866833333479</v>
      </c>
      <c r="J58" s="303">
        <f>I58-H58</f>
        <v>-25121.23077100006</v>
      </c>
      <c r="K58" s="303">
        <f>-J58*$K$11</f>
        <v>5275.4584619100124</v>
      </c>
      <c r="L58" s="303">
        <f>-K58+K57</f>
        <v>-440.95654230250057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335519.53000000003</v>
      </c>
      <c r="C59" s="313">
        <f>C58</f>
        <v>335519.53000000003</v>
      </c>
      <c r="D59" s="303">
        <f>(($B$14*$F$6/12)+(($B$26-$B$14)*$E$6/12)+(($B$38-$B$26)*$D$6/12)+(($B$50-$B$38)*$C$6/12)+(($B$62-$B$50)*$B$6/12))</f>
        <v>3492.1991080833336</v>
      </c>
      <c r="E59" s="304">
        <f>+(C58*$E$10/12)+(((C59-C58)*$E$10/12)*0.5)</f>
        <v>5591.9921666666669</v>
      </c>
      <c r="F59" s="303">
        <f>-D59+F58</f>
        <v>-218826.63150374981</v>
      </c>
      <c r="G59" s="304">
        <f>+G58-E59</f>
        <v>-246047.65533333321</v>
      </c>
      <c r="H59" s="303">
        <f>B59+F59</f>
        <v>116692.89849625021</v>
      </c>
      <c r="I59" s="303">
        <f>C59+G59</f>
        <v>89471.874666666816</v>
      </c>
      <c r="J59" s="303">
        <f>I59-H59</f>
        <v>-27221.023829583399</v>
      </c>
      <c r="K59" s="303">
        <f>-J59*$K$11</f>
        <v>5716.4150042125138</v>
      </c>
      <c r="L59" s="303">
        <f>-K59+K58</f>
        <v>-440.95654230250148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335519.53000000003</v>
      </c>
      <c r="C60" s="313">
        <f>C59</f>
        <v>335519.53000000003</v>
      </c>
      <c r="D60" s="303">
        <f>(($B$14*$F$6/12)+(($B$26-$B$14)*$E$6/12)+(($B$38-$B$26)*$D$6/12)+(($B$50-$B$38)*$C$6/12)+(($B$62-$B$50)*$B$6/12))</f>
        <v>3492.1991080833336</v>
      </c>
      <c r="E60" s="304">
        <f>+(C59*$E$10/12)+(((C60-C59)*$E$10/12)*0.5)</f>
        <v>5591.9921666666669</v>
      </c>
      <c r="F60" s="303">
        <f>-D60+F59</f>
        <v>-222318.83061183314</v>
      </c>
      <c r="G60" s="304">
        <f>+G59-E60</f>
        <v>-251639.64749999988</v>
      </c>
      <c r="H60" s="303">
        <f>B60+F60</f>
        <v>113200.69938816689</v>
      </c>
      <c r="I60" s="303">
        <f>C60+G60</f>
        <v>83879.882500000153</v>
      </c>
      <c r="J60" s="303">
        <f>I60-H60</f>
        <v>-29320.816888166737</v>
      </c>
      <c r="K60" s="303">
        <f>-J60*$K$11</f>
        <v>6157.3715465150144</v>
      </c>
      <c r="L60" s="303">
        <f>-K60+K59</f>
        <v>-440.95654230250057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335519.53000000003</v>
      </c>
      <c r="C61" s="313">
        <f>C60</f>
        <v>335519.53000000003</v>
      </c>
      <c r="D61" s="303">
        <f>(($B$14*$F$6/12)+(($B$26-$B$14)*$E$6/12)+(($B$38-$B$26)*$D$6/12)+(($B$50-$B$38)*$C$6/12)+(($B$62-$B$50)*$B$6/12))</f>
        <v>3492.1991080833336</v>
      </c>
      <c r="E61" s="304">
        <f>+(C60*$E$10/12)+(((C61-C60)*$E$10/12)*0.5)</f>
        <v>5591.9921666666669</v>
      </c>
      <c r="F61" s="303">
        <f>-D61+F60</f>
        <v>-225811.02971991646</v>
      </c>
      <c r="G61" s="304">
        <f>+G60-E61</f>
        <v>-257231.63966666654</v>
      </c>
      <c r="H61" s="303">
        <f>B61+F61</f>
        <v>109708.50028008356</v>
      </c>
      <c r="I61" s="303">
        <f>C61+G61</f>
        <v>78287.890333333489</v>
      </c>
      <c r="J61" s="303">
        <f>I61-H61</f>
        <v>-31420.609946750075</v>
      </c>
      <c r="K61" s="303">
        <f>-J61*$K$11</f>
        <v>6598.3280888175159</v>
      </c>
      <c r="L61" s="303">
        <f>-K61+K60</f>
        <v>-440.95654230250148</v>
      </c>
      <c r="M61" s="361"/>
      <c r="N61" s="299"/>
    </row>
    <row r="62" spans="1:15" ht="15" x14ac:dyDescent="0.25">
      <c r="A62" s="314">
        <v>46022</v>
      </c>
      <c r="B62" s="303">
        <f>C62</f>
        <v>335519.53000000003</v>
      </c>
      <c r="C62" s="313">
        <f>C61</f>
        <v>335519.53000000003</v>
      </c>
      <c r="D62" s="303">
        <f>(($B$14*$F$6/12)+(($B$26-$B$14)*$E$6/12)+(($B$38-$B$26)*$D$6/12)+(($B$50-$B$38)*$C$6/12)+(($B$62-$B$50)*$B$6/12))</f>
        <v>3492.1991080833336</v>
      </c>
      <c r="E62" s="304">
        <f>+(C61*$E$10/12)+(((C62-C61)*$E$10/12)*0.5)</f>
        <v>5591.9921666666669</v>
      </c>
      <c r="F62" s="303">
        <f>-D62+F61</f>
        <v>-229303.22882799979</v>
      </c>
      <c r="G62" s="304">
        <f>+G61-E62</f>
        <v>-262823.63183333323</v>
      </c>
      <c r="H62" s="303">
        <f>B62+F62</f>
        <v>106216.30117200024</v>
      </c>
      <c r="I62" s="303">
        <f>C62+G62</f>
        <v>72695.898166666797</v>
      </c>
      <c r="J62" s="303">
        <f>I62-H62</f>
        <v>-33520.403005333443</v>
      </c>
      <c r="K62" s="303">
        <f>-J62*$K$11</f>
        <v>7039.2846311200228</v>
      </c>
      <c r="L62" s="303">
        <f>-K62+K61</f>
        <v>-440.95654230250693</v>
      </c>
      <c r="M62" s="361"/>
    </row>
    <row r="63" spans="1:15" x14ac:dyDescent="0.2">
      <c r="A63" s="311" t="s">
        <v>265</v>
      </c>
      <c r="B63" s="303"/>
      <c r="C63" s="310" t="e">
        <f>C62-SUM(#REF!)</f>
        <v>#REF!</v>
      </c>
      <c r="D63" s="309">
        <f>F62+SUM(D14:D62)</f>
        <v>0</v>
      </c>
      <c r="E63" s="308">
        <f>G62+SUM(E14:E62)</f>
        <v>0</v>
      </c>
      <c r="F63" s="303"/>
      <c r="G63" s="304"/>
      <c r="H63" s="303"/>
      <c r="I63" s="303"/>
      <c r="J63" s="303"/>
      <c r="K63" s="303"/>
      <c r="L63" s="303"/>
      <c r="M63" s="297"/>
    </row>
    <row r="64" spans="1:15" ht="13.5" thickBot="1" x14ac:dyDescent="0.25">
      <c r="A64" s="377" t="s">
        <v>253</v>
      </c>
      <c r="B64" s="379"/>
      <c r="C64" s="381"/>
      <c r="D64" s="379"/>
      <c r="E64" s="379"/>
      <c r="F64" s="379"/>
      <c r="G64" s="380"/>
      <c r="H64" s="379"/>
      <c r="I64" s="379"/>
      <c r="J64" s="379"/>
      <c r="K64" s="379"/>
      <c r="L64" s="378"/>
      <c r="M64" s="297"/>
      <c r="N64" s="299"/>
      <c r="O64" s="299"/>
    </row>
    <row r="65" spans="1:15" ht="13.5" thickTop="1" x14ac:dyDescent="0.2">
      <c r="A65" s="302" t="s">
        <v>252</v>
      </c>
      <c r="B65" s="371">
        <f>B14</f>
        <v>0</v>
      </c>
      <c r="C65" s="370">
        <f>C14</f>
        <v>0</v>
      </c>
      <c r="D65" s="370">
        <f>SUM(D14:D14)</f>
        <v>0</v>
      </c>
      <c r="E65" s="370">
        <f>SUM(E14:E14)</f>
        <v>0</v>
      </c>
      <c r="F65" s="370">
        <f>F14</f>
        <v>0</v>
      </c>
      <c r="G65" s="370">
        <f>G14</f>
        <v>0</v>
      </c>
      <c r="H65" s="370">
        <f>H14</f>
        <v>0</v>
      </c>
      <c r="I65" s="370">
        <f>I14</f>
        <v>0</v>
      </c>
      <c r="J65" s="370">
        <f>J14</f>
        <v>0</v>
      </c>
      <c r="K65" s="370">
        <f>K14</f>
        <v>0</v>
      </c>
      <c r="L65" s="369">
        <f>SUM(L14:L14)</f>
        <v>0</v>
      </c>
      <c r="M65" s="297"/>
      <c r="N65" s="299"/>
      <c r="O65" s="299"/>
    </row>
    <row r="66" spans="1:15" ht="13.5" thickBot="1" x14ac:dyDescent="0.25">
      <c r="A66" s="301" t="s">
        <v>251</v>
      </c>
      <c r="B66" s="367" t="e">
        <f>(0+B14+SUM(#REF!)*2)/24</f>
        <v>#REF!</v>
      </c>
      <c r="C66" s="365" t="e">
        <f>(0+C14+SUM(#REF!)*2)/24</f>
        <v>#REF!</v>
      </c>
      <c r="D66" s="365"/>
      <c r="E66" s="366"/>
      <c r="F66" s="365" t="e">
        <f>(0+F14+SUM(#REF!)*2)/24</f>
        <v>#REF!</v>
      </c>
      <c r="G66" s="365" t="e">
        <f>(0+G14+SUM(#REF!)*2)/24</f>
        <v>#REF!</v>
      </c>
      <c r="H66" s="365" t="e">
        <f>(0+H14+SUM(#REF!)*2)/24</f>
        <v>#REF!</v>
      </c>
      <c r="I66" s="365" t="e">
        <f>(0+I14+SUM(#REF!)*2)/24</f>
        <v>#REF!</v>
      </c>
      <c r="J66" s="365" t="e">
        <f>(0+J14+SUM(#REF!)*2)/24</f>
        <v>#REF!</v>
      </c>
      <c r="K66" s="365" t="e">
        <f>(0+K14+SUM(#REF!)*2)/24</f>
        <v>#REF!</v>
      </c>
      <c r="L66" s="364"/>
      <c r="M66" s="297"/>
      <c r="N66" s="299"/>
      <c r="O66" s="299"/>
    </row>
    <row r="67" spans="1:15" ht="14.25" thickTop="1" thickBot="1" x14ac:dyDescent="0.25">
      <c r="A67" s="377" t="s">
        <v>250</v>
      </c>
      <c r="B67" s="374"/>
      <c r="C67" s="376"/>
      <c r="D67" s="374"/>
      <c r="E67" s="374"/>
      <c r="F67" s="374"/>
      <c r="G67" s="375"/>
      <c r="H67" s="374"/>
      <c r="I67" s="374"/>
      <c r="J67" s="374"/>
      <c r="K67" s="374"/>
      <c r="L67" s="373"/>
      <c r="M67" s="297"/>
    </row>
    <row r="68" spans="1:15" ht="13.5" thickTop="1" x14ac:dyDescent="0.2">
      <c r="A68" s="372" t="s">
        <v>249</v>
      </c>
      <c r="B68" s="371">
        <f>B26</f>
        <v>335519.53000000003</v>
      </c>
      <c r="C68" s="370">
        <f>C26</f>
        <v>335519.53000000003</v>
      </c>
      <c r="D68" s="370">
        <f>SUM(D15:D26)</f>
        <v>46545.740836999998</v>
      </c>
      <c r="E68" s="370">
        <f>SUM(E15:E26)</f>
        <v>61511.913833333325</v>
      </c>
      <c r="F68" s="370">
        <f>F26</f>
        <v>-46545.740836999998</v>
      </c>
      <c r="G68" s="370">
        <f>G26</f>
        <v>-61511.913833333325</v>
      </c>
      <c r="H68" s="370">
        <f>H26</f>
        <v>288973.78916300001</v>
      </c>
      <c r="I68" s="370">
        <f>I26</f>
        <v>274007.61616666673</v>
      </c>
      <c r="J68" s="370">
        <f>J26</f>
        <v>-14966.172996333276</v>
      </c>
      <c r="K68" s="370">
        <f>K26</f>
        <v>3142.8963292299877</v>
      </c>
      <c r="L68" s="369">
        <f>SUM(L15:L26)</f>
        <v>-3142.8963292299877</v>
      </c>
      <c r="M68" s="297"/>
      <c r="N68" s="297"/>
    </row>
    <row r="69" spans="1:15" ht="13.5" thickBot="1" x14ac:dyDescent="0.25">
      <c r="A69" s="368" t="s">
        <v>248</v>
      </c>
      <c r="B69" s="367">
        <f>(B14+B26+SUM(B15:B25)*2)/24</f>
        <v>293579.58875000005</v>
      </c>
      <c r="C69" s="365">
        <f>(C14+C26+SUM(C15:C25)*2)/24</f>
        <v>293579.58875000005</v>
      </c>
      <c r="D69" s="365"/>
      <c r="E69" s="366"/>
      <c r="F69" s="365">
        <f>(F14+F26+SUM(F15:F25)*2)/24</f>
        <v>-22631.203751833335</v>
      </c>
      <c r="G69" s="365">
        <f>(G14+G26+SUM(G15:G25)*2)/24</f>
        <v>-28192.960506944448</v>
      </c>
      <c r="H69" s="365">
        <f>(H14+H26+SUM(H15:H25)*2)/24</f>
        <v>270948.3849981667</v>
      </c>
      <c r="I69" s="365">
        <f>(I14+I26+SUM(I15:I25)*2)/24</f>
        <v>265386.6282430556</v>
      </c>
      <c r="J69" s="365">
        <f>(J14+J26+SUM(J15:J25)*2)/24</f>
        <v>-5561.7567551110915</v>
      </c>
      <c r="K69" s="365">
        <f>(K14+K26+SUM(K15:K25)*2)/24</f>
        <v>1167.9689185733293</v>
      </c>
      <c r="L69" s="364"/>
      <c r="M69" s="297"/>
    </row>
    <row r="70" spans="1:15" ht="15.75" thickTop="1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7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7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7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C26" sqref="C26"/>
    </sheetView>
  </sheetViews>
  <sheetFormatPr defaultColWidth="8.85546875" defaultRowHeight="12.75" x14ac:dyDescent="0.2"/>
  <cols>
    <col min="1" max="1" width="25.710937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268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266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0.1429</v>
      </c>
      <c r="C6" s="344">
        <v>0.24490000000000001</v>
      </c>
      <c r="D6" s="344">
        <v>0.1749</v>
      </c>
      <c r="E6" s="344">
        <v>0.1249</v>
      </c>
      <c r="F6" s="344">
        <v>8.9300000000000004E-2</v>
      </c>
      <c r="G6" s="344">
        <v>8.9200000000000002E-2</v>
      </c>
      <c r="H6" s="344">
        <v>8.9300000000000004E-2</v>
      </c>
      <c r="I6" s="344">
        <v>4.4600000000000001E-2</v>
      </c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6.6699999999999995E-2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6.6699999999999995E-2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93"/>
    </row>
    <row r="15" spans="1:23" ht="15" x14ac:dyDescent="0.25">
      <c r="A15" s="314">
        <v>44592</v>
      </c>
      <c r="B15" s="303">
        <v>0</v>
      </c>
      <c r="C15" s="313">
        <v>0</v>
      </c>
      <c r="D15" s="303">
        <f>(($B$14*$C$6/12)+(($B$16-$B$14)*$B$6/12))+M15</f>
        <v>1700.4489150833335</v>
      </c>
      <c r="E15" s="304">
        <v>0</v>
      </c>
      <c r="F15" s="303">
        <f t="shared" ref="F15:F28" si="0">-D15+F14</f>
        <v>-1700.4489150833335</v>
      </c>
      <c r="G15" s="304">
        <f t="shared" ref="G15:G28" si="1">+G14-E15</f>
        <v>0</v>
      </c>
      <c r="H15" s="303">
        <f t="shared" ref="H15:I28" si="2">B15+F15</f>
        <v>-1700.4489150833335</v>
      </c>
      <c r="I15" s="303">
        <f t="shared" si="2"/>
        <v>0</v>
      </c>
      <c r="J15" s="303">
        <f t="shared" ref="J15:J28" si="3">I15-H15</f>
        <v>1700.4489150833335</v>
      </c>
      <c r="K15" s="303">
        <f t="shared" ref="K15:K28" si="4">-J15*$K$11</f>
        <v>-357.09427216750004</v>
      </c>
      <c r="L15" s="303">
        <f t="shared" ref="L15:L28" si="5">-K15+K14</f>
        <v>357.09427216750004</v>
      </c>
      <c r="M15" s="93">
        <v>-158</v>
      </c>
    </row>
    <row r="16" spans="1:23" ht="15" x14ac:dyDescent="0.25">
      <c r="A16" s="314">
        <v>44620</v>
      </c>
      <c r="B16" s="303">
        <v>156062.89000000001</v>
      </c>
      <c r="C16" s="313">
        <v>156062.89000000001</v>
      </c>
      <c r="D16" s="303">
        <f>(($B$14*$C$6/12)+(($B$16-$B$14)*$B$6/12))+M16</f>
        <v>1858.4489150833335</v>
      </c>
      <c r="E16" s="304">
        <f>+(C15*$E$10/12)+(((C16-C15)*$E$10/12))</f>
        <v>867.44956358333332</v>
      </c>
      <c r="F16" s="303">
        <f t="shared" si="0"/>
        <v>-3558.8978301666671</v>
      </c>
      <c r="G16" s="304">
        <f t="shared" si="1"/>
        <v>-867.44956358333332</v>
      </c>
      <c r="H16" s="303">
        <f t="shared" si="2"/>
        <v>152503.99216983333</v>
      </c>
      <c r="I16" s="303">
        <f t="shared" si="2"/>
        <v>155195.44043641668</v>
      </c>
      <c r="J16" s="303">
        <f t="shared" si="3"/>
        <v>2691.4482665833493</v>
      </c>
      <c r="K16" s="303">
        <f t="shared" si="4"/>
        <v>-565.20413598250332</v>
      </c>
      <c r="L16" s="303">
        <f t="shared" si="5"/>
        <v>208.10986381500328</v>
      </c>
      <c r="M16" s="93"/>
    </row>
    <row r="17" spans="1:15" ht="15" x14ac:dyDescent="0.25">
      <c r="A17" s="314">
        <v>44651</v>
      </c>
      <c r="B17" s="303">
        <v>156080.44</v>
      </c>
      <c r="C17" s="313">
        <v>156080.44</v>
      </c>
      <c r="D17" s="303">
        <f>(($B$14*$C$6/12)+((B17-$B$14)*$B$6/12))+M17</f>
        <v>1858.6579063333331</v>
      </c>
      <c r="E17" s="304">
        <f t="shared" ref="E16:E25" si="6">+(C16*$E$10/12)+(((C17-C16)*$E$10/12)*0.5)</f>
        <v>867.49833795833331</v>
      </c>
      <c r="F17" s="303">
        <f t="shared" si="0"/>
        <v>-5417.5557365000004</v>
      </c>
      <c r="G17" s="304">
        <f t="shared" si="1"/>
        <v>-1734.9479015416666</v>
      </c>
      <c r="H17" s="303">
        <f t="shared" si="2"/>
        <v>150662.88426349999</v>
      </c>
      <c r="I17" s="303">
        <f t="shared" si="2"/>
        <v>154345.49209845834</v>
      </c>
      <c r="J17" s="303">
        <f t="shared" si="3"/>
        <v>3682.6078349583549</v>
      </c>
      <c r="K17" s="303">
        <f t="shared" si="4"/>
        <v>-773.34764534125452</v>
      </c>
      <c r="L17" s="303">
        <f t="shared" si="5"/>
        <v>208.1435093587512</v>
      </c>
      <c r="M17" s="93"/>
      <c r="N17" s="320"/>
    </row>
    <row r="18" spans="1:15" ht="15" x14ac:dyDescent="0.25">
      <c r="A18" s="314">
        <v>44681</v>
      </c>
      <c r="B18" s="303">
        <v>156080.44</v>
      </c>
      <c r="C18" s="313">
        <v>156080.44</v>
      </c>
      <c r="D18" s="303">
        <f>(($B$14*$C$6/12)+((B18-$B$14)*$B$6/12))+M18</f>
        <v>1858.6579063333331</v>
      </c>
      <c r="E18" s="304">
        <f t="shared" si="6"/>
        <v>867.5471123333333</v>
      </c>
      <c r="F18" s="303">
        <f t="shared" si="0"/>
        <v>-7276.2136428333333</v>
      </c>
      <c r="G18" s="304">
        <f t="shared" si="1"/>
        <v>-2602.495013875</v>
      </c>
      <c r="H18" s="303">
        <f t="shared" si="2"/>
        <v>148804.22635716666</v>
      </c>
      <c r="I18" s="303">
        <f t="shared" si="2"/>
        <v>153477.94498612499</v>
      </c>
      <c r="J18" s="303">
        <f t="shared" si="3"/>
        <v>4673.7186289583333</v>
      </c>
      <c r="K18" s="303">
        <f t="shared" si="4"/>
        <v>-981.48091208124993</v>
      </c>
      <c r="L18" s="303">
        <f t="shared" si="5"/>
        <v>208.13326673999541</v>
      </c>
      <c r="M18" s="93"/>
    </row>
    <row r="19" spans="1:15" ht="15" x14ac:dyDescent="0.25">
      <c r="A19" s="314">
        <v>44712</v>
      </c>
      <c r="B19" s="303">
        <v>156115.64000000001</v>
      </c>
      <c r="C19" s="313">
        <v>156115.64000000001</v>
      </c>
      <c r="D19" s="303">
        <f>(($B$14*$C$6/12)+((B19-$B$14)*$B$6/12))+M19</f>
        <v>1859.0770796666668</v>
      </c>
      <c r="E19" s="304">
        <f t="shared" si="6"/>
        <v>867.64493900000002</v>
      </c>
      <c r="F19" s="303">
        <f t="shared" si="0"/>
        <v>-9135.2907224999999</v>
      </c>
      <c r="G19" s="304">
        <f t="shared" si="1"/>
        <v>-3470.1399528749998</v>
      </c>
      <c r="H19" s="303">
        <f t="shared" si="2"/>
        <v>146980.3492775</v>
      </c>
      <c r="I19" s="303">
        <f t="shared" si="2"/>
        <v>152645.50004712501</v>
      </c>
      <c r="J19" s="303">
        <f t="shared" si="3"/>
        <v>5665.1507696250046</v>
      </c>
      <c r="K19" s="303">
        <f t="shared" si="4"/>
        <v>-1189.6816616212509</v>
      </c>
      <c r="L19" s="303">
        <f t="shared" si="5"/>
        <v>208.20074954000097</v>
      </c>
      <c r="M19" s="93"/>
    </row>
    <row r="20" spans="1:15" ht="15" x14ac:dyDescent="0.25">
      <c r="A20" s="314">
        <v>44742</v>
      </c>
      <c r="B20" s="303">
        <v>156325.21</v>
      </c>
      <c r="C20" s="313">
        <v>156325.21</v>
      </c>
      <c r="D20" s="303">
        <f>(($B$14*$C$6/12)+((B20-$B$14)*$B$6/12))+M20</f>
        <v>1861.5727090833332</v>
      </c>
      <c r="E20" s="304">
        <f t="shared" si="6"/>
        <v>868.32519562499999</v>
      </c>
      <c r="F20" s="303">
        <f t="shared" si="0"/>
        <v>-10996.863431583333</v>
      </c>
      <c r="G20" s="304">
        <f t="shared" si="1"/>
        <v>-4338.4651484999995</v>
      </c>
      <c r="H20" s="303">
        <f t="shared" si="2"/>
        <v>145328.34656841666</v>
      </c>
      <c r="I20" s="303">
        <f t="shared" si="2"/>
        <v>151986.7448515</v>
      </c>
      <c r="J20" s="303">
        <f t="shared" si="3"/>
        <v>6658.3982830833411</v>
      </c>
      <c r="K20" s="303">
        <f t="shared" si="4"/>
        <v>-1398.2636394475016</v>
      </c>
      <c r="L20" s="303">
        <f t="shared" si="5"/>
        <v>208.58197782625075</v>
      </c>
      <c r="M20" s="93"/>
    </row>
    <row r="21" spans="1:15" ht="15" x14ac:dyDescent="0.25">
      <c r="A21" s="314">
        <v>44773</v>
      </c>
      <c r="B21" s="303">
        <v>156341.54</v>
      </c>
      <c r="C21" s="313">
        <v>156341.54</v>
      </c>
      <c r="D21" s="303">
        <f>(($B$14*$C$6/12)+((B21-$B$14)*$B$6/12))+M21</f>
        <v>1861.7671721666668</v>
      </c>
      <c r="E21" s="304">
        <f t="shared" si="6"/>
        <v>868.95300937499997</v>
      </c>
      <c r="F21" s="303">
        <f t="shared" si="0"/>
        <v>-12858.63060375</v>
      </c>
      <c r="G21" s="304">
        <f t="shared" si="1"/>
        <v>-5207.4181578749995</v>
      </c>
      <c r="H21" s="303">
        <f t="shared" si="2"/>
        <v>143482.90939625</v>
      </c>
      <c r="I21" s="303">
        <f t="shared" si="2"/>
        <v>151134.12184212502</v>
      </c>
      <c r="J21" s="303">
        <f t="shared" si="3"/>
        <v>7651.2124458750186</v>
      </c>
      <c r="K21" s="303">
        <f t="shared" si="4"/>
        <v>-1606.7546136337539</v>
      </c>
      <c r="L21" s="303">
        <f t="shared" si="5"/>
        <v>208.49097418625229</v>
      </c>
      <c r="M21" s="93"/>
    </row>
    <row r="22" spans="1:15" ht="15" x14ac:dyDescent="0.25">
      <c r="A22" s="314">
        <v>44804</v>
      </c>
      <c r="B22" s="303">
        <v>156341.54</v>
      </c>
      <c r="C22" s="313">
        <v>156341.54</v>
      </c>
      <c r="D22" s="303">
        <f>(($B$14*$C$6/12)+((B22-$B$14)*$B$6/12))+M22</f>
        <v>1861.7671721666668</v>
      </c>
      <c r="E22" s="304">
        <f t="shared" si="6"/>
        <v>868.99839316666669</v>
      </c>
      <c r="F22" s="303">
        <f t="shared" si="0"/>
        <v>-14720.397775916666</v>
      </c>
      <c r="G22" s="304">
        <f t="shared" si="1"/>
        <v>-6076.416551041666</v>
      </c>
      <c r="H22" s="303">
        <f t="shared" si="2"/>
        <v>141621.14222408333</v>
      </c>
      <c r="I22" s="303">
        <f t="shared" si="2"/>
        <v>150265.12344895833</v>
      </c>
      <c r="J22" s="303">
        <f t="shared" si="3"/>
        <v>8643.981224874995</v>
      </c>
      <c r="K22" s="303">
        <f t="shared" si="4"/>
        <v>-1815.236057223749</v>
      </c>
      <c r="L22" s="303">
        <f t="shared" si="5"/>
        <v>208.48144358999502</v>
      </c>
      <c r="M22" s="93"/>
    </row>
    <row r="23" spans="1:15" ht="15" x14ac:dyDescent="0.25">
      <c r="A23" s="314">
        <v>44834</v>
      </c>
      <c r="B23" s="303">
        <v>156341.54</v>
      </c>
      <c r="C23" s="313">
        <v>156341.54</v>
      </c>
      <c r="D23" s="303">
        <f>(($B$14*$C$6/12)+((B23-$B$14)*$B$6/12))+M23</f>
        <v>1861.7671721666668</v>
      </c>
      <c r="E23" s="304">
        <f t="shared" si="6"/>
        <v>868.99839316666669</v>
      </c>
      <c r="F23" s="303">
        <f t="shared" si="0"/>
        <v>-16582.164948083333</v>
      </c>
      <c r="G23" s="304">
        <f t="shared" si="1"/>
        <v>-6945.4149442083326</v>
      </c>
      <c r="H23" s="303">
        <f t="shared" si="2"/>
        <v>139759.37505191666</v>
      </c>
      <c r="I23" s="303">
        <f t="shared" si="2"/>
        <v>149396.12505579166</v>
      </c>
      <c r="J23" s="303">
        <f t="shared" si="3"/>
        <v>9636.7500038750004</v>
      </c>
      <c r="K23" s="303">
        <f t="shared" si="4"/>
        <v>-2023.7175008137501</v>
      </c>
      <c r="L23" s="303">
        <f t="shared" si="5"/>
        <v>208.48144359000116</v>
      </c>
      <c r="M23" s="93"/>
      <c r="O23" s="299"/>
    </row>
    <row r="24" spans="1:15" ht="15" x14ac:dyDescent="0.25">
      <c r="A24" s="314">
        <v>44865</v>
      </c>
      <c r="B24" s="303">
        <v>156341.54</v>
      </c>
      <c r="C24" s="313">
        <v>156341.54</v>
      </c>
      <c r="D24" s="303">
        <f>(($B$14*$C$6/12)+((B24-$B$14)*$B$6/12))+M24</f>
        <v>1861.7671721666668</v>
      </c>
      <c r="E24" s="304">
        <f t="shared" si="6"/>
        <v>868.99839316666669</v>
      </c>
      <c r="F24" s="303">
        <f t="shared" si="0"/>
        <v>-18443.93212025</v>
      </c>
      <c r="G24" s="304">
        <f t="shared" si="1"/>
        <v>-7814.4133373749992</v>
      </c>
      <c r="H24" s="303">
        <f t="shared" si="2"/>
        <v>137897.60787975002</v>
      </c>
      <c r="I24" s="303">
        <f t="shared" si="2"/>
        <v>148527.126662625</v>
      </c>
      <c r="J24" s="303">
        <f t="shared" si="3"/>
        <v>10629.518782874977</v>
      </c>
      <c r="K24" s="303">
        <f t="shared" si="4"/>
        <v>-2232.1989444037449</v>
      </c>
      <c r="L24" s="303">
        <f t="shared" si="5"/>
        <v>208.4814435899948</v>
      </c>
      <c r="M24" s="93"/>
      <c r="N24" s="299"/>
      <c r="O24" s="299"/>
    </row>
    <row r="25" spans="1:15" ht="15" x14ac:dyDescent="0.25">
      <c r="A25" s="314">
        <v>44895</v>
      </c>
      <c r="B25" s="303">
        <v>156341.54</v>
      </c>
      <c r="C25" s="313">
        <v>156341.54</v>
      </c>
      <c r="D25" s="303">
        <f>(($B$14*$C$6/12)+((B25-$B$14)*$B$6/12))+M25</f>
        <v>1861.7671721666668</v>
      </c>
      <c r="E25" s="304">
        <f t="shared" si="6"/>
        <v>868.99839316666669</v>
      </c>
      <c r="F25" s="303">
        <f t="shared" si="0"/>
        <v>-20305.699292416666</v>
      </c>
      <c r="G25" s="304">
        <f t="shared" si="1"/>
        <v>-8683.4117305416657</v>
      </c>
      <c r="H25" s="303">
        <f t="shared" si="2"/>
        <v>136035.84070758335</v>
      </c>
      <c r="I25" s="303">
        <f t="shared" si="2"/>
        <v>147658.12826945834</v>
      </c>
      <c r="J25" s="303">
        <f t="shared" si="3"/>
        <v>11622.287561874982</v>
      </c>
      <c r="K25" s="303">
        <f t="shared" si="4"/>
        <v>-2440.6803879937461</v>
      </c>
      <c r="L25" s="303">
        <f t="shared" si="5"/>
        <v>208.48144359000116</v>
      </c>
      <c r="M25" s="93"/>
      <c r="N25" s="315"/>
      <c r="O25" s="299"/>
    </row>
    <row r="26" spans="1:15" ht="15" x14ac:dyDescent="0.25">
      <c r="A26" s="314">
        <v>44926</v>
      </c>
      <c r="B26" s="303">
        <v>156341.54</v>
      </c>
      <c r="C26" s="313">
        <v>156341.54</v>
      </c>
      <c r="D26" s="303">
        <f>(($B$14*$C$6/12)+((B26-$B$14)*$B$6/12))+M26</f>
        <v>1861.7671721666668</v>
      </c>
      <c r="E26" s="304">
        <f>+(C25*$E$10/12)+(((C26-C25)*$E$10/12)*0.5)</f>
        <v>868.99839316666669</v>
      </c>
      <c r="F26" s="303">
        <f t="shared" si="0"/>
        <v>-22167.466464583333</v>
      </c>
      <c r="G26" s="304">
        <f t="shared" si="1"/>
        <v>-9552.4101237083323</v>
      </c>
      <c r="H26" s="303">
        <f t="shared" si="2"/>
        <v>134174.07353541668</v>
      </c>
      <c r="I26" s="303">
        <f t="shared" si="2"/>
        <v>146789.12987629167</v>
      </c>
      <c r="J26" s="303">
        <f t="shared" si="3"/>
        <v>12615.056340874988</v>
      </c>
      <c r="K26" s="303">
        <f t="shared" si="4"/>
        <v>-2649.1618315837472</v>
      </c>
      <c r="L26" s="303">
        <f t="shared" si="5"/>
        <v>208.48144359000116</v>
      </c>
      <c r="M26" s="93"/>
      <c r="O26" s="299"/>
    </row>
    <row r="27" spans="1:15" ht="15" x14ac:dyDescent="0.25">
      <c r="A27" s="314">
        <v>44957</v>
      </c>
      <c r="B27" s="303">
        <v>156341.54</v>
      </c>
      <c r="C27" s="313">
        <v>156341.54</v>
      </c>
      <c r="D27" s="303">
        <f>(($B$14*$D$6/12)+(($B$26-$B$14)*$C$6/12)+((B27-$B$26)*$B$6/12))</f>
        <v>3190.6702621666668</v>
      </c>
      <c r="E27" s="304">
        <f>+(C26*$E$10/12)+(((C27-C26)*$E$10/12)*0.5)</f>
        <v>868.99839316666669</v>
      </c>
      <c r="F27" s="303">
        <f t="shared" si="0"/>
        <v>-25358.136726749999</v>
      </c>
      <c r="G27" s="304">
        <f t="shared" si="1"/>
        <v>-10421.408516874999</v>
      </c>
      <c r="H27" s="303">
        <f t="shared" si="2"/>
        <v>130983.40327325001</v>
      </c>
      <c r="I27" s="303">
        <f t="shared" si="2"/>
        <v>145920.13148312501</v>
      </c>
      <c r="J27" s="303">
        <f t="shared" si="3"/>
        <v>14936.728209875</v>
      </c>
      <c r="K27" s="303">
        <f t="shared" si="4"/>
        <v>-3136.7129240737499</v>
      </c>
      <c r="L27" s="303">
        <f t="shared" si="5"/>
        <v>487.5510924900027</v>
      </c>
      <c r="M27" s="93"/>
      <c r="O27" s="299"/>
    </row>
    <row r="28" spans="1:15" ht="15" x14ac:dyDescent="0.25">
      <c r="A28" s="314">
        <v>44985</v>
      </c>
      <c r="B28" s="303">
        <v>156341.54</v>
      </c>
      <c r="C28" s="313">
        <v>156341.54</v>
      </c>
      <c r="D28" s="303">
        <f>(($B$14*$D$6/12)+(($B$26-$B$14)*$C$6/12)+((B28-$B$26)*$B$6/12))</f>
        <v>3190.6702621666668</v>
      </c>
      <c r="E28" s="304">
        <f>+(C27*$E$10/12)+(((C28-C27)*$E$10/12)*0.5)</f>
        <v>868.99839316666669</v>
      </c>
      <c r="F28" s="303">
        <f t="shared" si="0"/>
        <v>-28548.806988916665</v>
      </c>
      <c r="G28" s="304">
        <f t="shared" si="1"/>
        <v>-11290.406910041665</v>
      </c>
      <c r="H28" s="303">
        <f t="shared" si="2"/>
        <v>127792.73301108334</v>
      </c>
      <c r="I28" s="303">
        <f t="shared" si="2"/>
        <v>145051.13308995834</v>
      </c>
      <c r="J28" s="303">
        <f t="shared" si="3"/>
        <v>17258.400078874998</v>
      </c>
      <c r="K28" s="303">
        <f t="shared" si="4"/>
        <v>-3624.2640165637495</v>
      </c>
      <c r="L28" s="303">
        <f t="shared" si="5"/>
        <v>487.55109248999952</v>
      </c>
      <c r="M28" s="93"/>
      <c r="N28" s="299"/>
      <c r="O28" s="299"/>
    </row>
    <row r="29" spans="1:15" ht="15" x14ac:dyDescent="0.25">
      <c r="A29" s="314">
        <v>45016</v>
      </c>
      <c r="B29" s="303">
        <f>C29</f>
        <v>156341.54</v>
      </c>
      <c r="C29" s="313">
        <v>156341.54</v>
      </c>
      <c r="D29" s="303">
        <f>(($B$14*$D$6/12)+(($B$26-$B$14)*$C$6/12)+(($B$38-$B$26)*$B$6/12))</f>
        <v>3190.6702621666668</v>
      </c>
      <c r="E29" s="304">
        <f>+(C28*$E$10/12)+(((C29-C28)*$E$10/12)*0.5)</f>
        <v>868.99839316666669</v>
      </c>
      <c r="F29" s="303">
        <f>-D29+F28</f>
        <v>-31739.477251083332</v>
      </c>
      <c r="G29" s="304">
        <f>+G28-E29</f>
        <v>-12159.405303208332</v>
      </c>
      <c r="H29" s="303">
        <f>B29+F29</f>
        <v>124602.06274891668</v>
      </c>
      <c r="I29" s="303">
        <f>C29+G29</f>
        <v>144182.13469679168</v>
      </c>
      <c r="J29" s="303">
        <f>I29-H29</f>
        <v>19580.071947874996</v>
      </c>
      <c r="K29" s="303">
        <f>-J29*$K$11</f>
        <v>-4111.8151090537494</v>
      </c>
      <c r="L29" s="303">
        <f>-K29+K28</f>
        <v>487.55109248999997</v>
      </c>
      <c r="M29" s="93"/>
      <c r="N29" s="299"/>
      <c r="O29" s="299"/>
    </row>
    <row r="30" spans="1:15" ht="15" x14ac:dyDescent="0.25">
      <c r="A30" s="314">
        <v>45046</v>
      </c>
      <c r="B30" s="303">
        <f>C30</f>
        <v>156341.54</v>
      </c>
      <c r="C30" s="313">
        <f>C29</f>
        <v>156341.54</v>
      </c>
      <c r="D30" s="303">
        <f>(($B$14*$D$6/12)+(($B$26-$B$14)*$C$6/12)+(($B$38-$B$26)*$B$6/12))</f>
        <v>3190.6702621666668</v>
      </c>
      <c r="E30" s="304">
        <f>+(C29*$E$10/12)+(((C30-C29)*$E$10/12)*0.5)</f>
        <v>868.99839316666669</v>
      </c>
      <c r="F30" s="303">
        <f>-D30+F29</f>
        <v>-34930.147513249998</v>
      </c>
      <c r="G30" s="304">
        <f>+G29-E30</f>
        <v>-13028.403696374999</v>
      </c>
      <c r="H30" s="303">
        <f>B30+F30</f>
        <v>121411.39248675</v>
      </c>
      <c r="I30" s="303">
        <f>C30+G30</f>
        <v>143313.13630362501</v>
      </c>
      <c r="J30" s="303">
        <f>I30-H30</f>
        <v>21901.743816875009</v>
      </c>
      <c r="K30" s="303">
        <f>-J30*$K$11</f>
        <v>-4599.3662015437512</v>
      </c>
      <c r="L30" s="303">
        <f>-K30+K29</f>
        <v>487.55109249000179</v>
      </c>
      <c r="M30" s="93"/>
      <c r="N30" s="299"/>
      <c r="O30" s="299"/>
    </row>
    <row r="31" spans="1:15" ht="15" x14ac:dyDescent="0.25">
      <c r="A31" s="314">
        <v>45077</v>
      </c>
      <c r="B31" s="303">
        <f>C31</f>
        <v>156341.54</v>
      </c>
      <c r="C31" s="313">
        <f>C30</f>
        <v>156341.54</v>
      </c>
      <c r="D31" s="303">
        <f>(($B$14*$D$6/12)+(($B$26-$B$14)*$C$6/12)+(($B$38-$B$26)*$B$6/12))</f>
        <v>3190.6702621666668</v>
      </c>
      <c r="E31" s="304">
        <f>+(C30*$E$10/12)+(((C31-C30)*$E$10/12)*0.5)</f>
        <v>868.99839316666669</v>
      </c>
      <c r="F31" s="303">
        <f>-D31+F30</f>
        <v>-38120.817775416668</v>
      </c>
      <c r="G31" s="304">
        <f>+G30-E31</f>
        <v>-13897.402089541665</v>
      </c>
      <c r="H31" s="303">
        <f>B31+F31</f>
        <v>118220.72222458334</v>
      </c>
      <c r="I31" s="303">
        <f>C31+G31</f>
        <v>142444.13791045835</v>
      </c>
      <c r="J31" s="303">
        <f>I31-H31</f>
        <v>24223.415685875007</v>
      </c>
      <c r="K31" s="303">
        <f>-J31*$K$11</f>
        <v>-5086.9172940337512</v>
      </c>
      <c r="L31" s="303">
        <f>-K31+K30</f>
        <v>487.55109248999997</v>
      </c>
      <c r="M31" s="93"/>
      <c r="N31" s="299"/>
      <c r="O31" s="299"/>
    </row>
    <row r="32" spans="1:15" ht="15" x14ac:dyDescent="0.25">
      <c r="A32" s="314">
        <v>45107</v>
      </c>
      <c r="B32" s="303">
        <f>C32</f>
        <v>156341.54</v>
      </c>
      <c r="C32" s="313">
        <f>C31</f>
        <v>156341.54</v>
      </c>
      <c r="D32" s="303">
        <f>(($B$14*$D$6/12)+(($B$26-$B$14)*$C$6/12)+(($B$38-$B$26)*$B$6/12))</f>
        <v>3190.6702621666668</v>
      </c>
      <c r="E32" s="304">
        <f>+(C31*$E$10/12)+(((C32-C31)*$E$10/12)*0.5)</f>
        <v>868.99839316666669</v>
      </c>
      <c r="F32" s="303">
        <f>-D32+F31</f>
        <v>-41311.488037583338</v>
      </c>
      <c r="G32" s="304">
        <f>+G31-E32</f>
        <v>-14766.400482708332</v>
      </c>
      <c r="H32" s="303">
        <f>B32+F32</f>
        <v>115030.05196241668</v>
      </c>
      <c r="I32" s="303">
        <f>C32+G32</f>
        <v>141575.13951729168</v>
      </c>
      <c r="J32" s="303">
        <f>I32-H32</f>
        <v>26545.087554875005</v>
      </c>
      <c r="K32" s="303">
        <f>-J32*$K$11</f>
        <v>-5574.4683865237512</v>
      </c>
      <c r="L32" s="303">
        <f>-K32+K31</f>
        <v>487.55109248999997</v>
      </c>
      <c r="M32" s="93"/>
      <c r="N32" s="299"/>
      <c r="O32" s="299"/>
    </row>
    <row r="33" spans="1:15" ht="15" x14ac:dyDescent="0.25">
      <c r="A33" s="314">
        <v>45138</v>
      </c>
      <c r="B33" s="303">
        <f>C33</f>
        <v>156341.54</v>
      </c>
      <c r="C33" s="313">
        <f>C32</f>
        <v>156341.54</v>
      </c>
      <c r="D33" s="303">
        <f>(($B$14*$D$6/12)+(($B$26-$B$14)*$C$6/12)+(($B$38-$B$26)*$B$6/12))</f>
        <v>3190.6702621666668</v>
      </c>
      <c r="E33" s="304">
        <f>+(C32*$E$10/12)+(((C33-C32)*$E$10/12)*0.5)</f>
        <v>868.99839316666669</v>
      </c>
      <c r="F33" s="303">
        <f>-D33+F32</f>
        <v>-44502.158299750008</v>
      </c>
      <c r="G33" s="304">
        <f>+G32-E33</f>
        <v>-15635.398875874998</v>
      </c>
      <c r="H33" s="303">
        <f>B33+F33</f>
        <v>111839.38170025</v>
      </c>
      <c r="I33" s="303">
        <f>C33+G33</f>
        <v>140706.14112412502</v>
      </c>
      <c r="J33" s="303">
        <f>I33-H33</f>
        <v>28866.759423875017</v>
      </c>
      <c r="K33" s="303">
        <f>-J33*$K$11</f>
        <v>-6062.019479013753</v>
      </c>
      <c r="L33" s="303">
        <f>-K33+K32</f>
        <v>487.55109249000179</v>
      </c>
      <c r="M33" s="93"/>
      <c r="N33" s="299"/>
      <c r="O33" s="299"/>
    </row>
    <row r="34" spans="1:15" ht="15" x14ac:dyDescent="0.25">
      <c r="A34" s="314">
        <v>45169</v>
      </c>
      <c r="B34" s="303">
        <f>C34</f>
        <v>156341.54</v>
      </c>
      <c r="C34" s="313">
        <f>C33</f>
        <v>156341.54</v>
      </c>
      <c r="D34" s="303">
        <f>(($B$14*$D$6/12)+(($B$26-$B$14)*$C$6/12)+(($B$38-$B$26)*$B$6/12))</f>
        <v>3190.6702621666668</v>
      </c>
      <c r="E34" s="304">
        <f>+(C33*$E$10/12)+(((C34-C33)*$E$10/12)*0.5)</f>
        <v>868.99839316666669</v>
      </c>
      <c r="F34" s="303">
        <f>-D34+F33</f>
        <v>-47692.828561916678</v>
      </c>
      <c r="G34" s="304">
        <f>+G33-E34</f>
        <v>-16504.397269041667</v>
      </c>
      <c r="H34" s="303">
        <f>B34+F34</f>
        <v>108648.71143808332</v>
      </c>
      <c r="I34" s="303">
        <f>C34+G34</f>
        <v>139837.14273095835</v>
      </c>
      <c r="J34" s="303">
        <f>I34-H34</f>
        <v>31188.43129287503</v>
      </c>
      <c r="K34" s="303">
        <f>-J34*$K$11</f>
        <v>-6549.5705715037557</v>
      </c>
      <c r="L34" s="303">
        <f>-K34+K33</f>
        <v>487.5510924900027</v>
      </c>
      <c r="M34" s="93"/>
      <c r="N34" s="299"/>
      <c r="O34" s="299"/>
    </row>
    <row r="35" spans="1:15" ht="15" x14ac:dyDescent="0.25">
      <c r="A35" s="314">
        <v>45199</v>
      </c>
      <c r="B35" s="303">
        <f>C35</f>
        <v>156341.54</v>
      </c>
      <c r="C35" s="313">
        <f>C34</f>
        <v>156341.54</v>
      </c>
      <c r="D35" s="303">
        <f>(($B$14*$D$6/12)+(($B$26-$B$14)*$C$6/12)+(($B$38-$B$26)*$B$6/12))</f>
        <v>3190.6702621666668</v>
      </c>
      <c r="E35" s="304">
        <f>+(C34*$E$10/12)+(((C35-C34)*$E$10/12)*0.5)</f>
        <v>868.99839316666669</v>
      </c>
      <c r="F35" s="303">
        <f>-D35+F34</f>
        <v>-50883.498824083348</v>
      </c>
      <c r="G35" s="304">
        <f>+G34-E35</f>
        <v>-17373.395662208335</v>
      </c>
      <c r="H35" s="303">
        <f>B35+F35</f>
        <v>105458.04117591666</v>
      </c>
      <c r="I35" s="303">
        <f>C35+G35</f>
        <v>138968.14433779166</v>
      </c>
      <c r="J35" s="303">
        <f>I35-H35</f>
        <v>33510.103161874998</v>
      </c>
      <c r="K35" s="303">
        <f>-J35*$K$11</f>
        <v>-7037.1216639937493</v>
      </c>
      <c r="L35" s="303">
        <f>-K35+K34</f>
        <v>487.55109248999361</v>
      </c>
      <c r="M35" s="93"/>
      <c r="N35" s="299"/>
      <c r="O35" s="299"/>
    </row>
    <row r="36" spans="1:15" ht="15" x14ac:dyDescent="0.25">
      <c r="A36" s="314">
        <v>45230</v>
      </c>
      <c r="B36" s="303">
        <f>C36</f>
        <v>156341.54</v>
      </c>
      <c r="C36" s="313">
        <f>C35</f>
        <v>156341.54</v>
      </c>
      <c r="D36" s="303">
        <f>(($B$14*$D$6/12)+(($B$26-$B$14)*$C$6/12)+(($B$38-$B$26)*$B$6/12))</f>
        <v>3190.6702621666668</v>
      </c>
      <c r="E36" s="304">
        <f>+(C35*$E$10/12)+(((C36-C35)*$E$10/12)*0.5)</f>
        <v>868.99839316666669</v>
      </c>
      <c r="F36" s="303">
        <f>-D36+F35</f>
        <v>-54074.169086250018</v>
      </c>
      <c r="G36" s="304">
        <f>+G35-E36</f>
        <v>-18242.394055375004</v>
      </c>
      <c r="H36" s="303">
        <f>B36+F36</f>
        <v>102267.37091375</v>
      </c>
      <c r="I36" s="303">
        <f>C36+G36</f>
        <v>138099.14594462499</v>
      </c>
      <c r="J36" s="303">
        <f>I36-H36</f>
        <v>35831.775030874996</v>
      </c>
      <c r="K36" s="303">
        <f>-J36*$K$11</f>
        <v>-7524.6727564837493</v>
      </c>
      <c r="L36" s="303">
        <f>-K36+K35</f>
        <v>487.55109248999997</v>
      </c>
      <c r="M36" s="93"/>
      <c r="N36" s="299"/>
      <c r="O36" s="299"/>
    </row>
    <row r="37" spans="1:15" ht="15" x14ac:dyDescent="0.25">
      <c r="A37" s="314">
        <v>45260</v>
      </c>
      <c r="B37" s="303">
        <f>C37</f>
        <v>156341.54</v>
      </c>
      <c r="C37" s="313">
        <f>C36</f>
        <v>156341.54</v>
      </c>
      <c r="D37" s="303">
        <f>(($B$14*$D$6/12)+(($B$26-$B$14)*$C$6/12)+(($B$38-$B$26)*$B$6/12))</f>
        <v>3190.6702621666668</v>
      </c>
      <c r="E37" s="304">
        <f>+(C36*$E$10/12)+(((C37-C36)*$E$10/12)*0.5)</f>
        <v>868.99839316666669</v>
      </c>
      <c r="F37" s="303">
        <f>-D37+F36</f>
        <v>-57264.839348416688</v>
      </c>
      <c r="G37" s="304">
        <f>+G36-E37</f>
        <v>-19111.392448541672</v>
      </c>
      <c r="H37" s="303">
        <f>B37+F37</f>
        <v>99076.70065158332</v>
      </c>
      <c r="I37" s="303">
        <f>C37+G37</f>
        <v>137230.14755145833</v>
      </c>
      <c r="J37" s="303">
        <f>I37-H37</f>
        <v>38153.446899875009</v>
      </c>
      <c r="K37" s="303">
        <f>-J37*$K$11</f>
        <v>-8012.223848973752</v>
      </c>
      <c r="L37" s="303">
        <f>-K37+K36</f>
        <v>487.5510924900027</v>
      </c>
      <c r="M37" s="93"/>
      <c r="N37" s="299"/>
      <c r="O37" s="299"/>
    </row>
    <row r="38" spans="1:15" ht="15" x14ac:dyDescent="0.25">
      <c r="A38" s="314">
        <v>45291</v>
      </c>
      <c r="B38" s="303">
        <f>C38</f>
        <v>156341.54</v>
      </c>
      <c r="C38" s="313">
        <f>C37</f>
        <v>156341.54</v>
      </c>
      <c r="D38" s="303">
        <f>(($B$14*$D$6/12)+(($B$26-$B$14)*$C$6/12)+(($B$38-$B$26)*$B$6/12))</f>
        <v>3190.6702621666668</v>
      </c>
      <c r="E38" s="304">
        <f>+(C37*$E$10/12)+(((C38-C37)*$E$10/12)*0.5)</f>
        <v>868.99839316666669</v>
      </c>
      <c r="F38" s="303">
        <f>-D38+F37</f>
        <v>-60455.509610583358</v>
      </c>
      <c r="G38" s="304">
        <f>+G37-E38</f>
        <v>-19980.39084170834</v>
      </c>
      <c r="H38" s="303">
        <f>B38+F38</f>
        <v>95886.030389416643</v>
      </c>
      <c r="I38" s="303">
        <f>C38+G38</f>
        <v>136361.14915829166</v>
      </c>
      <c r="J38" s="303">
        <f>I38-H38</f>
        <v>40475.118768875021</v>
      </c>
      <c r="K38" s="303">
        <f>-J38*$K$11</f>
        <v>-8499.7749414637547</v>
      </c>
      <c r="L38" s="303">
        <f>-K38+K37</f>
        <v>487.5510924900027</v>
      </c>
      <c r="M38" s="93"/>
      <c r="N38" s="299"/>
      <c r="O38" s="299"/>
    </row>
    <row r="39" spans="1:15" ht="15" x14ac:dyDescent="0.25">
      <c r="A39" s="314">
        <v>45322</v>
      </c>
      <c r="B39" s="303">
        <f>C39</f>
        <v>156341.54</v>
      </c>
      <c r="C39" s="313">
        <f>C38</f>
        <v>156341.54</v>
      </c>
      <c r="D39" s="303">
        <f>(($B$14*$E$6/12)+(($B$26-$B$14)*$D$6/12)+(($B$38-$B$26)*$C$6/12)+(($B$50-$B$38)*$B$6/12))</f>
        <v>2278.6779455000001</v>
      </c>
      <c r="E39" s="304">
        <f>+(C38*$E$10/12)+(((C39-C38)*$E$10/12)*0.5)</f>
        <v>868.99839316666669</v>
      </c>
      <c r="F39" s="303">
        <f>-D39+F38</f>
        <v>-62734.187556083358</v>
      </c>
      <c r="G39" s="304">
        <f>+G38-E39</f>
        <v>-20849.389234875009</v>
      </c>
      <c r="H39" s="303">
        <f>B39+F39</f>
        <v>93607.35244391665</v>
      </c>
      <c r="I39" s="303">
        <f>C39+G39</f>
        <v>135492.150765125</v>
      </c>
      <c r="J39" s="303">
        <f>I39-H39</f>
        <v>41884.798321208349</v>
      </c>
      <c r="K39" s="303">
        <f>-J39*$K$11</f>
        <v>-8795.8076474537538</v>
      </c>
      <c r="L39" s="303">
        <f>-K39+K38</f>
        <v>296.03270598999916</v>
      </c>
      <c r="M39" s="93"/>
      <c r="N39" s="299"/>
      <c r="O39" s="299"/>
    </row>
    <row r="40" spans="1:15" ht="15" x14ac:dyDescent="0.25">
      <c r="A40" s="314">
        <v>45351</v>
      </c>
      <c r="B40" s="303">
        <f>C40</f>
        <v>156341.54</v>
      </c>
      <c r="C40" s="313">
        <f>C39</f>
        <v>156341.54</v>
      </c>
      <c r="D40" s="303">
        <f>(($B$14*$E$6/12)+(($B$26-$B$14)*$D$6/12)+(($B$38-$B$26)*$C$6/12)+(($B$50-$B$38)*$B$6/12))</f>
        <v>2278.6779455000001</v>
      </c>
      <c r="E40" s="304">
        <f>+(C39*$E$10/12)+(((C40-C39)*$E$10/12)*0.5)</f>
        <v>868.99839316666669</v>
      </c>
      <c r="F40" s="303">
        <f>-D40+F39</f>
        <v>-65012.865501583357</v>
      </c>
      <c r="G40" s="304">
        <f>+G39-E40</f>
        <v>-21718.387628041677</v>
      </c>
      <c r="H40" s="303">
        <f>B40+F40</f>
        <v>91328.674498416658</v>
      </c>
      <c r="I40" s="303">
        <f>C40+G40</f>
        <v>134623.15237195833</v>
      </c>
      <c r="J40" s="303">
        <f>I40-H40</f>
        <v>43294.477873541677</v>
      </c>
      <c r="K40" s="303">
        <f>-J40*$K$11</f>
        <v>-9091.8403534437512</v>
      </c>
      <c r="L40" s="303">
        <f>-K40+K39</f>
        <v>296.03270598999734</v>
      </c>
      <c r="M40" s="93"/>
      <c r="N40" s="299"/>
      <c r="O40" s="299"/>
    </row>
    <row r="41" spans="1:15" ht="15" x14ac:dyDescent="0.25">
      <c r="A41" s="314">
        <v>45382</v>
      </c>
      <c r="B41" s="303">
        <f>C41</f>
        <v>156341.54</v>
      </c>
      <c r="C41" s="313">
        <f>C40</f>
        <v>156341.54</v>
      </c>
      <c r="D41" s="303">
        <f>(($B$14*$E$6/12)+(($B$26-$B$14)*$D$6/12)+(($B$38-$B$26)*$C$6/12)+(($B$50-$B$38)*$B$6/12))</f>
        <v>2278.6779455000001</v>
      </c>
      <c r="E41" s="304">
        <f>+(C40*$E$10/12)+(((C41-C40)*$E$10/12)*0.5)</f>
        <v>868.99839316666669</v>
      </c>
      <c r="F41" s="303">
        <f>-D41+F40</f>
        <v>-67291.543447083357</v>
      </c>
      <c r="G41" s="304">
        <f>+G40-E41</f>
        <v>-22587.386021208345</v>
      </c>
      <c r="H41" s="303">
        <f>B41+F41</f>
        <v>89049.996552916651</v>
      </c>
      <c r="I41" s="303">
        <f>C41+G41</f>
        <v>133754.15397879167</v>
      </c>
      <c r="J41" s="303">
        <f>I41-H41</f>
        <v>44704.157425875019</v>
      </c>
      <c r="K41" s="303">
        <f>-J41*$K$11</f>
        <v>-9387.873059433754</v>
      </c>
      <c r="L41" s="303">
        <f>-K41+K40</f>
        <v>296.0327059900028</v>
      </c>
      <c r="M41" s="93"/>
      <c r="N41" s="299"/>
      <c r="O41" s="299"/>
    </row>
    <row r="42" spans="1:15" ht="15" x14ac:dyDescent="0.25">
      <c r="A42" s="314">
        <v>45412</v>
      </c>
      <c r="B42" s="303">
        <f>C42</f>
        <v>156341.54</v>
      </c>
      <c r="C42" s="313">
        <f>C41</f>
        <v>156341.54</v>
      </c>
      <c r="D42" s="303">
        <f>(($B$14*$E$6/12)+(($B$26-$B$14)*$D$6/12)+(($B$38-$B$26)*$C$6/12)+(($B$50-$B$38)*$B$6/12))</f>
        <v>2278.6779455000001</v>
      </c>
      <c r="E42" s="304">
        <f>+(C41*$E$10/12)+(((C42-C41)*$E$10/12)*0.5)</f>
        <v>868.99839316666669</v>
      </c>
      <c r="F42" s="303">
        <f>-D42+F41</f>
        <v>-69570.221392583364</v>
      </c>
      <c r="G42" s="304">
        <f>+G41-E42</f>
        <v>-23456.384414375014</v>
      </c>
      <c r="H42" s="303">
        <f>B42+F42</f>
        <v>86771.318607416644</v>
      </c>
      <c r="I42" s="303">
        <f>C42+G42</f>
        <v>132885.15558562501</v>
      </c>
      <c r="J42" s="303">
        <f>I42-H42</f>
        <v>46113.836978208361</v>
      </c>
      <c r="K42" s="303">
        <f>-J42*$K$11</f>
        <v>-9683.9057654237549</v>
      </c>
      <c r="L42" s="303">
        <f>-K42+K41</f>
        <v>296.03270599000098</v>
      </c>
      <c r="M42" s="93"/>
      <c r="N42" s="299"/>
      <c r="O42" s="299"/>
    </row>
    <row r="43" spans="1:15" ht="15" x14ac:dyDescent="0.25">
      <c r="A43" s="314">
        <v>45443</v>
      </c>
      <c r="B43" s="303">
        <f>C43</f>
        <v>156341.54</v>
      </c>
      <c r="C43" s="313">
        <f>C42</f>
        <v>156341.54</v>
      </c>
      <c r="D43" s="303">
        <f>(($B$14*$E$6/12)+(($B$26-$B$14)*$D$6/12)+(($B$38-$B$26)*$C$6/12)+(($B$50-$B$38)*$B$6/12))</f>
        <v>2278.6779455000001</v>
      </c>
      <c r="E43" s="304">
        <f>+(C42*$E$10/12)+(((C43-C42)*$E$10/12)*0.5)</f>
        <v>868.99839316666669</v>
      </c>
      <c r="F43" s="303">
        <f>-D43+F42</f>
        <v>-71848.899338083371</v>
      </c>
      <c r="G43" s="304">
        <f>+G42-E43</f>
        <v>-24325.382807541682</v>
      </c>
      <c r="H43" s="303">
        <f>B43+F43</f>
        <v>84492.640661916637</v>
      </c>
      <c r="I43" s="303">
        <f>C43+G43</f>
        <v>132016.15719245834</v>
      </c>
      <c r="J43" s="303">
        <f>I43-H43</f>
        <v>47523.516530541703</v>
      </c>
      <c r="K43" s="303">
        <f>-J43*$K$11</f>
        <v>-9979.9384714137577</v>
      </c>
      <c r="L43" s="303">
        <f>-K43+K42</f>
        <v>296.0327059900028</v>
      </c>
      <c r="M43" s="93"/>
      <c r="N43" s="299"/>
      <c r="O43" s="299"/>
    </row>
    <row r="44" spans="1:15" ht="15" x14ac:dyDescent="0.25">
      <c r="A44" s="314">
        <v>45473</v>
      </c>
      <c r="B44" s="303">
        <f>C44</f>
        <v>156341.54</v>
      </c>
      <c r="C44" s="313">
        <f>C43</f>
        <v>156341.54</v>
      </c>
      <c r="D44" s="303">
        <f>(($B$14*$E$6/12)+(($B$26-$B$14)*$D$6/12)+(($B$38-$B$26)*$C$6/12)+(($B$50-$B$38)*$B$6/12))</f>
        <v>2278.6779455000001</v>
      </c>
      <c r="E44" s="304">
        <f>+(C43*$E$10/12)+(((C44-C43)*$E$10/12)*0.5)</f>
        <v>868.99839316666669</v>
      </c>
      <c r="F44" s="303">
        <f>-D44+F43</f>
        <v>-74127.577283583378</v>
      </c>
      <c r="G44" s="304">
        <f>+G43-E44</f>
        <v>-25194.381200708351</v>
      </c>
      <c r="H44" s="303">
        <f>B44+F44</f>
        <v>82213.96271641663</v>
      </c>
      <c r="I44" s="303">
        <f>C44+G44</f>
        <v>131147.15879929165</v>
      </c>
      <c r="J44" s="303">
        <f>I44-H44</f>
        <v>48933.196082875016</v>
      </c>
      <c r="K44" s="303">
        <f>-J44*$K$11</f>
        <v>-10275.971177403753</v>
      </c>
      <c r="L44" s="303">
        <f>-K44+K43</f>
        <v>296.03270598999552</v>
      </c>
      <c r="M44" s="93"/>
      <c r="N44" s="299"/>
      <c r="O44" s="299"/>
    </row>
    <row r="45" spans="1:15" ht="15" x14ac:dyDescent="0.25">
      <c r="A45" s="314">
        <v>45504</v>
      </c>
      <c r="B45" s="303">
        <f>C45</f>
        <v>156341.54</v>
      </c>
      <c r="C45" s="313">
        <f>C44</f>
        <v>156341.54</v>
      </c>
      <c r="D45" s="303">
        <f>(($B$14*$E$6/12)+(($B$26-$B$14)*$D$6/12)+(($B$38-$B$26)*$C$6/12)+(($B$50-$B$38)*$B$6/12))</f>
        <v>2278.6779455000001</v>
      </c>
      <c r="E45" s="304">
        <f>+(C44*$E$10/12)+(((C45-C44)*$E$10/12)*0.5)</f>
        <v>868.99839316666669</v>
      </c>
      <c r="F45" s="303">
        <f>-D45+F44</f>
        <v>-76406.255229083385</v>
      </c>
      <c r="G45" s="304">
        <f>+G44-E45</f>
        <v>-26063.379593875019</v>
      </c>
      <c r="H45" s="303">
        <f>B45+F45</f>
        <v>79935.284770916624</v>
      </c>
      <c r="I45" s="303">
        <f>C45+G45</f>
        <v>130278.16040612498</v>
      </c>
      <c r="J45" s="303">
        <f>I45-H45</f>
        <v>50342.875635208358</v>
      </c>
      <c r="K45" s="303">
        <f>-J45*$K$11</f>
        <v>-10572.003883393754</v>
      </c>
      <c r="L45" s="303">
        <f>-K45+K44</f>
        <v>296.03270599000098</v>
      </c>
      <c r="M45" s="93"/>
      <c r="N45" s="299"/>
      <c r="O45" s="299"/>
    </row>
    <row r="46" spans="1:15" ht="15" x14ac:dyDescent="0.25">
      <c r="A46" s="314">
        <v>45535</v>
      </c>
      <c r="B46" s="303">
        <f>C46</f>
        <v>156341.54</v>
      </c>
      <c r="C46" s="313">
        <f>C45</f>
        <v>156341.54</v>
      </c>
      <c r="D46" s="303">
        <f>(($B$14*$E$6/12)+(($B$26-$B$14)*$D$6/12)+(($B$38-$B$26)*$C$6/12)+(($B$50-$B$38)*$B$6/12))</f>
        <v>2278.6779455000001</v>
      </c>
      <c r="E46" s="304">
        <f>+(C45*$E$10/12)+(((C46-C45)*$E$10/12)*0.5)</f>
        <v>868.99839316666669</v>
      </c>
      <c r="F46" s="303">
        <f>-D46+F45</f>
        <v>-78684.933174583392</v>
      </c>
      <c r="G46" s="304">
        <f>+G45-E46</f>
        <v>-26932.377987041687</v>
      </c>
      <c r="H46" s="303">
        <f>B46+F46</f>
        <v>77656.606825416617</v>
      </c>
      <c r="I46" s="303">
        <f>C46+G46</f>
        <v>129409.16201295832</v>
      </c>
      <c r="J46" s="303">
        <f>I46-H46</f>
        <v>51752.5551875417</v>
      </c>
      <c r="K46" s="303">
        <f>-J46*$K$11</f>
        <v>-10868.036589383757</v>
      </c>
      <c r="L46" s="303">
        <f>-K46+K45</f>
        <v>296.0327059900028</v>
      </c>
      <c r="M46" s="93"/>
      <c r="N46" s="299"/>
      <c r="O46" s="299"/>
    </row>
    <row r="47" spans="1:15" ht="15" x14ac:dyDescent="0.25">
      <c r="A47" s="314">
        <v>45565</v>
      </c>
      <c r="B47" s="303">
        <f>C47</f>
        <v>156341.54</v>
      </c>
      <c r="C47" s="313">
        <f>C46</f>
        <v>156341.54</v>
      </c>
      <c r="D47" s="303">
        <f>(($B$14*$E$6/12)+(($B$26-$B$14)*$D$6/12)+(($B$38-$B$26)*$C$6/12)+(($B$50-$B$38)*$B$6/12))</f>
        <v>2278.6779455000001</v>
      </c>
      <c r="E47" s="304">
        <f>+(C46*$E$10/12)+(((C47-C46)*$E$10/12)*0.5)</f>
        <v>868.99839316666669</v>
      </c>
      <c r="F47" s="303">
        <f>-D47+F46</f>
        <v>-80963.611120083398</v>
      </c>
      <c r="G47" s="304">
        <f>+G46-E47</f>
        <v>-27801.376380208356</v>
      </c>
      <c r="H47" s="303">
        <f>B47+F47</f>
        <v>75377.92887991661</v>
      </c>
      <c r="I47" s="303">
        <f>C47+G47</f>
        <v>128540.16361979165</v>
      </c>
      <c r="J47" s="303">
        <f>I47-H47</f>
        <v>53162.234739875043</v>
      </c>
      <c r="K47" s="303">
        <f>-J47*$K$11</f>
        <v>-11164.069295373758</v>
      </c>
      <c r="L47" s="303">
        <f>-K47+K46</f>
        <v>296.03270599000098</v>
      </c>
      <c r="M47" s="93"/>
      <c r="N47" s="299"/>
      <c r="O47" s="299"/>
    </row>
    <row r="48" spans="1:15" ht="15" x14ac:dyDescent="0.25">
      <c r="A48" s="314">
        <v>45596</v>
      </c>
      <c r="B48" s="303">
        <f>C48</f>
        <v>156341.54</v>
      </c>
      <c r="C48" s="313">
        <f>C47</f>
        <v>156341.54</v>
      </c>
      <c r="D48" s="303">
        <f>(($B$14*$E$6/12)+(($B$26-$B$14)*$D$6/12)+(($B$38-$B$26)*$C$6/12)+(($B$50-$B$38)*$B$6/12))</f>
        <v>2278.6779455000001</v>
      </c>
      <c r="E48" s="304">
        <f>+(C47*$E$10/12)+(((C48-C47)*$E$10/12)*0.5)</f>
        <v>868.99839316666669</v>
      </c>
      <c r="F48" s="303">
        <f>-D48+F47</f>
        <v>-83242.289065583405</v>
      </c>
      <c r="G48" s="304">
        <f>+G47-E48</f>
        <v>-28670.374773375024</v>
      </c>
      <c r="H48" s="303">
        <f>B48+F48</f>
        <v>73099.250934416603</v>
      </c>
      <c r="I48" s="303">
        <f>C48+G48</f>
        <v>127671.16522662499</v>
      </c>
      <c r="J48" s="303">
        <f>I48-H48</f>
        <v>54571.914292208385</v>
      </c>
      <c r="K48" s="303">
        <f>-J48*$K$11</f>
        <v>-11460.102001363761</v>
      </c>
      <c r="L48" s="303">
        <f>-K48+K47</f>
        <v>296.0327059900028</v>
      </c>
      <c r="M48" s="93"/>
      <c r="N48" s="299"/>
      <c r="O48" s="299"/>
    </row>
    <row r="49" spans="1:15" ht="15" x14ac:dyDescent="0.25">
      <c r="A49" s="314">
        <v>45626</v>
      </c>
      <c r="B49" s="303">
        <f>C49</f>
        <v>156341.54</v>
      </c>
      <c r="C49" s="313">
        <f>C48</f>
        <v>156341.54</v>
      </c>
      <c r="D49" s="303">
        <f>(($B$14*$E$6/12)+(($B$26-$B$14)*$D$6/12)+(($B$38-$B$26)*$C$6/12)+(($B$50-$B$38)*$B$6/12))</f>
        <v>2278.6779455000001</v>
      </c>
      <c r="E49" s="304">
        <f>+(C48*$E$10/12)+(((C49-C48)*$E$10/12)*0.5)</f>
        <v>868.99839316666669</v>
      </c>
      <c r="F49" s="303">
        <f>-D49+F48</f>
        <v>-85520.967011083412</v>
      </c>
      <c r="G49" s="304">
        <f>+G48-E49</f>
        <v>-29539.373166541693</v>
      </c>
      <c r="H49" s="303">
        <f>B49+F49</f>
        <v>70820.572988916596</v>
      </c>
      <c r="I49" s="303">
        <f>C49+G49</f>
        <v>126802.16683345832</v>
      </c>
      <c r="J49" s="303">
        <f>I49-H49</f>
        <v>55981.593844541727</v>
      </c>
      <c r="K49" s="303">
        <f>-J49*$K$11</f>
        <v>-11756.134707353762</v>
      </c>
      <c r="L49" s="303">
        <f>-K49+K48</f>
        <v>296.03270599000098</v>
      </c>
      <c r="M49" s="93"/>
      <c r="N49" s="299"/>
      <c r="O49" s="299"/>
    </row>
    <row r="50" spans="1:15" ht="15" x14ac:dyDescent="0.25">
      <c r="A50" s="314">
        <v>45657</v>
      </c>
      <c r="B50" s="303">
        <f>C50</f>
        <v>156341.54</v>
      </c>
      <c r="C50" s="313">
        <f>C49</f>
        <v>156341.54</v>
      </c>
      <c r="D50" s="303">
        <f>(($B$14*$E$6/12)+(($B$26-$B$14)*$D$6/12)+(($B$38-$B$26)*$C$6/12)+(($B$50-$B$38)*$B$6/12))</f>
        <v>2278.6779455000001</v>
      </c>
      <c r="E50" s="304">
        <f>+(C49*$E$10/12)+(((C50-C49)*$E$10/12)*0.5)</f>
        <v>868.99839316666669</v>
      </c>
      <c r="F50" s="303">
        <f>-D50+F49</f>
        <v>-87799.644956583419</v>
      </c>
      <c r="G50" s="304">
        <f>+G49-E50</f>
        <v>-30408.371559708361</v>
      </c>
      <c r="H50" s="303">
        <f>B50+F50</f>
        <v>68541.895043416589</v>
      </c>
      <c r="I50" s="303">
        <f>C50+G50</f>
        <v>125933.16844029164</v>
      </c>
      <c r="J50" s="303">
        <f>I50-H50</f>
        <v>57391.273396875054</v>
      </c>
      <c r="K50" s="303">
        <f>-J50*$K$11</f>
        <v>-12052.167413343761</v>
      </c>
      <c r="L50" s="303">
        <f>-K50+K49</f>
        <v>296.03270598999916</v>
      </c>
      <c r="M50" s="93"/>
      <c r="N50" s="299"/>
      <c r="O50" s="299"/>
    </row>
    <row r="51" spans="1:15" ht="15" x14ac:dyDescent="0.25">
      <c r="A51" s="314">
        <v>45688</v>
      </c>
      <c r="B51" s="303">
        <f>C51</f>
        <v>156341.54</v>
      </c>
      <c r="C51" s="313">
        <f>C50</f>
        <v>156341.54</v>
      </c>
      <c r="D51" s="303">
        <f>(($B$14*$F$6/12)+(($B$26-$B$14)*$E$6/12)+(($B$38-$B$26)*$D$6/12)+(($B$50-$B$38)*$C$6/12)+(($B$62-$B$50)*$B$6/12))</f>
        <v>1627.2548621666667</v>
      </c>
      <c r="E51" s="304">
        <f>+(C50*$E$10/12)+(((C51-C50)*$E$10/12)*0.5)</f>
        <v>868.99839316666669</v>
      </c>
      <c r="F51" s="303">
        <f>-D51+F50</f>
        <v>-89426.899818750084</v>
      </c>
      <c r="G51" s="304">
        <f>+G50-E51</f>
        <v>-31277.369952875029</v>
      </c>
      <c r="H51" s="303">
        <f>B51+F51</f>
        <v>66914.640181249924</v>
      </c>
      <c r="I51" s="303">
        <f>C51+G51</f>
        <v>125064.17004712498</v>
      </c>
      <c r="J51" s="303">
        <f>I51-H51</f>
        <v>58149.529865875054</v>
      </c>
      <c r="K51" s="303">
        <f>-J51*$K$11</f>
        <v>-12211.401271833762</v>
      </c>
      <c r="L51" s="303">
        <f>-K51+K50</f>
        <v>159.23385849000078</v>
      </c>
      <c r="M51" s="93"/>
      <c r="N51" s="299"/>
      <c r="O51" s="299"/>
    </row>
    <row r="52" spans="1:15" ht="15" x14ac:dyDescent="0.25">
      <c r="A52" s="314">
        <v>45716</v>
      </c>
      <c r="B52" s="303">
        <f>C52</f>
        <v>156341.54</v>
      </c>
      <c r="C52" s="313">
        <f>C51</f>
        <v>156341.54</v>
      </c>
      <c r="D52" s="303">
        <f>(($B$14*$F$6/12)+(($B$26-$B$14)*$E$6/12)+(($B$38-$B$26)*$D$6/12)+(($B$50-$B$38)*$C$6/12)+(($B$62-$B$50)*$B$6/12))</f>
        <v>1627.2548621666667</v>
      </c>
      <c r="E52" s="304">
        <f>+(C51*$E$10/12)+(((C52-C51)*$E$10/12)*0.5)</f>
        <v>868.99839316666669</v>
      </c>
      <c r="F52" s="303">
        <f>-D52+F51</f>
        <v>-91054.154680916748</v>
      </c>
      <c r="G52" s="304">
        <f>+G51-E52</f>
        <v>-32146.368346041698</v>
      </c>
      <c r="H52" s="303">
        <f>B52+F52</f>
        <v>65287.38531908326</v>
      </c>
      <c r="I52" s="303">
        <f>C52+G52</f>
        <v>124195.17165395831</v>
      </c>
      <c r="J52" s="303">
        <f>I52-H52</f>
        <v>58907.786334875054</v>
      </c>
      <c r="K52" s="303">
        <f>-J52*$K$11</f>
        <v>-12370.635130323761</v>
      </c>
      <c r="L52" s="303">
        <f>-K52+K51</f>
        <v>159.23385848999897</v>
      </c>
      <c r="M52" s="93"/>
      <c r="N52" s="299"/>
      <c r="O52" s="299"/>
    </row>
    <row r="53" spans="1:15" ht="15" customHeight="1" x14ac:dyDescent="0.25">
      <c r="A53" s="314">
        <v>45747</v>
      </c>
      <c r="B53" s="303">
        <f>C53</f>
        <v>156341.54</v>
      </c>
      <c r="C53" s="313">
        <f>C52</f>
        <v>156341.54</v>
      </c>
      <c r="D53" s="303">
        <f>(($B$14*$F$6/12)+(($B$26-$B$14)*$E$6/12)+(($B$38-$B$26)*$D$6/12)+(($B$50-$B$38)*$C$6/12)+(($B$62-$B$50)*$B$6/12))</f>
        <v>1627.2548621666667</v>
      </c>
      <c r="E53" s="304">
        <f>+(C52*$E$10/12)+(((C53-C52)*$E$10/12)*0.5)</f>
        <v>868.99839316666669</v>
      </c>
      <c r="F53" s="303">
        <f>-D53+F52</f>
        <v>-92681.409543083413</v>
      </c>
      <c r="G53" s="304">
        <f>+G52-E53</f>
        <v>-33015.366739208366</v>
      </c>
      <c r="H53" s="303">
        <f>B53+F53</f>
        <v>63660.130456916595</v>
      </c>
      <c r="I53" s="303">
        <f>C53+G53</f>
        <v>123326.17326079163</v>
      </c>
      <c r="J53" s="303">
        <f>I53-H53</f>
        <v>59666.04280387504</v>
      </c>
      <c r="K53" s="303">
        <f>-J53*$K$11</f>
        <v>-12529.868988813758</v>
      </c>
      <c r="L53" s="303">
        <f>-K53+K52</f>
        <v>159.23385848999715</v>
      </c>
      <c r="M53" s="93"/>
      <c r="N53" s="299"/>
      <c r="O53" s="299"/>
    </row>
    <row r="54" spans="1:15" ht="15" customHeight="1" x14ac:dyDescent="0.25">
      <c r="A54" s="314">
        <v>45777</v>
      </c>
      <c r="B54" s="303">
        <f>C54</f>
        <v>156341.54</v>
      </c>
      <c r="C54" s="313">
        <f>C53</f>
        <v>156341.54</v>
      </c>
      <c r="D54" s="303">
        <f>(($B$14*$F$6/12)+(($B$26-$B$14)*$E$6/12)+(($B$38-$B$26)*$D$6/12)+(($B$50-$B$38)*$C$6/12)+(($B$62-$B$50)*$B$6/12))</f>
        <v>1627.2548621666667</v>
      </c>
      <c r="E54" s="304">
        <f>+(C53*$E$10/12)+(((C54-C53)*$E$10/12)*0.5)</f>
        <v>868.99839316666669</v>
      </c>
      <c r="F54" s="303">
        <f>-D54+F53</f>
        <v>-94308.664405250078</v>
      </c>
      <c r="G54" s="304">
        <f>+G53-E54</f>
        <v>-33884.365132375031</v>
      </c>
      <c r="H54" s="303">
        <f>B54+F54</f>
        <v>62032.87559474993</v>
      </c>
      <c r="I54" s="303">
        <f>C54+G54</f>
        <v>122457.17486762497</v>
      </c>
      <c r="J54" s="303">
        <f>I54-H54</f>
        <v>60424.29927287504</v>
      </c>
      <c r="K54" s="303">
        <f>-J54*$K$11</f>
        <v>-12689.102847303759</v>
      </c>
      <c r="L54" s="303">
        <f>-K54+K53</f>
        <v>159.23385849000078</v>
      </c>
      <c r="M54" s="93"/>
      <c r="N54" s="299"/>
      <c r="O54" s="299"/>
    </row>
    <row r="55" spans="1:15" ht="15" customHeight="1" x14ac:dyDescent="0.25">
      <c r="A55" s="314">
        <v>45808</v>
      </c>
      <c r="B55" s="303">
        <f>C55</f>
        <v>156341.54</v>
      </c>
      <c r="C55" s="313">
        <f>C54</f>
        <v>156341.54</v>
      </c>
      <c r="D55" s="303">
        <f>(($B$14*$F$6/12)+(($B$26-$B$14)*$E$6/12)+(($B$38-$B$26)*$D$6/12)+(($B$50-$B$38)*$C$6/12)+(($B$62-$B$50)*$B$6/12))</f>
        <v>1627.2548621666667</v>
      </c>
      <c r="E55" s="304">
        <f>+(C54*$E$10/12)+(((C55-C54)*$E$10/12)*0.5)</f>
        <v>868.99839316666669</v>
      </c>
      <c r="F55" s="303">
        <f>-D55+F54</f>
        <v>-95935.919267416743</v>
      </c>
      <c r="G55" s="304">
        <f>+G54-E55</f>
        <v>-34753.363525541696</v>
      </c>
      <c r="H55" s="303">
        <f>B55+F55</f>
        <v>60405.620732583266</v>
      </c>
      <c r="I55" s="303">
        <f>C55+G55</f>
        <v>121588.17647445831</v>
      </c>
      <c r="J55" s="303">
        <f>I55-H55</f>
        <v>61182.55574187504</v>
      </c>
      <c r="K55" s="303">
        <f>-J55*$K$11</f>
        <v>-12848.336705793758</v>
      </c>
      <c r="L55" s="303">
        <f>-K55+K54</f>
        <v>159.23385848999897</v>
      </c>
      <c r="M55" s="93"/>
      <c r="N55" s="299"/>
      <c r="O55" s="299"/>
    </row>
    <row r="56" spans="1:15" ht="15" x14ac:dyDescent="0.25">
      <c r="A56" s="314">
        <v>45838</v>
      </c>
      <c r="B56" s="303">
        <f>C56</f>
        <v>156341.54</v>
      </c>
      <c r="C56" s="313">
        <f>C55</f>
        <v>156341.54</v>
      </c>
      <c r="D56" s="303">
        <f>(($B$14*$F$6/12)+(($B$26-$B$14)*$E$6/12)+(($B$38-$B$26)*$D$6/12)+(($B$50-$B$38)*$C$6/12)+(($B$62-$B$50)*$B$6/12))</f>
        <v>1627.2548621666667</v>
      </c>
      <c r="E56" s="304">
        <f>+(C55*$E$10/12)+(((C56-C55)*$E$10/12)*0.5)</f>
        <v>868.99839316666669</v>
      </c>
      <c r="F56" s="303">
        <f>-D56+F55</f>
        <v>-97563.174129583407</v>
      </c>
      <c r="G56" s="304">
        <f>+G55-E56</f>
        <v>-35622.36191870836</v>
      </c>
      <c r="H56" s="303">
        <f>B56+F56</f>
        <v>58778.365870416601</v>
      </c>
      <c r="I56" s="303">
        <f>C56+G56</f>
        <v>120719.17808129164</v>
      </c>
      <c r="J56" s="303">
        <f>I56-H56</f>
        <v>61940.812210875039</v>
      </c>
      <c r="K56" s="303">
        <f>-J56*$K$11</f>
        <v>-13007.570564283758</v>
      </c>
      <c r="L56" s="303">
        <f>-K56+K55</f>
        <v>159.23385849000078</v>
      </c>
      <c r="M56" s="93"/>
      <c r="N56" s="299"/>
      <c r="O56" s="299"/>
    </row>
    <row r="57" spans="1:15" ht="15" x14ac:dyDescent="0.25">
      <c r="A57" s="314">
        <v>45869</v>
      </c>
      <c r="B57" s="303">
        <f>C57</f>
        <v>156341.54</v>
      </c>
      <c r="C57" s="313">
        <f>C56</f>
        <v>156341.54</v>
      </c>
      <c r="D57" s="303">
        <f>(($B$14*$F$6/12)+(($B$26-$B$14)*$E$6/12)+(($B$38-$B$26)*$D$6/12)+(($B$50-$B$38)*$C$6/12)+(($B$62-$B$50)*$B$6/12))</f>
        <v>1627.2548621666667</v>
      </c>
      <c r="E57" s="304">
        <f>+(C56*$E$10/12)+(((C57-C56)*$E$10/12)*0.5)</f>
        <v>868.99839316666669</v>
      </c>
      <c r="F57" s="303">
        <f>-D57+F56</f>
        <v>-99190.428991750072</v>
      </c>
      <c r="G57" s="304">
        <f>+G56-E57</f>
        <v>-36491.360311875025</v>
      </c>
      <c r="H57" s="303">
        <f>B57+F57</f>
        <v>57151.111008249936</v>
      </c>
      <c r="I57" s="303">
        <f>C57+G57</f>
        <v>119850.17968812498</v>
      </c>
      <c r="J57" s="303">
        <f>I57-H57</f>
        <v>62699.068679875039</v>
      </c>
      <c r="K57" s="303">
        <f>-J57*$K$11</f>
        <v>-13166.804422773757</v>
      </c>
      <c r="L57" s="303">
        <f>-K57+K56</f>
        <v>159.23385848999897</v>
      </c>
      <c r="M57" s="93"/>
      <c r="N57" s="299"/>
      <c r="O57" s="299"/>
    </row>
    <row r="58" spans="1:15" ht="15" x14ac:dyDescent="0.25">
      <c r="A58" s="314">
        <v>45900</v>
      </c>
      <c r="B58" s="303">
        <f>C58</f>
        <v>156341.54</v>
      </c>
      <c r="C58" s="313">
        <f>C57</f>
        <v>156341.54</v>
      </c>
      <c r="D58" s="303">
        <f>(($B$14*$F$6/12)+(($B$26-$B$14)*$E$6/12)+(($B$38-$B$26)*$D$6/12)+(($B$50-$B$38)*$C$6/12)+(($B$62-$B$50)*$B$6/12))</f>
        <v>1627.2548621666667</v>
      </c>
      <c r="E58" s="304">
        <f>+(C57*$E$10/12)+(((C58-C57)*$E$10/12)*0.5)</f>
        <v>868.99839316666669</v>
      </c>
      <c r="F58" s="303">
        <f>-D58+F57</f>
        <v>-100817.68385391674</v>
      </c>
      <c r="G58" s="304">
        <f>+G57-E58</f>
        <v>-37360.35870504169</v>
      </c>
      <c r="H58" s="303">
        <f>B58+F58</f>
        <v>55523.856146083272</v>
      </c>
      <c r="I58" s="303">
        <f>C58+G58</f>
        <v>118981.18129495831</v>
      </c>
      <c r="J58" s="303">
        <f>I58-H58</f>
        <v>63457.325148875039</v>
      </c>
      <c r="K58" s="303">
        <f>-J58*$K$11</f>
        <v>-13326.038281263758</v>
      </c>
      <c r="L58" s="303">
        <f>-K58+K57</f>
        <v>159.23385849000078</v>
      </c>
      <c r="M58" s="93"/>
      <c r="N58" s="299"/>
      <c r="O58" s="299"/>
    </row>
    <row r="59" spans="1:15" ht="15" x14ac:dyDescent="0.25">
      <c r="A59" s="314">
        <v>45930</v>
      </c>
      <c r="B59" s="303">
        <f>C59</f>
        <v>156341.54</v>
      </c>
      <c r="C59" s="313">
        <f>C58</f>
        <v>156341.54</v>
      </c>
      <c r="D59" s="303">
        <f>(($B$14*$F$6/12)+(($B$26-$B$14)*$E$6/12)+(($B$38-$B$26)*$D$6/12)+(($B$50-$B$38)*$C$6/12)+(($B$62-$B$50)*$B$6/12))</f>
        <v>1627.2548621666667</v>
      </c>
      <c r="E59" s="304">
        <f>+(C58*$E$10/12)+(((C59-C58)*$E$10/12)*0.5)</f>
        <v>868.99839316666669</v>
      </c>
      <c r="F59" s="303">
        <f>-D59+F58</f>
        <v>-102444.9387160834</v>
      </c>
      <c r="G59" s="304">
        <f>+G58-E59</f>
        <v>-38229.357098208355</v>
      </c>
      <c r="H59" s="303">
        <f>B59+F59</f>
        <v>53896.601283916607</v>
      </c>
      <c r="I59" s="303">
        <f>C59+G59</f>
        <v>118112.18290179165</v>
      </c>
      <c r="J59" s="303">
        <f>I59-H59</f>
        <v>64215.581617875039</v>
      </c>
      <c r="K59" s="303">
        <f>-J59*$K$11</f>
        <v>-13485.272139753757</v>
      </c>
      <c r="L59" s="303">
        <f>-K59+K58</f>
        <v>159.23385848999897</v>
      </c>
      <c r="M59" s="93"/>
      <c r="N59" s="299"/>
      <c r="O59" s="299"/>
    </row>
    <row r="60" spans="1:15" ht="15" x14ac:dyDescent="0.25">
      <c r="A60" s="314">
        <v>45961</v>
      </c>
      <c r="B60" s="303">
        <f>C60</f>
        <v>156341.54</v>
      </c>
      <c r="C60" s="313">
        <f>C59</f>
        <v>156341.54</v>
      </c>
      <c r="D60" s="303">
        <f>(($B$14*$F$6/12)+(($B$26-$B$14)*$E$6/12)+(($B$38-$B$26)*$D$6/12)+(($B$50-$B$38)*$C$6/12)+(($B$62-$B$50)*$B$6/12))</f>
        <v>1627.2548621666667</v>
      </c>
      <c r="E60" s="304">
        <f>+(C59*$E$10/12)+(((C60-C59)*$E$10/12)*0.5)</f>
        <v>868.99839316666669</v>
      </c>
      <c r="F60" s="303">
        <f>-D60+F59</f>
        <v>-104072.19357825007</v>
      </c>
      <c r="G60" s="304">
        <f>+G59-E60</f>
        <v>-39098.355491375019</v>
      </c>
      <c r="H60" s="303">
        <f>B60+F60</f>
        <v>52269.346421749942</v>
      </c>
      <c r="I60" s="303">
        <f>C60+G60</f>
        <v>117243.18450862498</v>
      </c>
      <c r="J60" s="303">
        <f>I60-H60</f>
        <v>64973.838086875039</v>
      </c>
      <c r="K60" s="303">
        <f>-J60*$K$11</f>
        <v>-13644.505998243758</v>
      </c>
      <c r="L60" s="303">
        <f>-K60+K59</f>
        <v>159.23385849000078</v>
      </c>
      <c r="M60" s="93"/>
      <c r="N60" s="299"/>
      <c r="O60" s="299"/>
    </row>
    <row r="61" spans="1:15" ht="15" x14ac:dyDescent="0.25">
      <c r="A61" s="314">
        <v>45991</v>
      </c>
      <c r="B61" s="303">
        <f>C61</f>
        <v>156341.54</v>
      </c>
      <c r="C61" s="313">
        <f>C60</f>
        <v>156341.54</v>
      </c>
      <c r="D61" s="303">
        <f>(($B$14*$F$6/12)+(($B$26-$B$14)*$E$6/12)+(($B$38-$B$26)*$D$6/12)+(($B$50-$B$38)*$C$6/12)+(($B$62-$B$50)*$B$6/12))</f>
        <v>1627.2548621666667</v>
      </c>
      <c r="E61" s="304">
        <f>+(C60*$E$10/12)+(((C61-C60)*$E$10/12)*0.5)</f>
        <v>868.99839316666669</v>
      </c>
      <c r="F61" s="303">
        <f>-D61+F60</f>
        <v>-105699.44844041673</v>
      </c>
      <c r="G61" s="304">
        <f>+G60-E61</f>
        <v>-39967.353884541684</v>
      </c>
      <c r="H61" s="303">
        <f>B61+F61</f>
        <v>50642.091559583278</v>
      </c>
      <c r="I61" s="303">
        <f>C61+G61</f>
        <v>116374.18611545832</v>
      </c>
      <c r="J61" s="303">
        <f>I61-H61</f>
        <v>65732.094555875039</v>
      </c>
      <c r="K61" s="303">
        <f>-J61*$K$11</f>
        <v>-13803.739856733757</v>
      </c>
      <c r="L61" s="303">
        <f>-K61+K60</f>
        <v>159.23385848999897</v>
      </c>
      <c r="M61" s="93"/>
      <c r="N61" s="299"/>
    </row>
    <row r="62" spans="1:15" ht="15" x14ac:dyDescent="0.25">
      <c r="A62" s="314">
        <v>46022</v>
      </c>
      <c r="B62" s="303">
        <f>C62</f>
        <v>156341.54</v>
      </c>
      <c r="C62" s="313">
        <f>C61</f>
        <v>156341.54</v>
      </c>
      <c r="D62" s="303">
        <f>(($B$14*$F$6/12)+(($B$26-$B$14)*$E$6/12)+(($B$38-$B$26)*$D$6/12)+(($B$50-$B$38)*$C$6/12)+(($B$62-$B$50)*$B$6/12))</f>
        <v>1627.2548621666667</v>
      </c>
      <c r="E62" s="304">
        <f>+(C61*$E$10/12)+(((C62-C61)*$E$10/12)*0.5)</f>
        <v>868.99839316666669</v>
      </c>
      <c r="F62" s="303">
        <f>-D62+F61</f>
        <v>-107326.7033025834</v>
      </c>
      <c r="G62" s="304">
        <f>+G61-E62</f>
        <v>-40836.352277708349</v>
      </c>
      <c r="H62" s="303">
        <f>B62+F62</f>
        <v>49014.836697416613</v>
      </c>
      <c r="I62" s="303">
        <f>C62+G62</f>
        <v>115505.18772229165</v>
      </c>
      <c r="J62" s="303">
        <f>I62-H62</f>
        <v>66490.351024875039</v>
      </c>
      <c r="K62" s="303">
        <f>-J62*$K$11</f>
        <v>-13962.973715223758</v>
      </c>
      <c r="L62" s="303">
        <f>-K62+K61</f>
        <v>159.23385849000078</v>
      </c>
      <c r="M62" s="93"/>
    </row>
    <row r="63" spans="1:15" ht="15" x14ac:dyDescent="0.25">
      <c r="A63" s="311"/>
      <c r="B63" s="303"/>
      <c r="C63" s="310"/>
      <c r="D63" s="309">
        <f>F62+SUM(D14:D62)</f>
        <v>0</v>
      </c>
      <c r="E63" s="308">
        <f>G62+SUM(E14:E62)</f>
        <v>0</v>
      </c>
      <c r="F63" s="303"/>
      <c r="G63" s="304"/>
      <c r="H63" s="303"/>
      <c r="I63" s="303"/>
      <c r="J63" s="303"/>
      <c r="K63" s="303"/>
      <c r="L63" s="303"/>
      <c r="M63" s="93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156341.54</v>
      </c>
      <c r="C68" s="285">
        <f>C26</f>
        <v>156341.54</v>
      </c>
      <c r="D68" s="285">
        <f>SUM(D15:D26)</f>
        <v>22167.466464583333</v>
      </c>
      <c r="E68" s="285">
        <f>SUM(E15:E26)</f>
        <v>9552.4101237083323</v>
      </c>
      <c r="F68" s="285">
        <f>F26</f>
        <v>-22167.466464583333</v>
      </c>
      <c r="G68" s="285">
        <f>G26</f>
        <v>-9552.4101237083323</v>
      </c>
      <c r="H68" s="285">
        <f>H26</f>
        <v>134174.07353541668</v>
      </c>
      <c r="I68" s="285">
        <f>I26</f>
        <v>146789.12987629167</v>
      </c>
      <c r="J68" s="285">
        <f>J26</f>
        <v>12615.056340874988</v>
      </c>
      <c r="K68" s="285">
        <f>K26</f>
        <v>-2649.1618315837472</v>
      </c>
      <c r="L68" s="285">
        <f>SUM(L15:L26)</f>
        <v>2649.1618315837472</v>
      </c>
      <c r="M68" s="297"/>
      <c r="N68" s="297"/>
    </row>
    <row r="69" spans="1:15" x14ac:dyDescent="0.2">
      <c r="A69" s="301" t="s">
        <v>248</v>
      </c>
      <c r="B69" s="285">
        <f>(B14+B26+SUM(B15:B25)*2)/24</f>
        <v>136711.92416666666</v>
      </c>
      <c r="C69" s="285">
        <f>(C14+C26+SUM(C15:C25)*2)/24</f>
        <v>136711.92416666666</v>
      </c>
      <c r="D69" s="285"/>
      <c r="E69" s="300"/>
      <c r="F69" s="285">
        <f>(F14+F26+SUM(F15:F25)*2)/24</f>
        <v>-11006.65235428125</v>
      </c>
      <c r="G69" s="285">
        <f>(G14+G26+SUM(G15:G25)*2)/24</f>
        <v>-4376.3981136059019</v>
      </c>
      <c r="H69" s="285">
        <f>(H14+H26+SUM(H15:H25)*2)/24</f>
        <v>125705.27181238541</v>
      </c>
      <c r="I69" s="285">
        <f>(I14+I26+SUM(I15:I25)*2)/24</f>
        <v>132335.52605306078</v>
      </c>
      <c r="J69" s="285">
        <f>(J14+J26+SUM(J15:J25)*2)/24</f>
        <v>6630.2542406753491</v>
      </c>
      <c r="K69" s="285">
        <f>(K14+K26+SUM(K15:K25)*2)/24</f>
        <v>-1392.3533905418233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7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7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7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1:12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1:12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1:12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1:12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1:12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1:12" ht="15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1:12" ht="15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1:12" ht="15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1:12" ht="15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1:12" ht="15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1:12" ht="15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1:12" ht="15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1:12" ht="15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1:12" ht="15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1:12" ht="15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ht="15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1:12" ht="15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5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I29" sqref="I29"/>
    </sheetView>
  </sheetViews>
  <sheetFormatPr defaultColWidth="8.85546875" defaultRowHeight="12.75" x14ac:dyDescent="0.2"/>
  <cols>
    <col min="1" max="1" width="26.2851562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270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269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0.16666666666666666</v>
      </c>
      <c r="C6" s="344">
        <v>0.33333333333333331</v>
      </c>
      <c r="D6" s="344">
        <v>0.33333333333333331</v>
      </c>
      <c r="E6" s="344">
        <v>0.16666666666666666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>
        <f>SUM(B6:V6)</f>
        <v>0.99999999999999989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0.2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0.2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61"/>
    </row>
    <row r="15" spans="1:23" x14ac:dyDescent="0.2">
      <c r="A15" s="84">
        <v>44592</v>
      </c>
      <c r="B15" s="303">
        <v>0</v>
      </c>
      <c r="C15" s="313">
        <v>0</v>
      </c>
      <c r="D15" s="303">
        <f>(($B$14*$C$6/12)+(($B$16-$B$14)*$B$6/12))+M15</f>
        <v>10063.984583333333</v>
      </c>
      <c r="E15" s="304">
        <v>0</v>
      </c>
      <c r="F15" s="303">
        <f t="shared" ref="F15:F28" si="0">-D15+F14</f>
        <v>-10063.984583333333</v>
      </c>
      <c r="G15" s="304">
        <f t="shared" ref="G15:G28" si="1">+G14-E15</f>
        <v>0</v>
      </c>
      <c r="H15" s="303">
        <f t="shared" ref="H15:I28" si="2">B15+F15</f>
        <v>-10063.984583333333</v>
      </c>
      <c r="I15" s="303">
        <f t="shared" si="2"/>
        <v>0</v>
      </c>
      <c r="J15" s="303">
        <f t="shared" ref="J15:J28" si="3">I15-H15</f>
        <v>10063.984583333333</v>
      </c>
      <c r="K15" s="303">
        <f t="shared" ref="K15:K28" si="4">-J15*$K$11</f>
        <v>-2113.4367625</v>
      </c>
      <c r="L15" s="303">
        <f t="shared" ref="L15:L28" si="5">-K15+K14</f>
        <v>2113.4367625</v>
      </c>
      <c r="M15" s="363"/>
    </row>
    <row r="16" spans="1:23" x14ac:dyDescent="0.2">
      <c r="A16" s="84">
        <v>44620</v>
      </c>
      <c r="B16" s="303">
        <v>724606.89</v>
      </c>
      <c r="C16" s="313">
        <v>724606.89</v>
      </c>
      <c r="D16" s="303">
        <f>(($B$14*$C$6/12)+(($B$16-$B$14)*$B$6/12))+M16</f>
        <v>10063.984583333333</v>
      </c>
      <c r="E16" s="304">
        <f>+(C15*$E$10/12)+(((C16-C15)*$E$10/12))+N16</f>
        <v>12033.781499999999</v>
      </c>
      <c r="F16" s="303">
        <f t="shared" si="0"/>
        <v>-20127.969166666666</v>
      </c>
      <c r="G16" s="304">
        <f t="shared" si="1"/>
        <v>-12033.781499999999</v>
      </c>
      <c r="H16" s="303">
        <f t="shared" si="2"/>
        <v>704478.9208333334</v>
      </c>
      <c r="I16" s="303">
        <f t="shared" si="2"/>
        <v>712573.10849999997</v>
      </c>
      <c r="J16" s="303">
        <f t="shared" si="3"/>
        <v>8094.1876666665776</v>
      </c>
      <c r="K16" s="303">
        <f t="shared" si="4"/>
        <v>-1699.7794099999812</v>
      </c>
      <c r="L16" s="303">
        <f t="shared" si="5"/>
        <v>-413.65735250001876</v>
      </c>
      <c r="M16" s="363"/>
      <c r="N16" s="295">
        <v>-43</v>
      </c>
    </row>
    <row r="17" spans="1:15" ht="15" x14ac:dyDescent="0.25">
      <c r="A17" s="314">
        <v>44651</v>
      </c>
      <c r="B17" s="303">
        <v>724606.09</v>
      </c>
      <c r="C17" s="313">
        <v>724606.09</v>
      </c>
      <c r="D17" s="303">
        <f>(($B$14*$C$6/12)+((B17-$B$14)*$B$6/12))+M17</f>
        <v>10063.973472222222</v>
      </c>
      <c r="E17" s="304">
        <f t="shared" ref="E17:E29" si="6">+(C16*$E$10/12)+(((C17-C16)*$E$10/12))+N17</f>
        <v>12045.768166666665</v>
      </c>
      <c r="F17" s="303">
        <f t="shared" si="0"/>
        <v>-30191.94263888889</v>
      </c>
      <c r="G17" s="304">
        <f t="shared" si="1"/>
        <v>-24079.549666666666</v>
      </c>
      <c r="H17" s="303">
        <f t="shared" si="2"/>
        <v>694414.14736111113</v>
      </c>
      <c r="I17" s="303">
        <f t="shared" si="2"/>
        <v>700526.54033333331</v>
      </c>
      <c r="J17" s="303">
        <f t="shared" si="3"/>
        <v>6112.3929722221801</v>
      </c>
      <c r="K17" s="303">
        <f t="shared" si="4"/>
        <v>-1283.6025241666578</v>
      </c>
      <c r="L17" s="303">
        <f t="shared" si="5"/>
        <v>-416.17688583332347</v>
      </c>
      <c r="M17" s="361"/>
      <c r="N17" s="295">
        <f>46-77</f>
        <v>-31</v>
      </c>
    </row>
    <row r="18" spans="1:15" ht="15" x14ac:dyDescent="0.25">
      <c r="A18" s="314">
        <v>44681</v>
      </c>
      <c r="B18" s="303">
        <v>724606.09</v>
      </c>
      <c r="C18" s="313">
        <v>724606.09</v>
      </c>
      <c r="D18" s="303">
        <f>(($B$14*$C$6/12)+((B18-$B$14)*$B$6/12))+M18</f>
        <v>10063.973472222222</v>
      </c>
      <c r="E18" s="304">
        <f t="shared" si="6"/>
        <v>12045.768166666667</v>
      </c>
      <c r="F18" s="303">
        <f t="shared" si="0"/>
        <v>-40255.91611111111</v>
      </c>
      <c r="G18" s="304">
        <f t="shared" si="1"/>
        <v>-36125.317833333334</v>
      </c>
      <c r="H18" s="303">
        <f t="shared" si="2"/>
        <v>684350.17388888891</v>
      </c>
      <c r="I18" s="303">
        <f t="shared" si="2"/>
        <v>688480.77216666657</v>
      </c>
      <c r="J18" s="303">
        <f t="shared" si="3"/>
        <v>4130.5982777776662</v>
      </c>
      <c r="K18" s="303">
        <f t="shared" si="4"/>
        <v>-867.42563833330985</v>
      </c>
      <c r="L18" s="303">
        <f t="shared" si="5"/>
        <v>-416.17688583334791</v>
      </c>
      <c r="M18" s="361"/>
      <c r="N18" s="295">
        <f>46-77</f>
        <v>-31</v>
      </c>
    </row>
    <row r="19" spans="1:15" ht="15" x14ac:dyDescent="0.25">
      <c r="A19" s="314">
        <v>44712</v>
      </c>
      <c r="B19" s="303">
        <v>724606.09</v>
      </c>
      <c r="C19" s="313">
        <v>724606.09</v>
      </c>
      <c r="D19" s="303">
        <f>(($B$14*$C$6/12)+((B19-$B$14)*$B$6/12))+M19</f>
        <v>10063.973472222222</v>
      </c>
      <c r="E19" s="304">
        <f t="shared" si="6"/>
        <v>12045.768166666667</v>
      </c>
      <c r="F19" s="303">
        <f t="shared" si="0"/>
        <v>-50319.88958333333</v>
      </c>
      <c r="G19" s="304">
        <f t="shared" si="1"/>
        <v>-48171.086000000003</v>
      </c>
      <c r="H19" s="303">
        <f t="shared" si="2"/>
        <v>674286.20041666669</v>
      </c>
      <c r="I19" s="303">
        <f t="shared" si="2"/>
        <v>676435.00399999996</v>
      </c>
      <c r="J19" s="303">
        <f t="shared" si="3"/>
        <v>2148.8035833332688</v>
      </c>
      <c r="K19" s="303">
        <f t="shared" si="4"/>
        <v>-451.24875249998644</v>
      </c>
      <c r="L19" s="303">
        <f t="shared" si="5"/>
        <v>-416.17688583332341</v>
      </c>
      <c r="M19" s="361"/>
      <c r="N19" s="295">
        <f>46-77</f>
        <v>-31</v>
      </c>
    </row>
    <row r="20" spans="1:15" ht="15" x14ac:dyDescent="0.25">
      <c r="A20" s="314">
        <v>44742</v>
      </c>
      <c r="B20" s="303">
        <v>724606.89</v>
      </c>
      <c r="C20" s="313">
        <v>724606.89</v>
      </c>
      <c r="D20" s="303">
        <f>(($B$14*$C$6/12)+((B20-$B$14)*$B$6/12))+M20</f>
        <v>10063.984583333333</v>
      </c>
      <c r="E20" s="304">
        <f t="shared" si="6"/>
        <v>12045.781500000001</v>
      </c>
      <c r="F20" s="303">
        <f t="shared" si="0"/>
        <v>-60383.874166666661</v>
      </c>
      <c r="G20" s="304">
        <f t="shared" si="1"/>
        <v>-60216.867500000008</v>
      </c>
      <c r="H20" s="303">
        <f t="shared" si="2"/>
        <v>664223.01583333337</v>
      </c>
      <c r="I20" s="303">
        <f t="shared" si="2"/>
        <v>664390.02249999996</v>
      </c>
      <c r="J20" s="303">
        <f t="shared" si="3"/>
        <v>167.00666666659527</v>
      </c>
      <c r="K20" s="303">
        <f t="shared" si="4"/>
        <v>-35.071399999985005</v>
      </c>
      <c r="L20" s="303">
        <f t="shared" si="5"/>
        <v>-416.17735250000146</v>
      </c>
      <c r="M20" s="361"/>
      <c r="N20" s="295">
        <f>46-77</f>
        <v>-31</v>
      </c>
    </row>
    <row r="21" spans="1:15" ht="15" x14ac:dyDescent="0.25">
      <c r="A21" s="314">
        <v>44773</v>
      </c>
      <c r="B21" s="303">
        <v>724606.89</v>
      </c>
      <c r="C21" s="313">
        <v>724606.89</v>
      </c>
      <c r="D21" s="303">
        <f>(($B$14*$C$6/12)+((B21-$B$14)*$B$6/12))+M21</f>
        <v>10063.984583333333</v>
      </c>
      <c r="E21" s="304">
        <f t="shared" si="6"/>
        <v>12045.781499999999</v>
      </c>
      <c r="F21" s="303">
        <f t="shared" si="0"/>
        <v>-70447.858749999999</v>
      </c>
      <c r="G21" s="304">
        <f t="shared" si="1"/>
        <v>-72262.649000000005</v>
      </c>
      <c r="H21" s="303">
        <f t="shared" si="2"/>
        <v>654159.03125</v>
      </c>
      <c r="I21" s="303">
        <f t="shared" si="2"/>
        <v>652344.24100000004</v>
      </c>
      <c r="J21" s="303">
        <f t="shared" si="3"/>
        <v>-1814.7902499999618</v>
      </c>
      <c r="K21" s="303">
        <f t="shared" si="4"/>
        <v>381.10595249999199</v>
      </c>
      <c r="L21" s="303">
        <f t="shared" si="5"/>
        <v>-416.17735249997702</v>
      </c>
      <c r="M21" s="361"/>
      <c r="N21" s="295">
        <f>46-77</f>
        <v>-31</v>
      </c>
    </row>
    <row r="22" spans="1:15" ht="15" x14ac:dyDescent="0.25">
      <c r="A22" s="314">
        <v>44804</v>
      </c>
      <c r="B22" s="303">
        <v>724606.89</v>
      </c>
      <c r="C22" s="313">
        <v>724606.89</v>
      </c>
      <c r="D22" s="303">
        <f>(($B$14*$C$6/12)+((B22-$B$14)*$B$6/12))+M22</f>
        <v>10063.984583333333</v>
      </c>
      <c r="E22" s="304">
        <f t="shared" si="6"/>
        <v>12045.781499999999</v>
      </c>
      <c r="F22" s="303">
        <f t="shared" si="0"/>
        <v>-80511.843333333338</v>
      </c>
      <c r="G22" s="304">
        <f t="shared" si="1"/>
        <v>-84308.430500000002</v>
      </c>
      <c r="H22" s="303">
        <f t="shared" si="2"/>
        <v>644095.04666666663</v>
      </c>
      <c r="I22" s="303">
        <f t="shared" si="2"/>
        <v>640298.4595</v>
      </c>
      <c r="J22" s="303">
        <f t="shared" si="3"/>
        <v>-3796.5871666666353</v>
      </c>
      <c r="K22" s="303">
        <f t="shared" si="4"/>
        <v>797.28330499999333</v>
      </c>
      <c r="L22" s="303">
        <f t="shared" si="5"/>
        <v>-416.17735250000135</v>
      </c>
      <c r="M22" s="361"/>
      <c r="N22" s="295">
        <f>46-77</f>
        <v>-31</v>
      </c>
    </row>
    <row r="23" spans="1:15" ht="15" x14ac:dyDescent="0.25">
      <c r="A23" s="314">
        <v>44834</v>
      </c>
      <c r="B23" s="303">
        <v>724606.89</v>
      </c>
      <c r="C23" s="313">
        <v>724606.89</v>
      </c>
      <c r="D23" s="303">
        <f>(($B$14*$C$6/12)+((B23-$B$14)*$B$6/12))+M23</f>
        <v>10063.984583333333</v>
      </c>
      <c r="E23" s="304">
        <f t="shared" si="6"/>
        <v>12045.781499999999</v>
      </c>
      <c r="F23" s="303">
        <f t="shared" si="0"/>
        <v>-90575.827916666676</v>
      </c>
      <c r="G23" s="304">
        <f t="shared" si="1"/>
        <v>-96354.212</v>
      </c>
      <c r="H23" s="303">
        <f t="shared" si="2"/>
        <v>634031.06208333338</v>
      </c>
      <c r="I23" s="303">
        <f t="shared" si="2"/>
        <v>628252.67800000007</v>
      </c>
      <c r="J23" s="303">
        <f t="shared" si="3"/>
        <v>-5778.3840833333088</v>
      </c>
      <c r="K23" s="303">
        <f t="shared" si="4"/>
        <v>1213.4606574999948</v>
      </c>
      <c r="L23" s="303">
        <f t="shared" si="5"/>
        <v>-416.17735250000146</v>
      </c>
      <c r="M23" s="361"/>
      <c r="N23" s="295">
        <f t="shared" ref="N23:N29" si="7">46-77</f>
        <v>-31</v>
      </c>
      <c r="O23" s="299"/>
    </row>
    <row r="24" spans="1:15" ht="15" x14ac:dyDescent="0.25">
      <c r="A24" s="314">
        <v>44865</v>
      </c>
      <c r="B24" s="303">
        <v>724606.89</v>
      </c>
      <c r="C24" s="313">
        <v>724606.89</v>
      </c>
      <c r="D24" s="303">
        <f>(($B$14*$C$6/12)+((B24-$B$14)*$B$6/12))+M24</f>
        <v>10063.984583333333</v>
      </c>
      <c r="E24" s="304">
        <f t="shared" si="6"/>
        <v>12045.781499999999</v>
      </c>
      <c r="F24" s="303">
        <f t="shared" si="0"/>
        <v>-100639.81250000001</v>
      </c>
      <c r="G24" s="304">
        <f t="shared" si="1"/>
        <v>-108399.9935</v>
      </c>
      <c r="H24" s="303">
        <f t="shared" si="2"/>
        <v>623967.07750000001</v>
      </c>
      <c r="I24" s="303">
        <f t="shared" si="2"/>
        <v>616206.89650000003</v>
      </c>
      <c r="J24" s="303">
        <f t="shared" si="3"/>
        <v>-7760.1809999999823</v>
      </c>
      <c r="K24" s="303">
        <f t="shared" si="4"/>
        <v>1629.6380099999963</v>
      </c>
      <c r="L24" s="303">
        <f t="shared" si="5"/>
        <v>-416.17735250000146</v>
      </c>
      <c r="M24" s="361"/>
      <c r="N24" s="295">
        <f t="shared" si="7"/>
        <v>-31</v>
      </c>
      <c r="O24" s="299"/>
    </row>
    <row r="25" spans="1:15" ht="15" x14ac:dyDescent="0.25">
      <c r="A25" s="314">
        <v>44895</v>
      </c>
      <c r="B25" s="303">
        <v>724606.89</v>
      </c>
      <c r="C25" s="313">
        <v>724606.89</v>
      </c>
      <c r="D25" s="303">
        <f>(($B$14*$C$6/12)+((B25-$B$14)*$B$6/12))+M25</f>
        <v>10063.984583333333</v>
      </c>
      <c r="E25" s="304">
        <f t="shared" si="6"/>
        <v>12045.781499999999</v>
      </c>
      <c r="F25" s="303">
        <f t="shared" si="0"/>
        <v>-110703.79708333335</v>
      </c>
      <c r="G25" s="304">
        <f t="shared" si="1"/>
        <v>-120445.77499999999</v>
      </c>
      <c r="H25" s="303">
        <f t="shared" si="2"/>
        <v>613903.09291666665</v>
      </c>
      <c r="I25" s="303">
        <f t="shared" si="2"/>
        <v>604161.11499999999</v>
      </c>
      <c r="J25" s="303">
        <f t="shared" si="3"/>
        <v>-9741.9779166666558</v>
      </c>
      <c r="K25" s="303">
        <f t="shared" si="4"/>
        <v>2045.8153624999977</v>
      </c>
      <c r="L25" s="303">
        <f t="shared" si="5"/>
        <v>-416.17735250000146</v>
      </c>
      <c r="M25" s="361"/>
      <c r="N25" s="295">
        <f t="shared" si="7"/>
        <v>-31</v>
      </c>
      <c r="O25" s="299"/>
    </row>
    <row r="26" spans="1:15" ht="15" x14ac:dyDescent="0.25">
      <c r="A26" s="314">
        <v>44926</v>
      </c>
      <c r="B26" s="303">
        <v>724606.89</v>
      </c>
      <c r="C26" s="313">
        <v>724606.89</v>
      </c>
      <c r="D26" s="303">
        <f>(($B$14*$C$6/12)+((B26-$B$14)*$B$6/12))+M26</f>
        <v>10063.984583333333</v>
      </c>
      <c r="E26" s="304">
        <f t="shared" si="6"/>
        <v>12045.781499999999</v>
      </c>
      <c r="F26" s="303">
        <f t="shared" si="0"/>
        <v>-120767.78166666669</v>
      </c>
      <c r="G26" s="304">
        <f t="shared" si="1"/>
        <v>-132491.55650000001</v>
      </c>
      <c r="H26" s="303">
        <f t="shared" si="2"/>
        <v>603839.10833333328</v>
      </c>
      <c r="I26" s="303">
        <f t="shared" si="2"/>
        <v>592115.33349999995</v>
      </c>
      <c r="J26" s="303">
        <f t="shared" si="3"/>
        <v>-11723.774833333329</v>
      </c>
      <c r="K26" s="303">
        <f t="shared" si="4"/>
        <v>2461.992714999999</v>
      </c>
      <c r="L26" s="303">
        <f t="shared" si="5"/>
        <v>-416.17735250000123</v>
      </c>
      <c r="M26" s="361"/>
      <c r="N26" s="295">
        <f t="shared" si="7"/>
        <v>-31</v>
      </c>
      <c r="O26" s="299"/>
    </row>
    <row r="27" spans="1:15" ht="15" x14ac:dyDescent="0.25">
      <c r="A27" s="314">
        <v>44957</v>
      </c>
      <c r="B27" s="303">
        <v>724606.89</v>
      </c>
      <c r="C27" s="313">
        <v>724606.89</v>
      </c>
      <c r="D27" s="303">
        <f>(($B$14*$D$6/12)+(($B$26-$B$14)*$C$6/12)+((B27-$B$26)*$B$6/12))</f>
        <v>20127.969166666666</v>
      </c>
      <c r="E27" s="304">
        <f t="shared" si="6"/>
        <v>12045.781499999999</v>
      </c>
      <c r="F27" s="303">
        <f t="shared" si="0"/>
        <v>-140895.75083333335</v>
      </c>
      <c r="G27" s="304">
        <f t="shared" si="1"/>
        <v>-144537.33800000002</v>
      </c>
      <c r="H27" s="303">
        <f t="shared" si="2"/>
        <v>583711.13916666666</v>
      </c>
      <c r="I27" s="303">
        <f t="shared" si="2"/>
        <v>580069.55200000003</v>
      </c>
      <c r="J27" s="303">
        <f t="shared" si="3"/>
        <v>-3641.5871666666353</v>
      </c>
      <c r="K27" s="303">
        <f t="shared" si="4"/>
        <v>764.73330499999338</v>
      </c>
      <c r="L27" s="303">
        <f t="shared" si="5"/>
        <v>1697.2594100000056</v>
      </c>
      <c r="M27" s="361"/>
      <c r="N27" s="295">
        <f t="shared" si="7"/>
        <v>-31</v>
      </c>
      <c r="O27" s="299"/>
    </row>
    <row r="28" spans="1:15" ht="15" x14ac:dyDescent="0.25">
      <c r="A28" s="314">
        <v>44985</v>
      </c>
      <c r="B28" s="303">
        <v>724606.89</v>
      </c>
      <c r="C28" s="313">
        <v>724606.89</v>
      </c>
      <c r="D28" s="303">
        <f>(($B$14*$D$6/12)+(($B$26-$B$14)*$C$6/12)+((B28-$B$26)*$B$6/12))</f>
        <v>20127.969166666666</v>
      </c>
      <c r="E28" s="304">
        <f t="shared" si="6"/>
        <v>12045.781499999999</v>
      </c>
      <c r="F28" s="303">
        <f t="shared" ref="F28" si="8">-D28+F27</f>
        <v>-161023.72000000003</v>
      </c>
      <c r="G28" s="304">
        <f t="shared" ref="G28" si="9">+G27-E28</f>
        <v>-156583.11950000003</v>
      </c>
      <c r="H28" s="303">
        <f t="shared" ref="H28" si="10">B28+F28</f>
        <v>563583.16999999993</v>
      </c>
      <c r="I28" s="303">
        <f t="shared" ref="I28" si="11">C28+G28</f>
        <v>568023.77049999998</v>
      </c>
      <c r="J28" s="303">
        <f t="shared" ref="J28" si="12">I28-H28</f>
        <v>4440.6005000000587</v>
      </c>
      <c r="K28" s="303">
        <f t="shared" si="4"/>
        <v>-932.52610500001231</v>
      </c>
      <c r="L28" s="303">
        <f t="shared" si="5"/>
        <v>1697.2594100000056</v>
      </c>
      <c r="M28" s="361"/>
      <c r="N28" s="295">
        <f t="shared" si="7"/>
        <v>-31</v>
      </c>
      <c r="O28" s="299"/>
    </row>
    <row r="29" spans="1:15" ht="15" x14ac:dyDescent="0.25">
      <c r="A29" s="314">
        <v>45016</v>
      </c>
      <c r="B29" s="303">
        <f>C29</f>
        <v>724606.89</v>
      </c>
      <c r="C29" s="313">
        <v>724606.89</v>
      </c>
      <c r="D29" s="303">
        <f>(($B$14*$D$6/12)+(($B$26-$B$14)*$C$6/12)+(($B$38-$B$26)*$B$6/12))</f>
        <v>20127.969166666666</v>
      </c>
      <c r="E29" s="304">
        <f t="shared" si="6"/>
        <v>12045.781499999999</v>
      </c>
      <c r="F29" s="303">
        <f>-D29+F28</f>
        <v>-181151.68916666671</v>
      </c>
      <c r="G29" s="304">
        <f>+G28-E29</f>
        <v>-168628.90100000004</v>
      </c>
      <c r="H29" s="303">
        <f>B29+F29</f>
        <v>543455.20083333331</v>
      </c>
      <c r="I29" s="303">
        <f>C29+G29</f>
        <v>555977.98899999994</v>
      </c>
      <c r="J29" s="303">
        <f>I29-H29</f>
        <v>12522.788166666636</v>
      </c>
      <c r="K29" s="303">
        <f>-J29*$K$11</f>
        <v>-2629.7855149999937</v>
      </c>
      <c r="L29" s="303">
        <f>-K29+K28</f>
        <v>1697.2594099999815</v>
      </c>
      <c r="M29" s="361"/>
      <c r="N29" s="295">
        <f t="shared" si="7"/>
        <v>-31</v>
      </c>
      <c r="O29" s="299"/>
    </row>
    <row r="30" spans="1:15" ht="15" x14ac:dyDescent="0.25">
      <c r="A30" s="314">
        <v>45046</v>
      </c>
      <c r="B30" s="303">
        <f>C30</f>
        <v>724606.89</v>
      </c>
      <c r="C30" s="313">
        <f>C29</f>
        <v>724606.89</v>
      </c>
      <c r="D30" s="303">
        <f>(($B$14*$D$6/12)+(($B$26-$B$14)*$C$6/12)+(($B$38-$B$26)*$B$6/12))</f>
        <v>20127.969166666666</v>
      </c>
      <c r="E30" s="304">
        <f>+(C29*$E$10/12)+(((C30-C29)*$E$10/12)*0.5)</f>
        <v>12076.781499999999</v>
      </c>
      <c r="F30" s="303">
        <f>-D30+F29</f>
        <v>-201279.65833333338</v>
      </c>
      <c r="G30" s="304">
        <f>+G29-E30</f>
        <v>-180705.68250000005</v>
      </c>
      <c r="H30" s="303">
        <f>B30+F30</f>
        <v>523327.23166666663</v>
      </c>
      <c r="I30" s="303">
        <f>C30+G30</f>
        <v>543901.20750000002</v>
      </c>
      <c r="J30" s="303">
        <f>I30-H30</f>
        <v>20573.975833333388</v>
      </c>
      <c r="K30" s="303">
        <f>-J30*$K$11</f>
        <v>-4320.5349250000118</v>
      </c>
      <c r="L30" s="303">
        <f>-K30+K29</f>
        <v>1690.7494100000181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724606.89</v>
      </c>
      <c r="C31" s="313">
        <f>C30</f>
        <v>724606.89</v>
      </c>
      <c r="D31" s="303">
        <f>(($B$14*$D$6/12)+(($B$26-$B$14)*$C$6/12)+(($B$38-$B$26)*$B$6/12))</f>
        <v>20127.969166666666</v>
      </c>
      <c r="E31" s="304">
        <f>+(C30*$E$10/12)+(((C31-C30)*$E$10/12)*0.5)</f>
        <v>12076.781499999999</v>
      </c>
      <c r="F31" s="303">
        <f>-D31+F30</f>
        <v>-221407.62750000006</v>
      </c>
      <c r="G31" s="304">
        <f>+G30-E31</f>
        <v>-192782.46400000007</v>
      </c>
      <c r="H31" s="303">
        <f>B31+F31</f>
        <v>503199.26249999995</v>
      </c>
      <c r="I31" s="303">
        <f>C31+G31</f>
        <v>531824.42599999998</v>
      </c>
      <c r="J31" s="303">
        <f>I31-H31</f>
        <v>28625.163500000024</v>
      </c>
      <c r="K31" s="303">
        <f>-J31*$K$11</f>
        <v>-6011.2843350000048</v>
      </c>
      <c r="L31" s="303">
        <f>-K31+K30</f>
        <v>1690.7494099999931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724606.89</v>
      </c>
      <c r="C32" s="313">
        <f>C31</f>
        <v>724606.89</v>
      </c>
      <c r="D32" s="303">
        <f>(($B$14*$D$6/12)+(($B$26-$B$14)*$C$6/12)+(($B$38-$B$26)*$B$6/12))</f>
        <v>20127.969166666666</v>
      </c>
      <c r="E32" s="304">
        <f>+(C31*$E$10/12)+(((C32-C31)*$E$10/12)*0.5)</f>
        <v>12076.781499999999</v>
      </c>
      <c r="F32" s="303">
        <f>-D32+F31</f>
        <v>-241535.59666666674</v>
      </c>
      <c r="G32" s="304">
        <f>+G31-E32</f>
        <v>-204859.24550000008</v>
      </c>
      <c r="H32" s="303">
        <f>B32+F32</f>
        <v>483071.29333333328</v>
      </c>
      <c r="I32" s="303">
        <f>C32+G32</f>
        <v>519747.64449999994</v>
      </c>
      <c r="J32" s="303">
        <f>I32-H32</f>
        <v>36676.35116666666</v>
      </c>
      <c r="K32" s="303">
        <f>-J32*$K$11</f>
        <v>-7702.0337449999979</v>
      </c>
      <c r="L32" s="303">
        <f>-K32+K31</f>
        <v>1690.7494099999931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724606.89</v>
      </c>
      <c r="C33" s="313">
        <f>C32</f>
        <v>724606.89</v>
      </c>
      <c r="D33" s="303">
        <f>(($B$14*$D$6/12)+(($B$26-$B$14)*$C$6/12)+(($B$38-$B$26)*$B$6/12))</f>
        <v>20127.969166666666</v>
      </c>
      <c r="E33" s="304">
        <f>+(C32*$E$10/12)+(((C33-C32)*$E$10/12)*0.5)</f>
        <v>12076.781499999999</v>
      </c>
      <c r="F33" s="303">
        <f>-D33+F32</f>
        <v>-261663.56583333341</v>
      </c>
      <c r="G33" s="304">
        <f>+G32-E33</f>
        <v>-216936.02700000009</v>
      </c>
      <c r="H33" s="303">
        <f>B33+F33</f>
        <v>462943.3241666666</v>
      </c>
      <c r="I33" s="303">
        <f>C33+G33</f>
        <v>507670.8629999999</v>
      </c>
      <c r="J33" s="303">
        <f>I33-H33</f>
        <v>44727.538833333296</v>
      </c>
      <c r="K33" s="303">
        <f>-J33*$K$11</f>
        <v>-9392.7831549999919</v>
      </c>
      <c r="L33" s="303">
        <f>-K33+K32</f>
        <v>1690.749409999994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724606.89</v>
      </c>
      <c r="C34" s="313">
        <f>C33</f>
        <v>724606.89</v>
      </c>
      <c r="D34" s="303">
        <f>(($B$14*$D$6/12)+(($B$26-$B$14)*$C$6/12)+(($B$38-$B$26)*$B$6/12))</f>
        <v>20127.969166666666</v>
      </c>
      <c r="E34" s="304">
        <f>+(C33*$E$10/12)+(((C34-C33)*$E$10/12)*0.5)</f>
        <v>12076.781499999999</v>
      </c>
      <c r="F34" s="303">
        <f>-D34+F33</f>
        <v>-281791.53500000009</v>
      </c>
      <c r="G34" s="304">
        <f>+G33-E34</f>
        <v>-229012.8085000001</v>
      </c>
      <c r="H34" s="303">
        <f>B34+F34</f>
        <v>442815.35499999992</v>
      </c>
      <c r="I34" s="303">
        <f>C34+G34</f>
        <v>495594.08149999991</v>
      </c>
      <c r="J34" s="303">
        <f>I34-H34</f>
        <v>52778.72649999999</v>
      </c>
      <c r="K34" s="303">
        <f>-J34*$K$11</f>
        <v>-11083.532564999998</v>
      </c>
      <c r="L34" s="303">
        <f>-K34+K33</f>
        <v>1690.7494100000058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724606.89</v>
      </c>
      <c r="C35" s="313">
        <f>C34</f>
        <v>724606.89</v>
      </c>
      <c r="D35" s="303">
        <f>(($B$14*$D$6/12)+(($B$26-$B$14)*$C$6/12)+(($B$38-$B$26)*$B$6/12))</f>
        <v>20127.969166666666</v>
      </c>
      <c r="E35" s="304">
        <f>+(C34*$E$10/12)+(((C35-C34)*$E$10/12)*0.5)</f>
        <v>12076.781499999999</v>
      </c>
      <c r="F35" s="303">
        <f>-D35+F34</f>
        <v>-301919.50416666677</v>
      </c>
      <c r="G35" s="304">
        <f>+G34-E35</f>
        <v>-241089.59000000011</v>
      </c>
      <c r="H35" s="303">
        <f>B35+F35</f>
        <v>422687.38583333325</v>
      </c>
      <c r="I35" s="303">
        <f>C35+G35</f>
        <v>483517.29999999993</v>
      </c>
      <c r="J35" s="303">
        <f>I35-H35</f>
        <v>60829.914166666684</v>
      </c>
      <c r="K35" s="303">
        <f>-J35*$K$11</f>
        <v>-12774.281975000004</v>
      </c>
      <c r="L35" s="303">
        <f>-K35+K34</f>
        <v>1690.7494100000058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724606.89</v>
      </c>
      <c r="C36" s="313">
        <f>C35</f>
        <v>724606.89</v>
      </c>
      <c r="D36" s="303">
        <f>(($B$14*$D$6/12)+(($B$26-$B$14)*$C$6/12)+(($B$38-$B$26)*$B$6/12))</f>
        <v>20127.969166666666</v>
      </c>
      <c r="E36" s="304">
        <f>+(C35*$E$10/12)+(((C36-C35)*$E$10/12)*0.5)</f>
        <v>12076.781499999999</v>
      </c>
      <c r="F36" s="303">
        <f>-D36+F35</f>
        <v>-322047.47333333344</v>
      </c>
      <c r="G36" s="304">
        <f>+G35-E36</f>
        <v>-253166.37150000012</v>
      </c>
      <c r="H36" s="303">
        <f>B36+F36</f>
        <v>402559.41666666657</v>
      </c>
      <c r="I36" s="303">
        <f>C36+G36</f>
        <v>471440.51849999989</v>
      </c>
      <c r="J36" s="303">
        <f>I36-H36</f>
        <v>68881.10183333332</v>
      </c>
      <c r="K36" s="303">
        <f>-J36*$K$11</f>
        <v>-14465.031384999997</v>
      </c>
      <c r="L36" s="303">
        <f>-K36+K35</f>
        <v>1690.7494099999931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724606.89</v>
      </c>
      <c r="C37" s="313">
        <f>C36</f>
        <v>724606.89</v>
      </c>
      <c r="D37" s="303">
        <f>(($B$14*$D$6/12)+(($B$26-$B$14)*$C$6/12)+(($B$38-$B$26)*$B$6/12))</f>
        <v>20127.969166666666</v>
      </c>
      <c r="E37" s="304">
        <f>+(C36*$E$10/12)+(((C37-C36)*$E$10/12)*0.5)</f>
        <v>12076.781499999999</v>
      </c>
      <c r="F37" s="303">
        <f>-D37+F36</f>
        <v>-342175.44250000012</v>
      </c>
      <c r="G37" s="304">
        <f>+G36-E37</f>
        <v>-265243.15300000011</v>
      </c>
      <c r="H37" s="303">
        <f>B37+F37</f>
        <v>382431.44749999989</v>
      </c>
      <c r="I37" s="303">
        <f>C37+G37</f>
        <v>459363.73699999991</v>
      </c>
      <c r="J37" s="303">
        <f>I37-H37</f>
        <v>76932.289500000014</v>
      </c>
      <c r="K37" s="303">
        <f>-J37*$K$11</f>
        <v>-16155.780795000002</v>
      </c>
      <c r="L37" s="303">
        <f>-K37+K36</f>
        <v>1690.7494100000058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724606.89</v>
      </c>
      <c r="C38" s="313">
        <f>C37</f>
        <v>724606.89</v>
      </c>
      <c r="D38" s="303">
        <f>(($B$14*$D$6/12)+(($B$26-$B$14)*$C$6/12)+(($B$38-$B$26)*$B$6/12))</f>
        <v>20127.969166666666</v>
      </c>
      <c r="E38" s="304">
        <f>+(C37*$E$10/12)+(((C38-C37)*$E$10/12)*0.5)</f>
        <v>12076.781499999999</v>
      </c>
      <c r="F38" s="303">
        <f>-D38+F37</f>
        <v>-362303.4116666668</v>
      </c>
      <c r="G38" s="304">
        <f>+G37-E38</f>
        <v>-277319.93450000009</v>
      </c>
      <c r="H38" s="303">
        <f>B38+F38</f>
        <v>362303.47833333322</v>
      </c>
      <c r="I38" s="303">
        <f>C38+G38</f>
        <v>447286.95549999992</v>
      </c>
      <c r="J38" s="303">
        <f>I38-H38</f>
        <v>84983.477166666707</v>
      </c>
      <c r="K38" s="303">
        <f>-J38*$K$11</f>
        <v>-17846.530205000006</v>
      </c>
      <c r="L38" s="303">
        <f>-K38+K37</f>
        <v>1690.749410000004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724606.89</v>
      </c>
      <c r="C39" s="313">
        <f>C38</f>
        <v>724606.89</v>
      </c>
      <c r="D39" s="303">
        <f>(($B$14*$E$6/12)+(($B$26-$B$14)*$D$6/12)+(($B$38-$B$26)*$C$6/12)+(($B$50-$B$38)*$B$6/12))</f>
        <v>20127.969166666666</v>
      </c>
      <c r="E39" s="304">
        <f>+(C38*$E$10/12)+(((C39-C38)*$E$10/12)*0.5)</f>
        <v>12076.781499999999</v>
      </c>
      <c r="F39" s="303">
        <f>-D39+F38</f>
        <v>-382431.38083333347</v>
      </c>
      <c r="G39" s="304">
        <f>+G38-E39</f>
        <v>-289396.71600000007</v>
      </c>
      <c r="H39" s="303">
        <f>B39+F39</f>
        <v>342175.50916666654</v>
      </c>
      <c r="I39" s="303">
        <f>C39+G39</f>
        <v>435210.17399999994</v>
      </c>
      <c r="J39" s="303">
        <f>I39-H39</f>
        <v>93034.664833333401</v>
      </c>
      <c r="K39" s="303">
        <f>-J39*$K$11</f>
        <v>-19537.279615000014</v>
      </c>
      <c r="L39" s="303">
        <f>-K39+K38</f>
        <v>1690.7494100000076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724606.89</v>
      </c>
      <c r="C40" s="313">
        <f>C39</f>
        <v>724606.89</v>
      </c>
      <c r="D40" s="303">
        <f>(($B$14*$E$6/12)+(($B$26-$B$14)*$D$6/12)+(($B$38-$B$26)*$C$6/12)+(($B$50-$B$38)*$B$6/12))</f>
        <v>20127.969166666666</v>
      </c>
      <c r="E40" s="304">
        <f>+(C39*$E$10/12)+(((C40-C39)*$E$10/12)*0.5)</f>
        <v>12076.781499999999</v>
      </c>
      <c r="F40" s="303">
        <f>-D40+F39</f>
        <v>-402559.35000000015</v>
      </c>
      <c r="G40" s="304">
        <f>+G39-E40</f>
        <v>-301473.49750000006</v>
      </c>
      <c r="H40" s="303">
        <f>B40+F40</f>
        <v>322047.53999999986</v>
      </c>
      <c r="I40" s="303">
        <f>C40+G40</f>
        <v>423133.39249999996</v>
      </c>
      <c r="J40" s="303">
        <f>I40-H40</f>
        <v>101085.8525000001</v>
      </c>
      <c r="K40" s="303">
        <f>-J40*$K$11</f>
        <v>-21228.029025000018</v>
      </c>
      <c r="L40" s="303">
        <f>-K40+K39</f>
        <v>1690.749410000004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724606.89</v>
      </c>
      <c r="C41" s="313">
        <f>C40</f>
        <v>724606.89</v>
      </c>
      <c r="D41" s="303">
        <f>(($B$14*$E$6/12)+(($B$26-$B$14)*$D$6/12)+(($B$38-$B$26)*$C$6/12)+(($B$50-$B$38)*$B$6/12))</f>
        <v>20127.969166666666</v>
      </c>
      <c r="E41" s="304">
        <f>+(C40*$E$10/12)+(((C41-C40)*$E$10/12)*0.5)</f>
        <v>12076.781499999999</v>
      </c>
      <c r="F41" s="303">
        <f>-D41+F40</f>
        <v>-422687.31916666683</v>
      </c>
      <c r="G41" s="304">
        <f>+G40-E41</f>
        <v>-313550.27900000004</v>
      </c>
      <c r="H41" s="303">
        <f>B41+F41</f>
        <v>301919.57083333319</v>
      </c>
      <c r="I41" s="303">
        <f>C41+G41</f>
        <v>411056.61099999998</v>
      </c>
      <c r="J41" s="303">
        <f>I41-H41</f>
        <v>109137.04016666679</v>
      </c>
      <c r="K41" s="303">
        <f>-J41*$K$11</f>
        <v>-22918.778435000026</v>
      </c>
      <c r="L41" s="303">
        <f>-K41+K40</f>
        <v>1690.7494100000076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724606.89</v>
      </c>
      <c r="C42" s="313">
        <f>C41</f>
        <v>724606.89</v>
      </c>
      <c r="D42" s="303">
        <f>(($B$14*$E$6/12)+(($B$26-$B$14)*$D$6/12)+(($B$38-$B$26)*$C$6/12)+(($B$50-$B$38)*$B$6/12))</f>
        <v>20127.969166666666</v>
      </c>
      <c r="E42" s="304">
        <f>+(C41*$E$10/12)+(((C42-C41)*$E$10/12)*0.5)</f>
        <v>12076.781499999999</v>
      </c>
      <c r="F42" s="303">
        <f>-D42+F41</f>
        <v>-442815.2883333335</v>
      </c>
      <c r="G42" s="304">
        <f>+G41-E42</f>
        <v>-325627.06050000002</v>
      </c>
      <c r="H42" s="303">
        <f>B42+F42</f>
        <v>281791.60166666651</v>
      </c>
      <c r="I42" s="303">
        <f>C42+G42</f>
        <v>398979.82949999999</v>
      </c>
      <c r="J42" s="303">
        <f>I42-H42</f>
        <v>117188.22783333348</v>
      </c>
      <c r="K42" s="303">
        <f>-J42*$K$11</f>
        <v>-24609.52784500003</v>
      </c>
      <c r="L42" s="303">
        <f>-K42+K41</f>
        <v>1690.749410000004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724606.89</v>
      </c>
      <c r="C43" s="313">
        <f>C42</f>
        <v>724606.89</v>
      </c>
      <c r="D43" s="303">
        <f>(($B$14*$E$6/12)+(($B$26-$B$14)*$D$6/12)+(($B$38-$B$26)*$C$6/12)+(($B$50-$B$38)*$B$6/12))</f>
        <v>20127.969166666666</v>
      </c>
      <c r="E43" s="304">
        <f>+(C42*$E$10/12)+(((C43-C42)*$E$10/12)*0.5)</f>
        <v>12076.781499999999</v>
      </c>
      <c r="F43" s="303">
        <f>-D43+F42</f>
        <v>-462943.25750000018</v>
      </c>
      <c r="G43" s="304">
        <f>+G42-E43</f>
        <v>-337703.842</v>
      </c>
      <c r="H43" s="303">
        <f>B43+F43</f>
        <v>261663.63249999983</v>
      </c>
      <c r="I43" s="303">
        <f>C43+G43</f>
        <v>386903.04800000001</v>
      </c>
      <c r="J43" s="303">
        <f>I43-H43</f>
        <v>125239.41550000018</v>
      </c>
      <c r="K43" s="303">
        <f>-J43*$K$11</f>
        <v>-26300.277255000037</v>
      </c>
      <c r="L43" s="303">
        <f>-K43+K42</f>
        <v>1690.7494100000076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724606.89</v>
      </c>
      <c r="C44" s="313">
        <f>C43</f>
        <v>724606.89</v>
      </c>
      <c r="D44" s="303">
        <f>(($B$14*$E$6/12)+(($B$26-$B$14)*$D$6/12)+(($B$38-$B$26)*$C$6/12)+(($B$50-$B$38)*$B$6/12))</f>
        <v>20127.969166666666</v>
      </c>
      <c r="E44" s="304">
        <f>+(C43*$E$10/12)+(((C44-C43)*$E$10/12)*0.5)</f>
        <v>12076.781499999999</v>
      </c>
      <c r="F44" s="303">
        <f>-D44+F43</f>
        <v>-483071.22666666686</v>
      </c>
      <c r="G44" s="304">
        <f>+G43-E44</f>
        <v>-349780.62349999999</v>
      </c>
      <c r="H44" s="303">
        <f>B44+F44</f>
        <v>241535.66333333316</v>
      </c>
      <c r="I44" s="303">
        <f>C44+G44</f>
        <v>374826.26650000003</v>
      </c>
      <c r="J44" s="303">
        <f>I44-H44</f>
        <v>133290.60316666687</v>
      </c>
      <c r="K44" s="303">
        <f>-J44*$K$11</f>
        <v>-27991.026665000041</v>
      </c>
      <c r="L44" s="303">
        <f>-K44+K43</f>
        <v>1690.749410000004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724606.89</v>
      </c>
      <c r="C45" s="313">
        <f>C44</f>
        <v>724606.89</v>
      </c>
      <c r="D45" s="303">
        <f>(($B$14*$E$6/12)+(($B$26-$B$14)*$D$6/12)+(($B$38-$B$26)*$C$6/12)+(($B$50-$B$38)*$B$6/12))</f>
        <v>20127.969166666666</v>
      </c>
      <c r="E45" s="304">
        <f>+(C44*$E$10/12)+(((C45-C44)*$E$10/12)*0.5)</f>
        <v>12076.781499999999</v>
      </c>
      <c r="F45" s="303">
        <f>-D45+F44</f>
        <v>-503199.19583333354</v>
      </c>
      <c r="G45" s="304">
        <f>+G44-E45</f>
        <v>-361857.40499999997</v>
      </c>
      <c r="H45" s="303">
        <f>B45+F45</f>
        <v>221407.69416666648</v>
      </c>
      <c r="I45" s="303">
        <f>C45+G45</f>
        <v>362749.48500000004</v>
      </c>
      <c r="J45" s="303">
        <f>I45-H45</f>
        <v>141341.79083333357</v>
      </c>
      <c r="K45" s="303">
        <f>-J45*$K$11</f>
        <v>-29681.776075000049</v>
      </c>
      <c r="L45" s="303">
        <f>-K45+K44</f>
        <v>1690.7494100000076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724606.89</v>
      </c>
      <c r="C46" s="313">
        <f>C45</f>
        <v>724606.89</v>
      </c>
      <c r="D46" s="303">
        <f>(($B$14*$E$6/12)+(($B$26-$B$14)*$D$6/12)+(($B$38-$B$26)*$C$6/12)+(($B$50-$B$38)*$B$6/12))</f>
        <v>20127.969166666666</v>
      </c>
      <c r="E46" s="304">
        <f>+(C45*$E$10/12)+(((C46-C45)*$E$10/12)*0.5)</f>
        <v>12076.781499999999</v>
      </c>
      <c r="F46" s="303">
        <f>-D46+F45</f>
        <v>-523327.16500000021</v>
      </c>
      <c r="G46" s="304">
        <f>+G45-E46</f>
        <v>-373934.18649999995</v>
      </c>
      <c r="H46" s="303">
        <f>B46+F46</f>
        <v>201279.7249999998</v>
      </c>
      <c r="I46" s="303">
        <f>C46+G46</f>
        <v>350672.70350000006</v>
      </c>
      <c r="J46" s="303">
        <f>I46-H46</f>
        <v>149392.97850000026</v>
      </c>
      <c r="K46" s="303">
        <f>-J46*$K$11</f>
        <v>-31372.525485000053</v>
      </c>
      <c r="L46" s="303">
        <f>-K46+K45</f>
        <v>1690.749410000004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724606.89</v>
      </c>
      <c r="C47" s="313">
        <f>C46</f>
        <v>724606.89</v>
      </c>
      <c r="D47" s="303">
        <f>(($B$14*$E$6/12)+(($B$26-$B$14)*$D$6/12)+(($B$38-$B$26)*$C$6/12)+(($B$50-$B$38)*$B$6/12))</f>
        <v>20127.969166666666</v>
      </c>
      <c r="E47" s="304">
        <f>+(C46*$E$10/12)+(((C47-C46)*$E$10/12)*0.5)</f>
        <v>12076.781499999999</v>
      </c>
      <c r="F47" s="303">
        <f>-D47+F46</f>
        <v>-543455.13416666689</v>
      </c>
      <c r="G47" s="304">
        <f>+G46-E47</f>
        <v>-386010.96799999994</v>
      </c>
      <c r="H47" s="303">
        <f>B47+F47</f>
        <v>181151.75583333313</v>
      </c>
      <c r="I47" s="303">
        <f>C47+G47</f>
        <v>338595.92200000008</v>
      </c>
      <c r="J47" s="303">
        <f>I47-H47</f>
        <v>157444.16616666695</v>
      </c>
      <c r="K47" s="303">
        <f>-J47*$K$11</f>
        <v>-33063.27489500006</v>
      </c>
      <c r="L47" s="303">
        <f>-K47+K46</f>
        <v>1690.7494100000076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724606.89</v>
      </c>
      <c r="C48" s="313">
        <f>C47</f>
        <v>724606.89</v>
      </c>
      <c r="D48" s="303">
        <f>(($B$14*$E$6/12)+(($B$26-$B$14)*$D$6/12)+(($B$38-$B$26)*$C$6/12)+(($B$50-$B$38)*$B$6/12))</f>
        <v>20127.969166666666</v>
      </c>
      <c r="E48" s="304">
        <f>+(C47*$E$10/12)+(((C48-C47)*$E$10/12)*0.5)</f>
        <v>12076.781499999999</v>
      </c>
      <c r="F48" s="303">
        <f>-D48+F47</f>
        <v>-563583.10333333351</v>
      </c>
      <c r="G48" s="304">
        <f>+G47-E48</f>
        <v>-398087.74949999992</v>
      </c>
      <c r="H48" s="303">
        <f>B48+F48</f>
        <v>161023.78666666651</v>
      </c>
      <c r="I48" s="303">
        <f>C48+G48</f>
        <v>326519.1405000001</v>
      </c>
      <c r="J48" s="303">
        <f>I48-H48</f>
        <v>165495.35383333359</v>
      </c>
      <c r="K48" s="303">
        <f>-J48*$K$11</f>
        <v>-34754.02430500005</v>
      </c>
      <c r="L48" s="303">
        <f>-K48+K47</f>
        <v>1690.7494099999894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724606.89</v>
      </c>
      <c r="C49" s="313">
        <f>C48</f>
        <v>724606.89</v>
      </c>
      <c r="D49" s="303">
        <f>(($B$14*$E$6/12)+(($B$26-$B$14)*$D$6/12)+(($B$38-$B$26)*$C$6/12)+(($B$50-$B$38)*$B$6/12))</f>
        <v>20127.969166666666</v>
      </c>
      <c r="E49" s="304">
        <f>+(C48*$E$10/12)+(((C49-C48)*$E$10/12)*0.5)</f>
        <v>12076.781499999999</v>
      </c>
      <c r="F49" s="303">
        <f>-D49+F48</f>
        <v>-583711.07250000013</v>
      </c>
      <c r="G49" s="304">
        <f>+G48-E49</f>
        <v>-410164.5309999999</v>
      </c>
      <c r="H49" s="303">
        <f>B49+F49</f>
        <v>140895.81749999989</v>
      </c>
      <c r="I49" s="303">
        <f>C49+G49</f>
        <v>314442.35900000011</v>
      </c>
      <c r="J49" s="303">
        <f>I49-H49</f>
        <v>173546.54150000022</v>
      </c>
      <c r="K49" s="303">
        <f>-J49*$K$11</f>
        <v>-36444.773715000047</v>
      </c>
      <c r="L49" s="303">
        <f>-K49+K48</f>
        <v>1690.7494099999967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724606.89</v>
      </c>
      <c r="C50" s="313">
        <f>C49</f>
        <v>724606.89</v>
      </c>
      <c r="D50" s="303">
        <f>(($B$14*$E$6/12)+(($B$26-$B$14)*$D$6/12)+(($B$38-$B$26)*$C$6/12)+(($B$50-$B$38)*$B$6/12))</f>
        <v>20127.969166666666</v>
      </c>
      <c r="E50" s="304">
        <f>+(C49*$E$10/12)+(((C50-C49)*$E$10/12)*0.5)</f>
        <v>12076.781499999999</v>
      </c>
      <c r="F50" s="303">
        <f>-D50+F49</f>
        <v>-603839.04166666674</v>
      </c>
      <c r="G50" s="304">
        <f>+G49-E50</f>
        <v>-422241.31249999988</v>
      </c>
      <c r="H50" s="303">
        <f>B50+F50</f>
        <v>120767.84833333327</v>
      </c>
      <c r="I50" s="303">
        <f>C50+G50</f>
        <v>302365.57750000013</v>
      </c>
      <c r="J50" s="303">
        <f>I50-H50</f>
        <v>181597.72916666686</v>
      </c>
      <c r="K50" s="303">
        <f>-J50*$K$11</f>
        <v>-38135.523125000036</v>
      </c>
      <c r="L50" s="303">
        <f>-K50+K49</f>
        <v>1690.7494099999894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724606.89</v>
      </c>
      <c r="C51" s="313">
        <f>C50</f>
        <v>724606.89</v>
      </c>
      <c r="D51" s="303">
        <f>(($B$14*$F$6/12)+(($B$26-$B$14)*$E$6/12)+(($B$38-$B$26)*$D$6/12)+(($B$50-$B$38)*$C$6/12)+(($B$62-$B$50)*$B$6/12))</f>
        <v>10063.984583333333</v>
      </c>
      <c r="E51" s="304">
        <f>+(C50*$E$10/12)+(((C51-C50)*$E$10/12)*0.5)</f>
        <v>12076.781499999999</v>
      </c>
      <c r="F51" s="303">
        <f>-D51+F50</f>
        <v>-613903.02625000011</v>
      </c>
      <c r="G51" s="304">
        <f>+G50-E51</f>
        <v>-434318.09399999987</v>
      </c>
      <c r="H51" s="303">
        <f>B51+F51</f>
        <v>110703.8637499999</v>
      </c>
      <c r="I51" s="303">
        <f>C51+G51</f>
        <v>290288.79600000015</v>
      </c>
      <c r="J51" s="303">
        <f>I51-H51</f>
        <v>179584.93225000025</v>
      </c>
      <c r="K51" s="303">
        <f>-J51*$K$11</f>
        <v>-37712.835772500053</v>
      </c>
      <c r="L51" s="303">
        <f>-K51+K50</f>
        <v>-422.68735249998281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724606.89</v>
      </c>
      <c r="C52" s="313">
        <f>C51</f>
        <v>724606.89</v>
      </c>
      <c r="D52" s="303">
        <f>(($B$14*$F$6/12)+(($B$26-$B$14)*$E$6/12)+(($B$38-$B$26)*$D$6/12)+(($B$50-$B$38)*$C$6/12)+(($B$62-$B$50)*$B$6/12))</f>
        <v>10063.984583333333</v>
      </c>
      <c r="E52" s="304">
        <f>+(C51*$E$10/12)+(((C52-C51)*$E$10/12)*0.5)</f>
        <v>12076.781499999999</v>
      </c>
      <c r="F52" s="303">
        <f>-D52+F51</f>
        <v>-623967.01083333348</v>
      </c>
      <c r="G52" s="304">
        <f>+G51-E52</f>
        <v>-446394.87549999985</v>
      </c>
      <c r="H52" s="303">
        <f>B52+F52</f>
        <v>100639.87916666653</v>
      </c>
      <c r="I52" s="303">
        <f>C52+G52</f>
        <v>278212.01450000016</v>
      </c>
      <c r="J52" s="303">
        <f>I52-H52</f>
        <v>177572.13533333363</v>
      </c>
      <c r="K52" s="303">
        <f>-J52*$K$11</f>
        <v>-37290.148420000063</v>
      </c>
      <c r="L52" s="303">
        <f>-K52+K51</f>
        <v>-422.68735249999008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724606.89</v>
      </c>
      <c r="C53" s="313">
        <f>C52</f>
        <v>724606.89</v>
      </c>
      <c r="D53" s="303">
        <f>(($B$14*$F$6/12)+(($B$26-$B$14)*$E$6/12)+(($B$38-$B$26)*$D$6/12)+(($B$50-$B$38)*$C$6/12)+(($B$62-$B$50)*$B$6/12))</f>
        <v>10063.984583333333</v>
      </c>
      <c r="E53" s="304">
        <f>+(C52*$E$10/12)+(((C53-C52)*$E$10/12)*0.5)</f>
        <v>12076.781499999999</v>
      </c>
      <c r="F53" s="303">
        <f>-D53+F52</f>
        <v>-634030.99541666685</v>
      </c>
      <c r="G53" s="304">
        <f>+G52-E53</f>
        <v>-458471.65699999983</v>
      </c>
      <c r="H53" s="303">
        <f>B53+F53</f>
        <v>90575.894583333167</v>
      </c>
      <c r="I53" s="303">
        <f>C53+G53</f>
        <v>266135.23300000018</v>
      </c>
      <c r="J53" s="303">
        <f>I53-H53</f>
        <v>175559.33841666701</v>
      </c>
      <c r="K53" s="303">
        <f>-J53*$K$11</f>
        <v>-36867.461067500073</v>
      </c>
      <c r="L53" s="303">
        <f>-K53+K52</f>
        <v>-422.68735249999008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724606.89</v>
      </c>
      <c r="C54" s="313">
        <f>C53</f>
        <v>724606.89</v>
      </c>
      <c r="D54" s="303">
        <f>(($B$14*$F$6/12)+(($B$26-$B$14)*$E$6/12)+(($B$38-$B$26)*$D$6/12)+(($B$50-$B$38)*$C$6/12)+(($B$62-$B$50)*$B$6/12))</f>
        <v>10063.984583333333</v>
      </c>
      <c r="E54" s="304">
        <f>+(C53*$E$10/12)+(((C54-C53)*$E$10/12)*0.5)</f>
        <v>12076.781499999999</v>
      </c>
      <c r="F54" s="303">
        <f>-D54+F53</f>
        <v>-644094.98000000021</v>
      </c>
      <c r="G54" s="304">
        <f>+G53-E54</f>
        <v>-470548.43849999981</v>
      </c>
      <c r="H54" s="303">
        <f>B54+F54</f>
        <v>80511.9099999998</v>
      </c>
      <c r="I54" s="303">
        <f>C54+G54</f>
        <v>254058.4515000002</v>
      </c>
      <c r="J54" s="303">
        <f>I54-H54</f>
        <v>173546.5415000004</v>
      </c>
      <c r="K54" s="303">
        <f>-J54*$K$11</f>
        <v>-36444.773715000083</v>
      </c>
      <c r="L54" s="303">
        <f>-K54+K53</f>
        <v>-422.68735249999008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724606.89</v>
      </c>
      <c r="C55" s="313">
        <f>C54</f>
        <v>724606.89</v>
      </c>
      <c r="D55" s="303">
        <f>(($B$14*$F$6/12)+(($B$26-$B$14)*$E$6/12)+(($B$38-$B$26)*$D$6/12)+(($B$50-$B$38)*$C$6/12)+(($B$62-$B$50)*$B$6/12))</f>
        <v>10063.984583333333</v>
      </c>
      <c r="E55" s="304">
        <f>+(C54*$E$10/12)+(((C55-C54)*$E$10/12)*0.5)</f>
        <v>12076.781499999999</v>
      </c>
      <c r="F55" s="303">
        <f>-D55+F54</f>
        <v>-654158.96458333358</v>
      </c>
      <c r="G55" s="304">
        <f>+G54-E55</f>
        <v>-482625.2199999998</v>
      </c>
      <c r="H55" s="303">
        <f>B55+F55</f>
        <v>70447.925416666432</v>
      </c>
      <c r="I55" s="303">
        <f>C55+G55</f>
        <v>241981.67000000022</v>
      </c>
      <c r="J55" s="303">
        <f>I55-H55</f>
        <v>171533.74458333378</v>
      </c>
      <c r="K55" s="303">
        <f>-J55*$K$11</f>
        <v>-36022.086362500093</v>
      </c>
      <c r="L55" s="303">
        <f>-K55+K54</f>
        <v>-422.68735249999008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724606.89</v>
      </c>
      <c r="C56" s="313">
        <f>C55</f>
        <v>724606.89</v>
      </c>
      <c r="D56" s="303">
        <f>(($B$14*$F$6/12)+(($B$26-$B$14)*$E$6/12)+(($B$38-$B$26)*$D$6/12)+(($B$50-$B$38)*$C$6/12)+(($B$62-$B$50)*$B$6/12))</f>
        <v>10063.984583333333</v>
      </c>
      <c r="E56" s="304">
        <f>+(C55*$E$10/12)+(((C56-C55)*$E$10/12)*0.5)</f>
        <v>12076.781499999999</v>
      </c>
      <c r="F56" s="303">
        <f>-D56+F55</f>
        <v>-664222.94916666695</v>
      </c>
      <c r="G56" s="304">
        <f>+G55-E56</f>
        <v>-494702.00149999978</v>
      </c>
      <c r="H56" s="303">
        <f>B56+F56</f>
        <v>60383.940833333065</v>
      </c>
      <c r="I56" s="303">
        <f>C56+G56</f>
        <v>229904.88850000023</v>
      </c>
      <c r="J56" s="303">
        <f>I56-H56</f>
        <v>169520.94766666717</v>
      </c>
      <c r="K56" s="303">
        <f>-J56*$K$11</f>
        <v>-35599.399010000103</v>
      </c>
      <c r="L56" s="303">
        <f>-K56+K55</f>
        <v>-422.68735249999008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724606.89</v>
      </c>
      <c r="C57" s="313">
        <f>C56</f>
        <v>724606.89</v>
      </c>
      <c r="D57" s="303">
        <f>(($B$14*$F$6/12)+(($B$26-$B$14)*$E$6/12)+(($B$38-$B$26)*$D$6/12)+(($B$50-$B$38)*$C$6/12)+(($B$62-$B$50)*$B$6/12))</f>
        <v>10063.984583333333</v>
      </c>
      <c r="E57" s="304">
        <f>+(C56*$E$10/12)+(((C57-C56)*$E$10/12)*0.5)</f>
        <v>12076.781499999999</v>
      </c>
      <c r="F57" s="303">
        <f>-D57+F56</f>
        <v>-674286.93375000032</v>
      </c>
      <c r="G57" s="304">
        <f>+G56-E57</f>
        <v>-506778.78299999976</v>
      </c>
      <c r="H57" s="303">
        <f>B57+F57</f>
        <v>50319.956249999697</v>
      </c>
      <c r="I57" s="303">
        <f>C57+G57</f>
        <v>217828.10700000025</v>
      </c>
      <c r="J57" s="303">
        <f>I57-H57</f>
        <v>167508.15075000055</v>
      </c>
      <c r="K57" s="303">
        <f>-J57*$K$11</f>
        <v>-35176.711657500113</v>
      </c>
      <c r="L57" s="303">
        <f>-K57+K56</f>
        <v>-422.68735249999008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724606.89</v>
      </c>
      <c r="C58" s="313">
        <f>C57</f>
        <v>724606.89</v>
      </c>
      <c r="D58" s="303">
        <f>(($B$14*$F$6/12)+(($B$26-$B$14)*$E$6/12)+(($B$38-$B$26)*$D$6/12)+(($B$50-$B$38)*$C$6/12)+(($B$62-$B$50)*$B$6/12))</f>
        <v>10063.984583333333</v>
      </c>
      <c r="E58" s="304">
        <f>+(C57*$E$10/12)+(((C58-C57)*$E$10/12)*0.5)</f>
        <v>12076.781499999999</v>
      </c>
      <c r="F58" s="303">
        <f>-D58+F57</f>
        <v>-684350.91833333368</v>
      </c>
      <c r="G58" s="304">
        <f>+G57-E58</f>
        <v>-518855.56449999975</v>
      </c>
      <c r="H58" s="303">
        <f>B58+F58</f>
        <v>40255.97166666633</v>
      </c>
      <c r="I58" s="303">
        <f>C58+G58</f>
        <v>205751.32550000027</v>
      </c>
      <c r="J58" s="303">
        <f>I58-H58</f>
        <v>165495.35383333394</v>
      </c>
      <c r="K58" s="303">
        <f>-J58*$K$11</f>
        <v>-34754.024305000123</v>
      </c>
      <c r="L58" s="303">
        <f>-K58+K57</f>
        <v>-422.68735249999008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724606.89</v>
      </c>
      <c r="C59" s="313">
        <f>C58</f>
        <v>724606.89</v>
      </c>
      <c r="D59" s="303">
        <f>(($B$14*$F$6/12)+(($B$26-$B$14)*$E$6/12)+(($B$38-$B$26)*$D$6/12)+(($B$50-$B$38)*$C$6/12)+(($B$62-$B$50)*$B$6/12))</f>
        <v>10063.984583333333</v>
      </c>
      <c r="E59" s="304">
        <f>+(C58*$E$10/12)+(((C59-C58)*$E$10/12)*0.5)</f>
        <v>12076.781499999999</v>
      </c>
      <c r="F59" s="303">
        <f>-D59+F58</f>
        <v>-694414.90291666705</v>
      </c>
      <c r="G59" s="304">
        <f>+G58-E59</f>
        <v>-530932.34599999979</v>
      </c>
      <c r="H59" s="303">
        <f>B59+F59</f>
        <v>30191.987083332962</v>
      </c>
      <c r="I59" s="303">
        <f>C59+G59</f>
        <v>193674.54400000023</v>
      </c>
      <c r="J59" s="303">
        <f>I59-H59</f>
        <v>163482.55691666726</v>
      </c>
      <c r="K59" s="303">
        <f>-J59*$K$11</f>
        <v>-34331.336952500125</v>
      </c>
      <c r="L59" s="303">
        <f>-K59+K58</f>
        <v>-422.68735249999736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724606.89</v>
      </c>
      <c r="C60" s="313">
        <f>C59</f>
        <v>724606.89</v>
      </c>
      <c r="D60" s="303">
        <f>(($B$14*$F$6/12)+(($B$26-$B$14)*$E$6/12)+(($B$38-$B$26)*$D$6/12)+(($B$50-$B$38)*$C$6/12)+(($B$62-$B$50)*$B$6/12))</f>
        <v>10063.984583333333</v>
      </c>
      <c r="E60" s="304">
        <f>+(C59*$E$10/12)+(((C60-C59)*$E$10/12)*0.5)</f>
        <v>12076.781499999999</v>
      </c>
      <c r="F60" s="303">
        <f>-D60+F59</f>
        <v>-704478.88750000042</v>
      </c>
      <c r="G60" s="304">
        <f>+G59-E60</f>
        <v>-543009.12749999983</v>
      </c>
      <c r="H60" s="303">
        <f>B60+F60</f>
        <v>20128.002499999595</v>
      </c>
      <c r="I60" s="303">
        <f>C60+G60</f>
        <v>181597.76250000019</v>
      </c>
      <c r="J60" s="303">
        <f>I60-H60</f>
        <v>161469.76000000059</v>
      </c>
      <c r="K60" s="303">
        <f>-J60*$K$11</f>
        <v>-33908.649600000121</v>
      </c>
      <c r="L60" s="303">
        <f>-K60+K59</f>
        <v>-422.68735250000464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724606.89</v>
      </c>
      <c r="C61" s="313">
        <f>C60</f>
        <v>724606.89</v>
      </c>
      <c r="D61" s="303">
        <f>(($B$14*$F$6/12)+(($B$26-$B$14)*$E$6/12)+(($B$38-$B$26)*$D$6/12)+(($B$50-$B$38)*$C$6/12)+(($B$62-$B$50)*$B$6/12))</f>
        <v>10063.984583333333</v>
      </c>
      <c r="E61" s="304">
        <f>+(C60*$E$10/12)+(((C61-C60)*$E$10/12)*0.5)</f>
        <v>12076.781499999999</v>
      </c>
      <c r="F61" s="303">
        <f>-D61+F60</f>
        <v>-714542.87208333379</v>
      </c>
      <c r="G61" s="304">
        <f>+G60-E61</f>
        <v>-555085.90899999987</v>
      </c>
      <c r="H61" s="303">
        <f>B61+F61</f>
        <v>10064.017916666227</v>
      </c>
      <c r="I61" s="303">
        <f>C61+G61</f>
        <v>169520.98100000015</v>
      </c>
      <c r="J61" s="303">
        <f>I61-H61</f>
        <v>159456.96308333392</v>
      </c>
      <c r="K61" s="303">
        <f>-J61*$K$11</f>
        <v>-33485.962247500123</v>
      </c>
      <c r="L61" s="303">
        <f>-K61+K60</f>
        <v>-422.68735249999736</v>
      </c>
      <c r="M61" s="361"/>
      <c r="N61" s="299"/>
    </row>
    <row r="62" spans="1:15" ht="15" x14ac:dyDescent="0.25">
      <c r="A62" s="314">
        <v>46022</v>
      </c>
      <c r="B62" s="303">
        <f>C62</f>
        <v>724606.89</v>
      </c>
      <c r="C62" s="313">
        <f>C61</f>
        <v>724606.89</v>
      </c>
      <c r="D62" s="303">
        <f>(($B$14*$F$6/12)+(($B$26-$B$14)*$E$6/12)+(($B$38-$B$26)*$D$6/12)+(($B$50-$B$38)*$C$6/12)+(($B$62-$B$50)*$B$6/12))</f>
        <v>10063.984583333333</v>
      </c>
      <c r="E62" s="304">
        <f>+(C61*$E$10/12)+(((C62-C61)*$E$10/12)*0.5)</f>
        <v>12076.781499999999</v>
      </c>
      <c r="F62" s="303">
        <f>-D62+F61</f>
        <v>-724606.85666666715</v>
      </c>
      <c r="G62" s="304">
        <f>+G61-E62</f>
        <v>-567162.69049999991</v>
      </c>
      <c r="H62" s="303">
        <f>B62+F62</f>
        <v>3.3333332859911025E-2</v>
      </c>
      <c r="I62" s="303">
        <f>C62+G62</f>
        <v>157444.1995000001</v>
      </c>
      <c r="J62" s="303">
        <f>I62-H62</f>
        <v>157444.16616666724</v>
      </c>
      <c r="K62" s="303">
        <f>-J62*$K$11</f>
        <v>-33063.274895000119</v>
      </c>
      <c r="L62" s="303">
        <f>-K62+K61</f>
        <v>-422.68735250000464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ht="13.5" thickBot="1" x14ac:dyDescent="0.25">
      <c r="A64" s="377" t="s">
        <v>253</v>
      </c>
      <c r="B64" s="379"/>
      <c r="C64" s="381"/>
      <c r="D64" s="379"/>
      <c r="E64" s="379"/>
      <c r="F64" s="379"/>
      <c r="G64" s="380"/>
      <c r="H64" s="379"/>
      <c r="I64" s="379"/>
      <c r="J64" s="379"/>
      <c r="K64" s="379"/>
      <c r="L64" s="378"/>
      <c r="M64" s="297"/>
      <c r="N64" s="299"/>
      <c r="O64" s="299"/>
    </row>
    <row r="65" spans="1:15" ht="13.5" thickTop="1" x14ac:dyDescent="0.2">
      <c r="A65" s="372" t="s">
        <v>252</v>
      </c>
      <c r="B65" s="371">
        <f>B14</f>
        <v>0</v>
      </c>
      <c r="C65" s="370">
        <f>C14</f>
        <v>0</v>
      </c>
      <c r="D65" s="370">
        <f>SUM(D14:D14)</f>
        <v>0</v>
      </c>
      <c r="E65" s="370">
        <f>SUM(E14:E14)</f>
        <v>0</v>
      </c>
      <c r="F65" s="370">
        <f>F14</f>
        <v>0</v>
      </c>
      <c r="G65" s="370">
        <f>G14</f>
        <v>0</v>
      </c>
      <c r="H65" s="370">
        <f>H14</f>
        <v>0</v>
      </c>
      <c r="I65" s="370">
        <f>I14</f>
        <v>0</v>
      </c>
      <c r="J65" s="370">
        <f>J14</f>
        <v>0</v>
      </c>
      <c r="K65" s="370">
        <f>K14</f>
        <v>0</v>
      </c>
      <c r="L65" s="369">
        <f>SUM(L14:L14)</f>
        <v>0</v>
      </c>
      <c r="M65" s="297"/>
      <c r="N65" s="299"/>
      <c r="O65" s="299"/>
    </row>
    <row r="66" spans="1:15" ht="13.5" thickBot="1" x14ac:dyDescent="0.25">
      <c r="A66" s="368" t="s">
        <v>251</v>
      </c>
      <c r="B66" s="367" t="e">
        <f>(0+B14+SUM(#REF!)*2)/24</f>
        <v>#REF!</v>
      </c>
      <c r="C66" s="365" t="e">
        <f>(0+C14+SUM(#REF!)*2)/24</f>
        <v>#REF!</v>
      </c>
      <c r="D66" s="365"/>
      <c r="E66" s="366"/>
      <c r="F66" s="365" t="e">
        <f>(0+F14+SUM(#REF!)*2)/24</f>
        <v>#REF!</v>
      </c>
      <c r="G66" s="365" t="e">
        <f>(0+G14+SUM(#REF!)*2)/24</f>
        <v>#REF!</v>
      </c>
      <c r="H66" s="365" t="e">
        <f>(0+H14+SUM(#REF!)*2)/24</f>
        <v>#REF!</v>
      </c>
      <c r="I66" s="365" t="e">
        <f>(0+I14+SUM(#REF!)*2)/24</f>
        <v>#REF!</v>
      </c>
      <c r="J66" s="365" t="e">
        <f>(0+J14+SUM(#REF!)*2)/24</f>
        <v>#REF!</v>
      </c>
      <c r="K66" s="365" t="e">
        <f>(0+K14+SUM(#REF!)*2)/24</f>
        <v>#REF!</v>
      </c>
      <c r="L66" s="364"/>
      <c r="M66" s="297"/>
      <c r="N66" s="299"/>
      <c r="O66" s="299"/>
    </row>
    <row r="67" spans="1:15" ht="14.25" thickTop="1" thickBot="1" x14ac:dyDescent="0.25">
      <c r="A67" s="377" t="s">
        <v>250</v>
      </c>
      <c r="B67" s="374"/>
      <c r="C67" s="376"/>
      <c r="D67" s="374"/>
      <c r="E67" s="374"/>
      <c r="F67" s="374"/>
      <c r="G67" s="375"/>
      <c r="H67" s="374"/>
      <c r="I67" s="374"/>
      <c r="J67" s="374"/>
      <c r="K67" s="374"/>
      <c r="L67" s="373"/>
      <c r="M67" s="297"/>
    </row>
    <row r="68" spans="1:15" ht="13.5" thickTop="1" x14ac:dyDescent="0.2">
      <c r="A68" s="372" t="s">
        <v>249</v>
      </c>
      <c r="B68" s="371">
        <f>B26</f>
        <v>724606.89</v>
      </c>
      <c r="C68" s="370">
        <f>C26</f>
        <v>724606.89</v>
      </c>
      <c r="D68" s="370">
        <f>SUM(D15:D26)</f>
        <v>120767.78166666669</v>
      </c>
      <c r="E68" s="370">
        <f>SUM(E15:E26)</f>
        <v>132491.55650000001</v>
      </c>
      <c r="F68" s="370">
        <f>F26</f>
        <v>-120767.78166666669</v>
      </c>
      <c r="G68" s="370">
        <f>G26</f>
        <v>-132491.55650000001</v>
      </c>
      <c r="H68" s="370">
        <f>H26</f>
        <v>603839.10833333328</v>
      </c>
      <c r="I68" s="370">
        <f>I26</f>
        <v>592115.33349999995</v>
      </c>
      <c r="J68" s="370">
        <f>J26</f>
        <v>-11723.774833333329</v>
      </c>
      <c r="K68" s="370">
        <f>K26</f>
        <v>2461.992714999999</v>
      </c>
      <c r="L68" s="369">
        <f>SUM(L15:L26)</f>
        <v>-2461.992714999999</v>
      </c>
      <c r="M68" s="297"/>
      <c r="N68" s="297"/>
    </row>
    <row r="69" spans="1:15" ht="13.5" thickBot="1" x14ac:dyDescent="0.25">
      <c r="A69" s="368" t="s">
        <v>248</v>
      </c>
      <c r="B69" s="367">
        <f>(B14+B26+SUM(B15:B25)*2)/24</f>
        <v>634030.82874999987</v>
      </c>
      <c r="C69" s="365">
        <f>(C14+C26+SUM(C15:C25)*2)/24</f>
        <v>634030.82874999987</v>
      </c>
      <c r="D69" s="365"/>
      <c r="E69" s="366"/>
      <c r="F69" s="365">
        <f>(F14+F26+SUM(F15:F25)*2)/24</f>
        <v>-60383.8838888889</v>
      </c>
      <c r="G69" s="365">
        <f>(G14+G26+SUM(G15:G25)*2)/24</f>
        <v>-60720.28672916667</v>
      </c>
      <c r="H69" s="365">
        <f>(H14+H26+SUM(H15:H25)*2)/24</f>
        <v>573646.94486111111</v>
      </c>
      <c r="I69" s="365">
        <f>(I14+I26+SUM(I15:I25)*2)/24</f>
        <v>573310.54202083335</v>
      </c>
      <c r="J69" s="365">
        <f>(J14+J26+SUM(J15:J25)*2)/24</f>
        <v>-336.40284027779916</v>
      </c>
      <c r="K69" s="365">
        <f>(K14+K26+SUM(K15:K25)*2)/24</f>
        <v>70.644596458337844</v>
      </c>
      <c r="L69" s="364"/>
      <c r="M69" s="297"/>
    </row>
    <row r="70" spans="1:15" ht="15.75" thickTop="1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D5" sqref="D5"/>
    </sheetView>
  </sheetViews>
  <sheetFormatPr defaultRowHeight="15" x14ac:dyDescent="0.25"/>
  <cols>
    <col min="3" max="3" width="20.85546875" bestFit="1" customWidth="1"/>
    <col min="4" max="4" width="14.28515625" bestFit="1" customWidth="1"/>
    <col min="5" max="5" width="17.5703125" bestFit="1" customWidth="1"/>
  </cols>
  <sheetData>
    <row r="2" spans="2:5" x14ac:dyDescent="0.25">
      <c r="B2" s="5" t="s">
        <v>174</v>
      </c>
    </row>
    <row r="3" spans="2:5" x14ac:dyDescent="0.25">
      <c r="D3" s="81" t="s">
        <v>218</v>
      </c>
      <c r="E3" s="81" t="s">
        <v>219</v>
      </c>
    </row>
    <row r="4" spans="2:5" x14ac:dyDescent="0.25">
      <c r="C4" s="3" t="s">
        <v>83</v>
      </c>
      <c r="D4" s="3" t="s">
        <v>144</v>
      </c>
      <c r="E4" s="3" t="s">
        <v>220</v>
      </c>
    </row>
    <row r="5" spans="2:5" x14ac:dyDescent="0.25">
      <c r="C5" t="s">
        <v>175</v>
      </c>
      <c r="D5" s="4">
        <f>'LNG O&amp;M Deferral'!F110</f>
        <v>2219773.4122170513</v>
      </c>
      <c r="E5" s="4">
        <f>'LNG O&amp;M Deferral'!$M$59</f>
        <v>6137673.4847801458</v>
      </c>
    </row>
    <row r="6" spans="2:5" x14ac:dyDescent="0.25">
      <c r="C6" t="s">
        <v>215</v>
      </c>
      <c r="D6" s="199">
        <f>'LNG Depreciation Deferral'!F109</f>
        <v>2692522.8292789259</v>
      </c>
      <c r="E6" s="199">
        <f>'LNG Depreciation Deferral'!$M$59</f>
        <v>7444825.6229562331</v>
      </c>
    </row>
    <row r="7" spans="2:5" x14ac:dyDescent="0.25">
      <c r="C7" t="s">
        <v>216</v>
      </c>
      <c r="D7" s="199">
        <f>'LNG Return Deferral'!F111</f>
        <v>8788337.4248506688</v>
      </c>
      <c r="E7" s="199">
        <f>'LNG Return Deferral'!$M$59</f>
        <v>24299752.979712106</v>
      </c>
    </row>
    <row r="8" spans="2:5" ht="15.75" thickBot="1" x14ac:dyDescent="0.3">
      <c r="C8" t="s">
        <v>21</v>
      </c>
      <c r="D8" s="200">
        <f>SUM(D5:D7)</f>
        <v>13700633.666346647</v>
      </c>
      <c r="E8" s="168">
        <f>SUM(E5:E7)</f>
        <v>37882252.087448485</v>
      </c>
    </row>
    <row r="9" spans="2:5" ht="15.75" thickTop="1" x14ac:dyDescent="0.25">
      <c r="C9" t="s">
        <v>199</v>
      </c>
      <c r="D9" s="201">
        <v>0.79</v>
      </c>
      <c r="E9" s="167" t="s">
        <v>221</v>
      </c>
    </row>
    <row r="10" spans="2:5" ht="15.75" thickBot="1" x14ac:dyDescent="0.3">
      <c r="C10" t="s">
        <v>217</v>
      </c>
      <c r="D10" s="168">
        <f>-D8*D9</f>
        <v>-10823500.596413851</v>
      </c>
      <c r="E10" s="167" t="s">
        <v>221</v>
      </c>
    </row>
    <row r="11" spans="2:5" ht="15.75" thickTop="1" x14ac:dyDescent="0.25"/>
    <row r="13" spans="2:5" x14ac:dyDescent="0.25">
      <c r="C13" t="s">
        <v>173</v>
      </c>
      <c r="E13" s="202">
        <f>SUM(E5:E6)</f>
        <v>13582499.107736379</v>
      </c>
    </row>
    <row r="14" spans="2:5" x14ac:dyDescent="0.25">
      <c r="C14" t="s">
        <v>222</v>
      </c>
      <c r="E14" s="203">
        <f>E7</f>
        <v>24299752.979712106</v>
      </c>
    </row>
    <row r="15" spans="2:5" ht="15.75" thickBot="1" x14ac:dyDescent="0.3">
      <c r="C15" t="s">
        <v>21</v>
      </c>
      <c r="E15" s="168">
        <f>SUM(E13:E14)</f>
        <v>37882252.087448485</v>
      </c>
    </row>
    <row r="16" spans="2:5" ht="15.75" thickTop="1" x14ac:dyDescent="0.25"/>
  </sheetData>
  <pageMargins left="0.7" right="0.7" top="0.75" bottom="0.75" header="0.3" footer="0.3"/>
  <pageSetup orientation="portrait" horizontalDpi="1200" verticalDpi="1200" r:id="rId1"/>
  <headerFooter>
    <oddFooter xml:space="preserve">&amp;R&amp;"Times New Roman,Regular"&amp;10Exh. SEF-3 Page 1 of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workbookViewId="0">
      <pane xSplit="1" ySplit="9" topLeftCell="B26" activePane="bottomRight" state="frozen"/>
      <selection pane="topRight"/>
      <selection pane="bottomLeft"/>
      <selection pane="bottomRight" activeCell="D44" sqref="D44"/>
    </sheetView>
  </sheetViews>
  <sheetFormatPr defaultColWidth="9.140625" defaultRowHeight="12.75" outlineLevelRow="1" x14ac:dyDescent="0.2"/>
  <cols>
    <col min="1" max="1" width="9.7109375" style="35" customWidth="1"/>
    <col min="2" max="2" width="8.85546875" style="71" bestFit="1" customWidth="1"/>
    <col min="3" max="3" width="11.28515625" style="71" customWidth="1"/>
    <col min="4" max="4" width="10.28515625" style="71" bestFit="1" customWidth="1"/>
    <col min="5" max="5" width="10.7109375" style="71" bestFit="1" customWidth="1"/>
    <col min="6" max="6" width="15" style="71" bestFit="1" customWidth="1"/>
    <col min="7" max="7" width="16.140625" style="71" bestFit="1" customWidth="1"/>
    <col min="8" max="8" width="12.140625" style="71" bestFit="1" customWidth="1"/>
    <col min="9" max="9" width="11.42578125" style="71" bestFit="1" customWidth="1"/>
    <col min="10" max="10" width="15" style="71" bestFit="1" customWidth="1"/>
    <col min="11" max="11" width="16.7109375" style="71" bestFit="1" customWidth="1"/>
    <col min="12" max="12" width="11.28515625" style="71" bestFit="1" customWidth="1"/>
    <col min="13" max="13" width="11.42578125" style="71" bestFit="1" customWidth="1"/>
    <col min="14" max="14" width="11.140625" style="71" bestFit="1" customWidth="1"/>
    <col min="15" max="15" width="6.28515625" style="35" bestFit="1" customWidth="1"/>
    <col min="16" max="16384" width="9.140625" style="35"/>
  </cols>
  <sheetData>
    <row r="1" spans="1:15" x14ac:dyDescent="0.2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5"/>
    </row>
    <row r="2" spans="1:15" x14ac:dyDescent="0.2">
      <c r="A2" s="32" t="s">
        <v>80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5"/>
    </row>
    <row r="3" spans="1:15" x14ac:dyDescent="0.2">
      <c r="A3" s="32" t="s">
        <v>47</v>
      </c>
      <c r="B3" s="33"/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5"/>
    </row>
    <row r="4" spans="1:15" x14ac:dyDescent="0.2">
      <c r="A4" s="33"/>
      <c r="B4" s="33"/>
      <c r="C4" s="36"/>
      <c r="D4" s="37"/>
      <c r="E4" s="38"/>
      <c r="F4" s="39"/>
      <c r="G4" s="39"/>
      <c r="H4" s="39"/>
      <c r="I4" s="39"/>
      <c r="J4" s="40"/>
      <c r="K4" s="41"/>
      <c r="L4" s="40"/>
      <c r="M4" s="40"/>
      <c r="N4" s="35"/>
    </row>
    <row r="5" spans="1:15" x14ac:dyDescent="0.2">
      <c r="A5" s="34"/>
      <c r="B5" s="34"/>
      <c r="C5" s="42" t="s">
        <v>48</v>
      </c>
      <c r="D5" s="43"/>
      <c r="E5" s="40"/>
      <c r="F5" s="44"/>
      <c r="G5" s="44"/>
      <c r="H5" s="44"/>
      <c r="I5" s="44"/>
      <c r="J5" s="45"/>
      <c r="K5" s="44"/>
      <c r="L5" s="44"/>
      <c r="M5" s="44"/>
      <c r="N5" s="35"/>
    </row>
    <row r="6" spans="1:15" x14ac:dyDescent="0.2">
      <c r="A6" s="46"/>
      <c r="B6" s="46"/>
      <c r="C6" s="47" t="s">
        <v>49</v>
      </c>
      <c r="D6" s="47" t="s">
        <v>50</v>
      </c>
      <c r="E6" s="47" t="s">
        <v>51</v>
      </c>
      <c r="F6" s="47" t="s">
        <v>52</v>
      </c>
      <c r="G6" s="47" t="s">
        <v>53</v>
      </c>
      <c r="H6" s="47" t="s">
        <v>54</v>
      </c>
      <c r="I6" s="47" t="s">
        <v>43</v>
      </c>
      <c r="J6" s="47" t="s">
        <v>52</v>
      </c>
      <c r="K6" s="47" t="s">
        <v>53</v>
      </c>
      <c r="L6" s="47" t="s">
        <v>55</v>
      </c>
      <c r="M6" s="48" t="s">
        <v>56</v>
      </c>
      <c r="N6" s="49" t="s">
        <v>50</v>
      </c>
      <c r="O6" s="170" t="s">
        <v>201</v>
      </c>
    </row>
    <row r="7" spans="1:15" x14ac:dyDescent="0.2">
      <c r="A7" s="44" t="s">
        <v>57</v>
      </c>
      <c r="B7" s="50"/>
      <c r="C7" s="44" t="s">
        <v>58</v>
      </c>
      <c r="D7" s="44"/>
      <c r="E7" s="44" t="s">
        <v>50</v>
      </c>
      <c r="F7" s="44" t="s">
        <v>59</v>
      </c>
      <c r="G7" s="44" t="s">
        <v>59</v>
      </c>
      <c r="H7" s="44" t="s">
        <v>59</v>
      </c>
      <c r="I7" s="44" t="s">
        <v>60</v>
      </c>
      <c r="J7" s="44" t="s">
        <v>61</v>
      </c>
      <c r="K7" s="44" t="s">
        <v>61</v>
      </c>
      <c r="L7" s="44" t="s">
        <v>43</v>
      </c>
      <c r="M7" s="51" t="s">
        <v>55</v>
      </c>
      <c r="N7" s="52" t="s">
        <v>62</v>
      </c>
      <c r="O7" s="170" t="s">
        <v>203</v>
      </c>
    </row>
    <row r="8" spans="1:15" x14ac:dyDescent="0.2">
      <c r="A8" s="44" t="s">
        <v>63</v>
      </c>
      <c r="B8" s="50"/>
      <c r="C8" s="44" t="s">
        <v>64</v>
      </c>
      <c r="D8" s="44" t="s">
        <v>65</v>
      </c>
      <c r="E8" s="44" t="s">
        <v>66</v>
      </c>
      <c r="F8" s="44" t="s">
        <v>67</v>
      </c>
      <c r="G8" s="53" t="s">
        <v>68</v>
      </c>
      <c r="H8" s="44" t="s">
        <v>69</v>
      </c>
      <c r="I8" s="44" t="s">
        <v>70</v>
      </c>
      <c r="J8" s="44" t="s">
        <v>71</v>
      </c>
      <c r="K8" s="44" t="s">
        <v>72</v>
      </c>
      <c r="L8" s="44" t="s">
        <v>73</v>
      </c>
      <c r="M8" s="51" t="s">
        <v>74</v>
      </c>
      <c r="N8" s="52" t="s">
        <v>75</v>
      </c>
      <c r="O8" s="171" t="s">
        <v>202</v>
      </c>
    </row>
    <row r="9" spans="1:15" x14ac:dyDescent="0.2">
      <c r="A9" s="54"/>
      <c r="B9" s="54"/>
      <c r="C9" s="55"/>
      <c r="D9" s="55"/>
      <c r="E9" s="55"/>
      <c r="F9" s="56" t="s">
        <v>76</v>
      </c>
      <c r="G9" s="55"/>
      <c r="H9" s="55"/>
      <c r="I9" s="55"/>
      <c r="J9" s="55" t="s">
        <v>77</v>
      </c>
      <c r="K9" s="57"/>
      <c r="L9" s="55"/>
      <c r="M9" s="58"/>
      <c r="N9" s="59"/>
      <c r="O9" s="170">
        <v>0.21</v>
      </c>
    </row>
    <row r="10" spans="1:15" x14ac:dyDescent="0.2">
      <c r="A10" s="60"/>
      <c r="B10" s="34"/>
      <c r="C10" s="44"/>
      <c r="D10" s="61"/>
      <c r="E10" s="62"/>
      <c r="F10" s="44"/>
      <c r="G10" s="44"/>
      <c r="H10" s="61"/>
      <c r="I10" s="61"/>
      <c r="J10" s="63"/>
      <c r="K10" s="63"/>
      <c r="L10" s="63"/>
      <c r="M10" s="64"/>
      <c r="N10" s="65"/>
    </row>
    <row r="11" spans="1:15" x14ac:dyDescent="0.2">
      <c r="A11" s="66" t="s">
        <v>78</v>
      </c>
      <c r="B11" s="66"/>
      <c r="C11" s="67"/>
      <c r="D11" s="61"/>
      <c r="E11" s="68"/>
      <c r="F11" s="61"/>
      <c r="G11" s="61"/>
      <c r="H11" s="61"/>
      <c r="I11" s="61"/>
      <c r="J11" s="68"/>
      <c r="K11" s="68"/>
      <c r="L11" s="68"/>
      <c r="M11" s="64"/>
      <c r="N11" s="69"/>
    </row>
    <row r="12" spans="1:15" outlineLevel="1" x14ac:dyDescent="0.2">
      <c r="A12" s="66">
        <v>44165</v>
      </c>
      <c r="B12" s="66"/>
      <c r="C12" s="67"/>
      <c r="D12" s="61"/>
      <c r="E12" s="68"/>
      <c r="F12" s="61"/>
      <c r="G12" s="61"/>
      <c r="H12" s="61"/>
      <c r="I12" s="61"/>
      <c r="J12" s="68"/>
      <c r="K12" s="68"/>
      <c r="L12" s="68"/>
      <c r="M12" s="63"/>
      <c r="N12" s="69"/>
    </row>
    <row r="13" spans="1:15" outlineLevel="1" x14ac:dyDescent="0.2">
      <c r="A13" s="66">
        <v>44196</v>
      </c>
      <c r="B13" s="66"/>
      <c r="C13" s="67"/>
      <c r="D13" s="61"/>
      <c r="E13" s="68"/>
      <c r="F13" s="61"/>
      <c r="G13" s="61"/>
      <c r="H13" s="61"/>
      <c r="I13" s="61"/>
      <c r="J13" s="68"/>
      <c r="K13" s="68"/>
      <c r="L13" s="68"/>
      <c r="M13" s="63"/>
      <c r="N13" s="69"/>
    </row>
    <row r="14" spans="1:15" outlineLevel="1" x14ac:dyDescent="0.2">
      <c r="A14" s="66">
        <v>44227</v>
      </c>
      <c r="B14" s="66"/>
      <c r="C14" s="67"/>
      <c r="D14" s="61"/>
      <c r="E14" s="68"/>
      <c r="F14" s="61"/>
      <c r="G14" s="61"/>
      <c r="H14" s="61"/>
      <c r="I14" s="61"/>
      <c r="J14" s="68"/>
      <c r="K14" s="68"/>
      <c r="L14" s="68"/>
      <c r="M14" s="63"/>
      <c r="N14" s="69"/>
    </row>
    <row r="15" spans="1:15" outlineLevel="1" x14ac:dyDescent="0.2">
      <c r="A15" s="66">
        <v>44255</v>
      </c>
      <c r="B15" s="66"/>
      <c r="C15" s="67"/>
      <c r="D15" s="61"/>
      <c r="E15" s="68"/>
      <c r="F15" s="61"/>
      <c r="G15" s="61"/>
      <c r="H15" s="61"/>
      <c r="I15" s="61"/>
      <c r="J15" s="68"/>
      <c r="K15" s="68"/>
      <c r="L15" s="68"/>
      <c r="M15" s="63"/>
      <c r="N15" s="69"/>
    </row>
    <row r="16" spans="1:15" outlineLevel="1" x14ac:dyDescent="0.2">
      <c r="A16" s="66">
        <v>44286</v>
      </c>
      <c r="B16" s="66"/>
      <c r="C16" s="67"/>
      <c r="D16" s="61"/>
      <c r="E16" s="68"/>
      <c r="F16" s="61"/>
      <c r="G16" s="61"/>
      <c r="H16" s="61"/>
      <c r="I16" s="61"/>
      <c r="J16" s="68"/>
      <c r="K16" s="68"/>
      <c r="L16" s="68"/>
      <c r="M16" s="63"/>
      <c r="N16" s="69"/>
    </row>
    <row r="17" spans="1:15" outlineLevel="1" x14ac:dyDescent="0.2">
      <c r="A17" s="66">
        <v>44316</v>
      </c>
      <c r="B17" s="66"/>
      <c r="C17" s="67"/>
      <c r="D17" s="61"/>
      <c r="E17" s="68"/>
      <c r="F17" s="61"/>
      <c r="G17" s="61"/>
      <c r="H17" s="61"/>
      <c r="I17" s="61"/>
      <c r="J17" s="68"/>
      <c r="K17" s="68"/>
      <c r="L17" s="68"/>
      <c r="M17" s="63"/>
      <c r="N17" s="69"/>
    </row>
    <row r="18" spans="1:15" outlineLevel="1" x14ac:dyDescent="0.2">
      <c r="A18" s="66">
        <v>44347</v>
      </c>
      <c r="B18" s="66"/>
      <c r="C18" s="67"/>
      <c r="D18" s="61"/>
      <c r="E18" s="68"/>
      <c r="F18" s="61"/>
      <c r="G18" s="61"/>
      <c r="H18" s="61"/>
      <c r="I18" s="61"/>
      <c r="J18" s="68"/>
      <c r="K18" s="68"/>
      <c r="L18" s="68"/>
      <c r="M18" s="63"/>
      <c r="N18" s="69"/>
    </row>
    <row r="19" spans="1:15" outlineLevel="1" x14ac:dyDescent="0.2">
      <c r="A19" s="66">
        <v>44377</v>
      </c>
      <c r="B19" s="66"/>
      <c r="C19" s="67"/>
      <c r="D19" s="61"/>
      <c r="E19" s="68"/>
      <c r="F19" s="61"/>
      <c r="G19" s="61"/>
      <c r="H19" s="61"/>
      <c r="I19" s="61"/>
      <c r="J19" s="68"/>
      <c r="K19" s="68"/>
      <c r="L19" s="68"/>
      <c r="M19" s="63"/>
      <c r="N19" s="69"/>
    </row>
    <row r="20" spans="1:15" outlineLevel="1" x14ac:dyDescent="0.2">
      <c r="A20" s="66">
        <v>44408</v>
      </c>
      <c r="B20" s="66"/>
      <c r="C20" s="67"/>
      <c r="D20" s="61"/>
      <c r="E20" s="68"/>
      <c r="F20" s="61"/>
      <c r="G20" s="61"/>
      <c r="H20" s="61"/>
      <c r="I20" s="61"/>
      <c r="J20" s="68"/>
      <c r="K20" s="68"/>
      <c r="L20" s="68"/>
      <c r="M20" s="63"/>
      <c r="N20" s="69"/>
    </row>
    <row r="21" spans="1:15" outlineLevel="1" x14ac:dyDescent="0.2">
      <c r="A21" s="66">
        <v>44439</v>
      </c>
      <c r="B21" s="66"/>
      <c r="C21" s="67"/>
      <c r="D21" s="61"/>
      <c r="E21" s="68"/>
      <c r="F21" s="61"/>
      <c r="G21" s="61"/>
      <c r="H21" s="61"/>
      <c r="I21" s="61"/>
      <c r="J21" s="68"/>
      <c r="K21" s="68"/>
      <c r="L21" s="68"/>
      <c r="M21" s="63"/>
      <c r="N21" s="69"/>
    </row>
    <row r="22" spans="1:15" outlineLevel="1" x14ac:dyDescent="0.2">
      <c r="A22" s="66">
        <v>44469</v>
      </c>
      <c r="B22" s="66"/>
      <c r="C22" s="86"/>
      <c r="D22" s="61"/>
      <c r="E22" s="68"/>
      <c r="F22" s="61"/>
      <c r="G22" s="61"/>
      <c r="H22" s="61"/>
      <c r="I22" s="61"/>
      <c r="J22" s="68"/>
      <c r="K22" s="68"/>
      <c r="L22" s="68"/>
      <c r="M22" s="63"/>
      <c r="N22" s="69"/>
    </row>
    <row r="23" spans="1:15" outlineLevel="1" x14ac:dyDescent="0.2">
      <c r="A23" s="66">
        <v>44500</v>
      </c>
      <c r="B23" s="66"/>
      <c r="C23" s="86"/>
      <c r="D23" s="61"/>
      <c r="E23" s="68"/>
      <c r="F23" s="61"/>
      <c r="G23" s="61"/>
      <c r="H23" s="61"/>
      <c r="I23" s="61"/>
      <c r="J23" s="68"/>
      <c r="K23" s="68"/>
      <c r="L23" s="68"/>
      <c r="M23" s="63"/>
      <c r="N23" s="69"/>
    </row>
    <row r="24" spans="1:15" x14ac:dyDescent="0.2">
      <c r="A24" s="66">
        <v>44530</v>
      </c>
      <c r="B24" s="66"/>
      <c r="C24" s="67"/>
      <c r="D24" s="68">
        <f>D11+C24</f>
        <v>0</v>
      </c>
      <c r="E24" s="68">
        <f t="shared" ref="E24:E87" si="0">(D12+D24+SUM(D13:D23)*2)/24</f>
        <v>0</v>
      </c>
      <c r="F24" s="68">
        <v>0</v>
      </c>
      <c r="G24" s="68">
        <v>0</v>
      </c>
      <c r="H24" s="68">
        <v>0</v>
      </c>
      <c r="I24" s="68">
        <v>0</v>
      </c>
      <c r="J24" s="68">
        <f t="shared" ref="J24:J87" si="1">(-C24*0.21)+(F24*0.21)</f>
        <v>0</v>
      </c>
      <c r="K24" s="68">
        <f t="shared" ref="K24:K87" si="2">K23+J24</f>
        <v>0</v>
      </c>
      <c r="L24" s="68">
        <v>0</v>
      </c>
      <c r="M24" s="68">
        <v>0</v>
      </c>
      <c r="N24" s="70">
        <v>0</v>
      </c>
    </row>
    <row r="25" spans="1:15" x14ac:dyDescent="0.2">
      <c r="A25" s="66">
        <v>44561</v>
      </c>
      <c r="B25" s="66"/>
      <c r="C25" s="67"/>
      <c r="D25" s="68">
        <f t="shared" ref="D25:D88" si="3">D24+C25</f>
        <v>0</v>
      </c>
      <c r="E25" s="68">
        <f t="shared" si="0"/>
        <v>0</v>
      </c>
      <c r="F25" s="68">
        <v>0</v>
      </c>
      <c r="G25" s="68">
        <v>0</v>
      </c>
      <c r="H25" s="68">
        <v>0</v>
      </c>
      <c r="I25" s="68">
        <v>0</v>
      </c>
      <c r="J25" s="68">
        <f t="shared" si="1"/>
        <v>0</v>
      </c>
      <c r="K25" s="68">
        <f t="shared" si="2"/>
        <v>0</v>
      </c>
      <c r="L25" s="68">
        <v>0</v>
      </c>
      <c r="M25" s="68">
        <v>0</v>
      </c>
      <c r="N25" s="70">
        <v>0</v>
      </c>
    </row>
    <row r="26" spans="1:15" x14ac:dyDescent="0.2">
      <c r="A26" s="66">
        <v>44592</v>
      </c>
      <c r="B26" s="66"/>
      <c r="C26" s="67"/>
      <c r="D26" s="68">
        <f t="shared" si="3"/>
        <v>0</v>
      </c>
      <c r="E26" s="68">
        <f>(D14+D26+SUM(D15:D25)*2)/24</f>
        <v>0</v>
      </c>
      <c r="F26" s="148"/>
      <c r="G26" s="68">
        <f t="shared" ref="G26:G37" si="4">G25-F26</f>
        <v>0</v>
      </c>
      <c r="H26" s="68">
        <f t="shared" ref="H26:H37" si="5">(G14+G26+SUM(G15:G25)*2)/24</f>
        <v>0</v>
      </c>
      <c r="I26" s="68">
        <f>E26+H26</f>
        <v>0</v>
      </c>
      <c r="J26" s="68">
        <f t="shared" si="1"/>
        <v>0</v>
      </c>
      <c r="K26" s="68">
        <f t="shared" si="2"/>
        <v>0</v>
      </c>
      <c r="L26" s="68">
        <f t="shared" ref="L26:L36" si="6">(K14+K26+SUM(K15:K25)*2)/24</f>
        <v>0</v>
      </c>
      <c r="M26" s="68">
        <f>I26+L26</f>
        <v>0</v>
      </c>
      <c r="N26" s="70">
        <f t="shared" ref="N26:N36" si="7">+D26+G26+K26</f>
        <v>0</v>
      </c>
      <c r="O26" s="169"/>
    </row>
    <row r="27" spans="1:15" x14ac:dyDescent="0.2">
      <c r="A27" s="66">
        <v>44620</v>
      </c>
      <c r="B27" s="66"/>
      <c r="C27" s="67">
        <f>Actuals!E5</f>
        <v>343277.89</v>
      </c>
      <c r="D27" s="68">
        <f t="shared" si="3"/>
        <v>343277.89</v>
      </c>
      <c r="E27" s="68">
        <f>(D15+D27+SUM(D16:D26)*2)/24</f>
        <v>14303.245416666667</v>
      </c>
      <c r="F27" s="148"/>
      <c r="G27" s="68">
        <f t="shared" si="4"/>
        <v>0</v>
      </c>
      <c r="H27" s="68">
        <f t="shared" si="5"/>
        <v>0</v>
      </c>
      <c r="I27" s="68">
        <f t="shared" ref="I27:I37" si="8">E27+H27</f>
        <v>14303.245416666667</v>
      </c>
      <c r="J27" s="68">
        <f t="shared" si="1"/>
        <v>-72088.356899999999</v>
      </c>
      <c r="K27" s="68">
        <f t="shared" si="2"/>
        <v>-72088.356899999999</v>
      </c>
      <c r="L27" s="68">
        <f t="shared" si="6"/>
        <v>-3003.6815375000001</v>
      </c>
      <c r="M27" s="68">
        <f t="shared" ref="M27:M36" si="9">I27+L27</f>
        <v>11299.563879166666</v>
      </c>
      <c r="N27" s="70">
        <f t="shared" si="7"/>
        <v>271189.5331</v>
      </c>
      <c r="O27" s="169">
        <f t="shared" ref="O27:O90" si="10">-K27/(D27+G27)</f>
        <v>0.21</v>
      </c>
    </row>
    <row r="28" spans="1:15" x14ac:dyDescent="0.2">
      <c r="A28" s="66">
        <v>44651</v>
      </c>
      <c r="B28" s="66"/>
      <c r="C28" s="67">
        <f>Actuals!E6</f>
        <v>306629.76000000001</v>
      </c>
      <c r="D28" s="68">
        <f t="shared" si="3"/>
        <v>649907.65</v>
      </c>
      <c r="E28" s="68">
        <f t="shared" si="0"/>
        <v>55685.976250000007</v>
      </c>
      <c r="F28" s="148"/>
      <c r="G28" s="68">
        <f t="shared" si="4"/>
        <v>0</v>
      </c>
      <c r="H28" s="68">
        <f t="shared" si="5"/>
        <v>0</v>
      </c>
      <c r="I28" s="68">
        <f t="shared" si="8"/>
        <v>55685.976250000007</v>
      </c>
      <c r="J28" s="68">
        <f t="shared" si="1"/>
        <v>-64392.249600000003</v>
      </c>
      <c r="K28" s="68">
        <f t="shared" si="2"/>
        <v>-136480.60649999999</v>
      </c>
      <c r="L28" s="68">
        <f t="shared" si="6"/>
        <v>-11694.055012500001</v>
      </c>
      <c r="M28" s="68">
        <f t="shared" si="9"/>
        <v>43991.921237500006</v>
      </c>
      <c r="N28" s="70">
        <f t="shared" si="7"/>
        <v>513427.04350000003</v>
      </c>
      <c r="O28" s="169">
        <f t="shared" si="10"/>
        <v>0.21</v>
      </c>
    </row>
    <row r="29" spans="1:15" x14ac:dyDescent="0.2">
      <c r="A29" s="66">
        <v>44681</v>
      </c>
      <c r="B29" s="66"/>
      <c r="C29" s="67">
        <f>Actuals!E7</f>
        <v>603434.99</v>
      </c>
      <c r="D29" s="68">
        <f t="shared" si="3"/>
        <v>1253342.6400000001</v>
      </c>
      <c r="E29" s="68">
        <f t="shared" si="0"/>
        <v>134988.07166666668</v>
      </c>
      <c r="F29" s="148"/>
      <c r="G29" s="68">
        <f t="shared" si="4"/>
        <v>0</v>
      </c>
      <c r="H29" s="68">
        <f t="shared" si="5"/>
        <v>0</v>
      </c>
      <c r="I29" s="68">
        <f t="shared" si="8"/>
        <v>134988.07166666668</v>
      </c>
      <c r="J29" s="68">
        <f t="shared" si="1"/>
        <v>-126721.34789999999</v>
      </c>
      <c r="K29" s="68">
        <f t="shared" si="2"/>
        <v>-263201.95439999999</v>
      </c>
      <c r="L29" s="68">
        <f t="shared" si="6"/>
        <v>-28347.495049999998</v>
      </c>
      <c r="M29" s="68">
        <f t="shared" si="9"/>
        <v>106640.57661666669</v>
      </c>
      <c r="N29" s="70">
        <f t="shared" si="7"/>
        <v>990140.6856000002</v>
      </c>
      <c r="O29" s="169">
        <f t="shared" si="10"/>
        <v>0.20999999999999996</v>
      </c>
    </row>
    <row r="30" spans="1:15" x14ac:dyDescent="0.2">
      <c r="A30" s="66">
        <v>44712</v>
      </c>
      <c r="B30" s="66"/>
      <c r="C30" s="67">
        <f>Actuals!E8</f>
        <v>404337</v>
      </c>
      <c r="D30" s="68">
        <f t="shared" si="3"/>
        <v>1657679.6400000001</v>
      </c>
      <c r="E30" s="68">
        <f t="shared" si="0"/>
        <v>256280.66666666666</v>
      </c>
      <c r="F30" s="148"/>
      <c r="G30" s="68">
        <f t="shared" si="4"/>
        <v>0</v>
      </c>
      <c r="H30" s="68">
        <f t="shared" si="5"/>
        <v>0</v>
      </c>
      <c r="I30" s="68">
        <f t="shared" si="8"/>
        <v>256280.66666666666</v>
      </c>
      <c r="J30" s="68">
        <f t="shared" si="1"/>
        <v>-84910.77</v>
      </c>
      <c r="K30" s="68">
        <f t="shared" si="2"/>
        <v>-348112.72440000001</v>
      </c>
      <c r="L30" s="68">
        <f t="shared" si="6"/>
        <v>-53818.94</v>
      </c>
      <c r="M30" s="68">
        <f t="shared" si="9"/>
        <v>202461.72666666665</v>
      </c>
      <c r="N30" s="70">
        <f t="shared" si="7"/>
        <v>1309566.9156000002</v>
      </c>
      <c r="O30" s="169">
        <f t="shared" si="10"/>
        <v>0.21</v>
      </c>
    </row>
    <row r="31" spans="1:15" x14ac:dyDescent="0.2">
      <c r="A31" s="66">
        <v>44742</v>
      </c>
      <c r="B31" s="66"/>
      <c r="C31" s="67">
        <f>Actuals!E9</f>
        <v>376752.99</v>
      </c>
      <c r="D31" s="68">
        <f t="shared" si="3"/>
        <v>2034432.6300000001</v>
      </c>
      <c r="E31" s="68">
        <f t="shared" si="0"/>
        <v>410118.67791666673</v>
      </c>
      <c r="F31" s="148"/>
      <c r="G31" s="68">
        <f t="shared" si="4"/>
        <v>0</v>
      </c>
      <c r="H31" s="68">
        <f t="shared" si="5"/>
        <v>0</v>
      </c>
      <c r="I31" s="68">
        <f t="shared" si="8"/>
        <v>410118.67791666673</v>
      </c>
      <c r="J31" s="68">
        <f t="shared" si="1"/>
        <v>-79118.127899999992</v>
      </c>
      <c r="K31" s="68">
        <f t="shared" si="2"/>
        <v>-427230.85230000003</v>
      </c>
      <c r="L31" s="68">
        <f t="shared" si="6"/>
        <v>-86124.922362500001</v>
      </c>
      <c r="M31" s="68">
        <f t="shared" si="9"/>
        <v>323993.75555416674</v>
      </c>
      <c r="N31" s="70">
        <f t="shared" si="7"/>
        <v>1607201.7777</v>
      </c>
      <c r="O31" s="169">
        <f t="shared" si="10"/>
        <v>0.21</v>
      </c>
    </row>
    <row r="32" spans="1:15" x14ac:dyDescent="0.2">
      <c r="A32" s="66">
        <v>44773</v>
      </c>
      <c r="C32" s="67">
        <f>Actuals!E10</f>
        <v>355362.34</v>
      </c>
      <c r="D32" s="68">
        <f t="shared" si="3"/>
        <v>2389794.9700000002</v>
      </c>
      <c r="E32" s="68">
        <f t="shared" si="0"/>
        <v>594461.49458333338</v>
      </c>
      <c r="F32" s="148"/>
      <c r="G32" s="68">
        <f t="shared" si="4"/>
        <v>0</v>
      </c>
      <c r="H32" s="68">
        <f t="shared" si="5"/>
        <v>0</v>
      </c>
      <c r="I32" s="68">
        <f t="shared" si="8"/>
        <v>594461.49458333338</v>
      </c>
      <c r="J32" s="68">
        <f t="shared" si="1"/>
        <v>-74626.091400000005</v>
      </c>
      <c r="K32" s="68">
        <f t="shared" si="2"/>
        <v>-501856.94370000006</v>
      </c>
      <c r="L32" s="68">
        <f t="shared" si="6"/>
        <v>-124836.91386250001</v>
      </c>
      <c r="M32" s="68">
        <f t="shared" si="9"/>
        <v>469624.58072083339</v>
      </c>
      <c r="N32" s="70">
        <f t="shared" si="7"/>
        <v>1887938.0263</v>
      </c>
      <c r="O32" s="169">
        <f t="shared" si="10"/>
        <v>0.21000000000000002</v>
      </c>
    </row>
    <row r="33" spans="1:15" x14ac:dyDescent="0.2">
      <c r="A33" s="66">
        <v>44804</v>
      </c>
      <c r="C33" s="67">
        <f>Actuals!E11</f>
        <v>353470.22</v>
      </c>
      <c r="D33" s="68">
        <f t="shared" si="3"/>
        <v>2743265.1900000004</v>
      </c>
      <c r="E33" s="68">
        <f t="shared" si="0"/>
        <v>808339.00125000009</v>
      </c>
      <c r="F33" s="148"/>
      <c r="G33" s="68">
        <f t="shared" si="4"/>
        <v>0</v>
      </c>
      <c r="H33" s="68">
        <f t="shared" si="5"/>
        <v>0</v>
      </c>
      <c r="I33" s="68">
        <f t="shared" si="8"/>
        <v>808339.00125000009</v>
      </c>
      <c r="J33" s="68">
        <f t="shared" si="1"/>
        <v>-74228.746199999994</v>
      </c>
      <c r="K33" s="68">
        <f t="shared" si="2"/>
        <v>-576085.68990000011</v>
      </c>
      <c r="L33" s="68">
        <f t="shared" si="6"/>
        <v>-169751.19026250002</v>
      </c>
      <c r="M33" s="68">
        <f t="shared" si="9"/>
        <v>638587.81098750001</v>
      </c>
      <c r="N33" s="70">
        <f t="shared" si="7"/>
        <v>2167179.5001000003</v>
      </c>
      <c r="O33" s="169">
        <f t="shared" si="10"/>
        <v>0.21000000000000002</v>
      </c>
    </row>
    <row r="34" spans="1:15" x14ac:dyDescent="0.2">
      <c r="A34" s="66">
        <v>44834</v>
      </c>
      <c r="C34" s="67">
        <f>Actuals!E12</f>
        <v>334818.90999999997</v>
      </c>
      <c r="D34" s="68">
        <f t="shared" si="3"/>
        <v>3078084.1000000006</v>
      </c>
      <c r="E34" s="68">
        <f t="shared" si="0"/>
        <v>1050895.2216666667</v>
      </c>
      <c r="F34" s="148"/>
      <c r="G34" s="68">
        <f t="shared" si="4"/>
        <v>0</v>
      </c>
      <c r="H34" s="68">
        <f t="shared" si="5"/>
        <v>0</v>
      </c>
      <c r="I34" s="68">
        <f t="shared" si="8"/>
        <v>1050895.2216666667</v>
      </c>
      <c r="J34" s="68">
        <f t="shared" si="1"/>
        <v>-70311.971099999995</v>
      </c>
      <c r="K34" s="68">
        <f t="shared" si="2"/>
        <v>-646397.66100000008</v>
      </c>
      <c r="L34" s="68">
        <f t="shared" si="6"/>
        <v>-220687.99655000004</v>
      </c>
      <c r="M34" s="68">
        <f t="shared" si="9"/>
        <v>830207.22511666664</v>
      </c>
      <c r="N34" s="70">
        <f t="shared" si="7"/>
        <v>2431686.4390000002</v>
      </c>
      <c r="O34" s="169">
        <f t="shared" si="10"/>
        <v>0.21</v>
      </c>
    </row>
    <row r="35" spans="1:15" x14ac:dyDescent="0.2">
      <c r="A35" s="66">
        <v>44865</v>
      </c>
      <c r="C35" s="67">
        <f>Actuals!E13</f>
        <v>374212.85</v>
      </c>
      <c r="D35" s="68">
        <f t="shared" si="3"/>
        <v>3452296.9500000007</v>
      </c>
      <c r="E35" s="68">
        <f t="shared" si="0"/>
        <v>1322994.4320833334</v>
      </c>
      <c r="F35" s="148"/>
      <c r="G35" s="68">
        <f t="shared" si="4"/>
        <v>0</v>
      </c>
      <c r="H35" s="68">
        <f t="shared" si="5"/>
        <v>0</v>
      </c>
      <c r="I35" s="68">
        <f t="shared" si="8"/>
        <v>1322994.4320833334</v>
      </c>
      <c r="J35" s="68">
        <f t="shared" si="1"/>
        <v>-78584.698499999999</v>
      </c>
      <c r="K35" s="68">
        <f t="shared" si="2"/>
        <v>-724982.35950000002</v>
      </c>
      <c r="L35" s="68">
        <f t="shared" si="6"/>
        <v>-277828.83073750004</v>
      </c>
      <c r="M35" s="68">
        <f t="shared" si="9"/>
        <v>1045165.6013458334</v>
      </c>
      <c r="N35" s="70">
        <f t="shared" si="7"/>
        <v>2727314.5905000009</v>
      </c>
      <c r="O35" s="169">
        <f t="shared" si="10"/>
        <v>0.20999999999999996</v>
      </c>
    </row>
    <row r="36" spans="1:15" x14ac:dyDescent="0.2">
      <c r="A36" s="66">
        <v>44895</v>
      </c>
      <c r="C36" s="67">
        <f>Actuals!E14</f>
        <v>596097.85</v>
      </c>
      <c r="D36" s="68">
        <f t="shared" si="3"/>
        <v>4048394.8000000007</v>
      </c>
      <c r="E36" s="68">
        <f t="shared" si="0"/>
        <v>1635523.2550000001</v>
      </c>
      <c r="F36" s="148"/>
      <c r="G36" s="68">
        <f t="shared" si="4"/>
        <v>0</v>
      </c>
      <c r="H36" s="68">
        <f t="shared" si="5"/>
        <v>0</v>
      </c>
      <c r="I36" s="68">
        <f t="shared" si="8"/>
        <v>1635523.2550000001</v>
      </c>
      <c r="J36" s="68">
        <f t="shared" si="1"/>
        <v>-125180.54849999999</v>
      </c>
      <c r="K36" s="68">
        <f t="shared" si="2"/>
        <v>-850162.90800000005</v>
      </c>
      <c r="L36" s="68">
        <f t="shared" si="6"/>
        <v>-343459.88355000009</v>
      </c>
      <c r="M36" s="68">
        <f t="shared" si="9"/>
        <v>1292063.37145</v>
      </c>
      <c r="N36" s="70">
        <f t="shared" si="7"/>
        <v>3198231.8920000009</v>
      </c>
      <c r="O36" s="169">
        <f t="shared" si="10"/>
        <v>0.20999999999999996</v>
      </c>
    </row>
    <row r="37" spans="1:15" x14ac:dyDescent="0.2">
      <c r="A37" s="66">
        <v>44926</v>
      </c>
      <c r="C37" s="67">
        <f>Actuals!E15</f>
        <v>526798.9</v>
      </c>
      <c r="D37" s="68">
        <f t="shared" si="3"/>
        <v>4575193.7000000011</v>
      </c>
      <c r="E37" s="68">
        <f t="shared" si="0"/>
        <v>1994839.4425000001</v>
      </c>
      <c r="F37" s="148"/>
      <c r="G37" s="68">
        <f t="shared" si="4"/>
        <v>0</v>
      </c>
      <c r="H37" s="68">
        <f t="shared" si="5"/>
        <v>0</v>
      </c>
      <c r="I37" s="68">
        <f t="shared" si="8"/>
        <v>1994839.4425000001</v>
      </c>
      <c r="J37" s="68">
        <f t="shared" si="1"/>
        <v>-110627.769</v>
      </c>
      <c r="K37" s="68">
        <f t="shared" si="2"/>
        <v>-960790.67700000003</v>
      </c>
      <c r="L37" s="68">
        <f t="shared" ref="L37:L95" si="11">(K25+K37+SUM(K26:K36)*2)/24</f>
        <v>-418916.28292500001</v>
      </c>
      <c r="M37" s="68">
        <f t="shared" ref="M37:M95" si="12">L37+I37</f>
        <v>1575923.1595750002</v>
      </c>
      <c r="N37" s="69">
        <f t="shared" ref="N37:N95" si="13">+D37+G37+K37</f>
        <v>3614403.023000001</v>
      </c>
      <c r="O37" s="169">
        <f t="shared" si="10"/>
        <v>0.20999999999999996</v>
      </c>
    </row>
    <row r="38" spans="1:15" x14ac:dyDescent="0.2">
      <c r="A38" s="66">
        <v>44957</v>
      </c>
      <c r="B38" s="66"/>
      <c r="C38" s="67">
        <f>Actuals!E16</f>
        <v>366507.41</v>
      </c>
      <c r="D38" s="68">
        <f t="shared" si="3"/>
        <v>4941701.1100000013</v>
      </c>
      <c r="E38" s="68">
        <f>(D26+D38+SUM(D27:D37)*2)/24</f>
        <v>2391376.7262500003</v>
      </c>
      <c r="F38" s="148"/>
      <c r="G38" s="68">
        <f t="shared" ref="G38:G95" si="14">G37-F38</f>
        <v>0</v>
      </c>
      <c r="H38" s="68">
        <f t="shared" ref="H38:H95" si="15">(G26+G38+SUM(G27:G37)*2)/24</f>
        <v>0</v>
      </c>
      <c r="I38" s="68">
        <f t="shared" ref="I38:I95" si="16">E38+H38</f>
        <v>2391376.7262500003</v>
      </c>
      <c r="J38" s="68">
        <f t="shared" si="1"/>
        <v>-76966.556099999987</v>
      </c>
      <c r="K38" s="73">
        <f t="shared" si="2"/>
        <v>-1037757.2331000001</v>
      </c>
      <c r="L38" s="68">
        <f t="shared" si="11"/>
        <v>-502189.11251250008</v>
      </c>
      <c r="M38" s="74">
        <f t="shared" si="12"/>
        <v>1889187.6137375003</v>
      </c>
      <c r="N38" s="69">
        <f t="shared" si="13"/>
        <v>3903943.8769000014</v>
      </c>
      <c r="O38" s="169">
        <f t="shared" si="10"/>
        <v>0.20999999999999996</v>
      </c>
    </row>
    <row r="39" spans="1:15" x14ac:dyDescent="0.2">
      <c r="A39" s="66">
        <v>44985</v>
      </c>
      <c r="B39" s="66"/>
      <c r="C39" s="67">
        <f>Actuals!E17</f>
        <v>372998.81</v>
      </c>
      <c r="D39" s="68">
        <f t="shared" si="3"/>
        <v>5314699.9200000009</v>
      </c>
      <c r="E39" s="68">
        <f t="shared" si="0"/>
        <v>2804423.5237500002</v>
      </c>
      <c r="F39" s="148"/>
      <c r="G39" s="68">
        <f t="shared" si="14"/>
        <v>0</v>
      </c>
      <c r="H39" s="68">
        <f t="shared" si="15"/>
        <v>0</v>
      </c>
      <c r="I39" s="68">
        <f t="shared" si="16"/>
        <v>2804423.5237500002</v>
      </c>
      <c r="J39" s="68">
        <f t="shared" si="1"/>
        <v>-78329.75009999999</v>
      </c>
      <c r="K39" s="73">
        <f t="shared" si="2"/>
        <v>-1116086.9832000001</v>
      </c>
      <c r="L39" s="68">
        <f t="shared" si="11"/>
        <v>-588928.93998750008</v>
      </c>
      <c r="M39" s="74">
        <f t="shared" si="12"/>
        <v>2215494.5837625</v>
      </c>
      <c r="N39" s="69">
        <f t="shared" si="13"/>
        <v>4198612.9368000012</v>
      </c>
      <c r="O39" s="169">
        <f t="shared" si="10"/>
        <v>0.21</v>
      </c>
    </row>
    <row r="40" spans="1:15" x14ac:dyDescent="0.2">
      <c r="A40" s="66">
        <v>45016</v>
      </c>
      <c r="B40" s="66"/>
      <c r="C40" s="67">
        <f>Actuals!E18</f>
        <v>474539.27</v>
      </c>
      <c r="D40" s="68">
        <f t="shared" si="3"/>
        <v>5789239.1900000013</v>
      </c>
      <c r="E40" s="68">
        <f t="shared" si="0"/>
        <v>3225704.9225000008</v>
      </c>
      <c r="F40" s="148"/>
      <c r="G40" s="68">
        <f t="shared" si="14"/>
        <v>0</v>
      </c>
      <c r="H40" s="68">
        <f t="shared" si="15"/>
        <v>0</v>
      </c>
      <c r="I40" s="68">
        <f t="shared" si="16"/>
        <v>3225704.9225000008</v>
      </c>
      <c r="J40" s="68">
        <f t="shared" si="1"/>
        <v>-99653.246700000003</v>
      </c>
      <c r="K40" s="73">
        <f t="shared" si="2"/>
        <v>-1215740.2299000002</v>
      </c>
      <c r="L40" s="68">
        <f t="shared" si="11"/>
        <v>-677398.0337250001</v>
      </c>
      <c r="M40" s="74">
        <f t="shared" si="12"/>
        <v>2548306.8887750008</v>
      </c>
      <c r="N40" s="69">
        <f t="shared" si="13"/>
        <v>4573498.9601000007</v>
      </c>
      <c r="O40" s="169">
        <f t="shared" si="10"/>
        <v>0.20999999999999996</v>
      </c>
    </row>
    <row r="41" spans="1:15" x14ac:dyDescent="0.2">
      <c r="A41" s="66">
        <v>45046</v>
      </c>
      <c r="B41" s="66"/>
      <c r="C41" s="67">
        <f>'O&amp;M'!B24</f>
        <v>508765.00945010001</v>
      </c>
      <c r="D41" s="68">
        <f t="shared" si="3"/>
        <v>6298004.1994501017</v>
      </c>
      <c r="E41" s="68">
        <f t="shared" si="0"/>
        <v>3650037.9683104213</v>
      </c>
      <c r="F41" s="148"/>
      <c r="G41" s="68">
        <f t="shared" si="14"/>
        <v>0</v>
      </c>
      <c r="H41" s="68">
        <f t="shared" si="15"/>
        <v>0</v>
      </c>
      <c r="I41" s="68">
        <f t="shared" si="16"/>
        <v>3650037.9683104213</v>
      </c>
      <c r="J41" s="68">
        <f t="shared" si="1"/>
        <v>-106840.651984521</v>
      </c>
      <c r="K41" s="73">
        <f t="shared" si="2"/>
        <v>-1322580.8818845211</v>
      </c>
      <c r="L41" s="68">
        <f t="shared" si="11"/>
        <v>-766507.97334518854</v>
      </c>
      <c r="M41" s="74">
        <f t="shared" si="12"/>
        <v>2883529.9949652329</v>
      </c>
      <c r="N41" s="69">
        <f t="shared" si="13"/>
        <v>4975423.3175655808</v>
      </c>
      <c r="O41" s="169">
        <f t="shared" si="10"/>
        <v>0.20999999999999996</v>
      </c>
    </row>
    <row r="42" spans="1:15" x14ac:dyDescent="0.2">
      <c r="A42" s="66">
        <v>45077</v>
      </c>
      <c r="B42" s="66"/>
      <c r="C42" s="67">
        <f>'O&amp;M'!C24</f>
        <v>501022.18247479998</v>
      </c>
      <c r="D42" s="68">
        <f t="shared" si="3"/>
        <v>6799026.3819249021</v>
      </c>
      <c r="E42" s="68">
        <f t="shared" si="0"/>
        <v>4074454.9808677132</v>
      </c>
      <c r="F42" s="148"/>
      <c r="G42" s="68">
        <f t="shared" si="14"/>
        <v>0</v>
      </c>
      <c r="H42" s="68">
        <f t="shared" si="15"/>
        <v>0</v>
      </c>
      <c r="I42" s="68">
        <f t="shared" si="16"/>
        <v>4074454.9808677132</v>
      </c>
      <c r="J42" s="68">
        <f t="shared" si="1"/>
        <v>-105214.65831970799</v>
      </c>
      <c r="K42" s="73">
        <f t="shared" si="2"/>
        <v>-1427795.5402042291</v>
      </c>
      <c r="L42" s="68">
        <f t="shared" si="11"/>
        <v>-855635.54598221974</v>
      </c>
      <c r="M42" s="74">
        <f t="shared" si="12"/>
        <v>3218819.4348854935</v>
      </c>
      <c r="N42" s="69">
        <f t="shared" si="13"/>
        <v>5371230.8417206733</v>
      </c>
      <c r="O42" s="169">
        <f t="shared" si="10"/>
        <v>0.20999999999999994</v>
      </c>
    </row>
    <row r="43" spans="1:15" x14ac:dyDescent="0.2">
      <c r="A43" s="66">
        <v>45107</v>
      </c>
      <c r="B43" s="66"/>
      <c r="C43" s="67">
        <f>'O&amp;M'!D24</f>
        <v>477335.35295129998</v>
      </c>
      <c r="D43" s="68">
        <f t="shared" si="3"/>
        <v>7276361.7348762024</v>
      </c>
      <c r="E43" s="68">
        <f t="shared" si="0"/>
        <v>4507091.474484426</v>
      </c>
      <c r="F43" s="148"/>
      <c r="G43" s="68">
        <f t="shared" si="14"/>
        <v>0</v>
      </c>
      <c r="H43" s="68">
        <f t="shared" si="15"/>
        <v>0</v>
      </c>
      <c r="I43" s="68">
        <f t="shared" si="16"/>
        <v>4507091.474484426</v>
      </c>
      <c r="J43" s="68">
        <f t="shared" si="1"/>
        <v>-100240.42411977299</v>
      </c>
      <c r="K43" s="73">
        <f t="shared" si="2"/>
        <v>-1528035.9643240022</v>
      </c>
      <c r="L43" s="68">
        <f t="shared" si="11"/>
        <v>-946489.20964172937</v>
      </c>
      <c r="M43" s="74">
        <f t="shared" si="12"/>
        <v>3560602.2648426965</v>
      </c>
      <c r="N43" s="69">
        <f t="shared" si="13"/>
        <v>5748325.7705522003</v>
      </c>
      <c r="O43" s="169">
        <f t="shared" si="10"/>
        <v>0.20999999999999996</v>
      </c>
    </row>
    <row r="44" spans="1:15" x14ac:dyDescent="0.2">
      <c r="A44" s="66">
        <v>45138</v>
      </c>
      <c r="B44" s="66"/>
      <c r="C44" s="67">
        <f>'O&amp;M'!E24</f>
        <v>369609.2918378</v>
      </c>
      <c r="D44" s="68">
        <f t="shared" si="3"/>
        <v>7645971.0267140027</v>
      </c>
      <c r="E44" s="68">
        <f t="shared" si="0"/>
        <v>4944512.5228840187</v>
      </c>
      <c r="F44" s="148"/>
      <c r="G44" s="68">
        <f t="shared" si="14"/>
        <v>0</v>
      </c>
      <c r="H44" s="68">
        <f t="shared" si="15"/>
        <v>0</v>
      </c>
      <c r="I44" s="68">
        <f t="shared" si="16"/>
        <v>4944512.5228840187</v>
      </c>
      <c r="J44" s="68">
        <f t="shared" si="1"/>
        <v>-77617.951285938005</v>
      </c>
      <c r="K44" s="73">
        <f t="shared" si="2"/>
        <v>-1605653.9156099402</v>
      </c>
      <c r="L44" s="68">
        <f t="shared" si="11"/>
        <v>-1038347.6298056437</v>
      </c>
      <c r="M44" s="74">
        <f t="shared" si="12"/>
        <v>3906164.8930783751</v>
      </c>
      <c r="N44" s="69">
        <f t="shared" si="13"/>
        <v>6040317.1111040628</v>
      </c>
      <c r="O44" s="169">
        <f t="shared" si="10"/>
        <v>0.20999999999999994</v>
      </c>
    </row>
    <row r="45" spans="1:15" x14ac:dyDescent="0.2">
      <c r="A45" s="66">
        <v>45169</v>
      </c>
      <c r="B45" s="66"/>
      <c r="C45" s="67">
        <f>'O&amp;M'!F24</f>
        <v>375609.2918378</v>
      </c>
      <c r="D45" s="68">
        <f t="shared" si="3"/>
        <v>8021580.318551803</v>
      </c>
      <c r="E45" s="68">
        <f t="shared" si="0"/>
        <v>5383449.6556034265</v>
      </c>
      <c r="F45" s="148"/>
      <c r="G45" s="68">
        <f t="shared" si="14"/>
        <v>0</v>
      </c>
      <c r="H45" s="68">
        <f t="shared" si="15"/>
        <v>0</v>
      </c>
      <c r="I45" s="68">
        <f t="shared" si="16"/>
        <v>5383449.6556034265</v>
      </c>
      <c r="J45" s="68">
        <f t="shared" si="1"/>
        <v>-78877.951285938005</v>
      </c>
      <c r="K45" s="73">
        <f t="shared" si="2"/>
        <v>-1684531.8668958782</v>
      </c>
      <c r="L45" s="68">
        <f t="shared" si="11"/>
        <v>-1130524.4276767196</v>
      </c>
      <c r="M45" s="74">
        <f t="shared" si="12"/>
        <v>4252925.2279267069</v>
      </c>
      <c r="N45" s="69">
        <f t="shared" si="13"/>
        <v>6337048.4516559243</v>
      </c>
      <c r="O45" s="169">
        <f t="shared" si="10"/>
        <v>0.20999999999999994</v>
      </c>
    </row>
    <row r="46" spans="1:15" x14ac:dyDescent="0.2">
      <c r="A46" s="66">
        <v>45199</v>
      </c>
      <c r="B46" s="66"/>
      <c r="C46" s="67">
        <f>'O&amp;M'!G24</f>
        <v>369313.38796580001</v>
      </c>
      <c r="D46" s="68">
        <f t="shared" si="3"/>
        <v>8390893.7065176032</v>
      </c>
      <c r="E46" s="68">
        <f t="shared" si="0"/>
        <v>5824746.5195646519</v>
      </c>
      <c r="F46" s="148"/>
      <c r="G46" s="68">
        <f t="shared" si="14"/>
        <v>0</v>
      </c>
      <c r="H46" s="68">
        <f t="shared" si="15"/>
        <v>0</v>
      </c>
      <c r="I46" s="68">
        <f t="shared" si="16"/>
        <v>5824746.5195646519</v>
      </c>
      <c r="J46" s="68">
        <f t="shared" si="1"/>
        <v>-77555.811472817993</v>
      </c>
      <c r="K46" s="73">
        <f t="shared" si="2"/>
        <v>-1762087.6783686962</v>
      </c>
      <c r="L46" s="68">
        <f t="shared" si="11"/>
        <v>-1223196.7691085767</v>
      </c>
      <c r="M46" s="74">
        <f t="shared" si="12"/>
        <v>4601549.7504560752</v>
      </c>
      <c r="N46" s="69">
        <f t="shared" si="13"/>
        <v>6628806.0281489072</v>
      </c>
      <c r="O46" s="169">
        <f t="shared" si="10"/>
        <v>0.20999999999999994</v>
      </c>
    </row>
    <row r="47" spans="1:15" ht="13.5" thickBot="1" x14ac:dyDescent="0.25">
      <c r="A47" s="66">
        <v>45230</v>
      </c>
      <c r="B47" s="66"/>
      <c r="C47" s="67">
        <f>'O&amp;M'!H24</f>
        <v>488199.94235060003</v>
      </c>
      <c r="D47" s="68">
        <f t="shared" si="3"/>
        <v>8879093.6488682032</v>
      </c>
      <c r="E47" s="68">
        <f t="shared" si="0"/>
        <v>6272230.1156223929</v>
      </c>
      <c r="F47" s="148"/>
      <c r="G47" s="68">
        <f t="shared" si="14"/>
        <v>0</v>
      </c>
      <c r="H47" s="68">
        <f t="shared" si="15"/>
        <v>0</v>
      </c>
      <c r="I47" s="68">
        <f t="shared" si="16"/>
        <v>6272230.1156223929</v>
      </c>
      <c r="J47" s="68">
        <f t="shared" si="1"/>
        <v>-102521.98789362601</v>
      </c>
      <c r="K47" s="73">
        <f t="shared" si="2"/>
        <v>-1864609.6662623223</v>
      </c>
      <c r="L47" s="68">
        <f t="shared" si="11"/>
        <v>-1317168.3242807025</v>
      </c>
      <c r="M47" s="74">
        <f t="shared" si="12"/>
        <v>4955061.7913416903</v>
      </c>
      <c r="N47" s="69">
        <f t="shared" si="13"/>
        <v>7014483.9826058811</v>
      </c>
      <c r="O47" s="169">
        <f t="shared" si="10"/>
        <v>0.20999999999999996</v>
      </c>
    </row>
    <row r="48" spans="1:15" x14ac:dyDescent="0.2">
      <c r="A48" s="158">
        <v>45260</v>
      </c>
      <c r="B48" s="158" t="s">
        <v>189</v>
      </c>
      <c r="C48" s="159"/>
      <c r="D48" s="160">
        <f t="shared" si="3"/>
        <v>8879093.6488682032</v>
      </c>
      <c r="E48" s="160">
        <f>(D36+D48+SUM(D37:D47)*2)/24</f>
        <v>6699625.7634447441</v>
      </c>
      <c r="F48" s="161">
        <f t="shared" ref="F48:F95" si="17">D48/48</f>
        <v>184981.11768475422</v>
      </c>
      <c r="G48" s="160">
        <f t="shared" si="14"/>
        <v>-184981.11768475422</v>
      </c>
      <c r="H48" s="160">
        <f t="shared" si="15"/>
        <v>-7707.5465701980929</v>
      </c>
      <c r="I48" s="160">
        <f t="shared" si="16"/>
        <v>6691918.2168745464</v>
      </c>
      <c r="J48" s="160">
        <f t="shared" si="1"/>
        <v>38846.034713798384</v>
      </c>
      <c r="K48" s="162">
        <f t="shared" si="2"/>
        <v>-1825763.6315485239</v>
      </c>
      <c r="L48" s="160">
        <f t="shared" si="11"/>
        <v>-1405302.8255436544</v>
      </c>
      <c r="M48" s="163">
        <f t="shared" si="12"/>
        <v>5286615.3913308922</v>
      </c>
      <c r="N48" s="164">
        <f t="shared" si="13"/>
        <v>6868348.8996349256</v>
      </c>
      <c r="O48" s="169">
        <f t="shared" si="10"/>
        <v>0.20999999999999994</v>
      </c>
    </row>
    <row r="49" spans="1:15" x14ac:dyDescent="0.2">
      <c r="A49" s="66">
        <v>45291</v>
      </c>
      <c r="B49" s="66" t="s">
        <v>189</v>
      </c>
      <c r="C49" s="68"/>
      <c r="D49" s="68">
        <f t="shared" si="3"/>
        <v>8879093.6488682032</v>
      </c>
      <c r="E49" s="68">
        <f t="shared" si="0"/>
        <v>7080234.0466837594</v>
      </c>
      <c r="F49" s="148">
        <f t="shared" si="17"/>
        <v>184981.11768475422</v>
      </c>
      <c r="G49" s="68">
        <f t="shared" si="14"/>
        <v>-369962.23536950845</v>
      </c>
      <c r="H49" s="68">
        <f t="shared" si="15"/>
        <v>-30830.186280792372</v>
      </c>
      <c r="I49" s="68">
        <f t="shared" si="16"/>
        <v>7049403.8604029668</v>
      </c>
      <c r="J49" s="68">
        <f t="shared" si="1"/>
        <v>38846.034713798384</v>
      </c>
      <c r="K49" s="73">
        <f t="shared" si="2"/>
        <v>-1786917.5968347255</v>
      </c>
      <c r="L49" s="68">
        <f t="shared" si="11"/>
        <v>-1480374.8106846232</v>
      </c>
      <c r="M49" s="74">
        <f t="shared" si="12"/>
        <v>5569029.0497183437</v>
      </c>
      <c r="N49" s="69">
        <f t="shared" si="13"/>
        <v>6722213.8166639684</v>
      </c>
      <c r="O49" s="169">
        <f t="shared" si="10"/>
        <v>0.20999999999999996</v>
      </c>
    </row>
    <row r="50" spans="1:15" x14ac:dyDescent="0.2">
      <c r="A50" s="66">
        <v>45322</v>
      </c>
      <c r="B50" s="66" t="s">
        <v>189</v>
      </c>
      <c r="C50" s="68"/>
      <c r="D50" s="68">
        <f t="shared" si="3"/>
        <v>8879093.6488682032</v>
      </c>
      <c r="E50" s="68">
        <f t="shared" si="0"/>
        <v>7423621.2336727781</v>
      </c>
      <c r="F50" s="148">
        <f t="shared" si="17"/>
        <v>184981.11768475422</v>
      </c>
      <c r="G50" s="68">
        <f t="shared" si="14"/>
        <v>-554943.3530542627</v>
      </c>
      <c r="H50" s="68">
        <f t="shared" si="15"/>
        <v>-69367.919131782837</v>
      </c>
      <c r="I50" s="68">
        <f t="shared" si="16"/>
        <v>7354253.3145409953</v>
      </c>
      <c r="J50" s="68">
        <f t="shared" si="1"/>
        <v>38846.034713798384</v>
      </c>
      <c r="K50" s="73">
        <f t="shared" si="2"/>
        <v>-1748071.562120927</v>
      </c>
      <c r="L50" s="68">
        <f t="shared" si="11"/>
        <v>-1544393.1960536086</v>
      </c>
      <c r="M50" s="74">
        <f t="shared" si="12"/>
        <v>5809860.118487387</v>
      </c>
      <c r="N50" s="69">
        <f t="shared" si="13"/>
        <v>6576078.733693013</v>
      </c>
      <c r="O50" s="169">
        <f t="shared" si="10"/>
        <v>0.20999999999999994</v>
      </c>
    </row>
    <row r="51" spans="1:15" x14ac:dyDescent="0.2">
      <c r="A51" s="66">
        <v>45351</v>
      </c>
      <c r="B51" s="66" t="s">
        <v>189</v>
      </c>
      <c r="C51" s="68"/>
      <c r="D51" s="68">
        <f t="shared" si="3"/>
        <v>8879093.6488682032</v>
      </c>
      <c r="E51" s="68">
        <f t="shared" si="0"/>
        <v>7736195.6614951268</v>
      </c>
      <c r="F51" s="148">
        <f t="shared" si="17"/>
        <v>184981.11768475422</v>
      </c>
      <c r="G51" s="68">
        <f t="shared" si="14"/>
        <v>-739924.47073901689</v>
      </c>
      <c r="H51" s="68">
        <f t="shared" si="15"/>
        <v>-123320.74512316949</v>
      </c>
      <c r="I51" s="68">
        <f t="shared" si="16"/>
        <v>7612874.9163719574</v>
      </c>
      <c r="J51" s="68">
        <f t="shared" si="1"/>
        <v>38846.034713798384</v>
      </c>
      <c r="K51" s="73">
        <f t="shared" si="2"/>
        <v>-1709225.5274071286</v>
      </c>
      <c r="L51" s="68">
        <f t="shared" si="11"/>
        <v>-1598703.732438111</v>
      </c>
      <c r="M51" s="74">
        <f t="shared" si="12"/>
        <v>6014171.1839338467</v>
      </c>
      <c r="N51" s="69">
        <f t="shared" si="13"/>
        <v>6429943.6507220576</v>
      </c>
      <c r="O51" s="169">
        <f t="shared" si="10"/>
        <v>0.20999999999999994</v>
      </c>
    </row>
    <row r="52" spans="1:15" x14ac:dyDescent="0.2">
      <c r="A52" s="66">
        <v>45382</v>
      </c>
      <c r="B52" s="66" t="s">
        <v>189</v>
      </c>
      <c r="C52" s="68"/>
      <c r="D52" s="68">
        <f t="shared" si="3"/>
        <v>8879093.6488682032</v>
      </c>
      <c r="E52" s="68">
        <f t="shared" si="0"/>
        <v>8013456.0026508113</v>
      </c>
      <c r="F52" s="148">
        <f t="shared" si="17"/>
        <v>184981.11768475422</v>
      </c>
      <c r="G52" s="68">
        <f t="shared" si="14"/>
        <v>-924905.58842377109</v>
      </c>
      <c r="H52" s="68">
        <f t="shared" si="15"/>
        <v>-192688.66425495231</v>
      </c>
      <c r="I52" s="68">
        <f t="shared" si="16"/>
        <v>7820767.3383958591</v>
      </c>
      <c r="J52" s="68">
        <f t="shared" si="1"/>
        <v>38846.034713798384</v>
      </c>
      <c r="K52" s="73">
        <f t="shared" si="2"/>
        <v>-1670379.4926933302</v>
      </c>
      <c r="L52" s="68">
        <f t="shared" si="11"/>
        <v>-1642361.1410631302</v>
      </c>
      <c r="M52" s="74">
        <f t="shared" si="12"/>
        <v>6178406.1973327287</v>
      </c>
      <c r="N52" s="69">
        <f t="shared" si="13"/>
        <v>6283808.5677511021</v>
      </c>
      <c r="O52" s="169">
        <f t="shared" si="10"/>
        <v>0.20999999999999991</v>
      </c>
    </row>
    <row r="53" spans="1:15" x14ac:dyDescent="0.2">
      <c r="A53" s="66">
        <v>45412</v>
      </c>
      <c r="B53" s="66" t="s">
        <v>189</v>
      </c>
      <c r="C53" s="68"/>
      <c r="D53" s="68">
        <f t="shared" si="3"/>
        <v>8879093.6488682032</v>
      </c>
      <c r="E53" s="68">
        <f t="shared" si="0"/>
        <v>8249745.3321627406</v>
      </c>
      <c r="F53" s="148">
        <f t="shared" si="17"/>
        <v>184981.11768475422</v>
      </c>
      <c r="G53" s="68">
        <f t="shared" si="14"/>
        <v>-1109886.7061085254</v>
      </c>
      <c r="H53" s="68">
        <f t="shared" si="15"/>
        <v>-277471.67652713135</v>
      </c>
      <c r="I53" s="68">
        <f t="shared" si="16"/>
        <v>7972273.6556356093</v>
      </c>
      <c r="J53" s="68">
        <f t="shared" si="1"/>
        <v>38846.034713798384</v>
      </c>
      <c r="K53" s="73">
        <f t="shared" si="2"/>
        <v>-1631533.4579795317</v>
      </c>
      <c r="L53" s="68">
        <f t="shared" si="11"/>
        <v>-1674177.4676834776</v>
      </c>
      <c r="M53" s="74">
        <f t="shared" si="12"/>
        <v>6298096.187952132</v>
      </c>
      <c r="N53" s="69">
        <f t="shared" si="13"/>
        <v>6137673.4847801458</v>
      </c>
      <c r="O53" s="169">
        <f t="shared" si="10"/>
        <v>0.20999999999999991</v>
      </c>
    </row>
    <row r="54" spans="1:15" x14ac:dyDescent="0.2">
      <c r="A54" s="66">
        <v>45443</v>
      </c>
      <c r="B54" s="66" t="s">
        <v>189</v>
      </c>
      <c r="C54" s="68"/>
      <c r="D54" s="68">
        <f t="shared" si="3"/>
        <v>8879093.6488682032</v>
      </c>
      <c r="E54" s="68">
        <f t="shared" si="0"/>
        <v>8443960.1953444649</v>
      </c>
      <c r="F54" s="148">
        <f t="shared" si="17"/>
        <v>184981.11768475422</v>
      </c>
      <c r="G54" s="68">
        <f t="shared" si="14"/>
        <v>-1294867.8237932797</v>
      </c>
      <c r="H54" s="68">
        <f t="shared" si="15"/>
        <v>-377669.78193970653</v>
      </c>
      <c r="I54" s="68">
        <f t="shared" si="16"/>
        <v>8066290.4134047581</v>
      </c>
      <c r="J54" s="68">
        <f t="shared" si="1"/>
        <v>38846.034713798384</v>
      </c>
      <c r="K54" s="73">
        <f t="shared" si="2"/>
        <v>-1592687.4232657333</v>
      </c>
      <c r="L54" s="68">
        <f t="shared" si="11"/>
        <v>-1693920.9868149988</v>
      </c>
      <c r="M54" s="74">
        <f t="shared" si="12"/>
        <v>6372369.4265897591</v>
      </c>
      <c r="N54" s="69">
        <f t="shared" si="13"/>
        <v>5991538.4018091895</v>
      </c>
      <c r="O54" s="169">
        <f t="shared" si="10"/>
        <v>0.20999999999999991</v>
      </c>
    </row>
    <row r="55" spans="1:15" x14ac:dyDescent="0.2">
      <c r="A55" s="66">
        <v>45473</v>
      </c>
      <c r="B55" s="66" t="s">
        <v>189</v>
      </c>
      <c r="C55" s="68"/>
      <c r="D55" s="68">
        <f t="shared" si="3"/>
        <v>8879093.6488682032</v>
      </c>
      <c r="E55" s="68">
        <f t="shared" si="0"/>
        <v>8597410.1612167712</v>
      </c>
      <c r="F55" s="148">
        <f t="shared" si="17"/>
        <v>184981.11768475422</v>
      </c>
      <c r="G55" s="68">
        <f t="shared" si="14"/>
        <v>-1479848.941478034</v>
      </c>
      <c r="H55" s="68">
        <f t="shared" si="15"/>
        <v>-493282.98049267801</v>
      </c>
      <c r="I55" s="68">
        <f t="shared" si="16"/>
        <v>8104127.1807240937</v>
      </c>
      <c r="J55" s="68">
        <f t="shared" si="1"/>
        <v>38846.034713798384</v>
      </c>
      <c r="K55" s="73">
        <f t="shared" si="2"/>
        <v>-1553841.3885519349</v>
      </c>
      <c r="L55" s="68">
        <f t="shared" si="11"/>
        <v>-1701866.7079520586</v>
      </c>
      <c r="M55" s="74">
        <f t="shared" si="12"/>
        <v>6402260.4727720348</v>
      </c>
      <c r="N55" s="69">
        <f t="shared" si="13"/>
        <v>5845403.3188382341</v>
      </c>
      <c r="O55" s="169">
        <f t="shared" si="10"/>
        <v>0.20999999999999994</v>
      </c>
    </row>
    <row r="56" spans="1:15" x14ac:dyDescent="0.2">
      <c r="A56" s="66">
        <v>45504</v>
      </c>
      <c r="B56" s="66" t="s">
        <v>189</v>
      </c>
      <c r="C56" s="68"/>
      <c r="D56" s="68">
        <f t="shared" si="3"/>
        <v>8879093.6488682032</v>
      </c>
      <c r="E56" s="68">
        <f t="shared" si="0"/>
        <v>8715570.7668895293</v>
      </c>
      <c r="F56" s="148">
        <f t="shared" si="17"/>
        <v>184981.11768475422</v>
      </c>
      <c r="G56" s="68">
        <f t="shared" si="14"/>
        <v>-1664830.0591627883</v>
      </c>
      <c r="H56" s="68">
        <f t="shared" si="15"/>
        <v>-624311.27218604553</v>
      </c>
      <c r="I56" s="68">
        <f t="shared" si="16"/>
        <v>8091259.4947034838</v>
      </c>
      <c r="J56" s="68">
        <f t="shared" si="1"/>
        <v>38846.034713798384</v>
      </c>
      <c r="K56" s="73">
        <f t="shared" si="2"/>
        <v>-1514995.3538381364</v>
      </c>
      <c r="L56" s="68">
        <f t="shared" si="11"/>
        <v>-1699164.4938877311</v>
      </c>
      <c r="M56" s="74">
        <f t="shared" si="12"/>
        <v>6392095.0008157529</v>
      </c>
      <c r="N56" s="69">
        <f t="shared" si="13"/>
        <v>5699268.2358672787</v>
      </c>
      <c r="O56" s="169">
        <f t="shared" si="10"/>
        <v>0.20999999999999991</v>
      </c>
    </row>
    <row r="57" spans="1:15" x14ac:dyDescent="0.2">
      <c r="A57" s="66">
        <v>45535</v>
      </c>
      <c r="B57" s="66" t="s">
        <v>189</v>
      </c>
      <c r="C57" s="68"/>
      <c r="D57" s="68">
        <f t="shared" si="3"/>
        <v>8879093.6488682032</v>
      </c>
      <c r="E57" s="68">
        <f t="shared" si="0"/>
        <v>8802680.598242471</v>
      </c>
      <c r="F57" s="148">
        <f t="shared" si="17"/>
        <v>184981.11768475422</v>
      </c>
      <c r="G57" s="68">
        <f t="shared" si="14"/>
        <v>-1849811.1768475426</v>
      </c>
      <c r="H57" s="68">
        <f t="shared" si="15"/>
        <v>-770754.65701980935</v>
      </c>
      <c r="I57" s="68">
        <f t="shared" si="16"/>
        <v>8031925.9412226621</v>
      </c>
      <c r="J57" s="68">
        <f t="shared" si="1"/>
        <v>38846.034713798384</v>
      </c>
      <c r="K57" s="73">
        <f t="shared" si="2"/>
        <v>-1476149.319124338</v>
      </c>
      <c r="L57" s="68">
        <f t="shared" si="11"/>
        <v>-1686704.4476567579</v>
      </c>
      <c r="M57" s="74">
        <f t="shared" si="12"/>
        <v>6345221.493565904</v>
      </c>
      <c r="N57" s="69">
        <f t="shared" si="13"/>
        <v>5553133.1528963223</v>
      </c>
      <c r="O57" s="169">
        <f t="shared" si="10"/>
        <v>0.20999999999999991</v>
      </c>
    </row>
    <row r="58" spans="1:15" x14ac:dyDescent="0.2">
      <c r="A58" s="66">
        <v>45565</v>
      </c>
      <c r="B58" s="66" t="s">
        <v>189</v>
      </c>
      <c r="C58" s="68"/>
      <c r="D58" s="68">
        <f t="shared" si="3"/>
        <v>8879093.6488682032</v>
      </c>
      <c r="E58" s="68">
        <f t="shared" si="0"/>
        <v>8858751.984603595</v>
      </c>
      <c r="F58" s="148">
        <f t="shared" si="17"/>
        <v>184981.11768475422</v>
      </c>
      <c r="G58" s="68">
        <f t="shared" si="14"/>
        <v>-2034792.2945322969</v>
      </c>
      <c r="H58" s="68">
        <f t="shared" si="15"/>
        <v>-932613.13499396935</v>
      </c>
      <c r="I58" s="68">
        <f t="shared" si="16"/>
        <v>7926138.8496096255</v>
      </c>
      <c r="J58" s="68">
        <f t="shared" si="1"/>
        <v>38846.034713798384</v>
      </c>
      <c r="K58" s="73">
        <f t="shared" si="2"/>
        <v>-1437303.2844105395</v>
      </c>
      <c r="L58" s="68">
        <f t="shared" si="11"/>
        <v>-1664489.1584180209</v>
      </c>
      <c r="M58" s="74">
        <f t="shared" si="12"/>
        <v>6261649.6911916044</v>
      </c>
      <c r="N58" s="69">
        <f t="shared" si="13"/>
        <v>5406998.069925366</v>
      </c>
      <c r="O58" s="169">
        <f t="shared" si="10"/>
        <v>0.20999999999999991</v>
      </c>
    </row>
    <row r="59" spans="1:15" ht="13.5" thickBot="1" x14ac:dyDescent="0.25">
      <c r="A59" s="66">
        <v>45596</v>
      </c>
      <c r="B59" s="66" t="s">
        <v>189</v>
      </c>
      <c r="C59" s="68"/>
      <c r="D59" s="68">
        <f t="shared" si="3"/>
        <v>8879093.6488682032</v>
      </c>
      <c r="E59" s="207">
        <f t="shared" si="0"/>
        <v>8879093.6488682032</v>
      </c>
      <c r="F59" s="148">
        <f t="shared" si="17"/>
        <v>184981.11768475422</v>
      </c>
      <c r="G59" s="68">
        <f t="shared" si="14"/>
        <v>-2219773.4122170513</v>
      </c>
      <c r="H59" s="232">
        <f t="shared" si="15"/>
        <v>-1109886.7061085256</v>
      </c>
      <c r="I59" s="68">
        <f t="shared" si="16"/>
        <v>7769206.9427596778</v>
      </c>
      <c r="J59" s="68">
        <f t="shared" si="1"/>
        <v>38846.034713798384</v>
      </c>
      <c r="K59" s="73">
        <f t="shared" si="2"/>
        <v>-1398457.2496967411</v>
      </c>
      <c r="L59" s="68">
        <f t="shared" si="11"/>
        <v>-1631533.4579795317</v>
      </c>
      <c r="M59" s="74">
        <f t="shared" si="12"/>
        <v>6137673.4847801458</v>
      </c>
      <c r="N59" s="69">
        <f t="shared" si="13"/>
        <v>5260862.9869544115</v>
      </c>
      <c r="O59" s="169">
        <f t="shared" si="10"/>
        <v>0.20999999999999985</v>
      </c>
    </row>
    <row r="60" spans="1:15" x14ac:dyDescent="0.2">
      <c r="A60" s="158">
        <v>45626</v>
      </c>
      <c r="B60" s="165" t="s">
        <v>190</v>
      </c>
      <c r="C60" s="160"/>
      <c r="D60" s="160">
        <f t="shared" si="3"/>
        <v>8879093.6488682032</v>
      </c>
      <c r="E60" s="160">
        <f t="shared" si="0"/>
        <v>8879093.6488682032</v>
      </c>
      <c r="F60" s="161">
        <f t="shared" si="17"/>
        <v>184981.11768475422</v>
      </c>
      <c r="G60" s="160">
        <f t="shared" si="14"/>
        <v>-2404754.5299018053</v>
      </c>
      <c r="H60" s="160">
        <f t="shared" si="15"/>
        <v>-1294867.8237932797</v>
      </c>
      <c r="I60" s="160">
        <f t="shared" si="16"/>
        <v>7584225.8250749232</v>
      </c>
      <c r="J60" s="160">
        <f t="shared" si="1"/>
        <v>38846.034713798384</v>
      </c>
      <c r="K60" s="162">
        <f t="shared" si="2"/>
        <v>-1359611.2149829427</v>
      </c>
      <c r="L60" s="160">
        <f t="shared" si="11"/>
        <v>-1592687.4232657331</v>
      </c>
      <c r="M60" s="163">
        <f t="shared" si="12"/>
        <v>5991538.4018091904</v>
      </c>
      <c r="N60" s="164">
        <f t="shared" si="13"/>
        <v>5114727.9039834552</v>
      </c>
      <c r="O60" s="169">
        <f t="shared" si="10"/>
        <v>0.20999999999999985</v>
      </c>
    </row>
    <row r="61" spans="1:15" x14ac:dyDescent="0.2">
      <c r="A61" s="66">
        <v>45657</v>
      </c>
      <c r="B61" s="35" t="s">
        <v>190</v>
      </c>
      <c r="C61" s="68"/>
      <c r="D61" s="68">
        <f t="shared" si="3"/>
        <v>8879093.6488682032</v>
      </c>
      <c r="E61" s="68">
        <f t="shared" si="0"/>
        <v>8879093.6488682032</v>
      </c>
      <c r="F61" s="148">
        <f t="shared" si="17"/>
        <v>184981.11768475422</v>
      </c>
      <c r="G61" s="68">
        <f t="shared" si="14"/>
        <v>-2589735.6475865594</v>
      </c>
      <c r="H61" s="68">
        <f t="shared" si="15"/>
        <v>-1479848.9414780338</v>
      </c>
      <c r="I61" s="68">
        <f t="shared" si="16"/>
        <v>7399244.7073901696</v>
      </c>
      <c r="J61" s="68">
        <f t="shared" si="1"/>
        <v>38846.034713798384</v>
      </c>
      <c r="K61" s="73">
        <f t="shared" si="2"/>
        <v>-1320765.1802691442</v>
      </c>
      <c r="L61" s="68">
        <f t="shared" si="11"/>
        <v>-1553841.3885519349</v>
      </c>
      <c r="M61" s="74">
        <f t="shared" si="12"/>
        <v>5845403.318838235</v>
      </c>
      <c r="N61" s="69">
        <f t="shared" si="13"/>
        <v>4968592.8210124988</v>
      </c>
      <c r="O61" s="169">
        <f t="shared" si="10"/>
        <v>0.20999999999999985</v>
      </c>
    </row>
    <row r="62" spans="1:15" x14ac:dyDescent="0.2">
      <c r="A62" s="66">
        <v>45688</v>
      </c>
      <c r="B62" s="35" t="s">
        <v>190</v>
      </c>
      <c r="C62" s="68"/>
      <c r="D62" s="68">
        <f t="shared" si="3"/>
        <v>8879093.6488682032</v>
      </c>
      <c r="E62" s="68">
        <f t="shared" si="0"/>
        <v>8879093.6488682032</v>
      </c>
      <c r="F62" s="148">
        <f t="shared" si="17"/>
        <v>184981.11768475422</v>
      </c>
      <c r="G62" s="68">
        <f t="shared" si="14"/>
        <v>-2774716.7652713135</v>
      </c>
      <c r="H62" s="68">
        <f t="shared" si="15"/>
        <v>-1664830.0591627881</v>
      </c>
      <c r="I62" s="68">
        <f t="shared" si="16"/>
        <v>7214263.5897054151</v>
      </c>
      <c r="J62" s="68">
        <f t="shared" si="1"/>
        <v>38846.034713798384</v>
      </c>
      <c r="K62" s="73">
        <f t="shared" si="2"/>
        <v>-1281919.1455553458</v>
      </c>
      <c r="L62" s="68">
        <f t="shared" si="11"/>
        <v>-1514995.3538381364</v>
      </c>
      <c r="M62" s="74">
        <f t="shared" si="12"/>
        <v>5699268.2358672787</v>
      </c>
      <c r="N62" s="69">
        <f t="shared" si="13"/>
        <v>4822457.7380415443</v>
      </c>
      <c r="O62" s="169">
        <f t="shared" si="10"/>
        <v>0.20999999999999983</v>
      </c>
    </row>
    <row r="63" spans="1:15" x14ac:dyDescent="0.2">
      <c r="A63" s="66">
        <v>45716</v>
      </c>
      <c r="B63" s="35" t="s">
        <v>190</v>
      </c>
      <c r="C63" s="68"/>
      <c r="D63" s="68">
        <f t="shared" si="3"/>
        <v>8879093.6488682032</v>
      </c>
      <c r="E63" s="68">
        <f t="shared" si="0"/>
        <v>8879093.6488682032</v>
      </c>
      <c r="F63" s="148">
        <f t="shared" si="17"/>
        <v>184981.11768475422</v>
      </c>
      <c r="G63" s="68">
        <f t="shared" si="14"/>
        <v>-2959697.8829560676</v>
      </c>
      <c r="H63" s="68">
        <f t="shared" si="15"/>
        <v>-1849811.1768475424</v>
      </c>
      <c r="I63" s="68">
        <f t="shared" si="16"/>
        <v>7029282.4720206605</v>
      </c>
      <c r="J63" s="68">
        <f t="shared" si="1"/>
        <v>38846.034713798384</v>
      </c>
      <c r="K63" s="73">
        <f t="shared" si="2"/>
        <v>-1243073.1108415474</v>
      </c>
      <c r="L63" s="68">
        <f t="shared" si="11"/>
        <v>-1476149.3191243382</v>
      </c>
      <c r="M63" s="74">
        <f t="shared" si="12"/>
        <v>5553133.1528963223</v>
      </c>
      <c r="N63" s="69">
        <f t="shared" si="13"/>
        <v>4676322.6550705889</v>
      </c>
      <c r="O63" s="169">
        <f t="shared" si="10"/>
        <v>0.2099999999999998</v>
      </c>
    </row>
    <row r="64" spans="1:15" x14ac:dyDescent="0.2">
      <c r="A64" s="66">
        <v>45747</v>
      </c>
      <c r="B64" s="35" t="s">
        <v>190</v>
      </c>
      <c r="C64" s="68"/>
      <c r="D64" s="68">
        <f t="shared" si="3"/>
        <v>8879093.6488682032</v>
      </c>
      <c r="E64" s="68">
        <f t="shared" si="0"/>
        <v>8879093.6488682032</v>
      </c>
      <c r="F64" s="148">
        <f t="shared" si="17"/>
        <v>184981.11768475422</v>
      </c>
      <c r="G64" s="68">
        <f t="shared" si="14"/>
        <v>-3144679.0006408216</v>
      </c>
      <c r="H64" s="68">
        <f t="shared" si="15"/>
        <v>-2034792.2945322965</v>
      </c>
      <c r="I64" s="68">
        <f t="shared" si="16"/>
        <v>6844301.3543359069</v>
      </c>
      <c r="J64" s="68">
        <f t="shared" si="1"/>
        <v>38846.034713798384</v>
      </c>
      <c r="K64" s="73">
        <f t="shared" si="2"/>
        <v>-1204227.0761277489</v>
      </c>
      <c r="L64" s="68">
        <f t="shared" si="11"/>
        <v>-1437303.2844105398</v>
      </c>
      <c r="M64" s="74">
        <f t="shared" si="12"/>
        <v>5406998.0699253669</v>
      </c>
      <c r="N64" s="69">
        <f t="shared" si="13"/>
        <v>4530187.5720996326</v>
      </c>
      <c r="O64" s="169">
        <f t="shared" si="10"/>
        <v>0.2099999999999998</v>
      </c>
    </row>
    <row r="65" spans="1:15" x14ac:dyDescent="0.2">
      <c r="A65" s="66">
        <v>45777</v>
      </c>
      <c r="B65" s="35" t="s">
        <v>190</v>
      </c>
      <c r="C65" s="68"/>
      <c r="D65" s="68">
        <f t="shared" si="3"/>
        <v>8879093.6488682032</v>
      </c>
      <c r="E65" s="68">
        <f t="shared" si="0"/>
        <v>8879093.6488682032</v>
      </c>
      <c r="F65" s="148">
        <f t="shared" si="17"/>
        <v>184981.11768475422</v>
      </c>
      <c r="G65" s="68">
        <f t="shared" si="14"/>
        <v>-3329660.1183255757</v>
      </c>
      <c r="H65" s="68">
        <f t="shared" si="15"/>
        <v>-2219773.4122170508</v>
      </c>
      <c r="I65" s="68">
        <f t="shared" si="16"/>
        <v>6659320.2366511524</v>
      </c>
      <c r="J65" s="68">
        <f t="shared" si="1"/>
        <v>38846.034713798384</v>
      </c>
      <c r="K65" s="73">
        <f t="shared" si="2"/>
        <v>-1165381.0414139505</v>
      </c>
      <c r="L65" s="68">
        <f t="shared" si="11"/>
        <v>-1398457.2496967411</v>
      </c>
      <c r="M65" s="74">
        <f t="shared" si="12"/>
        <v>5260862.9869544115</v>
      </c>
      <c r="N65" s="69">
        <f t="shared" si="13"/>
        <v>4384052.4891286762</v>
      </c>
      <c r="O65" s="169">
        <f t="shared" si="10"/>
        <v>0.2099999999999998</v>
      </c>
    </row>
    <row r="66" spans="1:15" x14ac:dyDescent="0.2">
      <c r="A66" s="66">
        <v>45808</v>
      </c>
      <c r="B66" s="35" t="s">
        <v>190</v>
      </c>
      <c r="C66" s="68"/>
      <c r="D66" s="68">
        <f t="shared" si="3"/>
        <v>8879093.6488682032</v>
      </c>
      <c r="E66" s="68">
        <f t="shared" si="0"/>
        <v>8879093.6488682032</v>
      </c>
      <c r="F66" s="148">
        <f t="shared" si="17"/>
        <v>184981.11768475422</v>
      </c>
      <c r="G66" s="68">
        <f t="shared" si="14"/>
        <v>-3514641.2360103298</v>
      </c>
      <c r="H66" s="68">
        <f t="shared" si="15"/>
        <v>-2404754.5299018053</v>
      </c>
      <c r="I66" s="68">
        <f t="shared" si="16"/>
        <v>6474339.1189663978</v>
      </c>
      <c r="J66" s="68">
        <f t="shared" si="1"/>
        <v>38846.034713798384</v>
      </c>
      <c r="K66" s="73">
        <f t="shared" si="2"/>
        <v>-1126535.0067001521</v>
      </c>
      <c r="L66" s="68">
        <f t="shared" si="11"/>
        <v>-1359611.2149829427</v>
      </c>
      <c r="M66" s="74">
        <f t="shared" si="12"/>
        <v>5114727.9039834552</v>
      </c>
      <c r="N66" s="69">
        <f t="shared" si="13"/>
        <v>4237917.4061577208</v>
      </c>
      <c r="O66" s="169">
        <f t="shared" si="10"/>
        <v>0.20999999999999974</v>
      </c>
    </row>
    <row r="67" spans="1:15" x14ac:dyDescent="0.2">
      <c r="A67" s="66">
        <v>45838</v>
      </c>
      <c r="B67" s="35" t="s">
        <v>190</v>
      </c>
      <c r="C67" s="68"/>
      <c r="D67" s="68">
        <f t="shared" si="3"/>
        <v>8879093.6488682032</v>
      </c>
      <c r="E67" s="68">
        <f t="shared" si="0"/>
        <v>8879093.6488682032</v>
      </c>
      <c r="F67" s="148">
        <f t="shared" si="17"/>
        <v>184981.11768475422</v>
      </c>
      <c r="G67" s="68">
        <f t="shared" si="14"/>
        <v>-3699622.3536950839</v>
      </c>
      <c r="H67" s="68">
        <f t="shared" si="15"/>
        <v>-2589735.6475865589</v>
      </c>
      <c r="I67" s="68">
        <f t="shared" si="16"/>
        <v>6289358.0012816442</v>
      </c>
      <c r="J67" s="68">
        <f t="shared" si="1"/>
        <v>38846.034713798384</v>
      </c>
      <c r="K67" s="73">
        <f t="shared" si="2"/>
        <v>-1087688.9719863536</v>
      </c>
      <c r="L67" s="68">
        <f t="shared" si="11"/>
        <v>-1320765.1802691442</v>
      </c>
      <c r="M67" s="74">
        <f t="shared" si="12"/>
        <v>4968592.8210124997</v>
      </c>
      <c r="N67" s="69">
        <f t="shared" si="13"/>
        <v>4091782.3231867664</v>
      </c>
      <c r="O67" s="169">
        <f t="shared" si="10"/>
        <v>0.20999999999999971</v>
      </c>
    </row>
    <row r="68" spans="1:15" x14ac:dyDescent="0.2">
      <c r="A68" s="66">
        <v>45869</v>
      </c>
      <c r="B68" s="35" t="s">
        <v>190</v>
      </c>
      <c r="C68" s="68"/>
      <c r="D68" s="68">
        <f t="shared" si="3"/>
        <v>8879093.6488682032</v>
      </c>
      <c r="E68" s="68">
        <f t="shared" si="0"/>
        <v>8879093.6488682032</v>
      </c>
      <c r="F68" s="148">
        <f t="shared" si="17"/>
        <v>184981.11768475422</v>
      </c>
      <c r="G68" s="68">
        <f t="shared" si="14"/>
        <v>-3884603.471379838</v>
      </c>
      <c r="H68" s="68">
        <f t="shared" si="15"/>
        <v>-2774716.765271313</v>
      </c>
      <c r="I68" s="68">
        <f t="shared" si="16"/>
        <v>6104376.8835968897</v>
      </c>
      <c r="J68" s="68">
        <f t="shared" si="1"/>
        <v>38846.034713798384</v>
      </c>
      <c r="K68" s="73">
        <f t="shared" si="2"/>
        <v>-1048842.9372725552</v>
      </c>
      <c r="L68" s="68">
        <f t="shared" si="11"/>
        <v>-1281919.1455553458</v>
      </c>
      <c r="M68" s="74">
        <f t="shared" si="12"/>
        <v>4822457.7380415443</v>
      </c>
      <c r="N68" s="69">
        <f t="shared" si="13"/>
        <v>3945647.24021581</v>
      </c>
      <c r="O68" s="169">
        <f t="shared" si="10"/>
        <v>0.20999999999999969</v>
      </c>
    </row>
    <row r="69" spans="1:15" x14ac:dyDescent="0.2">
      <c r="A69" s="66">
        <v>45900</v>
      </c>
      <c r="B69" s="35" t="s">
        <v>190</v>
      </c>
      <c r="C69" s="68"/>
      <c r="D69" s="68">
        <f t="shared" si="3"/>
        <v>8879093.6488682032</v>
      </c>
      <c r="E69" s="68">
        <f t="shared" si="0"/>
        <v>8879093.6488682032</v>
      </c>
      <c r="F69" s="148">
        <f t="shared" si="17"/>
        <v>184981.11768475422</v>
      </c>
      <c r="G69" s="68">
        <f t="shared" si="14"/>
        <v>-4069584.589064592</v>
      </c>
      <c r="H69" s="68">
        <f t="shared" si="15"/>
        <v>-2959697.8829560676</v>
      </c>
      <c r="I69" s="68">
        <f t="shared" si="16"/>
        <v>5919395.7659121361</v>
      </c>
      <c r="J69" s="68">
        <f t="shared" si="1"/>
        <v>38846.034713798384</v>
      </c>
      <c r="K69" s="73">
        <f t="shared" si="2"/>
        <v>-1009996.9025587568</v>
      </c>
      <c r="L69" s="68">
        <f t="shared" si="11"/>
        <v>-1243073.1108415476</v>
      </c>
      <c r="M69" s="74">
        <f t="shared" si="12"/>
        <v>4676322.655070588</v>
      </c>
      <c r="N69" s="69">
        <f t="shared" si="13"/>
        <v>3799512.1572448537</v>
      </c>
      <c r="O69" s="169">
        <f t="shared" si="10"/>
        <v>0.20999999999999969</v>
      </c>
    </row>
    <row r="70" spans="1:15" x14ac:dyDescent="0.2">
      <c r="A70" s="66">
        <v>45930</v>
      </c>
      <c r="B70" s="35" t="s">
        <v>190</v>
      </c>
      <c r="C70" s="68"/>
      <c r="D70" s="68">
        <f t="shared" si="3"/>
        <v>8879093.6488682032</v>
      </c>
      <c r="E70" s="68">
        <f t="shared" si="0"/>
        <v>8879093.6488682032</v>
      </c>
      <c r="F70" s="148">
        <f t="shared" si="17"/>
        <v>184981.11768475422</v>
      </c>
      <c r="G70" s="68">
        <f t="shared" si="14"/>
        <v>-4254565.7067493461</v>
      </c>
      <c r="H70" s="68">
        <f t="shared" si="15"/>
        <v>-3144679.0006408221</v>
      </c>
      <c r="I70" s="68">
        <f t="shared" si="16"/>
        <v>5734414.6482273806</v>
      </c>
      <c r="J70" s="68">
        <f t="shared" si="1"/>
        <v>38846.034713798384</v>
      </c>
      <c r="K70" s="73">
        <f t="shared" si="2"/>
        <v>-971150.86784495832</v>
      </c>
      <c r="L70" s="68">
        <f t="shared" si="11"/>
        <v>-1204227.0761277492</v>
      </c>
      <c r="M70" s="74">
        <f t="shared" si="12"/>
        <v>4530187.5720996317</v>
      </c>
      <c r="N70" s="69">
        <f t="shared" si="13"/>
        <v>3653377.0742738987</v>
      </c>
      <c r="O70" s="169">
        <f t="shared" si="10"/>
        <v>0.20999999999999963</v>
      </c>
    </row>
    <row r="71" spans="1:15" ht="13.5" thickBot="1" x14ac:dyDescent="0.25">
      <c r="A71" s="66">
        <v>45961</v>
      </c>
      <c r="B71" s="35" t="s">
        <v>190</v>
      </c>
      <c r="C71" s="68"/>
      <c r="D71" s="68">
        <f t="shared" si="3"/>
        <v>8879093.6488682032</v>
      </c>
      <c r="E71" s="68">
        <f t="shared" si="0"/>
        <v>8879093.6488682032</v>
      </c>
      <c r="F71" s="148">
        <f t="shared" si="17"/>
        <v>184981.11768475422</v>
      </c>
      <c r="G71" s="68">
        <f t="shared" si="14"/>
        <v>-4439546.8244341007</v>
      </c>
      <c r="H71" s="68">
        <f t="shared" si="15"/>
        <v>-3329660.1183255757</v>
      </c>
      <c r="I71" s="68">
        <f t="shared" si="16"/>
        <v>5549433.530542627</v>
      </c>
      <c r="J71" s="68">
        <f t="shared" si="1"/>
        <v>38846.034713798384</v>
      </c>
      <c r="K71" s="73">
        <f t="shared" si="2"/>
        <v>-932304.83313115989</v>
      </c>
      <c r="L71" s="68">
        <f t="shared" si="11"/>
        <v>-1165381.0414139505</v>
      </c>
      <c r="M71" s="74">
        <f t="shared" si="12"/>
        <v>4384052.4891286762</v>
      </c>
      <c r="N71" s="69">
        <f t="shared" si="13"/>
        <v>3507241.9913029429</v>
      </c>
      <c r="O71" s="169">
        <f t="shared" si="10"/>
        <v>0.20999999999999963</v>
      </c>
    </row>
    <row r="72" spans="1:15" x14ac:dyDescent="0.2">
      <c r="A72" s="158">
        <v>45991</v>
      </c>
      <c r="B72" s="165" t="s">
        <v>191</v>
      </c>
      <c r="C72" s="160"/>
      <c r="D72" s="160">
        <f t="shared" si="3"/>
        <v>8879093.6488682032</v>
      </c>
      <c r="E72" s="160">
        <f t="shared" si="0"/>
        <v>8879093.6488682032</v>
      </c>
      <c r="F72" s="161">
        <f t="shared" si="17"/>
        <v>184981.11768475422</v>
      </c>
      <c r="G72" s="160">
        <f t="shared" si="14"/>
        <v>-4624527.9421188552</v>
      </c>
      <c r="H72" s="160">
        <f t="shared" si="15"/>
        <v>-3514641.2360103298</v>
      </c>
      <c r="I72" s="160">
        <f t="shared" si="16"/>
        <v>5364452.4128578734</v>
      </c>
      <c r="J72" s="160">
        <f t="shared" si="1"/>
        <v>38846.034713798384</v>
      </c>
      <c r="K72" s="162">
        <f t="shared" si="2"/>
        <v>-893458.79841736145</v>
      </c>
      <c r="L72" s="160">
        <f t="shared" si="11"/>
        <v>-1126535.0067001523</v>
      </c>
      <c r="M72" s="163">
        <f t="shared" si="12"/>
        <v>4237917.4061577208</v>
      </c>
      <c r="N72" s="164">
        <f t="shared" si="13"/>
        <v>3361106.9083319865</v>
      </c>
      <c r="O72" s="169">
        <f t="shared" si="10"/>
        <v>0.20999999999999963</v>
      </c>
    </row>
    <row r="73" spans="1:15" x14ac:dyDescent="0.2">
      <c r="A73" s="66">
        <v>46022</v>
      </c>
      <c r="B73" s="35" t="s">
        <v>191</v>
      </c>
      <c r="C73" s="68"/>
      <c r="D73" s="68">
        <f t="shared" si="3"/>
        <v>8879093.6488682032</v>
      </c>
      <c r="E73" s="68">
        <f t="shared" si="0"/>
        <v>8879093.6488682032</v>
      </c>
      <c r="F73" s="148">
        <f t="shared" si="17"/>
        <v>184981.11768475422</v>
      </c>
      <c r="G73" s="68">
        <f t="shared" si="14"/>
        <v>-4809509.0598036097</v>
      </c>
      <c r="H73" s="68">
        <f t="shared" si="15"/>
        <v>-3699622.3536950839</v>
      </c>
      <c r="I73" s="68">
        <f t="shared" si="16"/>
        <v>5179471.2951731198</v>
      </c>
      <c r="J73" s="68">
        <f t="shared" si="1"/>
        <v>38846.034713798384</v>
      </c>
      <c r="K73" s="73">
        <f t="shared" si="2"/>
        <v>-854612.76370356302</v>
      </c>
      <c r="L73" s="68">
        <f t="shared" si="11"/>
        <v>-1087688.9719863536</v>
      </c>
      <c r="M73" s="74">
        <f t="shared" si="12"/>
        <v>4091782.3231867664</v>
      </c>
      <c r="N73" s="69">
        <f t="shared" si="13"/>
        <v>3214971.8253610302</v>
      </c>
      <c r="O73" s="169">
        <f t="shared" si="10"/>
        <v>0.2099999999999996</v>
      </c>
    </row>
    <row r="74" spans="1:15" x14ac:dyDescent="0.2">
      <c r="A74" s="66">
        <v>46053</v>
      </c>
      <c r="B74" s="35" t="s">
        <v>191</v>
      </c>
      <c r="C74" s="35"/>
      <c r="D74" s="68">
        <f t="shared" si="3"/>
        <v>8879093.6488682032</v>
      </c>
      <c r="E74" s="68">
        <f t="shared" si="0"/>
        <v>8879093.6488682032</v>
      </c>
      <c r="F74" s="148">
        <f t="shared" si="17"/>
        <v>184981.11768475422</v>
      </c>
      <c r="G74" s="68">
        <f t="shared" si="14"/>
        <v>-4994490.1774883643</v>
      </c>
      <c r="H74" s="68">
        <f t="shared" si="15"/>
        <v>-3884603.4713798384</v>
      </c>
      <c r="I74" s="68">
        <f t="shared" si="16"/>
        <v>4994490.1774883643</v>
      </c>
      <c r="J74" s="68">
        <f t="shared" si="1"/>
        <v>38846.034713798384</v>
      </c>
      <c r="K74" s="73">
        <f t="shared" si="2"/>
        <v>-815766.72898976458</v>
      </c>
      <c r="L74" s="68">
        <f t="shared" si="11"/>
        <v>-1048842.9372725552</v>
      </c>
      <c r="M74" s="74">
        <f t="shared" si="12"/>
        <v>3945647.2402158091</v>
      </c>
      <c r="N74" s="69">
        <f t="shared" si="13"/>
        <v>3068836.7423900743</v>
      </c>
      <c r="O74" s="169">
        <f t="shared" si="10"/>
        <v>0.2099999999999996</v>
      </c>
    </row>
    <row r="75" spans="1:15" x14ac:dyDescent="0.2">
      <c r="A75" s="66">
        <v>46081</v>
      </c>
      <c r="B75" s="35" t="s">
        <v>191</v>
      </c>
      <c r="C75" s="35"/>
      <c r="D75" s="68">
        <f t="shared" si="3"/>
        <v>8879093.6488682032</v>
      </c>
      <c r="E75" s="68">
        <f t="shared" si="0"/>
        <v>8879093.6488682032</v>
      </c>
      <c r="F75" s="148">
        <f t="shared" si="17"/>
        <v>184981.11768475422</v>
      </c>
      <c r="G75" s="68">
        <f t="shared" si="14"/>
        <v>-5179471.2951731188</v>
      </c>
      <c r="H75" s="68">
        <f t="shared" si="15"/>
        <v>-4069584.5890645925</v>
      </c>
      <c r="I75" s="68">
        <f t="shared" si="16"/>
        <v>4809509.0598036107</v>
      </c>
      <c r="J75" s="68">
        <f t="shared" si="1"/>
        <v>38846.034713798384</v>
      </c>
      <c r="K75" s="73">
        <f t="shared" si="2"/>
        <v>-776920.69427596615</v>
      </c>
      <c r="L75" s="68">
        <f t="shared" si="11"/>
        <v>-1009996.9025587569</v>
      </c>
      <c r="M75" s="74">
        <f t="shared" si="12"/>
        <v>3799512.1572448537</v>
      </c>
      <c r="N75" s="69">
        <f t="shared" si="13"/>
        <v>2922701.6594191184</v>
      </c>
      <c r="O75" s="169">
        <f t="shared" si="10"/>
        <v>0.20999999999999958</v>
      </c>
    </row>
    <row r="76" spans="1:15" x14ac:dyDescent="0.2">
      <c r="A76" s="66">
        <v>46112</v>
      </c>
      <c r="B76" s="35" t="s">
        <v>191</v>
      </c>
      <c r="C76" s="35"/>
      <c r="D76" s="68">
        <f t="shared" si="3"/>
        <v>8879093.6488682032</v>
      </c>
      <c r="E76" s="68">
        <f t="shared" si="0"/>
        <v>8879093.6488682032</v>
      </c>
      <c r="F76" s="148">
        <f t="shared" si="17"/>
        <v>184981.11768475422</v>
      </c>
      <c r="G76" s="68">
        <f t="shared" si="14"/>
        <v>-5364452.4128578734</v>
      </c>
      <c r="H76" s="68">
        <f t="shared" si="15"/>
        <v>-4254565.706749347</v>
      </c>
      <c r="I76" s="68">
        <f t="shared" si="16"/>
        <v>4624527.9421188561</v>
      </c>
      <c r="J76" s="68">
        <f t="shared" si="1"/>
        <v>38846.034713798384</v>
      </c>
      <c r="K76" s="73">
        <f t="shared" si="2"/>
        <v>-738074.65956216771</v>
      </c>
      <c r="L76" s="68">
        <f t="shared" si="11"/>
        <v>-971150.86784495832</v>
      </c>
      <c r="M76" s="74">
        <f t="shared" si="12"/>
        <v>3653377.0742738978</v>
      </c>
      <c r="N76" s="69">
        <f t="shared" si="13"/>
        <v>2776566.5764481621</v>
      </c>
      <c r="O76" s="169">
        <f t="shared" si="10"/>
        <v>0.20999999999999955</v>
      </c>
    </row>
    <row r="77" spans="1:15" x14ac:dyDescent="0.2">
      <c r="A77" s="66">
        <v>46142</v>
      </c>
      <c r="B77" s="35" t="s">
        <v>191</v>
      </c>
      <c r="C77" s="35"/>
      <c r="D77" s="68">
        <f t="shared" si="3"/>
        <v>8879093.6488682032</v>
      </c>
      <c r="E77" s="68">
        <f t="shared" si="0"/>
        <v>8879093.6488682032</v>
      </c>
      <c r="F77" s="148">
        <f t="shared" si="17"/>
        <v>184981.11768475422</v>
      </c>
      <c r="G77" s="68">
        <f t="shared" si="14"/>
        <v>-5549433.5305426279</v>
      </c>
      <c r="H77" s="68">
        <f t="shared" si="15"/>
        <v>-4439546.8244341007</v>
      </c>
      <c r="I77" s="68">
        <f t="shared" si="16"/>
        <v>4439546.8244341025</v>
      </c>
      <c r="J77" s="68">
        <f t="shared" si="1"/>
        <v>38846.034713798384</v>
      </c>
      <c r="K77" s="73">
        <f t="shared" si="2"/>
        <v>-699228.62484836928</v>
      </c>
      <c r="L77" s="68">
        <f t="shared" si="11"/>
        <v>-932304.83313116</v>
      </c>
      <c r="M77" s="74">
        <f t="shared" si="12"/>
        <v>3507241.9913029424</v>
      </c>
      <c r="N77" s="69">
        <f t="shared" si="13"/>
        <v>2630431.4934772057</v>
      </c>
      <c r="O77" s="169">
        <f t="shared" si="10"/>
        <v>0.20999999999999955</v>
      </c>
    </row>
    <row r="78" spans="1:15" x14ac:dyDescent="0.2">
      <c r="A78" s="66">
        <v>46173</v>
      </c>
      <c r="B78" s="35" t="s">
        <v>191</v>
      </c>
      <c r="C78" s="35"/>
      <c r="D78" s="68">
        <f t="shared" si="3"/>
        <v>8879093.6488682032</v>
      </c>
      <c r="E78" s="68">
        <f t="shared" si="0"/>
        <v>8879093.6488682032</v>
      </c>
      <c r="F78" s="148">
        <f t="shared" si="17"/>
        <v>184981.11768475422</v>
      </c>
      <c r="G78" s="68">
        <f t="shared" si="14"/>
        <v>-5734414.6482273825</v>
      </c>
      <c r="H78" s="68">
        <f t="shared" si="15"/>
        <v>-4624527.9421188552</v>
      </c>
      <c r="I78" s="68">
        <f t="shared" si="16"/>
        <v>4254565.706749348</v>
      </c>
      <c r="J78" s="68">
        <f t="shared" si="1"/>
        <v>38846.034713798384</v>
      </c>
      <c r="K78" s="73">
        <f t="shared" si="2"/>
        <v>-660382.59013457084</v>
      </c>
      <c r="L78" s="68">
        <f t="shared" si="11"/>
        <v>-893458.79841736157</v>
      </c>
      <c r="M78" s="74">
        <f t="shared" si="12"/>
        <v>3361106.9083319865</v>
      </c>
      <c r="N78" s="69">
        <f t="shared" si="13"/>
        <v>2484296.4105062499</v>
      </c>
      <c r="O78" s="169">
        <f t="shared" si="10"/>
        <v>0.20999999999999952</v>
      </c>
    </row>
    <row r="79" spans="1:15" x14ac:dyDescent="0.2">
      <c r="A79" s="66">
        <v>46203</v>
      </c>
      <c r="B79" s="35" t="s">
        <v>191</v>
      </c>
      <c r="D79" s="68">
        <f t="shared" si="3"/>
        <v>8879093.6488682032</v>
      </c>
      <c r="E79" s="68">
        <f t="shared" si="0"/>
        <v>8879093.6488682032</v>
      </c>
      <c r="F79" s="148">
        <f t="shared" si="17"/>
        <v>184981.11768475422</v>
      </c>
      <c r="G79" s="68">
        <f t="shared" si="14"/>
        <v>-5919395.765912137</v>
      </c>
      <c r="H79" s="68">
        <f t="shared" si="15"/>
        <v>-4809509.0598036107</v>
      </c>
      <c r="I79" s="68">
        <f t="shared" si="16"/>
        <v>4069584.5890645925</v>
      </c>
      <c r="J79" s="68">
        <f t="shared" si="1"/>
        <v>38846.034713798384</v>
      </c>
      <c r="K79" s="73">
        <f t="shared" si="2"/>
        <v>-621536.55542077241</v>
      </c>
      <c r="L79" s="68">
        <f t="shared" si="11"/>
        <v>-854612.76370356278</v>
      </c>
      <c r="M79" s="68">
        <f t="shared" si="12"/>
        <v>3214971.8253610297</v>
      </c>
      <c r="N79" s="69">
        <f t="shared" si="13"/>
        <v>2338161.327535294</v>
      </c>
      <c r="O79" s="169">
        <f t="shared" si="10"/>
        <v>0.20999999999999949</v>
      </c>
    </row>
    <row r="80" spans="1:15" x14ac:dyDescent="0.2">
      <c r="A80" s="66">
        <v>46234</v>
      </c>
      <c r="B80" s="35" t="s">
        <v>191</v>
      </c>
      <c r="D80" s="68">
        <f t="shared" si="3"/>
        <v>8879093.6488682032</v>
      </c>
      <c r="E80" s="68">
        <f t="shared" si="0"/>
        <v>8879093.6488682032</v>
      </c>
      <c r="F80" s="148">
        <f t="shared" si="17"/>
        <v>184981.11768475422</v>
      </c>
      <c r="G80" s="68">
        <f t="shared" si="14"/>
        <v>-6104376.8835968915</v>
      </c>
      <c r="H80" s="68">
        <f t="shared" si="15"/>
        <v>-4994490.1774883643</v>
      </c>
      <c r="I80" s="68">
        <f t="shared" si="16"/>
        <v>3884603.4713798389</v>
      </c>
      <c r="J80" s="68">
        <f t="shared" si="1"/>
        <v>38846.034713798384</v>
      </c>
      <c r="K80" s="73">
        <f t="shared" si="2"/>
        <v>-582690.52070697397</v>
      </c>
      <c r="L80" s="68">
        <f t="shared" si="11"/>
        <v>-815766.7289897647</v>
      </c>
      <c r="M80" s="68">
        <f t="shared" si="12"/>
        <v>3068836.7423900743</v>
      </c>
      <c r="N80" s="69">
        <f t="shared" si="13"/>
        <v>2192026.2445643377</v>
      </c>
      <c r="O80" s="169">
        <f t="shared" si="10"/>
        <v>0.20999999999999946</v>
      </c>
    </row>
    <row r="81" spans="1:15" x14ac:dyDescent="0.2">
      <c r="A81" s="66">
        <v>46265</v>
      </c>
      <c r="B81" s="35" t="s">
        <v>191</v>
      </c>
      <c r="D81" s="68">
        <f t="shared" si="3"/>
        <v>8879093.6488682032</v>
      </c>
      <c r="E81" s="68">
        <f t="shared" si="0"/>
        <v>8879093.6488682032</v>
      </c>
      <c r="F81" s="148">
        <f t="shared" si="17"/>
        <v>184981.11768475422</v>
      </c>
      <c r="G81" s="68">
        <f t="shared" si="14"/>
        <v>-6289358.0012816461</v>
      </c>
      <c r="H81" s="68">
        <f t="shared" si="15"/>
        <v>-5179471.2951731188</v>
      </c>
      <c r="I81" s="68">
        <f t="shared" si="16"/>
        <v>3699622.3536950843</v>
      </c>
      <c r="J81" s="68">
        <f t="shared" si="1"/>
        <v>38846.034713798384</v>
      </c>
      <c r="K81" s="73">
        <f t="shared" si="2"/>
        <v>-543844.48599317553</v>
      </c>
      <c r="L81" s="68">
        <f t="shared" si="11"/>
        <v>-776920.69427596603</v>
      </c>
      <c r="M81" s="68">
        <f t="shared" si="12"/>
        <v>2922701.6594191184</v>
      </c>
      <c r="N81" s="69">
        <f t="shared" si="13"/>
        <v>2045891.1615933815</v>
      </c>
      <c r="O81" s="169">
        <f t="shared" si="10"/>
        <v>0.20999999999999944</v>
      </c>
    </row>
    <row r="82" spans="1:15" x14ac:dyDescent="0.2">
      <c r="A82" s="66">
        <v>46295</v>
      </c>
      <c r="B82" s="35" t="s">
        <v>191</v>
      </c>
      <c r="D82" s="68">
        <f t="shared" si="3"/>
        <v>8879093.6488682032</v>
      </c>
      <c r="E82" s="68">
        <f t="shared" si="0"/>
        <v>8879093.6488682032</v>
      </c>
      <c r="F82" s="148">
        <f t="shared" si="17"/>
        <v>184981.11768475422</v>
      </c>
      <c r="G82" s="68">
        <f t="shared" si="14"/>
        <v>-6474339.1189664006</v>
      </c>
      <c r="H82" s="68">
        <f t="shared" si="15"/>
        <v>-5364452.4128578743</v>
      </c>
      <c r="I82" s="68">
        <f t="shared" si="16"/>
        <v>3514641.2360103289</v>
      </c>
      <c r="J82" s="68">
        <f t="shared" si="1"/>
        <v>38846.034713798384</v>
      </c>
      <c r="K82" s="73">
        <f t="shared" si="2"/>
        <v>-504998.45127937716</v>
      </c>
      <c r="L82" s="68">
        <f t="shared" si="11"/>
        <v>-738074.65956216771</v>
      </c>
      <c r="M82" s="68">
        <f t="shared" si="12"/>
        <v>2776566.5764481612</v>
      </c>
      <c r="N82" s="69">
        <f t="shared" si="13"/>
        <v>1899756.0786224254</v>
      </c>
      <c r="O82" s="169">
        <f t="shared" si="10"/>
        <v>0.20999999999999944</v>
      </c>
    </row>
    <row r="83" spans="1:15" ht="13.5" thickBot="1" x14ac:dyDescent="0.25">
      <c r="A83" s="66">
        <v>46326</v>
      </c>
      <c r="B83" s="35" t="s">
        <v>191</v>
      </c>
      <c r="D83" s="68">
        <f t="shared" si="3"/>
        <v>8879093.6488682032</v>
      </c>
      <c r="E83" s="68">
        <f t="shared" si="0"/>
        <v>8879093.6488682032</v>
      </c>
      <c r="F83" s="148">
        <f t="shared" si="17"/>
        <v>184981.11768475422</v>
      </c>
      <c r="G83" s="68">
        <f t="shared" si="14"/>
        <v>-6659320.2366511552</v>
      </c>
      <c r="H83" s="68">
        <f t="shared" si="15"/>
        <v>-5549433.5305426279</v>
      </c>
      <c r="I83" s="68">
        <f t="shared" si="16"/>
        <v>3329660.1183255753</v>
      </c>
      <c r="J83" s="68">
        <f t="shared" si="1"/>
        <v>38846.034713798384</v>
      </c>
      <c r="K83" s="73">
        <f t="shared" si="2"/>
        <v>-466152.41656557878</v>
      </c>
      <c r="L83" s="68">
        <f t="shared" si="11"/>
        <v>-699228.62484836939</v>
      </c>
      <c r="M83" s="68">
        <f t="shared" si="12"/>
        <v>2630431.4934772057</v>
      </c>
      <c r="N83" s="69">
        <f t="shared" si="13"/>
        <v>1753620.9956514691</v>
      </c>
      <c r="O83" s="169">
        <f t="shared" si="10"/>
        <v>0.20999999999999941</v>
      </c>
    </row>
    <row r="84" spans="1:15" x14ac:dyDescent="0.2">
      <c r="A84" s="158">
        <v>46356</v>
      </c>
      <c r="B84" s="165" t="s">
        <v>192</v>
      </c>
      <c r="C84" s="165"/>
      <c r="D84" s="160">
        <f t="shared" si="3"/>
        <v>8879093.6488682032</v>
      </c>
      <c r="E84" s="160">
        <f t="shared" si="0"/>
        <v>8879093.6488682032</v>
      </c>
      <c r="F84" s="161">
        <f t="shared" si="17"/>
        <v>184981.11768475422</v>
      </c>
      <c r="G84" s="160">
        <f t="shared" si="14"/>
        <v>-6844301.3543359097</v>
      </c>
      <c r="H84" s="160">
        <f t="shared" si="15"/>
        <v>-5734414.6482273825</v>
      </c>
      <c r="I84" s="160">
        <f t="shared" si="16"/>
        <v>3144679.0006408207</v>
      </c>
      <c r="J84" s="160">
        <f t="shared" si="1"/>
        <v>38846.034713798384</v>
      </c>
      <c r="K84" s="162">
        <f t="shared" si="2"/>
        <v>-427306.3818517804</v>
      </c>
      <c r="L84" s="160">
        <f t="shared" si="11"/>
        <v>-660382.59013457096</v>
      </c>
      <c r="M84" s="160">
        <f t="shared" si="12"/>
        <v>2484296.4105062499</v>
      </c>
      <c r="N84" s="164">
        <f t="shared" si="13"/>
        <v>1607485.912680513</v>
      </c>
      <c r="O84" s="169">
        <f t="shared" si="10"/>
        <v>0.20999999999999941</v>
      </c>
    </row>
    <row r="85" spans="1:15" x14ac:dyDescent="0.2">
      <c r="A85" s="66">
        <v>46387</v>
      </c>
      <c r="B85" s="35" t="s">
        <v>192</v>
      </c>
      <c r="D85" s="68">
        <f t="shared" si="3"/>
        <v>8879093.6488682032</v>
      </c>
      <c r="E85" s="68">
        <f t="shared" si="0"/>
        <v>8879093.6488682032</v>
      </c>
      <c r="F85" s="148">
        <f t="shared" si="17"/>
        <v>184981.11768475422</v>
      </c>
      <c r="G85" s="68">
        <f t="shared" si="14"/>
        <v>-7029282.4720206643</v>
      </c>
      <c r="H85" s="68">
        <f t="shared" si="15"/>
        <v>-5919395.765912137</v>
      </c>
      <c r="I85" s="68">
        <f t="shared" si="16"/>
        <v>2959697.8829560662</v>
      </c>
      <c r="J85" s="68">
        <f t="shared" si="1"/>
        <v>38846.034713798384</v>
      </c>
      <c r="K85" s="73">
        <f t="shared" si="2"/>
        <v>-388460.34713798203</v>
      </c>
      <c r="L85" s="68">
        <f t="shared" si="11"/>
        <v>-621536.55542077252</v>
      </c>
      <c r="M85" s="68">
        <f t="shared" si="12"/>
        <v>2338161.3275352935</v>
      </c>
      <c r="N85" s="69">
        <f t="shared" si="13"/>
        <v>1461350.8297095569</v>
      </c>
      <c r="O85" s="169">
        <f t="shared" si="10"/>
        <v>0.20999999999999938</v>
      </c>
    </row>
    <row r="86" spans="1:15" x14ac:dyDescent="0.2">
      <c r="A86" s="66">
        <v>46418</v>
      </c>
      <c r="B86" s="35" t="s">
        <v>192</v>
      </c>
      <c r="D86" s="68">
        <f t="shared" si="3"/>
        <v>8879093.6488682032</v>
      </c>
      <c r="E86" s="68">
        <f t="shared" si="0"/>
        <v>8879093.6488682032</v>
      </c>
      <c r="F86" s="148">
        <f t="shared" si="17"/>
        <v>184981.11768475422</v>
      </c>
      <c r="G86" s="68">
        <f t="shared" si="14"/>
        <v>-7214263.5897054188</v>
      </c>
      <c r="H86" s="68">
        <f t="shared" si="15"/>
        <v>-6104376.8835968925</v>
      </c>
      <c r="I86" s="68">
        <f t="shared" si="16"/>
        <v>2774716.7652713107</v>
      </c>
      <c r="J86" s="68">
        <f t="shared" si="1"/>
        <v>38846.034713798384</v>
      </c>
      <c r="K86" s="73">
        <f t="shared" si="2"/>
        <v>-349614.31242418365</v>
      </c>
      <c r="L86" s="68">
        <f t="shared" si="11"/>
        <v>-582690.52070697409</v>
      </c>
      <c r="M86" s="68">
        <f t="shared" si="12"/>
        <v>2192026.2445643367</v>
      </c>
      <c r="N86" s="69">
        <f t="shared" si="13"/>
        <v>1315215.7467386008</v>
      </c>
      <c r="O86" s="169">
        <f t="shared" si="10"/>
        <v>0.20999999999999935</v>
      </c>
    </row>
    <row r="87" spans="1:15" x14ac:dyDescent="0.2">
      <c r="A87" s="66">
        <v>46446</v>
      </c>
      <c r="B87" s="35" t="s">
        <v>192</v>
      </c>
      <c r="D87" s="68">
        <f t="shared" si="3"/>
        <v>8879093.6488682032</v>
      </c>
      <c r="E87" s="68">
        <f t="shared" si="0"/>
        <v>8879093.6488682032</v>
      </c>
      <c r="F87" s="148">
        <f t="shared" si="17"/>
        <v>184981.11768475422</v>
      </c>
      <c r="G87" s="68">
        <f t="shared" si="14"/>
        <v>-7399244.7073901733</v>
      </c>
      <c r="H87" s="68">
        <f t="shared" si="15"/>
        <v>-6289358.0012816461</v>
      </c>
      <c r="I87" s="68">
        <f t="shared" si="16"/>
        <v>2589735.6475865571</v>
      </c>
      <c r="J87" s="68">
        <f t="shared" si="1"/>
        <v>38846.034713798384</v>
      </c>
      <c r="K87" s="73">
        <f t="shared" si="2"/>
        <v>-310768.27771038527</v>
      </c>
      <c r="L87" s="68">
        <f t="shared" si="11"/>
        <v>-543844.48599317565</v>
      </c>
      <c r="M87" s="68">
        <f t="shared" si="12"/>
        <v>2045891.1615933813</v>
      </c>
      <c r="N87" s="69">
        <f t="shared" si="13"/>
        <v>1169080.6637676447</v>
      </c>
      <c r="O87" s="169">
        <f t="shared" si="10"/>
        <v>0.20999999999999933</v>
      </c>
    </row>
    <row r="88" spans="1:15" x14ac:dyDescent="0.2">
      <c r="A88" s="66">
        <v>46477</v>
      </c>
      <c r="B88" s="35" t="s">
        <v>192</v>
      </c>
      <c r="D88" s="68">
        <f t="shared" si="3"/>
        <v>8879093.6488682032</v>
      </c>
      <c r="E88" s="68">
        <f t="shared" ref="E88:E95" si="18">(D76+D88+SUM(D77:D87)*2)/24</f>
        <v>8879093.6488682032</v>
      </c>
      <c r="F88" s="148">
        <f t="shared" si="17"/>
        <v>184981.11768475422</v>
      </c>
      <c r="G88" s="68">
        <f t="shared" si="14"/>
        <v>-7584225.8250749279</v>
      </c>
      <c r="H88" s="68">
        <f t="shared" si="15"/>
        <v>-6474339.1189664006</v>
      </c>
      <c r="I88" s="68">
        <f t="shared" si="16"/>
        <v>2404754.5299018025</v>
      </c>
      <c r="J88" s="68">
        <f t="shared" ref="J88:J95" si="19">(-C88*0.21)+(F88*0.21)</f>
        <v>38846.034713798384</v>
      </c>
      <c r="K88" s="73">
        <f t="shared" ref="K88:K95" si="20">K87+J88</f>
        <v>-271922.24299658689</v>
      </c>
      <c r="L88" s="68">
        <f t="shared" si="11"/>
        <v>-504998.45127937727</v>
      </c>
      <c r="M88" s="68">
        <f t="shared" si="12"/>
        <v>1899756.0786224252</v>
      </c>
      <c r="N88" s="69">
        <f t="shared" si="13"/>
        <v>1022945.5807966883</v>
      </c>
      <c r="O88" s="169">
        <f t="shared" si="10"/>
        <v>0.2099999999999993</v>
      </c>
    </row>
    <row r="89" spans="1:15" x14ac:dyDescent="0.2">
      <c r="A89" s="66">
        <v>46507</v>
      </c>
      <c r="B89" s="35" t="s">
        <v>192</v>
      </c>
      <c r="D89" s="68">
        <f t="shared" ref="D89:D95" si="21">D88+C89</f>
        <v>8879093.6488682032</v>
      </c>
      <c r="E89" s="68">
        <f t="shared" si="18"/>
        <v>8879093.6488682032</v>
      </c>
      <c r="F89" s="148">
        <f t="shared" si="17"/>
        <v>184981.11768475422</v>
      </c>
      <c r="G89" s="68">
        <f t="shared" si="14"/>
        <v>-7769206.9427596824</v>
      </c>
      <c r="H89" s="68">
        <f t="shared" si="15"/>
        <v>-6659320.2366511552</v>
      </c>
      <c r="I89" s="68">
        <f t="shared" si="16"/>
        <v>2219773.412217048</v>
      </c>
      <c r="J89" s="68">
        <f t="shared" si="19"/>
        <v>38846.034713798384</v>
      </c>
      <c r="K89" s="73">
        <f t="shared" si="20"/>
        <v>-233076.20828278852</v>
      </c>
      <c r="L89" s="68">
        <f t="shared" si="11"/>
        <v>-466152.4165655789</v>
      </c>
      <c r="M89" s="68">
        <f t="shared" si="12"/>
        <v>1753620.9956514691</v>
      </c>
      <c r="N89" s="69">
        <f t="shared" si="13"/>
        <v>876810.49782573222</v>
      </c>
      <c r="O89" s="169">
        <f t="shared" si="10"/>
        <v>0.20999999999999924</v>
      </c>
    </row>
    <row r="90" spans="1:15" x14ac:dyDescent="0.2">
      <c r="A90" s="66">
        <v>46538</v>
      </c>
      <c r="B90" s="35" t="s">
        <v>192</v>
      </c>
      <c r="D90" s="68">
        <f t="shared" si="21"/>
        <v>8879093.6488682032</v>
      </c>
      <c r="E90" s="68">
        <f t="shared" si="18"/>
        <v>8879093.6488682032</v>
      </c>
      <c r="F90" s="148">
        <f t="shared" si="17"/>
        <v>184981.11768475422</v>
      </c>
      <c r="G90" s="68">
        <f t="shared" si="14"/>
        <v>-7954188.060444437</v>
      </c>
      <c r="H90" s="68">
        <f t="shared" si="15"/>
        <v>-6844301.3543359088</v>
      </c>
      <c r="I90" s="68">
        <f t="shared" si="16"/>
        <v>2034792.2945322944</v>
      </c>
      <c r="J90" s="68">
        <f t="shared" si="19"/>
        <v>38846.034713798384</v>
      </c>
      <c r="K90" s="73">
        <f t="shared" si="20"/>
        <v>-194230.17356899014</v>
      </c>
      <c r="L90" s="68">
        <f t="shared" si="11"/>
        <v>-427306.3818517804</v>
      </c>
      <c r="M90" s="68">
        <f t="shared" si="12"/>
        <v>1607485.9126805139</v>
      </c>
      <c r="N90" s="69">
        <f t="shared" si="13"/>
        <v>730675.41485477611</v>
      </c>
      <c r="O90" s="169">
        <f t="shared" si="10"/>
        <v>0.20999999999999919</v>
      </c>
    </row>
    <row r="91" spans="1:15" x14ac:dyDescent="0.2">
      <c r="A91" s="66">
        <v>46568</v>
      </c>
      <c r="B91" s="35" t="s">
        <v>192</v>
      </c>
      <c r="D91" s="68">
        <f t="shared" si="21"/>
        <v>8879093.6488682032</v>
      </c>
      <c r="E91" s="68">
        <f t="shared" si="18"/>
        <v>8879093.6488682032</v>
      </c>
      <c r="F91" s="148">
        <f t="shared" si="17"/>
        <v>184981.11768475422</v>
      </c>
      <c r="G91" s="68">
        <f t="shared" si="14"/>
        <v>-8139169.1781291915</v>
      </c>
      <c r="H91" s="68">
        <f t="shared" si="15"/>
        <v>-7029282.4720206643</v>
      </c>
      <c r="I91" s="68">
        <f t="shared" si="16"/>
        <v>1849811.1768475389</v>
      </c>
      <c r="J91" s="68">
        <f t="shared" si="19"/>
        <v>38846.034713798384</v>
      </c>
      <c r="K91" s="73">
        <f t="shared" si="20"/>
        <v>-155384.13885519176</v>
      </c>
      <c r="L91" s="68">
        <f t="shared" si="11"/>
        <v>-388460.34713798203</v>
      </c>
      <c r="M91" s="68">
        <f t="shared" si="12"/>
        <v>1461350.8297095569</v>
      </c>
      <c r="N91" s="69">
        <f t="shared" si="13"/>
        <v>584540.33188381989</v>
      </c>
      <c r="O91" s="169">
        <f t="shared" ref="O91:O94" si="22">-K91/(D91+G91)</f>
        <v>0.20999999999999908</v>
      </c>
    </row>
    <row r="92" spans="1:15" x14ac:dyDescent="0.2">
      <c r="A92" s="66">
        <v>46599</v>
      </c>
      <c r="B92" s="35" t="s">
        <v>192</v>
      </c>
      <c r="D92" s="68">
        <f t="shared" si="21"/>
        <v>8879093.6488682032</v>
      </c>
      <c r="E92" s="68">
        <f t="shared" si="18"/>
        <v>8879093.6488682032</v>
      </c>
      <c r="F92" s="148">
        <f t="shared" si="17"/>
        <v>184981.11768475422</v>
      </c>
      <c r="G92" s="68">
        <f t="shared" si="14"/>
        <v>-8324150.2958139461</v>
      </c>
      <c r="H92" s="68">
        <f t="shared" si="15"/>
        <v>-7214263.5897054197</v>
      </c>
      <c r="I92" s="68">
        <f t="shared" si="16"/>
        <v>1664830.0591627834</v>
      </c>
      <c r="J92" s="68">
        <f t="shared" si="19"/>
        <v>38846.034713798384</v>
      </c>
      <c r="K92" s="73">
        <f t="shared" si="20"/>
        <v>-116538.10414139339</v>
      </c>
      <c r="L92" s="68">
        <f t="shared" si="11"/>
        <v>-349614.31242418365</v>
      </c>
      <c r="M92" s="68">
        <f t="shared" si="12"/>
        <v>1315215.7467385998</v>
      </c>
      <c r="N92" s="69">
        <f t="shared" si="13"/>
        <v>438405.24891286372</v>
      </c>
      <c r="O92" s="169">
        <f t="shared" si="22"/>
        <v>0.20999999999999891</v>
      </c>
    </row>
    <row r="93" spans="1:15" x14ac:dyDescent="0.2">
      <c r="A93" s="66">
        <v>46630</v>
      </c>
      <c r="B93" s="35" t="s">
        <v>192</v>
      </c>
      <c r="D93" s="68">
        <f t="shared" si="21"/>
        <v>8879093.6488682032</v>
      </c>
      <c r="E93" s="68">
        <f t="shared" si="18"/>
        <v>8879093.6488682032</v>
      </c>
      <c r="F93" s="148">
        <f t="shared" si="17"/>
        <v>184981.11768475422</v>
      </c>
      <c r="G93" s="68">
        <f t="shared" si="14"/>
        <v>-8509131.4134986997</v>
      </c>
      <c r="H93" s="68">
        <f t="shared" si="15"/>
        <v>-7399244.7073901743</v>
      </c>
      <c r="I93" s="68">
        <f t="shared" si="16"/>
        <v>1479848.9414780289</v>
      </c>
      <c r="J93" s="68">
        <f t="shared" si="19"/>
        <v>38846.034713798384</v>
      </c>
      <c r="K93" s="73">
        <f t="shared" si="20"/>
        <v>-77692.069427595008</v>
      </c>
      <c r="L93" s="68">
        <f t="shared" si="11"/>
        <v>-310768.27771038521</v>
      </c>
      <c r="M93" s="68">
        <f t="shared" si="12"/>
        <v>1169080.6637676437</v>
      </c>
      <c r="N93" s="69">
        <f t="shared" si="13"/>
        <v>292270.16594190849</v>
      </c>
      <c r="O93" s="169">
        <f t="shared" si="22"/>
        <v>0.20999999999999805</v>
      </c>
    </row>
    <row r="94" spans="1:15" x14ac:dyDescent="0.2">
      <c r="A94" s="66">
        <v>46660</v>
      </c>
      <c r="B94" s="35" t="s">
        <v>192</v>
      </c>
      <c r="D94" s="68">
        <f t="shared" si="21"/>
        <v>8879093.6488682032</v>
      </c>
      <c r="E94" s="68">
        <f t="shared" si="18"/>
        <v>8879093.6488682032</v>
      </c>
      <c r="F94" s="148">
        <f t="shared" si="17"/>
        <v>184981.11768475422</v>
      </c>
      <c r="G94" s="68">
        <f t="shared" si="14"/>
        <v>-8694112.5311834533</v>
      </c>
      <c r="H94" s="68">
        <f t="shared" si="15"/>
        <v>-7584225.825074927</v>
      </c>
      <c r="I94" s="68">
        <f t="shared" si="16"/>
        <v>1294867.8237932762</v>
      </c>
      <c r="J94" s="68">
        <f t="shared" si="19"/>
        <v>38846.034713798384</v>
      </c>
      <c r="K94" s="73">
        <f t="shared" si="20"/>
        <v>-38846.034713796624</v>
      </c>
      <c r="L94" s="68">
        <f t="shared" si="11"/>
        <v>-271922.24299658689</v>
      </c>
      <c r="M94" s="68">
        <f t="shared" si="12"/>
        <v>1022945.5807966893</v>
      </c>
      <c r="N94" s="69">
        <f t="shared" si="13"/>
        <v>146135.08297095326</v>
      </c>
      <c r="O94" s="169">
        <f t="shared" si="22"/>
        <v>0.20999999999999538</v>
      </c>
    </row>
    <row r="95" spans="1:15" ht="13.5" thickBot="1" x14ac:dyDescent="0.25">
      <c r="A95" s="66">
        <v>46691</v>
      </c>
      <c r="B95" s="35" t="s">
        <v>192</v>
      </c>
      <c r="D95" s="68">
        <f t="shared" si="21"/>
        <v>8879093.6488682032</v>
      </c>
      <c r="E95" s="68">
        <f t="shared" si="18"/>
        <v>8879093.6488682032</v>
      </c>
      <c r="F95" s="148">
        <f t="shared" si="17"/>
        <v>184981.11768475422</v>
      </c>
      <c r="G95" s="68">
        <f t="shared" si="14"/>
        <v>-8879093.6488682069</v>
      </c>
      <c r="H95" s="68">
        <f t="shared" si="15"/>
        <v>-7769206.9427596815</v>
      </c>
      <c r="I95" s="68">
        <f t="shared" si="16"/>
        <v>1109886.7061085217</v>
      </c>
      <c r="J95" s="68">
        <f t="shared" si="19"/>
        <v>38846.034713798384</v>
      </c>
      <c r="K95" s="73">
        <f t="shared" si="20"/>
        <v>1.7607817426323891E-9</v>
      </c>
      <c r="L95" s="68">
        <f t="shared" si="11"/>
        <v>-233076.20828278852</v>
      </c>
      <c r="M95" s="68">
        <f t="shared" si="12"/>
        <v>876810.49782573315</v>
      </c>
      <c r="N95" s="69">
        <f t="shared" si="13"/>
        <v>-1.964508555829525E-9</v>
      </c>
      <c r="O95" s="169"/>
    </row>
    <row r="96" spans="1:15" x14ac:dyDescent="0.2">
      <c r="A96" s="158">
        <v>46721</v>
      </c>
      <c r="B96" s="165" t="s">
        <v>193</v>
      </c>
      <c r="C96" s="165"/>
      <c r="D96" s="160">
        <f t="shared" ref="D96:D98" si="23">D95+C96</f>
        <v>8879093.6488682032</v>
      </c>
      <c r="E96" s="160">
        <f t="shared" ref="E96:E98" si="24">(D84+D96+SUM(D85:D95)*2)/24</f>
        <v>8879093.6488682032</v>
      </c>
      <c r="F96" s="161"/>
      <c r="G96" s="160">
        <f t="shared" ref="G96:G98" si="25">G95-F96</f>
        <v>-8879093.6488682069</v>
      </c>
      <c r="H96" s="160">
        <f t="shared" ref="H96:H98" si="26">(G84+G96+SUM(G85:G95)*2)/24</f>
        <v>-7946480.5138742374</v>
      </c>
      <c r="I96" s="160">
        <f t="shared" ref="I96:I98" si="27">E96+H96</f>
        <v>932613.13499396574</v>
      </c>
      <c r="J96" s="160">
        <f t="shared" ref="J96:J98" si="28">(-C96*0.21)+(F96*0.21)</f>
        <v>0</v>
      </c>
      <c r="K96" s="162">
        <f t="shared" ref="K96:K98" si="29">K95+J96</f>
        <v>1.7607817426323891E-9</v>
      </c>
      <c r="L96" s="160">
        <f t="shared" ref="L96:L98" si="30">(K84+K96+SUM(K85:K95)*2)/24</f>
        <v>-195848.7583487317</v>
      </c>
      <c r="M96" s="160">
        <f t="shared" ref="M96:M98" si="31">L96+I96</f>
        <v>736764.37664523406</v>
      </c>
      <c r="N96" s="164">
        <f t="shared" ref="N96:N98" si="32">+D96+G96+K96</f>
        <v>-1.964508555829525E-9</v>
      </c>
      <c r="O96" s="169"/>
    </row>
    <row r="97" spans="1:15" x14ac:dyDescent="0.2">
      <c r="A97" s="66">
        <v>46752</v>
      </c>
      <c r="B97" s="35" t="s">
        <v>193</v>
      </c>
      <c r="D97" s="68">
        <f t="shared" si="23"/>
        <v>8879093.6488682032</v>
      </c>
      <c r="E97" s="68">
        <f t="shared" si="24"/>
        <v>8879093.6488682032</v>
      </c>
      <c r="F97" s="148"/>
      <c r="G97" s="68">
        <f t="shared" si="25"/>
        <v>-8879093.6488682069</v>
      </c>
      <c r="H97" s="68">
        <f t="shared" si="26"/>
        <v>-8108338.991848398</v>
      </c>
      <c r="I97" s="68">
        <f t="shared" si="27"/>
        <v>770754.65701980516</v>
      </c>
      <c r="J97" s="68">
        <f t="shared" si="28"/>
        <v>0</v>
      </c>
      <c r="K97" s="73">
        <f t="shared" si="29"/>
        <v>1.7607817426323891E-9</v>
      </c>
      <c r="L97" s="68">
        <f t="shared" si="30"/>
        <v>-161858.47797415813</v>
      </c>
      <c r="M97" s="68">
        <f t="shared" si="31"/>
        <v>608896.17904564703</v>
      </c>
      <c r="N97" s="69">
        <f t="shared" si="32"/>
        <v>-1.964508555829525E-9</v>
      </c>
      <c r="O97" s="169"/>
    </row>
    <row r="98" spans="1:15" x14ac:dyDescent="0.2">
      <c r="A98" s="66">
        <v>46783</v>
      </c>
      <c r="B98" s="35" t="s">
        <v>193</v>
      </c>
      <c r="D98" s="68">
        <f t="shared" si="23"/>
        <v>8879093.6488682032</v>
      </c>
      <c r="E98" s="68">
        <f t="shared" si="24"/>
        <v>8879093.6488682032</v>
      </c>
      <c r="F98" s="148"/>
      <c r="G98" s="68">
        <f t="shared" si="25"/>
        <v>-8879093.6488682069</v>
      </c>
      <c r="H98" s="68">
        <f t="shared" si="26"/>
        <v>-8254782.3766821623</v>
      </c>
      <c r="I98" s="68">
        <f t="shared" si="27"/>
        <v>624311.27218604088</v>
      </c>
      <c r="J98" s="68">
        <f t="shared" si="28"/>
        <v>0</v>
      </c>
      <c r="K98" s="73">
        <f t="shared" si="29"/>
        <v>1.7607817426323891E-9</v>
      </c>
      <c r="L98" s="68">
        <f t="shared" si="30"/>
        <v>-131105.36715906774</v>
      </c>
      <c r="M98" s="68">
        <f t="shared" si="31"/>
        <v>493205.90502697311</v>
      </c>
      <c r="N98" s="69">
        <f t="shared" si="32"/>
        <v>-1.964508555829525E-9</v>
      </c>
      <c r="O98" s="169"/>
    </row>
    <row r="99" spans="1:15" x14ac:dyDescent="0.2">
      <c r="A99" s="66">
        <v>46812</v>
      </c>
      <c r="B99" s="35" t="s">
        <v>193</v>
      </c>
      <c r="D99" s="68">
        <f t="shared" ref="D99:D107" si="33">D98+C99</f>
        <v>8879093.6488682032</v>
      </c>
      <c r="E99" s="68">
        <f t="shared" ref="E99:E107" si="34">(D87+D99+SUM(D88:D98)*2)/24</f>
        <v>8879093.6488682032</v>
      </c>
      <c r="F99" s="148"/>
      <c r="G99" s="68">
        <f t="shared" ref="G99:G107" si="35">G98-F99</f>
        <v>-8879093.6488682069</v>
      </c>
      <c r="H99" s="68">
        <f t="shared" ref="H99:H107" si="36">(G87+G99+SUM(G88:G98)*2)/24</f>
        <v>-8385810.6683755293</v>
      </c>
      <c r="I99" s="68">
        <f t="shared" ref="I99:I107" si="37">E99+H99</f>
        <v>493282.98049267381</v>
      </c>
      <c r="J99" s="68">
        <f t="shared" ref="J99:J107" si="38">(-C99*0.21)+(F99*0.21)</f>
        <v>0</v>
      </c>
      <c r="K99" s="73">
        <f t="shared" ref="K99:K107" si="39">K98+J99</f>
        <v>1.7607817426323891E-9</v>
      </c>
      <c r="L99" s="68">
        <f t="shared" ref="L99:L107" si="40">(K87+K99+SUM(K88:K98)*2)/24</f>
        <v>-103589.42590346055</v>
      </c>
      <c r="M99" s="68">
        <f t="shared" ref="M99:M107" si="41">L99+I99</f>
        <v>389693.55458921328</v>
      </c>
      <c r="N99" s="69">
        <f t="shared" ref="N99:N107" si="42">+D99+G99+K99</f>
        <v>-1.964508555829525E-9</v>
      </c>
      <c r="O99" s="169"/>
    </row>
    <row r="100" spans="1:15" x14ac:dyDescent="0.2">
      <c r="A100" s="66">
        <v>46843</v>
      </c>
      <c r="B100" s="35" t="s">
        <v>193</v>
      </c>
      <c r="D100" s="68">
        <f t="shared" si="33"/>
        <v>8879093.6488682032</v>
      </c>
      <c r="E100" s="68">
        <f t="shared" si="34"/>
        <v>8879093.6488682032</v>
      </c>
      <c r="F100" s="148"/>
      <c r="G100" s="68">
        <f t="shared" si="35"/>
        <v>-8879093.6488682069</v>
      </c>
      <c r="H100" s="68">
        <f t="shared" si="36"/>
        <v>-8501423.8669285011</v>
      </c>
      <c r="I100" s="68">
        <f t="shared" si="37"/>
        <v>377669.78193970211</v>
      </c>
      <c r="J100" s="68">
        <f t="shared" si="38"/>
        <v>0</v>
      </c>
      <c r="K100" s="73">
        <f t="shared" si="39"/>
        <v>1.7607817426323891E-9</v>
      </c>
      <c r="L100" s="68">
        <f t="shared" si="40"/>
        <v>-79310.654207336614</v>
      </c>
      <c r="M100" s="68">
        <f t="shared" si="41"/>
        <v>298359.12773236551</v>
      </c>
      <c r="N100" s="69">
        <f t="shared" si="42"/>
        <v>-1.964508555829525E-9</v>
      </c>
      <c r="O100" s="169"/>
    </row>
    <row r="101" spans="1:15" x14ac:dyDescent="0.2">
      <c r="A101" s="66">
        <v>46873</v>
      </c>
      <c r="B101" s="35" t="s">
        <v>193</v>
      </c>
      <c r="D101" s="68">
        <f t="shared" si="33"/>
        <v>8879093.6488682032</v>
      </c>
      <c r="E101" s="68">
        <f t="shared" si="34"/>
        <v>8879093.6488682032</v>
      </c>
      <c r="F101" s="148"/>
      <c r="G101" s="68">
        <f t="shared" si="35"/>
        <v>-8879093.6488682069</v>
      </c>
      <c r="H101" s="68">
        <f t="shared" si="36"/>
        <v>-8601621.9723410737</v>
      </c>
      <c r="I101" s="68">
        <f t="shared" si="37"/>
        <v>277471.67652712949</v>
      </c>
      <c r="J101" s="68">
        <f t="shared" si="38"/>
        <v>0</v>
      </c>
      <c r="K101" s="73">
        <f t="shared" si="39"/>
        <v>1.7607817426323891E-9</v>
      </c>
      <c r="L101" s="68">
        <f t="shared" si="40"/>
        <v>-58269.052070695812</v>
      </c>
      <c r="M101" s="68">
        <f t="shared" si="41"/>
        <v>219202.62445643367</v>
      </c>
      <c r="N101" s="69">
        <f t="shared" si="42"/>
        <v>-1.964508555829525E-9</v>
      </c>
      <c r="O101" s="169"/>
    </row>
    <row r="102" spans="1:15" x14ac:dyDescent="0.2">
      <c r="A102" s="66">
        <v>46904</v>
      </c>
      <c r="B102" s="35" t="s">
        <v>193</v>
      </c>
      <c r="D102" s="68">
        <f t="shared" si="33"/>
        <v>8879093.6488682032</v>
      </c>
      <c r="E102" s="68">
        <f t="shared" si="34"/>
        <v>8879093.6488682032</v>
      </c>
      <c r="F102" s="148"/>
      <c r="G102" s="68">
        <f t="shared" si="35"/>
        <v>-8879093.6488682069</v>
      </c>
      <c r="H102" s="68">
        <f t="shared" si="36"/>
        <v>-8686404.9846132528</v>
      </c>
      <c r="I102" s="68">
        <f t="shared" si="37"/>
        <v>192688.66425495036</v>
      </c>
      <c r="J102" s="68">
        <f t="shared" si="38"/>
        <v>0</v>
      </c>
      <c r="K102" s="73">
        <f t="shared" si="39"/>
        <v>1.7607817426323891E-9</v>
      </c>
      <c r="L102" s="68">
        <f t="shared" si="40"/>
        <v>-40464.61949353823</v>
      </c>
      <c r="M102" s="68">
        <f t="shared" si="41"/>
        <v>152224.04476141214</v>
      </c>
      <c r="N102" s="69">
        <f t="shared" si="42"/>
        <v>-1.964508555829525E-9</v>
      </c>
      <c r="O102" s="169"/>
    </row>
    <row r="103" spans="1:15" x14ac:dyDescent="0.2">
      <c r="A103" s="66">
        <v>46934</v>
      </c>
      <c r="B103" s="35" t="s">
        <v>193</v>
      </c>
      <c r="D103" s="68">
        <f t="shared" si="33"/>
        <v>8879093.6488682032</v>
      </c>
      <c r="E103" s="68">
        <f t="shared" si="34"/>
        <v>8879093.6488682032</v>
      </c>
      <c r="F103" s="148"/>
      <c r="G103" s="68">
        <f t="shared" si="35"/>
        <v>-8879093.6488682069</v>
      </c>
      <c r="H103" s="68">
        <f t="shared" si="36"/>
        <v>-8755772.9037450347</v>
      </c>
      <c r="I103" s="68">
        <f t="shared" si="37"/>
        <v>123320.74512316845</v>
      </c>
      <c r="J103" s="68">
        <f t="shared" si="38"/>
        <v>0</v>
      </c>
      <c r="K103" s="73">
        <f t="shared" si="39"/>
        <v>1.7607817426323891E-9</v>
      </c>
      <c r="L103" s="68">
        <f t="shared" si="40"/>
        <v>-25897.356475863839</v>
      </c>
      <c r="M103" s="68">
        <f t="shared" si="41"/>
        <v>97423.388647304615</v>
      </c>
      <c r="N103" s="69">
        <f t="shared" si="42"/>
        <v>-1.964508555829525E-9</v>
      </c>
      <c r="O103" s="169"/>
    </row>
    <row r="104" spans="1:15" x14ac:dyDescent="0.2">
      <c r="A104" s="66">
        <v>46965</v>
      </c>
      <c r="B104" s="35" t="s">
        <v>193</v>
      </c>
      <c r="D104" s="68">
        <f t="shared" si="33"/>
        <v>8879093.6488682032</v>
      </c>
      <c r="E104" s="68">
        <f t="shared" si="34"/>
        <v>8879093.6488682032</v>
      </c>
      <c r="F104" s="148"/>
      <c r="G104" s="68">
        <f t="shared" si="35"/>
        <v>-8879093.6488682069</v>
      </c>
      <c r="H104" s="68">
        <f t="shared" si="36"/>
        <v>-8809725.7297364231</v>
      </c>
      <c r="I104" s="68">
        <f t="shared" si="37"/>
        <v>69367.919131780043</v>
      </c>
      <c r="J104" s="68">
        <f t="shared" si="38"/>
        <v>0</v>
      </c>
      <c r="K104" s="73">
        <f t="shared" si="39"/>
        <v>1.7607817426323891E-9</v>
      </c>
      <c r="L104" s="68">
        <f t="shared" si="40"/>
        <v>-14567.263017672632</v>
      </c>
      <c r="M104" s="68">
        <f t="shared" si="41"/>
        <v>54800.656114107413</v>
      </c>
      <c r="N104" s="69">
        <f t="shared" si="42"/>
        <v>-1.964508555829525E-9</v>
      </c>
      <c r="O104" s="169"/>
    </row>
    <row r="105" spans="1:15" x14ac:dyDescent="0.2">
      <c r="A105" s="66">
        <v>46996</v>
      </c>
      <c r="B105" s="35" t="s">
        <v>193</v>
      </c>
      <c r="D105" s="68">
        <f t="shared" si="33"/>
        <v>8879093.6488682032</v>
      </c>
      <c r="E105" s="68">
        <f t="shared" si="34"/>
        <v>8879093.6488682032</v>
      </c>
      <c r="F105" s="148"/>
      <c r="G105" s="68">
        <f t="shared" si="35"/>
        <v>-8879093.6488682069</v>
      </c>
      <c r="H105" s="68">
        <f t="shared" si="36"/>
        <v>-8848263.4625874124</v>
      </c>
      <c r="I105" s="68">
        <f t="shared" si="37"/>
        <v>30830.186280790716</v>
      </c>
      <c r="J105" s="68">
        <f t="shared" si="38"/>
        <v>0</v>
      </c>
      <c r="K105" s="73">
        <f t="shared" si="39"/>
        <v>1.7607817426323891E-9</v>
      </c>
      <c r="L105" s="68">
        <f t="shared" si="40"/>
        <v>-6474.3391189646363</v>
      </c>
      <c r="M105" s="68">
        <f t="shared" si="41"/>
        <v>24355.847161826081</v>
      </c>
      <c r="N105" s="69">
        <f t="shared" si="42"/>
        <v>-1.964508555829525E-9</v>
      </c>
      <c r="O105" s="169"/>
    </row>
    <row r="106" spans="1:15" x14ac:dyDescent="0.2">
      <c r="A106" s="66">
        <v>47026</v>
      </c>
      <c r="B106" s="35" t="s">
        <v>193</v>
      </c>
      <c r="D106" s="68">
        <f t="shared" si="33"/>
        <v>8879093.6488682032</v>
      </c>
      <c r="E106" s="68">
        <f t="shared" si="34"/>
        <v>8879093.6488682032</v>
      </c>
      <c r="F106" s="148"/>
      <c r="G106" s="68">
        <f t="shared" si="35"/>
        <v>-8879093.6488682069</v>
      </c>
      <c r="H106" s="68">
        <f t="shared" si="36"/>
        <v>-8871386.1022980064</v>
      </c>
      <c r="I106" s="68">
        <f t="shared" si="37"/>
        <v>7707.5465701967478</v>
      </c>
      <c r="J106" s="68">
        <f t="shared" si="38"/>
        <v>0</v>
      </c>
      <c r="K106" s="73">
        <f t="shared" si="39"/>
        <v>1.7607817426323891E-9</v>
      </c>
      <c r="L106" s="68">
        <f t="shared" si="40"/>
        <v>-1618.5847797398385</v>
      </c>
      <c r="M106" s="68">
        <f t="shared" si="41"/>
        <v>6088.9617904569095</v>
      </c>
      <c r="N106" s="69">
        <f t="shared" si="42"/>
        <v>-1.964508555829525E-9</v>
      </c>
      <c r="O106" s="169"/>
    </row>
    <row r="107" spans="1:15" x14ac:dyDescent="0.2">
      <c r="A107" s="75">
        <v>47057</v>
      </c>
      <c r="B107" s="76" t="s">
        <v>193</v>
      </c>
      <c r="C107" s="76"/>
      <c r="D107" s="77">
        <f t="shared" si="33"/>
        <v>8879093.6488682032</v>
      </c>
      <c r="E107" s="77">
        <f t="shared" si="34"/>
        <v>8879093.6488682032</v>
      </c>
      <c r="F107" s="149"/>
      <c r="G107" s="77">
        <f t="shared" si="35"/>
        <v>-8879093.6488682069</v>
      </c>
      <c r="H107" s="77">
        <f t="shared" si="36"/>
        <v>-8879093.648868205</v>
      </c>
      <c r="I107" s="77">
        <f t="shared" si="37"/>
        <v>0</v>
      </c>
      <c r="J107" s="77">
        <f t="shared" si="38"/>
        <v>0</v>
      </c>
      <c r="K107" s="78">
        <f t="shared" si="39"/>
        <v>1.7607817426323891E-9</v>
      </c>
      <c r="L107" s="77">
        <f t="shared" si="40"/>
        <v>1.7607817426323891E-9</v>
      </c>
      <c r="M107" s="77">
        <f t="shared" si="41"/>
        <v>1.7607817426323891E-9</v>
      </c>
      <c r="N107" s="79">
        <f t="shared" si="42"/>
        <v>-1.964508555829525E-9</v>
      </c>
      <c r="O107" s="169"/>
    </row>
    <row r="110" spans="1:15" x14ac:dyDescent="0.2">
      <c r="A110" s="35" t="s">
        <v>180</v>
      </c>
      <c r="F110" s="154">
        <f>SUM(F48:F59)</f>
        <v>2219773.4122170513</v>
      </c>
    </row>
  </sheetData>
  <printOptions horizontalCentered="1"/>
  <pageMargins left="0.2" right="0.2" top="0.25" bottom="0.25" header="0.3" footer="0.3"/>
  <pageSetup scale="76" fitToHeight="0" orientation="landscape" r:id="rId1"/>
  <headerFooter>
    <oddFooter xml:space="preserve">&amp;RExh. SEF-3 Page 1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25" sqref="N25"/>
    </sheetView>
  </sheetViews>
  <sheetFormatPr defaultColWidth="9.140625" defaultRowHeight="15" x14ac:dyDescent="0.25"/>
  <cols>
    <col min="1" max="1" width="3.85546875" style="204" customWidth="1"/>
    <col min="2" max="2" width="20.42578125" style="85" customWidth="1"/>
    <col min="3" max="3" width="14.5703125" style="85" bestFit="1" customWidth="1"/>
    <col min="4" max="14" width="12.7109375" style="85" customWidth="1"/>
    <col min="15" max="15" width="12.28515625" style="85" bestFit="1" customWidth="1"/>
    <col min="16" max="16384" width="9.140625" style="85"/>
  </cols>
  <sheetData>
    <row r="1" spans="2:14" x14ac:dyDescent="0.25">
      <c r="B1" s="91" t="s">
        <v>141</v>
      </c>
      <c r="C1" s="92"/>
      <c r="D1" s="92"/>
      <c r="E1" s="92"/>
      <c r="F1" s="92"/>
      <c r="G1" s="93"/>
      <c r="H1" s="93"/>
      <c r="I1" s="93"/>
      <c r="J1" s="93"/>
      <c r="K1" s="93"/>
      <c r="L1" s="93"/>
      <c r="M1" s="94"/>
      <c r="N1" s="93"/>
    </row>
    <row r="2" spans="2:14" x14ac:dyDescent="0.25">
      <c r="B2" s="5" t="s">
        <v>142</v>
      </c>
      <c r="C2" s="33"/>
      <c r="D2" s="39"/>
      <c r="E2" s="95"/>
      <c r="F2" s="33"/>
      <c r="G2" s="96"/>
      <c r="H2" s="97"/>
      <c r="I2" s="97"/>
      <c r="J2" s="98"/>
      <c r="K2" s="92"/>
      <c r="L2" s="92"/>
      <c r="M2" s="94"/>
      <c r="N2" s="92"/>
    </row>
    <row r="3" spans="2:14" ht="15.75" thickBot="1" x14ac:dyDescent="0.3">
      <c r="B3" s="99"/>
      <c r="C3" s="93"/>
      <c r="D3" s="93"/>
      <c r="E3" s="93"/>
      <c r="F3" s="33"/>
      <c r="G3" s="33"/>
      <c r="H3" s="33"/>
      <c r="I3" s="33"/>
      <c r="J3" s="230"/>
      <c r="K3" s="230"/>
      <c r="L3" s="93"/>
      <c r="M3" s="93"/>
      <c r="N3" s="93"/>
    </row>
    <row r="4" spans="2:14" ht="15.75" thickBot="1" x14ac:dyDescent="0.3">
      <c r="B4" s="35"/>
      <c r="C4" s="188" t="s">
        <v>205</v>
      </c>
      <c r="D4" s="186"/>
      <c r="E4" s="186"/>
      <c r="F4" s="186"/>
      <c r="G4" s="186"/>
      <c r="H4" s="187"/>
      <c r="I4" s="35"/>
      <c r="J4" s="35"/>
      <c r="K4" s="35"/>
      <c r="L4" s="35"/>
      <c r="M4" s="35"/>
      <c r="N4" s="35"/>
    </row>
    <row r="5" spans="2:14" x14ac:dyDescent="0.25">
      <c r="B5" s="100" t="s">
        <v>94</v>
      </c>
      <c r="C5" s="184" t="s">
        <v>95</v>
      </c>
      <c r="D5" s="185"/>
      <c r="E5" s="184" t="s">
        <v>96</v>
      </c>
      <c r="F5" s="185"/>
      <c r="G5" s="184" t="s">
        <v>85</v>
      </c>
      <c r="H5" s="185"/>
      <c r="I5" s="101" t="s">
        <v>97</v>
      </c>
      <c r="J5" s="102"/>
      <c r="K5" s="103" t="s">
        <v>98</v>
      </c>
      <c r="L5" s="104" t="s">
        <v>99</v>
      </c>
      <c r="M5" s="104" t="s">
        <v>61</v>
      </c>
      <c r="N5" s="103" t="s">
        <v>209</v>
      </c>
    </row>
    <row r="6" spans="2:14" x14ac:dyDescent="0.25">
      <c r="B6" s="105"/>
      <c r="C6" s="106"/>
      <c r="D6" s="107"/>
      <c r="E6" s="108"/>
      <c r="F6" s="109"/>
      <c r="G6" s="108"/>
      <c r="H6" s="107"/>
      <c r="I6" s="106"/>
      <c r="J6" s="110"/>
      <c r="K6" s="111"/>
      <c r="L6" s="112"/>
      <c r="M6" s="112" t="s">
        <v>208</v>
      </c>
      <c r="N6" s="111" t="s">
        <v>210</v>
      </c>
    </row>
    <row r="7" spans="2:14" x14ac:dyDescent="0.25">
      <c r="B7" s="113"/>
      <c r="C7" s="114" t="s">
        <v>100</v>
      </c>
      <c r="D7" s="110" t="s">
        <v>101</v>
      </c>
      <c r="E7" s="114" t="s">
        <v>102</v>
      </c>
      <c r="F7" s="110" t="s">
        <v>143</v>
      </c>
      <c r="G7" s="114" t="s">
        <v>100</v>
      </c>
      <c r="H7" s="110" t="s">
        <v>101</v>
      </c>
      <c r="I7" s="114" t="s">
        <v>100</v>
      </c>
      <c r="J7" s="110" t="s">
        <v>103</v>
      </c>
      <c r="K7" s="111" t="s">
        <v>104</v>
      </c>
      <c r="L7" s="115">
        <v>0.21</v>
      </c>
      <c r="M7" s="112" t="s">
        <v>105</v>
      </c>
      <c r="N7" s="190"/>
    </row>
    <row r="8" spans="2:14" x14ac:dyDescent="0.25">
      <c r="B8" s="113"/>
      <c r="C8" s="114"/>
      <c r="D8" s="110"/>
      <c r="E8" s="114" t="s">
        <v>106</v>
      </c>
      <c r="F8" s="110" t="s">
        <v>144</v>
      </c>
      <c r="G8" s="114" t="s">
        <v>107</v>
      </c>
      <c r="H8" s="110" t="s">
        <v>108</v>
      </c>
      <c r="I8" s="114"/>
      <c r="J8" s="110"/>
      <c r="K8" s="111" t="s">
        <v>104</v>
      </c>
      <c r="L8" s="115">
        <v>0.21</v>
      </c>
      <c r="M8" s="112" t="s">
        <v>109</v>
      </c>
      <c r="N8" s="190"/>
    </row>
    <row r="9" spans="2:14" x14ac:dyDescent="0.25">
      <c r="B9" s="116"/>
      <c r="C9" s="117" t="s">
        <v>110</v>
      </c>
      <c r="D9" s="118" t="s">
        <v>65</v>
      </c>
      <c r="E9" s="117"/>
      <c r="F9" s="118" t="s">
        <v>207</v>
      </c>
      <c r="G9" s="117" t="s">
        <v>111</v>
      </c>
      <c r="H9" s="118" t="s">
        <v>112</v>
      </c>
      <c r="I9" s="117" t="s">
        <v>113</v>
      </c>
      <c r="J9" s="118" t="s">
        <v>114</v>
      </c>
      <c r="K9" s="119" t="s">
        <v>115</v>
      </c>
      <c r="L9" s="120" t="s">
        <v>73</v>
      </c>
      <c r="M9" s="121" t="s">
        <v>116</v>
      </c>
      <c r="N9" s="191" t="s">
        <v>211</v>
      </c>
    </row>
    <row r="10" spans="2:14" x14ac:dyDescent="0.25">
      <c r="B10" s="122"/>
      <c r="C10" s="123"/>
      <c r="D10" s="124"/>
      <c r="E10" s="123"/>
      <c r="F10" s="124"/>
      <c r="G10" s="125"/>
      <c r="H10" s="126"/>
      <c r="I10" s="123"/>
      <c r="J10" s="124"/>
      <c r="K10" s="127"/>
      <c r="L10" s="128"/>
      <c r="M10" s="124"/>
      <c r="N10" s="192"/>
    </row>
    <row r="11" spans="2:14" x14ac:dyDescent="0.25">
      <c r="B11" s="239">
        <v>44592</v>
      </c>
      <c r="C11" s="123">
        <v>0</v>
      </c>
      <c r="D11" s="124">
        <v>0</v>
      </c>
      <c r="E11" s="123">
        <f>Workpaper!AD8</f>
        <v>770282.64653689996</v>
      </c>
      <c r="F11" s="129">
        <v>0</v>
      </c>
      <c r="G11" s="123">
        <f>G10-E11</f>
        <v>-770282.64653689996</v>
      </c>
      <c r="H11" s="129">
        <f>H10-F11</f>
        <v>0</v>
      </c>
      <c r="I11" s="123">
        <f>C11+G11</f>
        <v>-770282.64653689996</v>
      </c>
      <c r="J11" s="129">
        <f>D11+H11</f>
        <v>0</v>
      </c>
      <c r="K11" s="123">
        <f>J11-I11</f>
        <v>770282.64653689996</v>
      </c>
      <c r="L11" s="123">
        <f>-K11*0.21</f>
        <v>-161759.355772749</v>
      </c>
      <c r="M11" s="127">
        <f>M10-L11</f>
        <v>161759.355772749</v>
      </c>
      <c r="N11" s="127">
        <f t="shared" ref="N11:N24" si="0">J11+L11</f>
        <v>-161759.355772749</v>
      </c>
    </row>
    <row r="12" spans="2:14" x14ac:dyDescent="0.25">
      <c r="B12" s="239">
        <v>44620</v>
      </c>
      <c r="C12" s="123">
        <f>D12</f>
        <v>242210482.39999998</v>
      </c>
      <c r="D12" s="124">
        <f>Workpaper!O9</f>
        <v>242210482.39999998</v>
      </c>
      <c r="E12" s="123">
        <f>Workpaper!AD9</f>
        <v>771840.64653689996</v>
      </c>
      <c r="F12" s="129">
        <v>270932.72951333335</v>
      </c>
      <c r="G12" s="123">
        <f t="shared" ref="G12:G45" si="1">G11-E12</f>
        <v>-1542123.2930737999</v>
      </c>
      <c r="H12" s="129">
        <f t="shared" ref="H12:H45" si="2">H11-F12</f>
        <v>-270932.72951333335</v>
      </c>
      <c r="I12" s="123">
        <f t="shared" ref="I12:J45" si="3">C12+G12</f>
        <v>240668359.10692617</v>
      </c>
      <c r="J12" s="129">
        <f t="shared" si="3"/>
        <v>241939549.67048663</v>
      </c>
      <c r="K12" s="123">
        <f t="shared" ref="K12:K45" si="4">J12-I12</f>
        <v>1271190.563560456</v>
      </c>
      <c r="L12" s="123">
        <f t="shared" ref="L12:L45" si="5">-K12*0.21</f>
        <v>-266950.01834769576</v>
      </c>
      <c r="M12" s="127">
        <f>-(L12-L11)</f>
        <v>105190.66257494676</v>
      </c>
      <c r="N12" s="127">
        <f t="shared" si="0"/>
        <v>241672599.65213892</v>
      </c>
    </row>
    <row r="13" spans="2:14" x14ac:dyDescent="0.25">
      <c r="B13" s="239">
        <v>44651</v>
      </c>
      <c r="C13" s="123">
        <f t="shared" ref="C13:C25" si="6">D13</f>
        <v>242400844.05000004</v>
      </c>
      <c r="D13" s="124">
        <f>Workpaper!O10</f>
        <v>242400844.05000004</v>
      </c>
      <c r="E13" s="123">
        <f>Workpaper!AD10</f>
        <v>772222.23552633915</v>
      </c>
      <c r="F13" s="129">
        <v>523580.40328349994</v>
      </c>
      <c r="G13" s="123">
        <f t="shared" si="1"/>
        <v>-2314345.5286001391</v>
      </c>
      <c r="H13" s="129">
        <f t="shared" si="2"/>
        <v>-794513.13279683329</v>
      </c>
      <c r="I13" s="123">
        <f t="shared" si="3"/>
        <v>240086498.52139992</v>
      </c>
      <c r="J13" s="129">
        <f t="shared" si="3"/>
        <v>241606330.91720322</v>
      </c>
      <c r="K13" s="123">
        <f t="shared" si="4"/>
        <v>1519832.3958033025</v>
      </c>
      <c r="L13" s="123">
        <f t="shared" si="5"/>
        <v>-319164.80311869353</v>
      </c>
      <c r="M13" s="127">
        <f t="shared" ref="M13:M45" si="7">-(L13-L12)</f>
        <v>52214.784770997765</v>
      </c>
      <c r="N13" s="127">
        <f t="shared" si="0"/>
        <v>241287166.11408451</v>
      </c>
    </row>
    <row r="14" spans="2:14" x14ac:dyDescent="0.25">
      <c r="B14" s="239">
        <v>44681</v>
      </c>
      <c r="C14" s="123">
        <f t="shared" si="6"/>
        <v>242473352.72000003</v>
      </c>
      <c r="D14" s="124">
        <f>Workpaper!O11</f>
        <v>242473352.72000003</v>
      </c>
      <c r="E14" s="123">
        <f>Workpaper!AD11</f>
        <v>772346.7097157056</v>
      </c>
      <c r="F14" s="129">
        <v>523852.83881937491</v>
      </c>
      <c r="G14" s="123">
        <f t="shared" si="1"/>
        <v>-3086692.2383158449</v>
      </c>
      <c r="H14" s="129">
        <f t="shared" si="2"/>
        <v>-1318365.9716162081</v>
      </c>
      <c r="I14" s="123">
        <f t="shared" si="3"/>
        <v>239386660.48168418</v>
      </c>
      <c r="J14" s="129">
        <f t="shared" si="3"/>
        <v>241154986.74838382</v>
      </c>
      <c r="K14" s="123">
        <f t="shared" si="4"/>
        <v>1768326.2666996419</v>
      </c>
      <c r="L14" s="123">
        <f t="shared" si="5"/>
        <v>-371348.51600692479</v>
      </c>
      <c r="M14" s="127">
        <f t="shared" si="7"/>
        <v>52183.712888231268</v>
      </c>
      <c r="N14" s="127">
        <f t="shared" si="0"/>
        <v>240783638.2323769</v>
      </c>
    </row>
    <row r="15" spans="2:14" x14ac:dyDescent="0.25">
      <c r="B15" s="239">
        <v>44712</v>
      </c>
      <c r="C15" s="123">
        <f t="shared" si="6"/>
        <v>242597388.97000003</v>
      </c>
      <c r="D15" s="124">
        <f>Workpaper!O12</f>
        <v>242597388.97000003</v>
      </c>
      <c r="E15" s="123">
        <f>Workpaper!AD12</f>
        <v>772683.33304100577</v>
      </c>
      <c r="F15" s="129">
        <v>524057.44885795837</v>
      </c>
      <c r="G15" s="123">
        <f t="shared" si="1"/>
        <v>-3859375.5713568507</v>
      </c>
      <c r="H15" s="129">
        <f t="shared" si="2"/>
        <v>-1842423.4204741665</v>
      </c>
      <c r="I15" s="123">
        <f t="shared" si="3"/>
        <v>238738013.39864317</v>
      </c>
      <c r="J15" s="129">
        <f t="shared" si="3"/>
        <v>240754965.54952586</v>
      </c>
      <c r="K15" s="123">
        <f t="shared" si="4"/>
        <v>2016952.1508826911</v>
      </c>
      <c r="L15" s="123">
        <f t="shared" si="5"/>
        <v>-423559.95168536511</v>
      </c>
      <c r="M15" s="127">
        <f t="shared" si="7"/>
        <v>52211.435678440321</v>
      </c>
      <c r="N15" s="127">
        <f t="shared" si="0"/>
        <v>240331405.59784049</v>
      </c>
    </row>
    <row r="16" spans="2:14" x14ac:dyDescent="0.25">
      <c r="B16" s="239">
        <v>44742</v>
      </c>
      <c r="C16" s="123">
        <f t="shared" si="6"/>
        <v>242654035.06999996</v>
      </c>
      <c r="D16" s="124">
        <f>Workpaper!O13</f>
        <v>242654035.06999996</v>
      </c>
      <c r="E16" s="123">
        <f>Workpaper!AD13</f>
        <v>772811.68793569983</v>
      </c>
      <c r="F16" s="129">
        <v>524246.68028308335</v>
      </c>
      <c r="G16" s="123">
        <f t="shared" si="1"/>
        <v>-4632187.2592925504</v>
      </c>
      <c r="H16" s="129">
        <f t="shared" si="2"/>
        <v>-2366670.1007572496</v>
      </c>
      <c r="I16" s="123">
        <f t="shared" si="3"/>
        <v>238021847.81070742</v>
      </c>
      <c r="J16" s="129">
        <f t="shared" si="3"/>
        <v>240287364.96924272</v>
      </c>
      <c r="K16" s="123">
        <f t="shared" si="4"/>
        <v>2265517.1585353017</v>
      </c>
      <c r="L16" s="123">
        <f t="shared" si="5"/>
        <v>-475758.60329241335</v>
      </c>
      <c r="M16" s="127">
        <f t="shared" si="7"/>
        <v>52198.651607048232</v>
      </c>
      <c r="N16" s="127">
        <f t="shared" si="0"/>
        <v>239811606.36595032</v>
      </c>
    </row>
    <row r="17" spans="2:14" x14ac:dyDescent="0.25">
      <c r="B17" s="239">
        <v>44773</v>
      </c>
      <c r="C17" s="123">
        <f t="shared" si="6"/>
        <v>242711756.40999997</v>
      </c>
      <c r="D17" s="124">
        <f>Workpaper!O14</f>
        <v>242711756.40999997</v>
      </c>
      <c r="E17" s="123">
        <f>Workpaper!AD14</f>
        <v>772910.87736794993</v>
      </c>
      <c r="F17" s="129">
        <v>524365.07417308341</v>
      </c>
      <c r="G17" s="123">
        <f t="shared" si="1"/>
        <v>-5405098.1366605004</v>
      </c>
      <c r="H17" s="129">
        <f t="shared" si="2"/>
        <v>-2891035.1749303332</v>
      </c>
      <c r="I17" s="123">
        <f t="shared" si="3"/>
        <v>237306658.27333948</v>
      </c>
      <c r="J17" s="129">
        <f t="shared" si="3"/>
        <v>239820721.23506963</v>
      </c>
      <c r="K17" s="123">
        <f t="shared" si="4"/>
        <v>2514062.9617301524</v>
      </c>
      <c r="L17" s="123">
        <f t="shared" si="5"/>
        <v>-527953.22196333203</v>
      </c>
      <c r="M17" s="127">
        <f t="shared" si="7"/>
        <v>52194.618670918688</v>
      </c>
      <c r="N17" s="127">
        <f t="shared" si="0"/>
        <v>239292768.01310629</v>
      </c>
    </row>
    <row r="18" spans="2:14" x14ac:dyDescent="0.25">
      <c r="B18" s="239">
        <v>44804</v>
      </c>
      <c r="C18" s="123">
        <f t="shared" si="6"/>
        <v>242786181.20999995</v>
      </c>
      <c r="D18" s="124">
        <f>Workpaper!O15</f>
        <v>242786181.20999995</v>
      </c>
      <c r="E18" s="123">
        <f>Workpaper!AD15</f>
        <v>773023.4997649499</v>
      </c>
      <c r="F18" s="129">
        <v>524501.69168520835</v>
      </c>
      <c r="G18" s="123">
        <f t="shared" si="1"/>
        <v>-6178121.6364254504</v>
      </c>
      <c r="H18" s="129">
        <f t="shared" si="2"/>
        <v>-3415536.8666155413</v>
      </c>
      <c r="I18" s="123">
        <f t="shared" si="3"/>
        <v>236608059.57357448</v>
      </c>
      <c r="J18" s="129">
        <f t="shared" si="3"/>
        <v>239370644.34338441</v>
      </c>
      <c r="K18" s="123">
        <f t="shared" si="4"/>
        <v>2762584.7698099315</v>
      </c>
      <c r="L18" s="123">
        <f t="shared" si="5"/>
        <v>-580142.80166008556</v>
      </c>
      <c r="M18" s="127">
        <f t="shared" si="7"/>
        <v>52189.579696753528</v>
      </c>
      <c r="N18" s="127">
        <f t="shared" si="0"/>
        <v>238790501.54172432</v>
      </c>
    </row>
    <row r="19" spans="2:14" x14ac:dyDescent="0.25">
      <c r="B19" s="239">
        <v>44834</v>
      </c>
      <c r="C19" s="123">
        <f t="shared" si="6"/>
        <v>242951019.96999997</v>
      </c>
      <c r="D19" s="124">
        <f>Workpaper!O16</f>
        <v>242951019.96999997</v>
      </c>
      <c r="E19" s="123">
        <f>Workpaper!AD16</f>
        <v>773269.34723881667</v>
      </c>
      <c r="F19" s="129">
        <v>524748.74707250006</v>
      </c>
      <c r="G19" s="123">
        <f t="shared" si="1"/>
        <v>-6951390.9836642668</v>
      </c>
      <c r="H19" s="129">
        <f t="shared" si="2"/>
        <v>-3940285.6136880415</v>
      </c>
      <c r="I19" s="123">
        <f t="shared" si="3"/>
        <v>235999628.98633569</v>
      </c>
      <c r="J19" s="129">
        <f t="shared" si="3"/>
        <v>239010734.35631192</v>
      </c>
      <c r="K19" s="123">
        <f t="shared" si="4"/>
        <v>3011105.3699762225</v>
      </c>
      <c r="L19" s="123">
        <f t="shared" si="5"/>
        <v>-632332.12769500667</v>
      </c>
      <c r="M19" s="127">
        <f t="shared" si="7"/>
        <v>52189.326034921105</v>
      </c>
      <c r="N19" s="127">
        <f t="shared" si="0"/>
        <v>238378402.22861692</v>
      </c>
    </row>
    <row r="20" spans="2:14" x14ac:dyDescent="0.25">
      <c r="B20" s="239">
        <v>44865</v>
      </c>
      <c r="C20" s="123">
        <f t="shared" si="6"/>
        <v>243004226.10999998</v>
      </c>
      <c r="D20" s="124">
        <f>Workpaper!O17</f>
        <v>243004226.10999998</v>
      </c>
      <c r="E20" s="123">
        <f>Workpaper!AD17</f>
        <v>773394.37288928335</v>
      </c>
      <c r="F20" s="129">
        <v>524974.30275483336</v>
      </c>
      <c r="G20" s="123">
        <f t="shared" si="1"/>
        <v>-7724785.3565535499</v>
      </c>
      <c r="H20" s="129">
        <f t="shared" si="2"/>
        <v>-4465259.9164428748</v>
      </c>
      <c r="I20" s="123">
        <f t="shared" si="3"/>
        <v>235279440.75344643</v>
      </c>
      <c r="J20" s="129">
        <f t="shared" si="3"/>
        <v>238538966.19355711</v>
      </c>
      <c r="K20" s="123">
        <f t="shared" si="4"/>
        <v>3259525.4401106834</v>
      </c>
      <c r="L20" s="123">
        <f t="shared" si="5"/>
        <v>-684500.34242324345</v>
      </c>
      <c r="M20" s="127">
        <f t="shared" si="7"/>
        <v>52168.214728236781</v>
      </c>
      <c r="N20" s="127">
        <f t="shared" si="0"/>
        <v>237854465.85113388</v>
      </c>
    </row>
    <row r="21" spans="2:14" x14ac:dyDescent="0.25">
      <c r="B21" s="239">
        <v>44895</v>
      </c>
      <c r="C21" s="123">
        <f t="shared" si="6"/>
        <v>243073721.75999996</v>
      </c>
      <c r="D21" s="124">
        <f>Workpaper!O18</f>
        <v>243073721.75999996</v>
      </c>
      <c r="E21" s="123">
        <f>Workpaper!AD18</f>
        <v>773586.55926474987</v>
      </c>
      <c r="F21" s="129">
        <v>525102.2152886251</v>
      </c>
      <c r="G21" s="123">
        <f t="shared" si="1"/>
        <v>-8498371.9158183001</v>
      </c>
      <c r="H21" s="129">
        <f t="shared" si="2"/>
        <v>-4990362.1317314999</v>
      </c>
      <c r="I21" s="123">
        <f t="shared" si="3"/>
        <v>234575349.84418166</v>
      </c>
      <c r="J21" s="129">
        <f t="shared" si="3"/>
        <v>238083359.62826845</v>
      </c>
      <c r="K21" s="123">
        <f t="shared" si="4"/>
        <v>3508009.7840867937</v>
      </c>
      <c r="L21" s="123">
        <f t="shared" si="5"/>
        <v>-736682.05465822667</v>
      </c>
      <c r="M21" s="127">
        <f t="shared" si="7"/>
        <v>52181.712234983221</v>
      </c>
      <c r="N21" s="127">
        <f t="shared" si="0"/>
        <v>237346677.57361022</v>
      </c>
    </row>
    <row r="22" spans="2:14" x14ac:dyDescent="0.25">
      <c r="B22" s="239">
        <v>44926</v>
      </c>
      <c r="C22" s="123">
        <f t="shared" si="6"/>
        <v>243176936.39999998</v>
      </c>
      <c r="D22" s="124">
        <f>Workpaper!O19</f>
        <v>243176936.39999998</v>
      </c>
      <c r="E22" s="123">
        <f>Workpaper!AD19</f>
        <v>773813.37816588336</v>
      </c>
      <c r="F22" s="129">
        <v>525282.01068087504</v>
      </c>
      <c r="G22" s="123">
        <f t="shared" si="1"/>
        <v>-9272185.293984184</v>
      </c>
      <c r="H22" s="129">
        <f t="shared" si="2"/>
        <v>-5515644.1424123747</v>
      </c>
      <c r="I22" s="123">
        <f t="shared" si="3"/>
        <v>233904751.1060158</v>
      </c>
      <c r="J22" s="129">
        <f t="shared" si="3"/>
        <v>237661292.25758761</v>
      </c>
      <c r="K22" s="123">
        <f t="shared" si="4"/>
        <v>3756541.1515718102</v>
      </c>
      <c r="L22" s="123">
        <f t="shared" si="5"/>
        <v>-788873.64183008007</v>
      </c>
      <c r="M22" s="127">
        <f t="shared" si="7"/>
        <v>52191.587171853404</v>
      </c>
      <c r="N22" s="127">
        <f t="shared" si="0"/>
        <v>236872418.61575752</v>
      </c>
    </row>
    <row r="23" spans="2:14" x14ac:dyDescent="0.25">
      <c r="B23" s="239">
        <v>44957</v>
      </c>
      <c r="C23" s="123">
        <f t="shared" si="6"/>
        <v>243164613.76999995</v>
      </c>
      <c r="D23" s="124">
        <f>Workpaper!O20</f>
        <v>243164613.76999995</v>
      </c>
      <c r="E23" s="123">
        <f>Workpaper!AD20</f>
        <v>1478521.4607167724</v>
      </c>
      <c r="F23" s="129">
        <v>525376.52400758339</v>
      </c>
      <c r="G23" s="123">
        <f t="shared" si="1"/>
        <v>-10750706.754700957</v>
      </c>
      <c r="H23" s="129">
        <f t="shared" si="2"/>
        <v>-6041020.6664199578</v>
      </c>
      <c r="I23" s="123">
        <f t="shared" si="3"/>
        <v>232413907.01529899</v>
      </c>
      <c r="J23" s="129">
        <f t="shared" si="3"/>
        <v>237123593.10358</v>
      </c>
      <c r="K23" s="123">
        <f t="shared" si="4"/>
        <v>4709686.0882810056</v>
      </c>
      <c r="L23" s="123">
        <f t="shared" si="5"/>
        <v>-989034.07853901119</v>
      </c>
      <c r="M23" s="127">
        <f t="shared" si="7"/>
        <v>200160.43670893111</v>
      </c>
      <c r="N23" s="127">
        <f t="shared" si="0"/>
        <v>236134559.02504098</v>
      </c>
    </row>
    <row r="24" spans="2:14" x14ac:dyDescent="0.25">
      <c r="B24" s="239">
        <v>44985</v>
      </c>
      <c r="C24" s="123">
        <f t="shared" si="6"/>
        <v>243189559.47999993</v>
      </c>
      <c r="D24" s="124">
        <f>Workpaper!O21</f>
        <v>243189559.47999993</v>
      </c>
      <c r="E24" s="123">
        <f>Workpaper!AD21</f>
        <v>1478558.2678135389</v>
      </c>
      <c r="F24" s="129">
        <v>525389.54664079181</v>
      </c>
      <c r="G24" s="123">
        <f t="shared" si="1"/>
        <v>-12229265.022514496</v>
      </c>
      <c r="H24" s="129">
        <f t="shared" si="2"/>
        <v>-6566410.2130607497</v>
      </c>
      <c r="I24" s="123">
        <f t="shared" si="3"/>
        <v>230960294.45748544</v>
      </c>
      <c r="J24" s="129">
        <f t="shared" si="3"/>
        <v>236623149.26693919</v>
      </c>
      <c r="K24" s="123">
        <f t="shared" si="4"/>
        <v>5662854.8094537556</v>
      </c>
      <c r="L24" s="123">
        <f t="shared" si="5"/>
        <v>-1189199.5099852886</v>
      </c>
      <c r="M24" s="127">
        <f t="shared" si="7"/>
        <v>200165.43144627742</v>
      </c>
      <c r="N24" s="127">
        <f t="shared" si="0"/>
        <v>235433949.7569539</v>
      </c>
    </row>
    <row r="25" spans="2:14" x14ac:dyDescent="0.25">
      <c r="B25" s="239">
        <v>45016</v>
      </c>
      <c r="C25" s="123">
        <f t="shared" si="6"/>
        <v>243198713.56999996</v>
      </c>
      <c r="D25" s="124">
        <f>Workpaper!O22</f>
        <v>243198713.56999996</v>
      </c>
      <c r="E25" s="123">
        <f>Workpaper!AD22</f>
        <v>1478571.8498101062</v>
      </c>
      <c r="F25" s="129">
        <v>525424.75129912503</v>
      </c>
      <c r="G25" s="123">
        <f t="shared" si="1"/>
        <v>-13707836.872324603</v>
      </c>
      <c r="H25" s="129">
        <f t="shared" si="2"/>
        <v>-7091834.9643598748</v>
      </c>
      <c r="I25" s="123">
        <f t="shared" si="3"/>
        <v>229490876.69767535</v>
      </c>
      <c r="J25" s="129">
        <f t="shared" si="3"/>
        <v>236106878.60564008</v>
      </c>
      <c r="K25" s="123">
        <f t="shared" si="4"/>
        <v>6616001.9079647362</v>
      </c>
      <c r="L25" s="123">
        <f t="shared" si="5"/>
        <v>-1389360.4006725946</v>
      </c>
      <c r="M25" s="127">
        <f t="shared" si="7"/>
        <v>200160.89068730595</v>
      </c>
      <c r="N25" s="127">
        <f>J25+L25</f>
        <v>234717518.2049675</v>
      </c>
    </row>
    <row r="26" spans="2:14" x14ac:dyDescent="0.25">
      <c r="B26" s="239">
        <v>45046</v>
      </c>
      <c r="C26" s="123">
        <f>C25</f>
        <v>243198713.56999996</v>
      </c>
      <c r="D26" s="124">
        <f>D25</f>
        <v>243198713.56999996</v>
      </c>
      <c r="E26" s="123">
        <f>Workpaper!AD23</f>
        <v>1478571.8498101062</v>
      </c>
      <c r="F26" s="129">
        <v>525465.19325083343</v>
      </c>
      <c r="G26" s="123">
        <f t="shared" si="1"/>
        <v>-15186408.722134709</v>
      </c>
      <c r="H26" s="129">
        <f t="shared" si="2"/>
        <v>-7617300.1576107079</v>
      </c>
      <c r="I26" s="123">
        <f t="shared" si="3"/>
        <v>228012304.84786525</v>
      </c>
      <c r="J26" s="129">
        <f t="shared" si="3"/>
        <v>235581413.41238925</v>
      </c>
      <c r="K26" s="123">
        <f t="shared" si="4"/>
        <v>7569108.5645239949</v>
      </c>
      <c r="L26" s="123">
        <f t="shared" si="5"/>
        <v>-1589512.7985500388</v>
      </c>
      <c r="M26" s="127">
        <f t="shared" si="7"/>
        <v>200152.39787744428</v>
      </c>
      <c r="N26" s="127">
        <f t="shared" ref="N26:N45" si="8">J26+L26</f>
        <v>233991900.61383921</v>
      </c>
    </row>
    <row r="27" spans="2:14" x14ac:dyDescent="0.25">
      <c r="B27" s="239">
        <v>45077</v>
      </c>
      <c r="C27" s="123">
        <f t="shared" ref="C27:C45" si="9">C26</f>
        <v>243198713.56999996</v>
      </c>
      <c r="D27" s="124">
        <f t="shared" ref="D27:D45" si="10">D26</f>
        <v>243198713.56999996</v>
      </c>
      <c r="E27" s="123">
        <f>Workpaper!AD24</f>
        <v>1478571.8498101062</v>
      </c>
      <c r="F27" s="129">
        <f>F26</f>
        <v>525465.19325083343</v>
      </c>
      <c r="G27" s="123">
        <f t="shared" si="1"/>
        <v>-16664980.571944816</v>
      </c>
      <c r="H27" s="129">
        <f t="shared" si="2"/>
        <v>-8142765.350861541</v>
      </c>
      <c r="I27" s="123">
        <f t="shared" si="3"/>
        <v>226533732.99805516</v>
      </c>
      <c r="J27" s="129">
        <f t="shared" si="3"/>
        <v>235055948.21913841</v>
      </c>
      <c r="K27" s="123">
        <f t="shared" si="4"/>
        <v>8522215.2210832536</v>
      </c>
      <c r="L27" s="123">
        <f t="shared" si="5"/>
        <v>-1789665.1964274831</v>
      </c>
      <c r="M27" s="127">
        <f t="shared" si="7"/>
        <v>200152.39787744428</v>
      </c>
      <c r="N27" s="127">
        <f t="shared" si="8"/>
        <v>233266283.02271092</v>
      </c>
    </row>
    <row r="28" spans="2:14" x14ac:dyDescent="0.25">
      <c r="B28" s="239">
        <v>45107</v>
      </c>
      <c r="C28" s="123">
        <f t="shared" si="9"/>
        <v>243198713.56999996</v>
      </c>
      <c r="D28" s="124">
        <f t="shared" si="10"/>
        <v>243198713.56999996</v>
      </c>
      <c r="E28" s="123">
        <f>Workpaper!AD25</f>
        <v>1478571.8498101062</v>
      </c>
      <c r="F28" s="129">
        <f t="shared" ref="F28:F45" si="11">F27</f>
        <v>525465.19325083343</v>
      </c>
      <c r="G28" s="123">
        <f t="shared" si="1"/>
        <v>-18143552.421754923</v>
      </c>
      <c r="H28" s="129">
        <f t="shared" si="2"/>
        <v>-8668230.544112375</v>
      </c>
      <c r="I28" s="123">
        <f t="shared" si="3"/>
        <v>225055161.14824504</v>
      </c>
      <c r="J28" s="129">
        <f t="shared" si="3"/>
        <v>234530483.02588758</v>
      </c>
      <c r="K28" s="123">
        <f t="shared" si="4"/>
        <v>9475321.8776425421</v>
      </c>
      <c r="L28" s="123">
        <f t="shared" si="5"/>
        <v>-1989817.5943049337</v>
      </c>
      <c r="M28" s="127">
        <f t="shared" si="7"/>
        <v>200152.39787745057</v>
      </c>
      <c r="N28" s="127">
        <f t="shared" si="8"/>
        <v>232540665.43158266</v>
      </c>
    </row>
    <row r="29" spans="2:14" x14ac:dyDescent="0.25">
      <c r="B29" s="239">
        <v>45138</v>
      </c>
      <c r="C29" s="123">
        <f t="shared" si="9"/>
        <v>243198713.56999996</v>
      </c>
      <c r="D29" s="124">
        <f t="shared" si="10"/>
        <v>243198713.56999996</v>
      </c>
      <c r="E29" s="123">
        <f>Workpaper!AD26</f>
        <v>1478571.8498101062</v>
      </c>
      <c r="F29" s="129">
        <f t="shared" si="11"/>
        <v>525465.19325083343</v>
      </c>
      <c r="G29" s="123">
        <f t="shared" si="1"/>
        <v>-19622124.271565028</v>
      </c>
      <c r="H29" s="129">
        <f t="shared" si="2"/>
        <v>-9193695.7373632081</v>
      </c>
      <c r="I29" s="123">
        <f t="shared" si="3"/>
        <v>223576589.29843494</v>
      </c>
      <c r="J29" s="129">
        <f t="shared" si="3"/>
        <v>234005017.83263674</v>
      </c>
      <c r="K29" s="123">
        <f t="shared" si="4"/>
        <v>10428428.534201801</v>
      </c>
      <c r="L29" s="123">
        <f t="shared" si="5"/>
        <v>-2189969.9921823782</v>
      </c>
      <c r="M29" s="127">
        <f t="shared" si="7"/>
        <v>200152.39787744451</v>
      </c>
      <c r="N29" s="127">
        <f t="shared" si="8"/>
        <v>231815047.84045437</v>
      </c>
    </row>
    <row r="30" spans="2:14" x14ac:dyDescent="0.25">
      <c r="B30" s="239">
        <v>45169</v>
      </c>
      <c r="C30" s="123">
        <f t="shared" si="9"/>
        <v>243198713.56999996</v>
      </c>
      <c r="D30" s="124">
        <f t="shared" si="10"/>
        <v>243198713.56999996</v>
      </c>
      <c r="E30" s="123">
        <f>Workpaper!AD27</f>
        <v>1478571.8498101062</v>
      </c>
      <c r="F30" s="129">
        <f t="shared" si="11"/>
        <v>525465.19325083343</v>
      </c>
      <c r="G30" s="123">
        <f t="shared" si="1"/>
        <v>-21100696.121375132</v>
      </c>
      <c r="H30" s="129">
        <f t="shared" si="2"/>
        <v>-9719160.9306140412</v>
      </c>
      <c r="I30" s="123">
        <f t="shared" si="3"/>
        <v>222098017.44862482</v>
      </c>
      <c r="J30" s="129">
        <f t="shared" si="3"/>
        <v>233479552.63938591</v>
      </c>
      <c r="K30" s="123">
        <f t="shared" si="4"/>
        <v>11381535.190761089</v>
      </c>
      <c r="L30" s="123">
        <f t="shared" si="5"/>
        <v>-2390122.3900598288</v>
      </c>
      <c r="M30" s="127">
        <f t="shared" si="7"/>
        <v>200152.39787745057</v>
      </c>
      <c r="N30" s="127">
        <f t="shared" si="8"/>
        <v>231089430.24932608</v>
      </c>
    </row>
    <row r="31" spans="2:14" x14ac:dyDescent="0.25">
      <c r="B31" s="239">
        <v>45199</v>
      </c>
      <c r="C31" s="123">
        <f t="shared" si="9"/>
        <v>243198713.56999996</v>
      </c>
      <c r="D31" s="124">
        <f t="shared" si="10"/>
        <v>243198713.56999996</v>
      </c>
      <c r="E31" s="123">
        <f>Workpaper!AD28</f>
        <v>1478571.8498101062</v>
      </c>
      <c r="F31" s="129">
        <f t="shared" si="11"/>
        <v>525465.19325083343</v>
      </c>
      <c r="G31" s="123">
        <f t="shared" si="1"/>
        <v>-22579267.971185237</v>
      </c>
      <c r="H31" s="129">
        <f t="shared" si="2"/>
        <v>-10244626.123864874</v>
      </c>
      <c r="I31" s="123">
        <f t="shared" si="3"/>
        <v>220619445.59881473</v>
      </c>
      <c r="J31" s="129">
        <f t="shared" si="3"/>
        <v>232954087.4461351</v>
      </c>
      <c r="K31" s="123">
        <f t="shared" si="4"/>
        <v>12334641.847320378</v>
      </c>
      <c r="L31" s="123">
        <f t="shared" si="5"/>
        <v>-2590274.7879372793</v>
      </c>
      <c r="M31" s="127">
        <f t="shared" si="7"/>
        <v>200152.39787745057</v>
      </c>
      <c r="N31" s="127">
        <f t="shared" si="8"/>
        <v>230363812.65819782</v>
      </c>
    </row>
    <row r="32" spans="2:14" ht="15.75" thickBot="1" x14ac:dyDescent="0.3">
      <c r="B32" s="239">
        <v>45230</v>
      </c>
      <c r="C32" s="123">
        <f t="shared" si="9"/>
        <v>243198713.56999996</v>
      </c>
      <c r="D32" s="124">
        <f t="shared" si="10"/>
        <v>243198713.56999996</v>
      </c>
      <c r="E32" s="123">
        <f>Workpaper!AD29</f>
        <v>1478571.8498101062</v>
      </c>
      <c r="F32" s="129">
        <f t="shared" si="11"/>
        <v>525465.19325083343</v>
      </c>
      <c r="G32" s="123">
        <f t="shared" si="1"/>
        <v>-24057839.820995342</v>
      </c>
      <c r="H32" s="129">
        <f t="shared" si="2"/>
        <v>-10770091.317115707</v>
      </c>
      <c r="I32" s="123">
        <f t="shared" si="3"/>
        <v>219140873.74900463</v>
      </c>
      <c r="J32" s="129">
        <f t="shared" si="3"/>
        <v>232428622.25288427</v>
      </c>
      <c r="K32" s="123">
        <f t="shared" si="4"/>
        <v>13287748.503879637</v>
      </c>
      <c r="L32" s="123">
        <f t="shared" si="5"/>
        <v>-2790427.1858147234</v>
      </c>
      <c r="M32" s="127">
        <f t="shared" si="7"/>
        <v>200152.39787744405</v>
      </c>
      <c r="N32" s="127">
        <f t="shared" si="8"/>
        <v>229638195.06706953</v>
      </c>
    </row>
    <row r="33" spans="2:15" x14ac:dyDescent="0.25">
      <c r="B33" s="240">
        <v>45260</v>
      </c>
      <c r="C33" s="180">
        <f t="shared" si="9"/>
        <v>243198713.56999996</v>
      </c>
      <c r="D33" s="181">
        <f t="shared" si="10"/>
        <v>243198713.56999996</v>
      </c>
      <c r="E33" s="180">
        <f>Workpaper!AD30</f>
        <v>1478571.8498101062</v>
      </c>
      <c r="F33" s="182">
        <f t="shared" si="11"/>
        <v>525465.19325083343</v>
      </c>
      <c r="G33" s="180">
        <f t="shared" si="1"/>
        <v>-25536411.670805447</v>
      </c>
      <c r="H33" s="182">
        <f t="shared" si="2"/>
        <v>-11295556.51036654</v>
      </c>
      <c r="I33" s="180">
        <f t="shared" si="3"/>
        <v>217662301.89919451</v>
      </c>
      <c r="J33" s="182">
        <f t="shared" si="3"/>
        <v>231903157.05963343</v>
      </c>
      <c r="K33" s="180">
        <f t="shared" si="4"/>
        <v>14240855.160438925</v>
      </c>
      <c r="L33" s="180">
        <f t="shared" si="5"/>
        <v>-2990579.5836921739</v>
      </c>
      <c r="M33" s="183">
        <f t="shared" si="7"/>
        <v>200152.39787745057</v>
      </c>
      <c r="N33" s="183">
        <f t="shared" si="8"/>
        <v>228912577.47594127</v>
      </c>
      <c r="O33" s="153"/>
    </row>
    <row r="34" spans="2:15" x14ac:dyDescent="0.25">
      <c r="B34" s="239">
        <v>45291</v>
      </c>
      <c r="C34" s="123">
        <f t="shared" si="9"/>
        <v>243198713.56999996</v>
      </c>
      <c r="D34" s="124">
        <f t="shared" si="10"/>
        <v>243198713.56999996</v>
      </c>
      <c r="E34" s="123">
        <f>Workpaper!AD31</f>
        <v>1478571.8498101062</v>
      </c>
      <c r="F34" s="129">
        <f t="shared" si="11"/>
        <v>525465.19325083343</v>
      </c>
      <c r="G34" s="123">
        <f t="shared" si="1"/>
        <v>-27014983.520615552</v>
      </c>
      <c r="H34" s="129">
        <f t="shared" si="2"/>
        <v>-11821021.703617373</v>
      </c>
      <c r="I34" s="123">
        <f t="shared" si="3"/>
        <v>216183730.04938442</v>
      </c>
      <c r="J34" s="129">
        <f t="shared" si="3"/>
        <v>231377691.8663826</v>
      </c>
      <c r="K34" s="123">
        <f t="shared" si="4"/>
        <v>15193961.816998184</v>
      </c>
      <c r="L34" s="123">
        <f t="shared" si="5"/>
        <v>-3190731.9815696185</v>
      </c>
      <c r="M34" s="127">
        <f t="shared" si="7"/>
        <v>200152.39787744451</v>
      </c>
      <c r="N34" s="127">
        <f t="shared" si="8"/>
        <v>228186959.88481298</v>
      </c>
      <c r="O34" s="153"/>
    </row>
    <row r="35" spans="2:15" x14ac:dyDescent="0.25">
      <c r="B35" s="239">
        <v>45322</v>
      </c>
      <c r="C35" s="123">
        <f t="shared" si="9"/>
        <v>243198713.56999996</v>
      </c>
      <c r="D35" s="124">
        <f t="shared" si="10"/>
        <v>243198713.56999996</v>
      </c>
      <c r="E35" s="123">
        <f>Workpaper!AD32</f>
        <v>1348164.9220808002</v>
      </c>
      <c r="F35" s="129">
        <f t="shared" si="11"/>
        <v>525465.19325083343</v>
      </c>
      <c r="G35" s="123">
        <f t="shared" si="1"/>
        <v>-28363148.442696352</v>
      </c>
      <c r="H35" s="129">
        <f t="shared" si="2"/>
        <v>-12346486.896868207</v>
      </c>
      <c r="I35" s="123">
        <f t="shared" si="3"/>
        <v>214835565.1273036</v>
      </c>
      <c r="J35" s="129">
        <f t="shared" si="3"/>
        <v>230852226.67313176</v>
      </c>
      <c r="K35" s="123">
        <f t="shared" si="4"/>
        <v>16016661.545828164</v>
      </c>
      <c r="L35" s="123">
        <f t="shared" si="5"/>
        <v>-3363498.9246239141</v>
      </c>
      <c r="M35" s="127">
        <f t="shared" si="7"/>
        <v>172766.94305429561</v>
      </c>
      <c r="N35" s="127">
        <f t="shared" si="8"/>
        <v>227488727.74850786</v>
      </c>
      <c r="O35" s="153"/>
    </row>
    <row r="36" spans="2:15" x14ac:dyDescent="0.25">
      <c r="B36" s="239">
        <v>45350</v>
      </c>
      <c r="C36" s="123">
        <f t="shared" si="9"/>
        <v>243198713.56999996</v>
      </c>
      <c r="D36" s="124">
        <f t="shared" si="10"/>
        <v>243198713.56999996</v>
      </c>
      <c r="E36" s="123">
        <f>Workpaper!AD33</f>
        <v>1348164.9220808002</v>
      </c>
      <c r="F36" s="129">
        <f t="shared" si="11"/>
        <v>525465.19325083343</v>
      </c>
      <c r="G36" s="123">
        <f t="shared" si="1"/>
        <v>-29711313.364777151</v>
      </c>
      <c r="H36" s="129">
        <f t="shared" si="2"/>
        <v>-12871952.09011904</v>
      </c>
      <c r="I36" s="123">
        <f t="shared" si="3"/>
        <v>213487400.20522282</v>
      </c>
      <c r="J36" s="129">
        <f t="shared" si="3"/>
        <v>230326761.47988093</v>
      </c>
      <c r="K36" s="123">
        <f t="shared" si="4"/>
        <v>16839361.274658114</v>
      </c>
      <c r="L36" s="123">
        <f t="shared" si="5"/>
        <v>-3536265.8676782036</v>
      </c>
      <c r="M36" s="127">
        <f t="shared" si="7"/>
        <v>172766.94305428956</v>
      </c>
      <c r="N36" s="127">
        <f t="shared" si="8"/>
        <v>226790495.61220273</v>
      </c>
      <c r="O36" s="153"/>
    </row>
    <row r="37" spans="2:15" x14ac:dyDescent="0.25">
      <c r="B37" s="239">
        <v>45382</v>
      </c>
      <c r="C37" s="123">
        <f t="shared" si="9"/>
        <v>243198713.56999996</v>
      </c>
      <c r="D37" s="124">
        <f t="shared" si="10"/>
        <v>243198713.56999996</v>
      </c>
      <c r="E37" s="123">
        <f>Workpaper!AD34</f>
        <v>1348164.9220808002</v>
      </c>
      <c r="F37" s="129">
        <f t="shared" si="11"/>
        <v>525465.19325083343</v>
      </c>
      <c r="G37" s="123">
        <f t="shared" si="1"/>
        <v>-31059478.286857951</v>
      </c>
      <c r="H37" s="129">
        <f t="shared" si="2"/>
        <v>-13397417.283369873</v>
      </c>
      <c r="I37" s="123">
        <f t="shared" si="3"/>
        <v>212139235.283142</v>
      </c>
      <c r="J37" s="129">
        <f t="shared" si="3"/>
        <v>229801296.28663009</v>
      </c>
      <c r="K37" s="123">
        <f t="shared" si="4"/>
        <v>17662061.003488094</v>
      </c>
      <c r="L37" s="123">
        <f t="shared" si="5"/>
        <v>-3709032.8107324997</v>
      </c>
      <c r="M37" s="127">
        <f t="shared" si="7"/>
        <v>172766.94305429608</v>
      </c>
      <c r="N37" s="127">
        <f t="shared" si="8"/>
        <v>226092263.47589758</v>
      </c>
      <c r="O37" s="153"/>
    </row>
    <row r="38" spans="2:15" x14ac:dyDescent="0.25">
      <c r="B38" s="239">
        <v>45412</v>
      </c>
      <c r="C38" s="123">
        <f t="shared" si="9"/>
        <v>243198713.56999996</v>
      </c>
      <c r="D38" s="124">
        <f t="shared" si="10"/>
        <v>243198713.56999996</v>
      </c>
      <c r="E38" s="123">
        <f>Workpaper!AD35</f>
        <v>1348164.9220808002</v>
      </c>
      <c r="F38" s="129">
        <f t="shared" si="11"/>
        <v>525465.19325083343</v>
      </c>
      <c r="G38" s="123">
        <f t="shared" si="1"/>
        <v>-32407643.208938751</v>
      </c>
      <c r="H38" s="129">
        <f t="shared" si="2"/>
        <v>-13922882.476620706</v>
      </c>
      <c r="I38" s="123">
        <f t="shared" si="3"/>
        <v>210791070.36106122</v>
      </c>
      <c r="J38" s="129">
        <f t="shared" si="3"/>
        <v>229275831.09337926</v>
      </c>
      <c r="K38" s="123">
        <f t="shared" si="4"/>
        <v>18484760.732318044</v>
      </c>
      <c r="L38" s="123">
        <f t="shared" si="5"/>
        <v>-3881799.7537867893</v>
      </c>
      <c r="M38" s="127">
        <f t="shared" si="7"/>
        <v>172766.94305428956</v>
      </c>
      <c r="N38" s="127">
        <f t="shared" si="8"/>
        <v>225394031.33959246</v>
      </c>
      <c r="O38" s="153"/>
    </row>
    <row r="39" spans="2:15" x14ac:dyDescent="0.25">
      <c r="B39" s="239">
        <v>45443</v>
      </c>
      <c r="C39" s="123">
        <f t="shared" si="9"/>
        <v>243198713.56999996</v>
      </c>
      <c r="D39" s="124">
        <f t="shared" si="10"/>
        <v>243198713.56999996</v>
      </c>
      <c r="E39" s="123">
        <f>Workpaper!AD36</f>
        <v>1348164.9220808002</v>
      </c>
      <c r="F39" s="129">
        <f t="shared" si="11"/>
        <v>525465.19325083343</v>
      </c>
      <c r="G39" s="123">
        <f t="shared" si="1"/>
        <v>-33755808.131019555</v>
      </c>
      <c r="H39" s="129">
        <f t="shared" si="2"/>
        <v>-14448347.669871539</v>
      </c>
      <c r="I39" s="123">
        <f t="shared" si="3"/>
        <v>209442905.4389804</v>
      </c>
      <c r="J39" s="129">
        <f t="shared" si="3"/>
        <v>228750365.90012842</v>
      </c>
      <c r="K39" s="123">
        <f t="shared" si="4"/>
        <v>19307460.461148024</v>
      </c>
      <c r="L39" s="123">
        <f t="shared" si="5"/>
        <v>-4054566.6968410849</v>
      </c>
      <c r="M39" s="127">
        <f t="shared" si="7"/>
        <v>172766.94305429561</v>
      </c>
      <c r="N39" s="127">
        <f t="shared" si="8"/>
        <v>224695799.20328733</v>
      </c>
      <c r="O39" s="153"/>
    </row>
    <row r="40" spans="2:15" x14ac:dyDescent="0.25">
      <c r="B40" s="239">
        <v>45473</v>
      </c>
      <c r="C40" s="123">
        <f t="shared" si="9"/>
        <v>243198713.56999996</v>
      </c>
      <c r="D40" s="124">
        <f t="shared" si="10"/>
        <v>243198713.56999996</v>
      </c>
      <c r="E40" s="123">
        <f>Workpaper!AD37</f>
        <v>1348164.9220808002</v>
      </c>
      <c r="F40" s="129">
        <f t="shared" si="11"/>
        <v>525465.19325083343</v>
      </c>
      <c r="G40" s="123">
        <f t="shared" si="1"/>
        <v>-35103973.053100355</v>
      </c>
      <c r="H40" s="129">
        <f t="shared" si="2"/>
        <v>-14973812.863122372</v>
      </c>
      <c r="I40" s="123">
        <f t="shared" si="3"/>
        <v>208094740.51689962</v>
      </c>
      <c r="J40" s="129">
        <f t="shared" si="3"/>
        <v>228224900.70687759</v>
      </c>
      <c r="K40" s="123">
        <f t="shared" si="4"/>
        <v>20130160.189977974</v>
      </c>
      <c r="L40" s="123">
        <f t="shared" si="5"/>
        <v>-4227333.639895374</v>
      </c>
      <c r="M40" s="127">
        <f t="shared" si="7"/>
        <v>172766.94305428909</v>
      </c>
      <c r="N40" s="127">
        <f t="shared" si="8"/>
        <v>223997567.06698221</v>
      </c>
      <c r="O40" s="153"/>
    </row>
    <row r="41" spans="2:15" x14ac:dyDescent="0.25">
      <c r="B41" s="239">
        <v>45504</v>
      </c>
      <c r="C41" s="123">
        <f t="shared" si="9"/>
        <v>243198713.56999996</v>
      </c>
      <c r="D41" s="124">
        <f t="shared" si="10"/>
        <v>243198713.56999996</v>
      </c>
      <c r="E41" s="123">
        <f>Workpaper!AD38</f>
        <v>1348164.9220808002</v>
      </c>
      <c r="F41" s="129">
        <f t="shared" si="11"/>
        <v>525465.19325083343</v>
      </c>
      <c r="G41" s="123">
        <f t="shared" si="1"/>
        <v>-36452137.975181155</v>
      </c>
      <c r="H41" s="129">
        <f t="shared" si="2"/>
        <v>-15499278.056373205</v>
      </c>
      <c r="I41" s="123">
        <f t="shared" si="3"/>
        <v>206746575.5948188</v>
      </c>
      <c r="J41" s="129">
        <f t="shared" si="3"/>
        <v>227699435.51362675</v>
      </c>
      <c r="K41" s="123">
        <f t="shared" si="4"/>
        <v>20952859.918807954</v>
      </c>
      <c r="L41" s="123">
        <f t="shared" si="5"/>
        <v>-4400100.58294967</v>
      </c>
      <c r="M41" s="127">
        <f t="shared" si="7"/>
        <v>172766.94305429608</v>
      </c>
      <c r="N41" s="127">
        <f t="shared" si="8"/>
        <v>223299334.93067709</v>
      </c>
      <c r="O41" s="153"/>
    </row>
    <row r="42" spans="2:15" x14ac:dyDescent="0.25">
      <c r="B42" s="239">
        <v>45535</v>
      </c>
      <c r="C42" s="123">
        <f t="shared" si="9"/>
        <v>243198713.56999996</v>
      </c>
      <c r="D42" s="124">
        <f t="shared" si="10"/>
        <v>243198713.56999996</v>
      </c>
      <c r="E42" s="123">
        <f>Workpaper!AD39</f>
        <v>1348164.9220808002</v>
      </c>
      <c r="F42" s="129">
        <f t="shared" si="11"/>
        <v>525465.19325083343</v>
      </c>
      <c r="G42" s="123">
        <f t="shared" si="1"/>
        <v>-37800302.897261955</v>
      </c>
      <c r="H42" s="129">
        <f t="shared" si="2"/>
        <v>-16024743.249624038</v>
      </c>
      <c r="I42" s="123">
        <f t="shared" si="3"/>
        <v>205398410.67273802</v>
      </c>
      <c r="J42" s="129">
        <f t="shared" si="3"/>
        <v>227173970.32037592</v>
      </c>
      <c r="K42" s="123">
        <f t="shared" si="4"/>
        <v>21775559.647637904</v>
      </c>
      <c r="L42" s="123">
        <f t="shared" si="5"/>
        <v>-4572867.5260039596</v>
      </c>
      <c r="M42" s="127">
        <f t="shared" si="7"/>
        <v>172766.94305428956</v>
      </c>
      <c r="N42" s="127">
        <f t="shared" si="8"/>
        <v>222601102.79437196</v>
      </c>
      <c r="O42" s="153"/>
    </row>
    <row r="43" spans="2:15" x14ac:dyDescent="0.25">
      <c r="B43" s="239">
        <v>45565</v>
      </c>
      <c r="C43" s="123">
        <f t="shared" si="9"/>
        <v>243198713.56999996</v>
      </c>
      <c r="D43" s="124">
        <f t="shared" si="10"/>
        <v>243198713.56999996</v>
      </c>
      <c r="E43" s="123">
        <f>Workpaper!AD40</f>
        <v>1348164.9220808002</v>
      </c>
      <c r="F43" s="129">
        <f t="shared" si="11"/>
        <v>525465.19325083343</v>
      </c>
      <c r="G43" s="123">
        <f t="shared" si="1"/>
        <v>-39148467.819342755</v>
      </c>
      <c r="H43" s="129">
        <f t="shared" si="2"/>
        <v>-16550208.442874871</v>
      </c>
      <c r="I43" s="123">
        <f t="shared" si="3"/>
        <v>204050245.7506572</v>
      </c>
      <c r="J43" s="129">
        <f t="shared" si="3"/>
        <v>226648505.12712508</v>
      </c>
      <c r="K43" s="123">
        <f t="shared" si="4"/>
        <v>22598259.376467884</v>
      </c>
      <c r="L43" s="123">
        <f t="shared" si="5"/>
        <v>-4745634.4690582557</v>
      </c>
      <c r="M43" s="127">
        <f t="shared" si="7"/>
        <v>172766.94305429608</v>
      </c>
      <c r="N43" s="127">
        <f t="shared" si="8"/>
        <v>221902870.65806684</v>
      </c>
      <c r="O43" s="153"/>
    </row>
    <row r="44" spans="2:15" ht="15.75" thickBot="1" x14ac:dyDescent="0.3">
      <c r="B44" s="239">
        <v>45596</v>
      </c>
      <c r="C44" s="123">
        <f t="shared" si="9"/>
        <v>243198713.56999996</v>
      </c>
      <c r="D44" s="124">
        <f t="shared" si="10"/>
        <v>243198713.56999996</v>
      </c>
      <c r="E44" s="123">
        <f>Workpaper!AD41</f>
        <v>1348164.9220808002</v>
      </c>
      <c r="F44" s="129">
        <f t="shared" si="11"/>
        <v>525465.19325083343</v>
      </c>
      <c r="G44" s="123">
        <f t="shared" si="1"/>
        <v>-40496632.741423555</v>
      </c>
      <c r="H44" s="129">
        <f t="shared" si="2"/>
        <v>-17075673.636125706</v>
      </c>
      <c r="I44" s="123">
        <f t="shared" si="3"/>
        <v>202702080.82857642</v>
      </c>
      <c r="J44" s="129">
        <f t="shared" si="3"/>
        <v>226123039.93387425</v>
      </c>
      <c r="K44" s="123">
        <f t="shared" si="4"/>
        <v>23420959.105297834</v>
      </c>
      <c r="L44" s="123">
        <f t="shared" si="5"/>
        <v>-4918401.4121125452</v>
      </c>
      <c r="M44" s="127">
        <f t="shared" si="7"/>
        <v>172766.94305428956</v>
      </c>
      <c r="N44" s="127">
        <f t="shared" si="8"/>
        <v>221204638.52176172</v>
      </c>
      <c r="O44" s="153"/>
    </row>
    <row r="45" spans="2:15" ht="15.75" thickBot="1" x14ac:dyDescent="0.3">
      <c r="B45" s="241">
        <v>45626</v>
      </c>
      <c r="C45" s="242">
        <f t="shared" si="9"/>
        <v>243198713.56999996</v>
      </c>
      <c r="D45" s="243">
        <f t="shared" si="10"/>
        <v>243198713.56999996</v>
      </c>
      <c r="E45" s="242">
        <f>Workpaper!AD42</f>
        <v>1348164.9220808002</v>
      </c>
      <c r="F45" s="244">
        <f t="shared" si="11"/>
        <v>525465.19325083343</v>
      </c>
      <c r="G45" s="242">
        <f t="shared" si="1"/>
        <v>-41844797.663504355</v>
      </c>
      <c r="H45" s="244">
        <f t="shared" si="2"/>
        <v>-17601138.829376541</v>
      </c>
      <c r="I45" s="242">
        <f t="shared" si="3"/>
        <v>201353915.9064956</v>
      </c>
      <c r="J45" s="244">
        <f t="shared" si="3"/>
        <v>225597574.74062341</v>
      </c>
      <c r="K45" s="242">
        <f t="shared" si="4"/>
        <v>24243658.834127814</v>
      </c>
      <c r="L45" s="242">
        <f t="shared" si="5"/>
        <v>-5091168.3551668404</v>
      </c>
      <c r="M45" s="245">
        <f t="shared" si="7"/>
        <v>172766.94305429514</v>
      </c>
      <c r="N45" s="245">
        <f t="shared" si="8"/>
        <v>220506406.38545656</v>
      </c>
      <c r="O45" s="153"/>
    </row>
    <row r="46" spans="2:15" x14ac:dyDescent="0.25">
      <c r="B46" s="84"/>
      <c r="O46" s="153"/>
    </row>
    <row r="47" spans="2:15" x14ac:dyDescent="0.25">
      <c r="B47" s="189" t="s">
        <v>206</v>
      </c>
    </row>
    <row r="49" spans="2:3" x14ac:dyDescent="0.25">
      <c r="B49" s="246" t="s">
        <v>227</v>
      </c>
      <c r="C49" s="208"/>
    </row>
    <row r="50" spans="2:3" x14ac:dyDescent="0.25">
      <c r="B50" s="150" t="s">
        <v>79</v>
      </c>
      <c r="C50" s="231">
        <f>(D32+D44+SUM(D33:D43)*2)/24</f>
        <v>243198713.57000002</v>
      </c>
    </row>
    <row r="51" spans="2:3" x14ac:dyDescent="0.25">
      <c r="B51" s="85" t="s">
        <v>177</v>
      </c>
      <c r="C51" s="151">
        <f>(H32+H44+SUM(H33:H43)*2)/24</f>
        <v>-13922882.476620706</v>
      </c>
    </row>
    <row r="52" spans="2:3" x14ac:dyDescent="0.25">
      <c r="B52" s="85" t="s">
        <v>99</v>
      </c>
      <c r="C52" s="151">
        <f>(L32+L44+SUM(L33:L43)*2)/24</f>
        <v>-3877235.511316264</v>
      </c>
    </row>
  </sheetData>
  <printOptions horizontalCentered="1"/>
  <pageMargins left="0.2" right="0.2" top="0.25" bottom="0.25" header="0.3" footer="0.3"/>
  <pageSetup scale="75" orientation="landscape" r:id="rId1"/>
  <headerFooter>
    <oddFooter xml:space="preserve">&amp;R&amp;"Times New Roman,Regular"&amp;10Exh. SEF-3 Page 1 of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workbookViewId="0">
      <pane xSplit="1" ySplit="9" topLeftCell="B26" activePane="bottomRight" state="frozen"/>
      <selection pane="topRight"/>
      <selection pane="bottomLeft"/>
      <selection pane="bottomRight" activeCell="C47" sqref="C47"/>
    </sheetView>
  </sheetViews>
  <sheetFormatPr defaultColWidth="9.140625" defaultRowHeight="12.75" outlineLevelRow="1" x14ac:dyDescent="0.2"/>
  <cols>
    <col min="1" max="1" width="10.5703125" style="35" customWidth="1"/>
    <col min="2" max="2" width="8.85546875" style="71" bestFit="1" customWidth="1"/>
    <col min="3" max="3" width="14.7109375" style="71" bestFit="1" customWidth="1"/>
    <col min="4" max="4" width="11.28515625" style="71" bestFit="1" customWidth="1"/>
    <col min="5" max="5" width="13.7109375" style="71" customWidth="1"/>
    <col min="6" max="6" width="12.5703125" style="71" bestFit="1" customWidth="1"/>
    <col min="7" max="7" width="16.140625" style="71" bestFit="1" customWidth="1"/>
    <col min="8" max="8" width="12.140625" style="71" bestFit="1" customWidth="1"/>
    <col min="9" max="9" width="11.42578125" style="71" bestFit="1" customWidth="1"/>
    <col min="10" max="10" width="15" style="71" bestFit="1" customWidth="1"/>
    <col min="11" max="11" width="16.7109375" style="71" bestFit="1" customWidth="1"/>
    <col min="12" max="12" width="11.28515625" style="71" bestFit="1" customWidth="1"/>
    <col min="13" max="13" width="11.42578125" style="71" bestFit="1" customWidth="1"/>
    <col min="14" max="14" width="11.140625" style="71" bestFit="1" customWidth="1"/>
    <col min="15" max="15" width="10" style="35" customWidth="1"/>
    <col min="16" max="16384" width="9.140625" style="35"/>
  </cols>
  <sheetData>
    <row r="1" spans="1:17" x14ac:dyDescent="0.2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5"/>
    </row>
    <row r="2" spans="1:17" x14ac:dyDescent="0.2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32" t="s">
        <v>47</v>
      </c>
      <c r="B3" s="33"/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5"/>
    </row>
    <row r="4" spans="1:17" x14ac:dyDescent="0.2">
      <c r="A4" s="33"/>
      <c r="B4" s="33"/>
      <c r="C4" s="36"/>
      <c r="D4" s="37"/>
      <c r="E4" s="38" t="s">
        <v>117</v>
      </c>
      <c r="F4" s="39"/>
      <c r="G4" s="39"/>
      <c r="H4" s="39"/>
      <c r="I4" s="39"/>
      <c r="J4" s="40"/>
      <c r="K4" s="41"/>
      <c r="L4" s="40"/>
      <c r="M4" s="40"/>
      <c r="N4" s="35"/>
    </row>
    <row r="5" spans="1:17" x14ac:dyDescent="0.2">
      <c r="A5" s="34"/>
      <c r="B5" s="34"/>
      <c r="C5" s="42" t="s">
        <v>48</v>
      </c>
      <c r="D5" s="43"/>
      <c r="E5" s="40"/>
      <c r="F5" s="44"/>
      <c r="G5" s="44"/>
      <c r="H5" s="44"/>
      <c r="I5" s="44"/>
      <c r="J5" s="45"/>
      <c r="K5" s="44"/>
      <c r="L5" s="44"/>
      <c r="M5" s="44"/>
      <c r="N5" s="35"/>
    </row>
    <row r="6" spans="1:17" x14ac:dyDescent="0.2">
      <c r="A6" s="46"/>
      <c r="B6" s="46"/>
      <c r="C6" s="47" t="s">
        <v>49</v>
      </c>
      <c r="D6" s="47" t="s">
        <v>50</v>
      </c>
      <c r="E6" s="47" t="s">
        <v>51</v>
      </c>
      <c r="F6" s="47" t="s">
        <v>52</v>
      </c>
      <c r="G6" s="47" t="s">
        <v>53</v>
      </c>
      <c r="H6" s="47" t="s">
        <v>54</v>
      </c>
      <c r="I6" s="47" t="s">
        <v>43</v>
      </c>
      <c r="J6" s="47" t="s">
        <v>52</v>
      </c>
      <c r="K6" s="47" t="s">
        <v>53</v>
      </c>
      <c r="L6" s="47" t="s">
        <v>55</v>
      </c>
      <c r="M6" s="48" t="s">
        <v>56</v>
      </c>
      <c r="N6" s="49" t="s">
        <v>50</v>
      </c>
    </row>
    <row r="7" spans="1:17" x14ac:dyDescent="0.2">
      <c r="A7" s="44" t="s">
        <v>57</v>
      </c>
      <c r="B7" s="50"/>
      <c r="C7" s="44" t="s">
        <v>58</v>
      </c>
      <c r="D7" s="44"/>
      <c r="E7" s="44" t="s">
        <v>50</v>
      </c>
      <c r="F7" s="44" t="s">
        <v>59</v>
      </c>
      <c r="G7" s="44" t="s">
        <v>59</v>
      </c>
      <c r="H7" s="44" t="s">
        <v>59</v>
      </c>
      <c r="I7" s="44" t="s">
        <v>60</v>
      </c>
      <c r="J7" s="44" t="s">
        <v>61</v>
      </c>
      <c r="K7" s="44" t="s">
        <v>61</v>
      </c>
      <c r="L7" s="44" t="s">
        <v>43</v>
      </c>
      <c r="M7" s="51" t="s">
        <v>55</v>
      </c>
      <c r="N7" s="52" t="s">
        <v>62</v>
      </c>
    </row>
    <row r="8" spans="1:17" x14ac:dyDescent="0.2">
      <c r="A8" s="44" t="s">
        <v>63</v>
      </c>
      <c r="B8" s="50"/>
      <c r="C8" s="44" t="s">
        <v>64</v>
      </c>
      <c r="D8" s="44" t="s">
        <v>65</v>
      </c>
      <c r="E8" s="44" t="s">
        <v>66</v>
      </c>
      <c r="F8" s="44" t="s">
        <v>67</v>
      </c>
      <c r="G8" s="53" t="s">
        <v>68</v>
      </c>
      <c r="H8" s="44" t="s">
        <v>69</v>
      </c>
      <c r="I8" s="44" t="s">
        <v>70</v>
      </c>
      <c r="J8" s="44" t="s">
        <v>71</v>
      </c>
      <c r="K8" s="44" t="s">
        <v>72</v>
      </c>
      <c r="L8" s="44" t="s">
        <v>73</v>
      </c>
      <c r="M8" s="51" t="s">
        <v>74</v>
      </c>
      <c r="N8" s="52" t="s">
        <v>75</v>
      </c>
    </row>
    <row r="9" spans="1:17" x14ac:dyDescent="0.2">
      <c r="A9" s="54"/>
      <c r="B9" s="54"/>
      <c r="C9" s="55"/>
      <c r="D9" s="55"/>
      <c r="E9" s="55"/>
      <c r="F9" s="56" t="s">
        <v>76</v>
      </c>
      <c r="G9" s="55"/>
      <c r="H9" s="55"/>
      <c r="I9" s="55"/>
      <c r="J9" s="55" t="s">
        <v>77</v>
      </c>
      <c r="K9" s="57"/>
      <c r="L9" s="55"/>
      <c r="M9" s="58"/>
      <c r="N9" s="59"/>
    </row>
    <row r="10" spans="1:17" x14ac:dyDescent="0.2">
      <c r="A10" s="60"/>
      <c r="B10" s="34"/>
      <c r="C10" s="44"/>
      <c r="D10" s="61"/>
      <c r="E10" s="62"/>
      <c r="F10" s="144"/>
      <c r="G10" s="44"/>
      <c r="H10" s="61"/>
      <c r="I10" s="61"/>
      <c r="J10" s="63"/>
      <c r="K10" s="63"/>
      <c r="L10" s="63"/>
      <c r="M10" s="64"/>
      <c r="N10" s="65"/>
    </row>
    <row r="11" spans="1:17" x14ac:dyDescent="0.2">
      <c r="A11" s="66" t="s">
        <v>78</v>
      </c>
      <c r="B11" s="66"/>
      <c r="C11" s="67"/>
      <c r="D11" s="61"/>
      <c r="E11" s="68"/>
      <c r="F11" s="145"/>
      <c r="G11" s="61"/>
      <c r="H11" s="61"/>
      <c r="I11" s="61"/>
      <c r="J11" s="68"/>
      <c r="K11" s="68"/>
      <c r="L11" s="68"/>
      <c r="M11" s="64"/>
      <c r="N11" s="69"/>
    </row>
    <row r="12" spans="1:17" hidden="1" outlineLevel="1" x14ac:dyDescent="0.2">
      <c r="A12" s="66">
        <v>44165</v>
      </c>
      <c r="B12" s="66"/>
      <c r="C12" s="67"/>
      <c r="D12" s="61"/>
      <c r="E12" s="68"/>
      <c r="F12" s="145"/>
      <c r="G12" s="61"/>
      <c r="H12" s="61"/>
      <c r="I12" s="61"/>
      <c r="J12" s="68"/>
      <c r="K12" s="68"/>
      <c r="L12" s="68"/>
      <c r="M12" s="63"/>
      <c r="N12" s="69"/>
    </row>
    <row r="13" spans="1:17" hidden="1" outlineLevel="1" x14ac:dyDescent="0.2">
      <c r="A13" s="66">
        <v>44196</v>
      </c>
      <c r="B13" s="66"/>
      <c r="C13" s="67"/>
      <c r="D13" s="61"/>
      <c r="E13" s="68"/>
      <c r="F13" s="145"/>
      <c r="G13" s="61"/>
      <c r="H13" s="61"/>
      <c r="I13" s="61"/>
      <c r="J13" s="68"/>
      <c r="K13" s="68"/>
      <c r="L13" s="68"/>
      <c r="M13" s="63"/>
      <c r="N13" s="69"/>
    </row>
    <row r="14" spans="1:17" hidden="1" outlineLevel="1" x14ac:dyDescent="0.2">
      <c r="A14" s="66">
        <v>44227</v>
      </c>
      <c r="B14" s="66"/>
      <c r="C14" s="67"/>
      <c r="D14" s="61"/>
      <c r="E14" s="68"/>
      <c r="F14" s="145"/>
      <c r="G14" s="61"/>
      <c r="H14" s="61"/>
      <c r="I14" s="61"/>
      <c r="J14" s="68"/>
      <c r="K14" s="68"/>
      <c r="L14" s="68"/>
      <c r="M14" s="63"/>
      <c r="N14" s="69"/>
    </row>
    <row r="15" spans="1:17" hidden="1" outlineLevel="1" x14ac:dyDescent="0.2">
      <c r="A15" s="66">
        <v>44255</v>
      </c>
      <c r="B15" s="66"/>
      <c r="C15" s="67"/>
      <c r="D15" s="61"/>
      <c r="E15" s="68"/>
      <c r="F15" s="145"/>
      <c r="G15" s="61"/>
      <c r="H15" s="61"/>
      <c r="I15" s="61"/>
      <c r="J15" s="68"/>
      <c r="K15" s="68"/>
      <c r="L15" s="68"/>
      <c r="M15" s="63"/>
      <c r="N15" s="69"/>
    </row>
    <row r="16" spans="1:17" hidden="1" outlineLevel="1" x14ac:dyDescent="0.2">
      <c r="A16" s="66">
        <v>44286</v>
      </c>
      <c r="B16" s="66"/>
      <c r="C16" s="67"/>
      <c r="D16" s="61"/>
      <c r="E16" s="68"/>
      <c r="F16" s="145"/>
      <c r="G16" s="61"/>
      <c r="H16" s="61"/>
      <c r="I16" s="61"/>
      <c r="J16" s="68"/>
      <c r="K16" s="68"/>
      <c r="L16" s="68"/>
      <c r="M16" s="63"/>
      <c r="N16" s="69"/>
    </row>
    <row r="17" spans="1:14" hidden="1" outlineLevel="1" x14ac:dyDescent="0.2">
      <c r="A17" s="66">
        <v>44316</v>
      </c>
      <c r="B17" s="66"/>
      <c r="C17" s="67"/>
      <c r="D17" s="61"/>
      <c r="E17" s="68"/>
      <c r="F17" s="145"/>
      <c r="G17" s="61"/>
      <c r="H17" s="61"/>
      <c r="I17" s="61"/>
      <c r="J17" s="68"/>
      <c r="K17" s="68"/>
      <c r="L17" s="68"/>
      <c r="M17" s="63"/>
      <c r="N17" s="69"/>
    </row>
    <row r="18" spans="1:14" hidden="1" outlineLevel="1" x14ac:dyDescent="0.2">
      <c r="A18" s="66">
        <v>44347</v>
      </c>
      <c r="B18" s="66"/>
      <c r="C18" s="67"/>
      <c r="D18" s="61"/>
      <c r="E18" s="68"/>
      <c r="F18" s="145"/>
      <c r="G18" s="61"/>
      <c r="H18" s="61"/>
      <c r="I18" s="61"/>
      <c r="J18" s="68"/>
      <c r="K18" s="68"/>
      <c r="L18" s="68"/>
      <c r="M18" s="63"/>
      <c r="N18" s="69"/>
    </row>
    <row r="19" spans="1:14" hidden="1" outlineLevel="1" x14ac:dyDescent="0.2">
      <c r="A19" s="66">
        <v>44377</v>
      </c>
      <c r="B19" s="66"/>
      <c r="C19" s="67"/>
      <c r="D19" s="61"/>
      <c r="E19" s="68"/>
      <c r="F19" s="145"/>
      <c r="G19" s="61"/>
      <c r="H19" s="61"/>
      <c r="I19" s="61"/>
      <c r="J19" s="68"/>
      <c r="K19" s="68"/>
      <c r="L19" s="68"/>
      <c r="M19" s="63"/>
      <c r="N19" s="69"/>
    </row>
    <row r="20" spans="1:14" hidden="1" outlineLevel="1" x14ac:dyDescent="0.2">
      <c r="A20" s="66">
        <v>44408</v>
      </c>
      <c r="B20" s="66"/>
      <c r="C20" s="67"/>
      <c r="D20" s="61"/>
      <c r="E20" s="68"/>
      <c r="F20" s="145"/>
      <c r="G20" s="61"/>
      <c r="H20" s="61"/>
      <c r="I20" s="61"/>
      <c r="J20" s="68"/>
      <c r="K20" s="68"/>
      <c r="L20" s="68"/>
      <c r="M20" s="63"/>
      <c r="N20" s="69"/>
    </row>
    <row r="21" spans="1:14" hidden="1" outlineLevel="1" x14ac:dyDescent="0.2">
      <c r="A21" s="66">
        <v>44439</v>
      </c>
      <c r="B21" s="66"/>
      <c r="C21" s="67"/>
      <c r="D21" s="61"/>
      <c r="E21" s="68"/>
      <c r="F21" s="145"/>
      <c r="G21" s="61"/>
      <c r="H21" s="61"/>
      <c r="I21" s="61"/>
      <c r="J21" s="68"/>
      <c r="K21" s="68"/>
      <c r="L21" s="68"/>
      <c r="M21" s="63"/>
      <c r="N21" s="69"/>
    </row>
    <row r="22" spans="1:14" hidden="1" outlineLevel="1" x14ac:dyDescent="0.2">
      <c r="A22" s="66">
        <v>44469</v>
      </c>
      <c r="B22" s="66"/>
      <c r="C22" s="67"/>
      <c r="D22" s="61"/>
      <c r="E22" s="68"/>
      <c r="F22" s="145"/>
      <c r="G22" s="61"/>
      <c r="H22" s="61"/>
      <c r="I22" s="61"/>
      <c r="J22" s="68"/>
      <c r="K22" s="68"/>
      <c r="L22" s="68"/>
      <c r="M22" s="63"/>
      <c r="N22" s="69"/>
    </row>
    <row r="23" spans="1:14" hidden="1" outlineLevel="1" x14ac:dyDescent="0.2">
      <c r="A23" s="66">
        <v>44500</v>
      </c>
      <c r="B23" s="66"/>
      <c r="C23" s="67"/>
      <c r="D23" s="61"/>
      <c r="E23" s="68"/>
      <c r="F23" s="145"/>
      <c r="G23" s="61"/>
      <c r="H23" s="61"/>
      <c r="I23" s="61"/>
      <c r="J23" s="68"/>
      <c r="K23" s="68"/>
      <c r="L23" s="68"/>
      <c r="M23" s="63"/>
      <c r="N23" s="69"/>
    </row>
    <row r="24" spans="1:14" collapsed="1" x14ac:dyDescent="0.2">
      <c r="A24" s="66">
        <v>44530</v>
      </c>
      <c r="B24" s="66"/>
      <c r="C24" s="67"/>
      <c r="D24" s="68">
        <f>D11+C24</f>
        <v>0</v>
      </c>
      <c r="E24" s="68">
        <f t="shared" ref="E24:E25" si="0">(D12+D24+SUM(D13:D23)*2)/24</f>
        <v>0</v>
      </c>
      <c r="F24" s="145">
        <v>0</v>
      </c>
      <c r="G24" s="68">
        <v>0</v>
      </c>
      <c r="H24" s="68">
        <v>0</v>
      </c>
      <c r="I24" s="68">
        <v>0</v>
      </c>
      <c r="J24" s="68">
        <f t="shared" ref="J24:J87" si="1">(-C24*0.21)+(F24*0.21)</f>
        <v>0</v>
      </c>
      <c r="K24" s="68">
        <f t="shared" ref="K24:K87" si="2">K23+J24</f>
        <v>0</v>
      </c>
      <c r="L24" s="68">
        <v>0</v>
      </c>
      <c r="M24" s="68">
        <v>0</v>
      </c>
      <c r="N24" s="70">
        <v>0</v>
      </c>
    </row>
    <row r="25" spans="1:14" x14ac:dyDescent="0.2">
      <c r="A25" s="66">
        <v>44561</v>
      </c>
      <c r="B25" s="66"/>
      <c r="C25" s="67"/>
      <c r="D25" s="68">
        <f t="shared" ref="D25:D88" si="3">D24+C25</f>
        <v>0</v>
      </c>
      <c r="E25" s="68">
        <f t="shared" si="0"/>
        <v>0</v>
      </c>
      <c r="F25" s="145">
        <v>0</v>
      </c>
      <c r="G25" s="68">
        <v>0</v>
      </c>
      <c r="H25" s="68">
        <v>0</v>
      </c>
      <c r="I25" s="68">
        <v>0</v>
      </c>
      <c r="J25" s="68">
        <f t="shared" si="1"/>
        <v>0</v>
      </c>
      <c r="K25" s="68">
        <f t="shared" si="2"/>
        <v>0</v>
      </c>
      <c r="L25" s="68">
        <v>0</v>
      </c>
      <c r="M25" s="68">
        <v>0</v>
      </c>
      <c r="N25" s="70">
        <v>0</v>
      </c>
    </row>
    <row r="26" spans="1:14" x14ac:dyDescent="0.2">
      <c r="A26" s="66">
        <v>44592</v>
      </c>
      <c r="B26" s="66"/>
      <c r="C26" s="67">
        <f>'Plant Additions'!F11</f>
        <v>0</v>
      </c>
      <c r="D26" s="68">
        <f>D25+C26</f>
        <v>0</v>
      </c>
      <c r="E26" s="68">
        <f t="shared" ref="E26:E38" si="4">(D14+D26+SUM(D15:D25)*2)/24</f>
        <v>0</v>
      </c>
      <c r="F26" s="145"/>
      <c r="G26" s="68">
        <f>G25-F26</f>
        <v>0</v>
      </c>
      <c r="H26" s="68">
        <v>0</v>
      </c>
      <c r="I26" s="68">
        <v>0</v>
      </c>
      <c r="J26" s="68">
        <f t="shared" si="1"/>
        <v>0</v>
      </c>
      <c r="K26" s="68">
        <f>K25+J26</f>
        <v>0</v>
      </c>
      <c r="L26" s="68">
        <v>0</v>
      </c>
      <c r="M26" s="68">
        <v>0</v>
      </c>
      <c r="N26" s="70">
        <v>0</v>
      </c>
    </row>
    <row r="27" spans="1:14" x14ac:dyDescent="0.2">
      <c r="A27" s="66">
        <v>44620</v>
      </c>
      <c r="B27" s="66"/>
      <c r="C27" s="67">
        <f>'Plant Additions'!F12</f>
        <v>270932.72951333335</v>
      </c>
      <c r="D27" s="68">
        <f t="shared" si="3"/>
        <v>270932.72951333335</v>
      </c>
      <c r="E27" s="68">
        <f t="shared" si="4"/>
        <v>11288.863729722223</v>
      </c>
      <c r="F27" s="145"/>
      <c r="G27" s="68">
        <f t="shared" ref="G27:G37" si="5">G26-F27</f>
        <v>0</v>
      </c>
      <c r="H27" s="68">
        <f t="shared" ref="H27:H37" si="6">(G15+G27+SUM(G16:G26)*2)/24</f>
        <v>0</v>
      </c>
      <c r="I27" s="68">
        <f>H27</f>
        <v>0</v>
      </c>
      <c r="J27" s="68">
        <f t="shared" si="1"/>
        <v>-56895.8731978</v>
      </c>
      <c r="K27" s="68">
        <f t="shared" si="2"/>
        <v>-56895.8731978</v>
      </c>
      <c r="L27" s="68">
        <f t="shared" ref="L27:L37" si="7">(K15+K27+SUM(K16:K26)*2)/24</f>
        <v>-2370.6613832416665</v>
      </c>
      <c r="M27" s="68">
        <f>I27+L27</f>
        <v>-2370.6613832416665</v>
      </c>
      <c r="N27" s="70">
        <f t="shared" ref="N27:N36" si="8">+D27+G27+K27</f>
        <v>214036.85631553334</v>
      </c>
    </row>
    <row r="28" spans="1:14" x14ac:dyDescent="0.2">
      <c r="A28" s="66">
        <v>44651</v>
      </c>
      <c r="B28" s="66"/>
      <c r="C28" s="67">
        <f>'Plant Additions'!F13</f>
        <v>523580.40328349994</v>
      </c>
      <c r="D28" s="68">
        <f t="shared" si="3"/>
        <v>794513.13279683329</v>
      </c>
      <c r="E28" s="68">
        <f t="shared" si="4"/>
        <v>55682.441325979169</v>
      </c>
      <c r="F28" s="145"/>
      <c r="G28" s="68">
        <f t="shared" si="5"/>
        <v>0</v>
      </c>
      <c r="H28" s="68">
        <f t="shared" si="6"/>
        <v>0</v>
      </c>
      <c r="I28" s="68">
        <f t="shared" ref="I28:I37" si="9">H28</f>
        <v>0</v>
      </c>
      <c r="J28" s="68">
        <f t="shared" si="1"/>
        <v>-109951.88468953499</v>
      </c>
      <c r="K28" s="68">
        <f t="shared" si="2"/>
        <v>-166847.75788733497</v>
      </c>
      <c r="L28" s="68">
        <f t="shared" si="7"/>
        <v>-11693.312678455623</v>
      </c>
      <c r="M28" s="68">
        <f t="shared" ref="M28:M36" si="10">I28+L28</f>
        <v>-11693.312678455623</v>
      </c>
      <c r="N28" s="70">
        <f t="shared" si="8"/>
        <v>627665.37490949826</v>
      </c>
    </row>
    <row r="29" spans="1:14" x14ac:dyDescent="0.2">
      <c r="A29" s="66">
        <v>44681</v>
      </c>
      <c r="B29" s="66"/>
      <c r="C29" s="67">
        <f>'Plant Additions'!F14</f>
        <v>523852.83881937491</v>
      </c>
      <c r="D29" s="68">
        <f t="shared" si="3"/>
        <v>1318365.9716162081</v>
      </c>
      <c r="E29" s="68">
        <f t="shared" si="4"/>
        <v>143719.07067652256</v>
      </c>
      <c r="F29" s="145"/>
      <c r="G29" s="68">
        <f t="shared" si="5"/>
        <v>0</v>
      </c>
      <c r="H29" s="68">
        <f t="shared" si="6"/>
        <v>0</v>
      </c>
      <c r="I29" s="68">
        <f t="shared" si="9"/>
        <v>0</v>
      </c>
      <c r="J29" s="68">
        <f t="shared" si="1"/>
        <v>-110009.09615206873</v>
      </c>
      <c r="K29" s="68">
        <f t="shared" si="2"/>
        <v>-276856.85403940373</v>
      </c>
      <c r="L29" s="68">
        <f t="shared" si="7"/>
        <v>-30181.004842069739</v>
      </c>
      <c r="M29" s="68">
        <f t="shared" si="10"/>
        <v>-30181.004842069739</v>
      </c>
      <c r="N29" s="70">
        <f t="shared" si="8"/>
        <v>1041509.1175768044</v>
      </c>
    </row>
    <row r="30" spans="1:14" x14ac:dyDescent="0.2">
      <c r="A30" s="66">
        <v>44712</v>
      </c>
      <c r="B30" s="66"/>
      <c r="C30" s="67">
        <f>'Plant Additions'!F15</f>
        <v>524057.44885795837</v>
      </c>
      <c r="D30" s="68">
        <f t="shared" si="3"/>
        <v>1842423.4204741665</v>
      </c>
      <c r="E30" s="68">
        <f t="shared" si="4"/>
        <v>275418.62868028815</v>
      </c>
      <c r="F30" s="145"/>
      <c r="G30" s="68">
        <f t="shared" si="5"/>
        <v>0</v>
      </c>
      <c r="H30" s="68">
        <f t="shared" si="6"/>
        <v>0</v>
      </c>
      <c r="I30" s="68">
        <f t="shared" si="9"/>
        <v>0</v>
      </c>
      <c r="J30" s="68">
        <f t="shared" si="1"/>
        <v>-110052.06426017126</v>
      </c>
      <c r="K30" s="68">
        <f t="shared" si="2"/>
        <v>-386908.91829957499</v>
      </c>
      <c r="L30" s="68">
        <f t="shared" si="7"/>
        <v>-57837.912022860517</v>
      </c>
      <c r="M30" s="68">
        <f t="shared" si="10"/>
        <v>-57837.912022860517</v>
      </c>
      <c r="N30" s="70">
        <f t="shared" si="8"/>
        <v>1455514.5021745916</v>
      </c>
    </row>
    <row r="31" spans="1:14" x14ac:dyDescent="0.2">
      <c r="A31" s="66">
        <v>44742</v>
      </c>
      <c r="B31" s="66"/>
      <c r="C31" s="67">
        <f>'Plant Additions'!F16</f>
        <v>524246.68028308335</v>
      </c>
      <c r="D31" s="68">
        <f t="shared" si="3"/>
        <v>2366670.1007572496</v>
      </c>
      <c r="E31" s="68">
        <f t="shared" si="4"/>
        <v>450797.52539826388</v>
      </c>
      <c r="F31" s="145"/>
      <c r="G31" s="68">
        <f t="shared" si="5"/>
        <v>0</v>
      </c>
      <c r="H31" s="68">
        <f t="shared" si="6"/>
        <v>0</v>
      </c>
      <c r="I31" s="68">
        <f t="shared" si="9"/>
        <v>0</v>
      </c>
      <c r="J31" s="68">
        <f t="shared" si="1"/>
        <v>-110091.8028594475</v>
      </c>
      <c r="K31" s="68">
        <f t="shared" si="2"/>
        <v>-497000.72115902248</v>
      </c>
      <c r="L31" s="68">
        <f t="shared" si="7"/>
        <v>-94667.480333635409</v>
      </c>
      <c r="M31" s="68">
        <f t="shared" si="10"/>
        <v>-94667.480333635409</v>
      </c>
      <c r="N31" s="70">
        <f t="shared" si="8"/>
        <v>1869669.3795982271</v>
      </c>
    </row>
    <row r="32" spans="1:14" x14ac:dyDescent="0.2">
      <c r="A32" s="66">
        <v>44773</v>
      </c>
      <c r="C32" s="67">
        <f>'Plant Additions'!F17</f>
        <v>524365.07417308341</v>
      </c>
      <c r="D32" s="68">
        <f t="shared" si="3"/>
        <v>2891035.1749303332</v>
      </c>
      <c r="E32" s="68">
        <f t="shared" si="4"/>
        <v>669868.57855191315</v>
      </c>
      <c r="F32" s="145"/>
      <c r="G32" s="68">
        <f t="shared" si="5"/>
        <v>0</v>
      </c>
      <c r="H32" s="68">
        <f t="shared" si="6"/>
        <v>0</v>
      </c>
      <c r="I32" s="68">
        <f t="shared" si="9"/>
        <v>0</v>
      </c>
      <c r="J32" s="68">
        <f t="shared" si="1"/>
        <v>-110116.66557634751</v>
      </c>
      <c r="K32" s="68">
        <f t="shared" si="2"/>
        <v>-607117.38673537003</v>
      </c>
      <c r="L32" s="68">
        <f t="shared" si="7"/>
        <v>-140672.40149590178</v>
      </c>
      <c r="M32" s="68">
        <f t="shared" si="10"/>
        <v>-140672.40149590178</v>
      </c>
      <c r="N32" s="70">
        <f t="shared" si="8"/>
        <v>2283917.7881949632</v>
      </c>
    </row>
    <row r="33" spans="1:15" x14ac:dyDescent="0.2">
      <c r="A33" s="66">
        <v>44804</v>
      </c>
      <c r="C33" s="67">
        <f>'Plant Additions'!F18</f>
        <v>524501.69168520835</v>
      </c>
      <c r="D33" s="68">
        <f t="shared" si="3"/>
        <v>3415536.8666155413</v>
      </c>
      <c r="E33" s="68">
        <f t="shared" si="4"/>
        <v>932642.41361632466</v>
      </c>
      <c r="F33" s="145"/>
      <c r="G33" s="68">
        <f t="shared" si="5"/>
        <v>0</v>
      </c>
      <c r="H33" s="68">
        <f t="shared" si="6"/>
        <v>0</v>
      </c>
      <c r="I33" s="68">
        <f t="shared" si="9"/>
        <v>0</v>
      </c>
      <c r="J33" s="68">
        <f t="shared" si="1"/>
        <v>-110145.35525389375</v>
      </c>
      <c r="K33" s="68">
        <f t="shared" si="2"/>
        <v>-717262.7419892638</v>
      </c>
      <c r="L33" s="68">
        <f t="shared" si="7"/>
        <v>-195854.90685942816</v>
      </c>
      <c r="M33" s="68">
        <f t="shared" si="10"/>
        <v>-195854.90685942816</v>
      </c>
      <c r="N33" s="70">
        <f t="shared" si="8"/>
        <v>2698274.1246262775</v>
      </c>
    </row>
    <row r="34" spans="1:15" x14ac:dyDescent="0.2">
      <c r="A34" s="66">
        <v>44834</v>
      </c>
      <c r="C34" s="67">
        <f>'Plant Additions'!F19</f>
        <v>524748.74707250006</v>
      </c>
      <c r="D34" s="68">
        <f t="shared" si="3"/>
        <v>3940285.6136880415</v>
      </c>
      <c r="E34" s="68">
        <f t="shared" si="4"/>
        <v>1239135.0169623073</v>
      </c>
      <c r="F34" s="145"/>
      <c r="G34" s="68">
        <f t="shared" si="5"/>
        <v>0</v>
      </c>
      <c r="H34" s="68">
        <f t="shared" si="6"/>
        <v>0</v>
      </c>
      <c r="I34" s="68">
        <f t="shared" si="9"/>
        <v>0</v>
      </c>
      <c r="J34" s="68">
        <f t="shared" si="1"/>
        <v>-110197.23688522501</v>
      </c>
      <c r="K34" s="68">
        <f t="shared" si="2"/>
        <v>-827459.97887448885</v>
      </c>
      <c r="L34" s="68">
        <f t="shared" si="7"/>
        <v>-260218.35356208452</v>
      </c>
      <c r="M34" s="68">
        <f t="shared" si="10"/>
        <v>-260218.35356208452</v>
      </c>
      <c r="N34" s="70">
        <f t="shared" si="8"/>
        <v>3112825.6348135527</v>
      </c>
    </row>
    <row r="35" spans="1:15" x14ac:dyDescent="0.2">
      <c r="A35" s="66">
        <v>44865</v>
      </c>
      <c r="C35" s="67">
        <f>'Plant Additions'!F20</f>
        <v>524974.30275483336</v>
      </c>
      <c r="D35" s="68">
        <f t="shared" si="3"/>
        <v>4465259.9164428748</v>
      </c>
      <c r="E35" s="68">
        <f t="shared" si="4"/>
        <v>1589366.0807177622</v>
      </c>
      <c r="F35" s="145"/>
      <c r="G35" s="68">
        <f t="shared" si="5"/>
        <v>0</v>
      </c>
      <c r="H35" s="68">
        <f t="shared" si="6"/>
        <v>0</v>
      </c>
      <c r="I35" s="68">
        <f t="shared" si="9"/>
        <v>0</v>
      </c>
      <c r="J35" s="68">
        <f t="shared" si="1"/>
        <v>-110244.603578515</v>
      </c>
      <c r="K35" s="68">
        <f t="shared" si="2"/>
        <v>-937704.58245300385</v>
      </c>
      <c r="L35" s="68">
        <f t="shared" si="7"/>
        <v>-333766.87695073005</v>
      </c>
      <c r="M35" s="68">
        <f t="shared" si="10"/>
        <v>-333766.87695073005</v>
      </c>
      <c r="N35" s="70">
        <f t="shared" si="8"/>
        <v>3527555.3339898707</v>
      </c>
    </row>
    <row r="36" spans="1:15" x14ac:dyDescent="0.2">
      <c r="A36" s="66">
        <v>44895</v>
      </c>
      <c r="C36" s="67">
        <f>'Plant Additions'!F21</f>
        <v>525102.2152886251</v>
      </c>
      <c r="D36" s="68">
        <f t="shared" si="3"/>
        <v>4990362.1317314999</v>
      </c>
      <c r="E36" s="68">
        <f t="shared" si="4"/>
        <v>1983350.3327250278</v>
      </c>
      <c r="F36" s="145"/>
      <c r="G36" s="68">
        <f t="shared" si="5"/>
        <v>0</v>
      </c>
      <c r="H36" s="68">
        <f t="shared" si="6"/>
        <v>0</v>
      </c>
      <c r="I36" s="68">
        <f t="shared" si="9"/>
        <v>0</v>
      </c>
      <c r="J36" s="68">
        <f t="shared" si="1"/>
        <v>-110271.46521061126</v>
      </c>
      <c r="K36" s="68">
        <f t="shared" si="2"/>
        <v>-1047976.0476636151</v>
      </c>
      <c r="L36" s="68">
        <f t="shared" si="7"/>
        <v>-416503.5698722559</v>
      </c>
      <c r="M36" s="68">
        <f t="shared" si="10"/>
        <v>-416503.5698722559</v>
      </c>
      <c r="N36" s="70">
        <f t="shared" si="8"/>
        <v>3942386.0840678848</v>
      </c>
    </row>
    <row r="37" spans="1:15" x14ac:dyDescent="0.2">
      <c r="A37" s="66">
        <v>44926</v>
      </c>
      <c r="C37" s="67">
        <f>'Plant Additions'!F22</f>
        <v>525282.01068087504</v>
      </c>
      <c r="D37" s="68">
        <f t="shared" si="3"/>
        <v>5515644.1424123747</v>
      </c>
      <c r="E37" s="68">
        <f t="shared" si="4"/>
        <v>2421100.5941476892</v>
      </c>
      <c r="F37" s="145"/>
      <c r="G37" s="68">
        <f t="shared" si="5"/>
        <v>0</v>
      </c>
      <c r="H37" s="68">
        <f t="shared" si="6"/>
        <v>0</v>
      </c>
      <c r="I37" s="68">
        <f t="shared" si="9"/>
        <v>0</v>
      </c>
      <c r="J37" s="68">
        <f t="shared" si="1"/>
        <v>-110309.22224298376</v>
      </c>
      <c r="K37" s="68">
        <f t="shared" si="2"/>
        <v>-1158285.2699065988</v>
      </c>
      <c r="L37" s="68">
        <f t="shared" si="7"/>
        <v>-508431.12477101479</v>
      </c>
      <c r="M37" s="68">
        <f t="shared" ref="M37:M97" si="11">L37+I37</f>
        <v>-508431.12477101479</v>
      </c>
      <c r="N37" s="69">
        <f t="shared" ref="N37:N97" si="12">+D37+G37+K37</f>
        <v>4357358.8725057757</v>
      </c>
    </row>
    <row r="38" spans="1:15" x14ac:dyDescent="0.2">
      <c r="A38" s="66">
        <v>44957</v>
      </c>
      <c r="B38" s="66"/>
      <c r="C38" s="67">
        <f>'Plant Additions'!F23</f>
        <v>525376.52400758339</v>
      </c>
      <c r="D38" s="68">
        <f t="shared" si="3"/>
        <v>6041020.6664199578</v>
      </c>
      <c r="E38" s="68">
        <f t="shared" si="4"/>
        <v>2902628.2945157029</v>
      </c>
      <c r="F38" s="145"/>
      <c r="G38" s="68">
        <f t="shared" ref="G38:G97" si="13">G37-F38</f>
        <v>0</v>
      </c>
      <c r="H38" s="68">
        <f t="shared" ref="H38:H97" si="14">(G26+G38+SUM(G27:G37)*2)/24</f>
        <v>0</v>
      </c>
      <c r="I38" s="68">
        <f t="shared" ref="I38:I97" si="15">E38+H38</f>
        <v>2902628.2945157029</v>
      </c>
      <c r="J38" s="68">
        <f t="shared" si="1"/>
        <v>-110329.07004159251</v>
      </c>
      <c r="K38" s="73">
        <f t="shared" si="2"/>
        <v>-1268614.3399481913</v>
      </c>
      <c r="L38" s="68">
        <f t="shared" ref="L38:L97" si="16">(K26+K38+SUM(K27:K37)*2)/24</f>
        <v>-609551.94184829772</v>
      </c>
      <c r="M38" s="74">
        <f t="shared" si="11"/>
        <v>2293076.3526674053</v>
      </c>
      <c r="N38" s="69">
        <f t="shared" si="12"/>
        <v>4772406.3264717665</v>
      </c>
    </row>
    <row r="39" spans="1:15" x14ac:dyDescent="0.2">
      <c r="A39" s="66">
        <v>44985</v>
      </c>
      <c r="B39" s="66"/>
      <c r="C39" s="67">
        <f>'Plant Additions'!F24</f>
        <v>525389.54664079181</v>
      </c>
      <c r="D39" s="68">
        <f t="shared" si="3"/>
        <v>6566410.2130607497</v>
      </c>
      <c r="E39" s="68">
        <f t="shared" ref="E39:E97" si="17">(D27+D39+SUM(D28:D38)*2)/24</f>
        <v>3416649.0507643432</v>
      </c>
      <c r="F39" s="145"/>
      <c r="G39" s="68">
        <f t="shared" si="13"/>
        <v>0</v>
      </c>
      <c r="H39" s="68">
        <f t="shared" si="14"/>
        <v>0</v>
      </c>
      <c r="I39" s="68">
        <f t="shared" si="15"/>
        <v>3416649.0507643432</v>
      </c>
      <c r="J39" s="68">
        <f t="shared" si="1"/>
        <v>-110331.80479456628</v>
      </c>
      <c r="K39" s="73">
        <f t="shared" si="2"/>
        <v>-1378946.1447427575</v>
      </c>
      <c r="L39" s="68">
        <f t="shared" si="16"/>
        <v>-717496.30066051229</v>
      </c>
      <c r="M39" s="74">
        <f t="shared" si="11"/>
        <v>2699152.7501038308</v>
      </c>
      <c r="N39" s="69">
        <f t="shared" si="12"/>
        <v>5187464.0683179926</v>
      </c>
    </row>
    <row r="40" spans="1:15" x14ac:dyDescent="0.2">
      <c r="A40" s="66">
        <v>45016</v>
      </c>
      <c r="B40" s="66"/>
      <c r="C40" s="67">
        <f>'Plant Additions'!F25</f>
        <v>525424.75129912503</v>
      </c>
      <c r="D40" s="68">
        <f t="shared" si="3"/>
        <v>7091834.9643598748</v>
      </c>
      <c r="E40" s="68">
        <f t="shared" si="17"/>
        <v>3941349.0222272794</v>
      </c>
      <c r="F40" s="145"/>
      <c r="G40" s="68">
        <f t="shared" si="13"/>
        <v>0</v>
      </c>
      <c r="H40" s="68">
        <f t="shared" si="14"/>
        <v>0</v>
      </c>
      <c r="I40" s="68">
        <f t="shared" si="15"/>
        <v>3941349.0222272794</v>
      </c>
      <c r="J40" s="68">
        <f t="shared" si="1"/>
        <v>-110339.19777281625</v>
      </c>
      <c r="K40" s="73">
        <f t="shared" si="2"/>
        <v>-1489285.3425155738</v>
      </c>
      <c r="L40" s="68">
        <f t="shared" si="16"/>
        <v>-827683.29466772883</v>
      </c>
      <c r="M40" s="74">
        <f t="shared" si="11"/>
        <v>3113665.7275595507</v>
      </c>
      <c r="N40" s="69">
        <f t="shared" si="12"/>
        <v>5602549.621844301</v>
      </c>
    </row>
    <row r="41" spans="1:15" x14ac:dyDescent="0.2">
      <c r="A41" s="66">
        <v>45046</v>
      </c>
      <c r="B41" s="66"/>
      <c r="C41" s="67">
        <f>'Plant Additions'!F26</f>
        <v>525465.19325083343</v>
      </c>
      <c r="D41" s="68">
        <f t="shared" si="3"/>
        <v>7617300.1576107079</v>
      </c>
      <c r="E41" s="68">
        <f t="shared" si="17"/>
        <v>4466193.022958844</v>
      </c>
      <c r="F41" s="145"/>
      <c r="G41" s="68">
        <f t="shared" si="13"/>
        <v>0</v>
      </c>
      <c r="H41" s="68">
        <f t="shared" si="14"/>
        <v>0</v>
      </c>
      <c r="I41" s="68">
        <f t="shared" si="15"/>
        <v>4466193.022958844</v>
      </c>
      <c r="J41" s="68">
        <f t="shared" si="1"/>
        <v>-110347.69058267502</v>
      </c>
      <c r="K41" s="73">
        <f t="shared" si="2"/>
        <v>-1599633.0330982488</v>
      </c>
      <c r="L41" s="68">
        <f t="shared" si="16"/>
        <v>-937900.53482135723</v>
      </c>
      <c r="M41" s="74">
        <f t="shared" si="11"/>
        <v>3528292.4881374869</v>
      </c>
      <c r="N41" s="69">
        <f t="shared" si="12"/>
        <v>6017667.1245124592</v>
      </c>
    </row>
    <row r="42" spans="1:15" x14ac:dyDescent="0.2">
      <c r="A42" s="66">
        <v>45077</v>
      </c>
      <c r="B42" s="66"/>
      <c r="C42" s="67">
        <f>'Plant Additions'!F27</f>
        <v>525465.19325083343</v>
      </c>
      <c r="D42" s="68">
        <f t="shared" si="3"/>
        <v>8142765.350861541</v>
      </c>
      <c r="E42" s="68">
        <f t="shared" si="17"/>
        <v>4991162.8611414218</v>
      </c>
      <c r="F42" s="145"/>
      <c r="G42" s="68">
        <f t="shared" si="13"/>
        <v>0</v>
      </c>
      <c r="H42" s="68">
        <f t="shared" si="14"/>
        <v>0</v>
      </c>
      <c r="I42" s="68">
        <f t="shared" si="15"/>
        <v>4991162.8611414218</v>
      </c>
      <c r="J42" s="68">
        <f t="shared" si="1"/>
        <v>-110347.69058267502</v>
      </c>
      <c r="K42" s="73">
        <f t="shared" si="2"/>
        <v>-1709980.7236809237</v>
      </c>
      <c r="L42" s="68">
        <f t="shared" si="16"/>
        <v>-1048144.2008396988</v>
      </c>
      <c r="M42" s="74">
        <f t="shared" si="11"/>
        <v>3943018.6603017231</v>
      </c>
      <c r="N42" s="69">
        <f t="shared" si="12"/>
        <v>6432784.6271806173</v>
      </c>
    </row>
    <row r="43" spans="1:15" x14ac:dyDescent="0.2">
      <c r="A43" s="66">
        <v>45107</v>
      </c>
      <c r="B43" s="66"/>
      <c r="C43" s="67">
        <f>'Plant Additions'!F28</f>
        <v>525465.19325083343</v>
      </c>
      <c r="D43" s="68">
        <f t="shared" si="3"/>
        <v>8668230.544112375</v>
      </c>
      <c r="E43" s="68">
        <f t="shared" si="17"/>
        <v>5516242.1267140256</v>
      </c>
      <c r="F43" s="145"/>
      <c r="G43" s="68">
        <f t="shared" si="13"/>
        <v>0</v>
      </c>
      <c r="H43" s="68">
        <f t="shared" si="14"/>
        <v>0</v>
      </c>
      <c r="I43" s="68">
        <f t="shared" si="15"/>
        <v>5516242.1267140256</v>
      </c>
      <c r="J43" s="68">
        <f t="shared" si="1"/>
        <v>-110347.69058267502</v>
      </c>
      <c r="K43" s="73">
        <f t="shared" si="2"/>
        <v>-1820328.4142635986</v>
      </c>
      <c r="L43" s="68">
        <f t="shared" si="16"/>
        <v>-1158410.8466099456</v>
      </c>
      <c r="M43" s="74">
        <f t="shared" si="11"/>
        <v>4357831.2801040802</v>
      </c>
      <c r="N43" s="69">
        <f t="shared" si="12"/>
        <v>6847902.1298487764</v>
      </c>
    </row>
    <row r="44" spans="1:15" x14ac:dyDescent="0.2">
      <c r="A44" s="66">
        <v>45138</v>
      </c>
      <c r="B44" s="66"/>
      <c r="C44" s="67">
        <f>'Plant Additions'!F29</f>
        <v>525465.19325083343</v>
      </c>
      <c r="D44" s="68">
        <f t="shared" si="3"/>
        <v>9193695.7373632081</v>
      </c>
      <c r="E44" s="68">
        <f t="shared" si="17"/>
        <v>6041418.0019551925</v>
      </c>
      <c r="F44" s="145"/>
      <c r="G44" s="68">
        <f t="shared" si="13"/>
        <v>0</v>
      </c>
      <c r="H44" s="68">
        <f t="shared" si="14"/>
        <v>0</v>
      </c>
      <c r="I44" s="68">
        <f t="shared" si="15"/>
        <v>6041418.0019551925</v>
      </c>
      <c r="J44" s="68">
        <f t="shared" si="1"/>
        <v>-110347.69058267502</v>
      </c>
      <c r="K44" s="73">
        <f t="shared" si="2"/>
        <v>-1930676.1048462735</v>
      </c>
      <c r="L44" s="68">
        <f t="shared" si="16"/>
        <v>-1268697.7804105903</v>
      </c>
      <c r="M44" s="74">
        <f t="shared" si="11"/>
        <v>4772720.221544602</v>
      </c>
      <c r="N44" s="69">
        <f t="shared" si="12"/>
        <v>7263019.6325169345</v>
      </c>
    </row>
    <row r="45" spans="1:15" x14ac:dyDescent="0.2">
      <c r="A45" s="66">
        <v>45169</v>
      </c>
      <c r="B45" s="66"/>
      <c r="C45" s="67">
        <f>'Plant Additions'!F30</f>
        <v>525465.19325083343</v>
      </c>
      <c r="D45" s="68">
        <f t="shared" si="3"/>
        <v>9719160.9306140412</v>
      </c>
      <c r="E45" s="68">
        <f t="shared" si="17"/>
        <v>6566679.8613898335</v>
      </c>
      <c r="F45" s="145"/>
      <c r="G45" s="68">
        <f t="shared" si="13"/>
        <v>0</v>
      </c>
      <c r="H45" s="68">
        <f t="shared" si="14"/>
        <v>0</v>
      </c>
      <c r="I45" s="68">
        <f t="shared" si="15"/>
        <v>6566679.8613898335</v>
      </c>
      <c r="J45" s="68">
        <f t="shared" si="1"/>
        <v>-110347.69058267502</v>
      </c>
      <c r="K45" s="73">
        <f t="shared" si="2"/>
        <v>-2041023.7954289485</v>
      </c>
      <c r="L45" s="68">
        <f t="shared" si="16"/>
        <v>-1379002.770891865</v>
      </c>
      <c r="M45" s="74">
        <f t="shared" si="11"/>
        <v>5187677.0904979687</v>
      </c>
      <c r="N45" s="69">
        <f t="shared" si="12"/>
        <v>7678137.1351850927</v>
      </c>
    </row>
    <row r="46" spans="1:15" x14ac:dyDescent="0.2">
      <c r="A46" s="66">
        <v>45199</v>
      </c>
      <c r="B46" s="66"/>
      <c r="C46" s="67">
        <f>'Plant Additions'!F31</f>
        <v>525465.19325083343</v>
      </c>
      <c r="D46" s="68">
        <f t="shared" si="3"/>
        <v>10244626.123864874</v>
      </c>
      <c r="E46" s="68">
        <f t="shared" si="17"/>
        <v>7092011.7186471382</v>
      </c>
      <c r="F46" s="145"/>
      <c r="G46" s="68">
        <f t="shared" si="13"/>
        <v>0</v>
      </c>
      <c r="H46" s="68">
        <f t="shared" si="14"/>
        <v>0</v>
      </c>
      <c r="I46" s="68">
        <f t="shared" si="15"/>
        <v>7092011.7186471382</v>
      </c>
      <c r="J46" s="68">
        <f t="shared" si="1"/>
        <v>-110347.69058267502</v>
      </c>
      <c r="K46" s="73">
        <f t="shared" si="2"/>
        <v>-2151371.4860116234</v>
      </c>
      <c r="L46" s="68">
        <f t="shared" si="16"/>
        <v>-1489322.4609158989</v>
      </c>
      <c r="M46" s="74">
        <f t="shared" si="11"/>
        <v>5602689.2577312393</v>
      </c>
      <c r="N46" s="69">
        <f t="shared" si="12"/>
        <v>8093254.6378532508</v>
      </c>
    </row>
    <row r="47" spans="1:15" ht="13.5" thickBot="1" x14ac:dyDescent="0.25">
      <c r="A47" s="66">
        <v>45230</v>
      </c>
      <c r="B47" s="66"/>
      <c r="C47" s="67">
        <f>'Plant Additions'!F32</f>
        <v>525465.19325083343</v>
      </c>
      <c r="D47" s="68">
        <f t="shared" si="3"/>
        <v>10770091.317115707</v>
      </c>
      <c r="E47" s="68">
        <f t="shared" si="17"/>
        <v>7617393.8815992093</v>
      </c>
      <c r="F47" s="145"/>
      <c r="G47" s="68">
        <f t="shared" si="13"/>
        <v>0</v>
      </c>
      <c r="H47" s="68">
        <f t="shared" si="14"/>
        <v>0</v>
      </c>
      <c r="I47" s="68">
        <f t="shared" si="15"/>
        <v>7617393.8815992093</v>
      </c>
      <c r="J47" s="68">
        <f t="shared" si="1"/>
        <v>-110347.69058267502</v>
      </c>
      <c r="K47" s="73">
        <f t="shared" si="2"/>
        <v>-2261719.1765942983</v>
      </c>
      <c r="L47" s="68">
        <f t="shared" si="16"/>
        <v>-1599652.7151358335</v>
      </c>
      <c r="M47" s="74">
        <f t="shared" si="11"/>
        <v>6017741.166463376</v>
      </c>
      <c r="N47" s="69">
        <f t="shared" si="12"/>
        <v>8508372.140521409</v>
      </c>
    </row>
    <row r="48" spans="1:15" x14ac:dyDescent="0.2">
      <c r="A48" s="158">
        <v>45260</v>
      </c>
      <c r="B48" s="158" t="s">
        <v>189</v>
      </c>
      <c r="C48" s="160"/>
      <c r="D48" s="160">
        <f t="shared" si="3"/>
        <v>10770091.317115707</v>
      </c>
      <c r="E48" s="160">
        <f t="shared" si="17"/>
        <v>8120917.2393515846</v>
      </c>
      <c r="F48" s="172">
        <f t="shared" ref="F48:F95" si="18">D48/48</f>
        <v>224376.90243991057</v>
      </c>
      <c r="G48" s="160">
        <f t="shared" si="13"/>
        <v>-224376.90243991057</v>
      </c>
      <c r="H48" s="160">
        <f t="shared" si="14"/>
        <v>-9349.0376016629398</v>
      </c>
      <c r="I48" s="160">
        <f t="shared" si="15"/>
        <v>8111568.2017499218</v>
      </c>
      <c r="J48" s="160">
        <f t="shared" si="1"/>
        <v>47119.14951238122</v>
      </c>
      <c r="K48" s="162">
        <f t="shared" si="2"/>
        <v>-2214600.027081917</v>
      </c>
      <c r="L48" s="160">
        <f t="shared" si="16"/>
        <v>-1703429.3223674831</v>
      </c>
      <c r="M48" s="163">
        <f t="shared" si="11"/>
        <v>6408138.879382439</v>
      </c>
      <c r="N48" s="164">
        <f t="shared" si="12"/>
        <v>8331114.3875938794</v>
      </c>
      <c r="O48" s="152"/>
    </row>
    <row r="49" spans="1:15" x14ac:dyDescent="0.2">
      <c r="A49" s="66">
        <v>45291</v>
      </c>
      <c r="B49" s="66" t="s">
        <v>189</v>
      </c>
      <c r="C49" s="68"/>
      <c r="D49" s="68">
        <f t="shared" si="3"/>
        <v>10770091.317115707</v>
      </c>
      <c r="E49" s="68">
        <f t="shared" si="17"/>
        <v>8580674.5876885671</v>
      </c>
      <c r="F49" s="145">
        <f t="shared" si="18"/>
        <v>224376.90243991057</v>
      </c>
      <c r="G49" s="68">
        <f t="shared" si="13"/>
        <v>-448753.80487982114</v>
      </c>
      <c r="H49" s="68">
        <f t="shared" si="14"/>
        <v>-37396.150406651759</v>
      </c>
      <c r="I49" s="68">
        <f t="shared" si="15"/>
        <v>8543278.4372819159</v>
      </c>
      <c r="J49" s="68">
        <f t="shared" si="1"/>
        <v>47119.14951238122</v>
      </c>
      <c r="K49" s="73">
        <f t="shared" si="2"/>
        <v>-2167480.8775695357</v>
      </c>
      <c r="L49" s="68">
        <f t="shared" si="16"/>
        <v>-1794088.4718292018</v>
      </c>
      <c r="M49" s="74">
        <f t="shared" si="11"/>
        <v>6749189.9654527139</v>
      </c>
      <c r="N49" s="69">
        <f t="shared" si="12"/>
        <v>8153856.6346663497</v>
      </c>
      <c r="O49" s="152"/>
    </row>
    <row r="50" spans="1:15" x14ac:dyDescent="0.2">
      <c r="A50" s="66">
        <v>45322</v>
      </c>
      <c r="B50" s="66" t="s">
        <v>189</v>
      </c>
      <c r="C50" s="68"/>
      <c r="D50" s="68">
        <f t="shared" si="3"/>
        <v>10770091.317115707</v>
      </c>
      <c r="E50" s="68">
        <f t="shared" si="17"/>
        <v>8996654.4970801938</v>
      </c>
      <c r="F50" s="145">
        <f t="shared" si="18"/>
        <v>224376.90243991057</v>
      </c>
      <c r="G50" s="68">
        <f t="shared" si="13"/>
        <v>-673130.70731973171</v>
      </c>
      <c r="H50" s="68">
        <f t="shared" si="14"/>
        <v>-84141.338414966463</v>
      </c>
      <c r="I50" s="68">
        <f t="shared" si="15"/>
        <v>8912513.1586652268</v>
      </c>
      <c r="J50" s="68">
        <f t="shared" si="1"/>
        <v>47119.14951238122</v>
      </c>
      <c r="K50" s="73">
        <f t="shared" si="2"/>
        <v>-2120361.7280571545</v>
      </c>
      <c r="L50" s="68">
        <f t="shared" si="16"/>
        <v>-1871627.7633196975</v>
      </c>
      <c r="M50" s="74">
        <f t="shared" si="11"/>
        <v>7040885.3953455295</v>
      </c>
      <c r="N50" s="69">
        <f t="shared" si="12"/>
        <v>7976598.881738822</v>
      </c>
      <c r="O50" s="152"/>
    </row>
    <row r="51" spans="1:15" x14ac:dyDescent="0.2">
      <c r="A51" s="66">
        <v>45351</v>
      </c>
      <c r="B51" s="66" t="s">
        <v>189</v>
      </c>
      <c r="C51" s="68"/>
      <c r="D51" s="68">
        <f t="shared" si="3"/>
        <v>10770091.317115707</v>
      </c>
      <c r="E51" s="68">
        <f t="shared" si="17"/>
        <v>9368852.4868614729</v>
      </c>
      <c r="F51" s="145">
        <f t="shared" si="18"/>
        <v>224376.90243991057</v>
      </c>
      <c r="G51" s="68">
        <f t="shared" si="13"/>
        <v>-897507.60975964228</v>
      </c>
      <c r="H51" s="68">
        <f t="shared" si="14"/>
        <v>-149584.60162660704</v>
      </c>
      <c r="I51" s="68">
        <f t="shared" si="15"/>
        <v>9219267.8852348663</v>
      </c>
      <c r="J51" s="68">
        <f t="shared" si="1"/>
        <v>47119.14951238122</v>
      </c>
      <c r="K51" s="73">
        <f t="shared" si="2"/>
        <v>-2073242.5785447732</v>
      </c>
      <c r="L51" s="68">
        <f t="shared" si="16"/>
        <v>-1936046.2558993215</v>
      </c>
      <c r="M51" s="74">
        <f t="shared" si="11"/>
        <v>7283221.629335545</v>
      </c>
      <c r="N51" s="69">
        <f t="shared" si="12"/>
        <v>7799341.1288112924</v>
      </c>
      <c r="O51" s="152"/>
    </row>
    <row r="52" spans="1:15" x14ac:dyDescent="0.2">
      <c r="A52" s="66">
        <v>45382</v>
      </c>
      <c r="B52" s="66" t="s">
        <v>189</v>
      </c>
      <c r="C52" s="68"/>
      <c r="D52" s="68">
        <f t="shared" si="3"/>
        <v>10770091.317115707</v>
      </c>
      <c r="E52" s="68">
        <f t="shared" si="17"/>
        <v>9697266.547561923</v>
      </c>
      <c r="F52" s="145">
        <f t="shared" si="18"/>
        <v>224376.90243991057</v>
      </c>
      <c r="G52" s="68">
        <f t="shared" si="13"/>
        <v>-1121884.5121995527</v>
      </c>
      <c r="H52" s="68">
        <f t="shared" si="14"/>
        <v>-233725.94004157349</v>
      </c>
      <c r="I52" s="68">
        <f t="shared" si="15"/>
        <v>9463540.6075203493</v>
      </c>
      <c r="J52" s="68">
        <f t="shared" si="1"/>
        <v>47119.14951238122</v>
      </c>
      <c r="K52" s="73">
        <f t="shared" si="2"/>
        <v>-2026123.4290323919</v>
      </c>
      <c r="L52" s="68">
        <f t="shared" si="16"/>
        <v>-1987343.5275792731</v>
      </c>
      <c r="M52" s="74">
        <f t="shared" si="11"/>
        <v>7476197.0799410762</v>
      </c>
      <c r="N52" s="69">
        <f t="shared" si="12"/>
        <v>7622083.3758837627</v>
      </c>
      <c r="O52" s="152"/>
    </row>
    <row r="53" spans="1:15" x14ac:dyDescent="0.2">
      <c r="A53" s="66">
        <v>45412</v>
      </c>
      <c r="B53" s="66" t="s">
        <v>189</v>
      </c>
      <c r="C53" s="68"/>
      <c r="D53" s="68">
        <f t="shared" si="3"/>
        <v>10770091.317115707</v>
      </c>
      <c r="E53" s="68">
        <f t="shared" si="17"/>
        <v>9981893.5272394586</v>
      </c>
      <c r="F53" s="145">
        <f t="shared" si="18"/>
        <v>224376.90243991057</v>
      </c>
      <c r="G53" s="68">
        <f t="shared" si="13"/>
        <v>-1346261.4146394632</v>
      </c>
      <c r="H53" s="68">
        <f t="shared" si="14"/>
        <v>-336565.35365986585</v>
      </c>
      <c r="I53" s="68">
        <f t="shared" si="15"/>
        <v>9645328.1735795923</v>
      </c>
      <c r="J53" s="68">
        <f t="shared" si="1"/>
        <v>47119.14951238122</v>
      </c>
      <c r="K53" s="73">
        <f t="shared" si="2"/>
        <v>-1979004.2795200106</v>
      </c>
      <c r="L53" s="68">
        <f t="shared" si="16"/>
        <v>-2025518.9164517142</v>
      </c>
      <c r="M53" s="74">
        <f t="shared" si="11"/>
        <v>7619809.2571278783</v>
      </c>
      <c r="N53" s="69">
        <f t="shared" si="12"/>
        <v>7444825.6229562331</v>
      </c>
      <c r="O53" s="152"/>
    </row>
    <row r="54" spans="1:15" x14ac:dyDescent="0.2">
      <c r="A54" s="66">
        <v>45443</v>
      </c>
      <c r="B54" s="66" t="s">
        <v>189</v>
      </c>
      <c r="C54" s="68"/>
      <c r="D54" s="68">
        <f t="shared" si="3"/>
        <v>10770091.317115707</v>
      </c>
      <c r="E54" s="68">
        <f t="shared" si="17"/>
        <v>10222731.740812756</v>
      </c>
      <c r="F54" s="145">
        <f t="shared" si="18"/>
        <v>224376.90243991057</v>
      </c>
      <c r="G54" s="68">
        <f t="shared" si="13"/>
        <v>-1570638.3170793736</v>
      </c>
      <c r="H54" s="68">
        <f t="shared" si="14"/>
        <v>-458102.842481484</v>
      </c>
      <c r="I54" s="68">
        <f t="shared" si="15"/>
        <v>9764628.8983312715</v>
      </c>
      <c r="J54" s="68">
        <f t="shared" si="1"/>
        <v>47119.14951238122</v>
      </c>
      <c r="K54" s="73">
        <f t="shared" si="2"/>
        <v>-1931885.1300076293</v>
      </c>
      <c r="L54" s="68">
        <f t="shared" si="16"/>
        <v>-2050572.068649567</v>
      </c>
      <c r="M54" s="74">
        <f t="shared" si="11"/>
        <v>7714056.8296817048</v>
      </c>
      <c r="N54" s="69">
        <f t="shared" si="12"/>
        <v>7267567.8700287035</v>
      </c>
      <c r="O54" s="152"/>
    </row>
    <row r="55" spans="1:15" x14ac:dyDescent="0.2">
      <c r="A55" s="66">
        <v>45473</v>
      </c>
      <c r="B55" s="66" t="s">
        <v>189</v>
      </c>
      <c r="C55" s="68"/>
      <c r="D55" s="68">
        <f t="shared" si="3"/>
        <v>10770091.317115707</v>
      </c>
      <c r="E55" s="68">
        <f t="shared" si="17"/>
        <v>10419781.188281819</v>
      </c>
      <c r="F55" s="145">
        <f t="shared" si="18"/>
        <v>224376.90243991057</v>
      </c>
      <c r="G55" s="68">
        <f t="shared" si="13"/>
        <v>-1795015.2195192841</v>
      </c>
      <c r="H55" s="68">
        <f t="shared" si="14"/>
        <v>-598338.40650642815</v>
      </c>
      <c r="I55" s="68">
        <f t="shared" si="15"/>
        <v>9821442.7817753907</v>
      </c>
      <c r="J55" s="68">
        <f t="shared" si="1"/>
        <v>47119.14951238122</v>
      </c>
      <c r="K55" s="73">
        <f t="shared" si="2"/>
        <v>-1884765.980495248</v>
      </c>
      <c r="L55" s="68">
        <f t="shared" si="16"/>
        <v>-2062502.9841728315</v>
      </c>
      <c r="M55" s="74">
        <f t="shared" si="11"/>
        <v>7758939.7976025594</v>
      </c>
      <c r="N55" s="69">
        <f t="shared" si="12"/>
        <v>7090310.1171011757</v>
      </c>
      <c r="O55" s="152"/>
    </row>
    <row r="56" spans="1:15" x14ac:dyDescent="0.2">
      <c r="A56" s="66">
        <v>45504</v>
      </c>
      <c r="B56" s="66" t="s">
        <v>189</v>
      </c>
      <c r="C56" s="68"/>
      <c r="D56" s="68">
        <f t="shared" si="3"/>
        <v>10770091.317115707</v>
      </c>
      <c r="E56" s="68">
        <f t="shared" si="17"/>
        <v>10573041.869646646</v>
      </c>
      <c r="F56" s="145">
        <f t="shared" si="18"/>
        <v>224376.90243991057</v>
      </c>
      <c r="G56" s="68">
        <f t="shared" si="13"/>
        <v>-2019392.1219591945</v>
      </c>
      <c r="H56" s="68">
        <f t="shared" si="14"/>
        <v>-757272.04573469807</v>
      </c>
      <c r="I56" s="68">
        <f t="shared" si="15"/>
        <v>9815769.8239119481</v>
      </c>
      <c r="J56" s="68">
        <f t="shared" si="1"/>
        <v>47119.14951238122</v>
      </c>
      <c r="K56" s="73">
        <f t="shared" si="2"/>
        <v>-1837646.8309828667</v>
      </c>
      <c r="L56" s="68">
        <f t="shared" si="16"/>
        <v>-2061311.6630215084</v>
      </c>
      <c r="M56" s="74">
        <f t="shared" si="11"/>
        <v>7754458.1608904395</v>
      </c>
      <c r="N56" s="69">
        <f t="shared" si="12"/>
        <v>6913052.3641736461</v>
      </c>
      <c r="O56" s="152"/>
    </row>
    <row r="57" spans="1:15" x14ac:dyDescent="0.2">
      <c r="A57" s="66">
        <v>45535</v>
      </c>
      <c r="B57" s="66" t="s">
        <v>189</v>
      </c>
      <c r="C57" s="68"/>
      <c r="D57" s="68">
        <f t="shared" si="3"/>
        <v>10770091.317115707</v>
      </c>
      <c r="E57" s="68">
        <f t="shared" si="17"/>
        <v>10682513.784907237</v>
      </c>
      <c r="F57" s="145">
        <f t="shared" si="18"/>
        <v>224376.90243991057</v>
      </c>
      <c r="G57" s="68">
        <f t="shared" si="13"/>
        <v>-2243769.024399105</v>
      </c>
      <c r="H57" s="68">
        <f t="shared" si="14"/>
        <v>-934903.76016629394</v>
      </c>
      <c r="I57" s="68">
        <f t="shared" si="15"/>
        <v>9747610.0247409418</v>
      </c>
      <c r="J57" s="68">
        <f t="shared" si="1"/>
        <v>47119.14951238122</v>
      </c>
      <c r="K57" s="73">
        <f t="shared" si="2"/>
        <v>-1790527.6814704854</v>
      </c>
      <c r="L57" s="68">
        <f t="shared" si="16"/>
        <v>-2046998.1051955975</v>
      </c>
      <c r="M57" s="74">
        <f t="shared" si="11"/>
        <v>7700611.9195453441</v>
      </c>
      <c r="N57" s="69">
        <f t="shared" si="12"/>
        <v>6735794.6112461165</v>
      </c>
      <c r="O57" s="152"/>
    </row>
    <row r="58" spans="1:15" x14ac:dyDescent="0.2">
      <c r="A58" s="66">
        <v>45565</v>
      </c>
      <c r="B58" s="66" t="s">
        <v>189</v>
      </c>
      <c r="C58" s="68"/>
      <c r="D58" s="68">
        <f t="shared" si="3"/>
        <v>10770091.317115707</v>
      </c>
      <c r="E58" s="68">
        <f t="shared" si="17"/>
        <v>10748196.934063589</v>
      </c>
      <c r="F58" s="145">
        <f t="shared" si="18"/>
        <v>224376.90243991057</v>
      </c>
      <c r="G58" s="68">
        <f t="shared" si="13"/>
        <v>-2468145.9268390154</v>
      </c>
      <c r="H58" s="68">
        <f t="shared" si="14"/>
        <v>-1131233.5498012158</v>
      </c>
      <c r="I58" s="68">
        <f t="shared" si="15"/>
        <v>9616963.3842623737</v>
      </c>
      <c r="J58" s="68">
        <f t="shared" si="1"/>
        <v>47119.14951238122</v>
      </c>
      <c r="K58" s="73">
        <f t="shared" si="2"/>
        <v>-1743408.5319581041</v>
      </c>
      <c r="L58" s="68">
        <f t="shared" si="16"/>
        <v>-2019562.310695098</v>
      </c>
      <c r="M58" s="74">
        <f t="shared" si="11"/>
        <v>7597401.0735672759</v>
      </c>
      <c r="N58" s="69">
        <f t="shared" si="12"/>
        <v>6558536.8583185878</v>
      </c>
      <c r="O58" s="152"/>
    </row>
    <row r="59" spans="1:15" ht="13.5" thickBot="1" x14ac:dyDescent="0.25">
      <c r="A59" s="66">
        <v>45596</v>
      </c>
      <c r="B59" s="66" t="s">
        <v>189</v>
      </c>
      <c r="C59" s="68"/>
      <c r="D59" s="68">
        <f t="shared" si="3"/>
        <v>10770091.317115707</v>
      </c>
      <c r="E59" s="207">
        <f t="shared" si="17"/>
        <v>10770091.317115707</v>
      </c>
      <c r="F59" s="145">
        <f t="shared" si="18"/>
        <v>224376.90243991057</v>
      </c>
      <c r="G59" s="68">
        <f t="shared" si="13"/>
        <v>-2692522.8292789259</v>
      </c>
      <c r="H59" s="207">
        <f>(G47+G59+SUM(G48:G58)*2)/24</f>
        <v>-1346261.4146394632</v>
      </c>
      <c r="I59" s="68">
        <f t="shared" si="15"/>
        <v>9423829.9024762437</v>
      </c>
      <c r="J59" s="68">
        <f t="shared" si="1"/>
        <v>47119.14951238122</v>
      </c>
      <c r="K59" s="73">
        <f t="shared" si="2"/>
        <v>-1696289.3824457228</v>
      </c>
      <c r="L59" s="68">
        <f t="shared" si="16"/>
        <v>-1979004.2795200106</v>
      </c>
      <c r="M59" s="233">
        <f t="shared" si="11"/>
        <v>7444825.6229562331</v>
      </c>
      <c r="N59" s="69">
        <f t="shared" si="12"/>
        <v>6381279.1053910591</v>
      </c>
      <c r="O59" s="152"/>
    </row>
    <row r="60" spans="1:15" x14ac:dyDescent="0.2">
      <c r="A60" s="158">
        <v>45626</v>
      </c>
      <c r="B60" s="165" t="s">
        <v>190</v>
      </c>
      <c r="C60" s="160"/>
      <c r="D60" s="160">
        <f t="shared" si="3"/>
        <v>10770091.317115707</v>
      </c>
      <c r="E60" s="160">
        <f t="shared" si="17"/>
        <v>10770091.317115707</v>
      </c>
      <c r="F60" s="172">
        <f t="shared" si="18"/>
        <v>224376.90243991057</v>
      </c>
      <c r="G60" s="160">
        <f t="shared" si="13"/>
        <v>-2916899.7317188364</v>
      </c>
      <c r="H60" s="160">
        <f t="shared" si="14"/>
        <v>-1570638.3170793736</v>
      </c>
      <c r="I60" s="160">
        <f t="shared" si="15"/>
        <v>9199453.0000363328</v>
      </c>
      <c r="J60" s="160">
        <f t="shared" si="1"/>
        <v>47119.14951238122</v>
      </c>
      <c r="K60" s="162">
        <f t="shared" si="2"/>
        <v>-1649170.2329333415</v>
      </c>
      <c r="L60" s="160">
        <f t="shared" si="16"/>
        <v>-1931885.1300076293</v>
      </c>
      <c r="M60" s="163">
        <f t="shared" si="11"/>
        <v>7267567.8700287035</v>
      </c>
      <c r="N60" s="164">
        <f t="shared" si="12"/>
        <v>6204021.3524635294</v>
      </c>
      <c r="O60" s="152"/>
    </row>
    <row r="61" spans="1:15" x14ac:dyDescent="0.2">
      <c r="A61" s="66">
        <v>45657</v>
      </c>
      <c r="B61" s="35" t="s">
        <v>190</v>
      </c>
      <c r="C61" s="68"/>
      <c r="D61" s="68">
        <f t="shared" si="3"/>
        <v>10770091.317115707</v>
      </c>
      <c r="E61" s="68">
        <f t="shared" si="17"/>
        <v>10770091.317115707</v>
      </c>
      <c r="F61" s="145">
        <f t="shared" si="18"/>
        <v>224376.90243991057</v>
      </c>
      <c r="G61" s="68">
        <f t="shared" si="13"/>
        <v>-3141276.6341587468</v>
      </c>
      <c r="H61" s="68">
        <f t="shared" si="14"/>
        <v>-1795015.2195192839</v>
      </c>
      <c r="I61" s="68">
        <f t="shared" si="15"/>
        <v>8975076.0975964237</v>
      </c>
      <c r="J61" s="68">
        <f t="shared" si="1"/>
        <v>47119.14951238122</v>
      </c>
      <c r="K61" s="73">
        <f t="shared" si="2"/>
        <v>-1602051.0834209602</v>
      </c>
      <c r="L61" s="68">
        <f t="shared" si="16"/>
        <v>-1884765.9804952482</v>
      </c>
      <c r="M61" s="74">
        <f t="shared" si="11"/>
        <v>7090310.1171011757</v>
      </c>
      <c r="N61" s="69">
        <f t="shared" si="12"/>
        <v>6026763.5995359998</v>
      </c>
      <c r="O61" s="152"/>
    </row>
    <row r="62" spans="1:15" x14ac:dyDescent="0.2">
      <c r="A62" s="66">
        <v>45688</v>
      </c>
      <c r="B62" s="35" t="s">
        <v>190</v>
      </c>
      <c r="C62" s="68"/>
      <c r="D62" s="68">
        <f t="shared" si="3"/>
        <v>10770091.317115707</v>
      </c>
      <c r="E62" s="68">
        <f t="shared" si="17"/>
        <v>10770091.317115707</v>
      </c>
      <c r="F62" s="145">
        <f t="shared" si="18"/>
        <v>224376.90243991057</v>
      </c>
      <c r="G62" s="68">
        <f t="shared" si="13"/>
        <v>-3365653.5365986573</v>
      </c>
      <c r="H62" s="68">
        <f t="shared" si="14"/>
        <v>-2019392.1219591945</v>
      </c>
      <c r="I62" s="68">
        <f t="shared" si="15"/>
        <v>8750699.1951565128</v>
      </c>
      <c r="J62" s="68">
        <f t="shared" si="1"/>
        <v>47119.14951238122</v>
      </c>
      <c r="K62" s="73">
        <f t="shared" si="2"/>
        <v>-1554931.9339085789</v>
      </c>
      <c r="L62" s="68">
        <f t="shared" si="16"/>
        <v>-1837646.8309828667</v>
      </c>
      <c r="M62" s="74">
        <f t="shared" si="11"/>
        <v>6913052.3641736461</v>
      </c>
      <c r="N62" s="69">
        <f t="shared" si="12"/>
        <v>5849505.8466084711</v>
      </c>
    </row>
    <row r="63" spans="1:15" x14ac:dyDescent="0.2">
      <c r="A63" s="66">
        <v>45716</v>
      </c>
      <c r="B63" s="35" t="s">
        <v>190</v>
      </c>
      <c r="C63" s="68"/>
      <c r="D63" s="68">
        <f t="shared" si="3"/>
        <v>10770091.317115707</v>
      </c>
      <c r="E63" s="68">
        <f t="shared" si="17"/>
        <v>10770091.317115707</v>
      </c>
      <c r="F63" s="145">
        <f t="shared" si="18"/>
        <v>224376.90243991057</v>
      </c>
      <c r="G63" s="68">
        <f t="shared" si="13"/>
        <v>-3590030.4390385677</v>
      </c>
      <c r="H63" s="68">
        <f t="shared" si="14"/>
        <v>-2243769.024399105</v>
      </c>
      <c r="I63" s="68">
        <f t="shared" si="15"/>
        <v>8526322.2927166019</v>
      </c>
      <c r="J63" s="68">
        <f t="shared" si="1"/>
        <v>47119.14951238122</v>
      </c>
      <c r="K63" s="73">
        <f t="shared" si="2"/>
        <v>-1507812.7843961976</v>
      </c>
      <c r="L63" s="68">
        <f t="shared" si="16"/>
        <v>-1790527.6814704854</v>
      </c>
      <c r="M63" s="74">
        <f t="shared" si="11"/>
        <v>6735794.6112461165</v>
      </c>
      <c r="N63" s="69">
        <f t="shared" si="12"/>
        <v>5672248.0936809424</v>
      </c>
    </row>
    <row r="64" spans="1:15" x14ac:dyDescent="0.2">
      <c r="A64" s="66">
        <v>45747</v>
      </c>
      <c r="B64" s="35" t="s">
        <v>190</v>
      </c>
      <c r="C64" s="68"/>
      <c r="D64" s="68">
        <f t="shared" si="3"/>
        <v>10770091.317115707</v>
      </c>
      <c r="E64" s="68">
        <f t="shared" si="17"/>
        <v>10770091.317115707</v>
      </c>
      <c r="F64" s="145">
        <f t="shared" si="18"/>
        <v>224376.90243991057</v>
      </c>
      <c r="G64" s="68">
        <f t="shared" si="13"/>
        <v>-3814407.3414784782</v>
      </c>
      <c r="H64" s="68">
        <f t="shared" si="14"/>
        <v>-2468145.926839015</v>
      </c>
      <c r="I64" s="68">
        <f t="shared" si="15"/>
        <v>8301945.3902766928</v>
      </c>
      <c r="J64" s="68">
        <f t="shared" si="1"/>
        <v>47119.14951238122</v>
      </c>
      <c r="K64" s="73">
        <f t="shared" si="2"/>
        <v>-1460693.6348838164</v>
      </c>
      <c r="L64" s="68">
        <f t="shared" si="16"/>
        <v>-1743408.5319581041</v>
      </c>
      <c r="M64" s="74">
        <f t="shared" si="11"/>
        <v>6558536.8583185887</v>
      </c>
      <c r="N64" s="69">
        <f t="shared" si="12"/>
        <v>5494990.3407534128</v>
      </c>
    </row>
    <row r="65" spans="1:14" x14ac:dyDescent="0.2">
      <c r="A65" s="66">
        <v>45777</v>
      </c>
      <c r="B65" s="35" t="s">
        <v>190</v>
      </c>
      <c r="C65" s="68"/>
      <c r="D65" s="68">
        <f t="shared" si="3"/>
        <v>10770091.317115707</v>
      </c>
      <c r="E65" s="68">
        <f t="shared" si="17"/>
        <v>10770091.317115707</v>
      </c>
      <c r="F65" s="145">
        <f t="shared" si="18"/>
        <v>224376.90243991057</v>
      </c>
      <c r="G65" s="68">
        <f t="shared" si="13"/>
        <v>-4038784.2439183886</v>
      </c>
      <c r="H65" s="68">
        <f t="shared" si="14"/>
        <v>-2692522.8292789259</v>
      </c>
      <c r="I65" s="68">
        <f t="shared" si="15"/>
        <v>8077568.4878367819</v>
      </c>
      <c r="J65" s="68">
        <f t="shared" si="1"/>
        <v>47119.14951238122</v>
      </c>
      <c r="K65" s="73">
        <f t="shared" si="2"/>
        <v>-1413574.4853714351</v>
      </c>
      <c r="L65" s="68">
        <f t="shared" si="16"/>
        <v>-1696289.3824457231</v>
      </c>
      <c r="M65" s="74">
        <f t="shared" si="11"/>
        <v>6381279.1053910591</v>
      </c>
      <c r="N65" s="69">
        <f t="shared" si="12"/>
        <v>5317732.5878258832</v>
      </c>
    </row>
    <row r="66" spans="1:14" x14ac:dyDescent="0.2">
      <c r="A66" s="66">
        <v>45808</v>
      </c>
      <c r="B66" s="35" t="s">
        <v>190</v>
      </c>
      <c r="C66" s="68"/>
      <c r="D66" s="68">
        <f t="shared" si="3"/>
        <v>10770091.317115707</v>
      </c>
      <c r="E66" s="68">
        <f t="shared" si="17"/>
        <v>10770091.317115707</v>
      </c>
      <c r="F66" s="145">
        <f t="shared" si="18"/>
        <v>224376.90243991057</v>
      </c>
      <c r="G66" s="68">
        <f t="shared" si="13"/>
        <v>-4263161.1463582991</v>
      </c>
      <c r="H66" s="68">
        <f t="shared" si="14"/>
        <v>-2916899.7317188364</v>
      </c>
      <c r="I66" s="68">
        <f t="shared" si="15"/>
        <v>7853191.585396871</v>
      </c>
      <c r="J66" s="68">
        <f t="shared" si="1"/>
        <v>47119.14951238122</v>
      </c>
      <c r="K66" s="73">
        <f t="shared" si="2"/>
        <v>-1366455.3358590538</v>
      </c>
      <c r="L66" s="68">
        <f t="shared" si="16"/>
        <v>-1649170.2329333418</v>
      </c>
      <c r="M66" s="74">
        <f t="shared" si="11"/>
        <v>6204021.3524635294</v>
      </c>
      <c r="N66" s="69">
        <f t="shared" si="12"/>
        <v>5140474.8348983545</v>
      </c>
    </row>
    <row r="67" spans="1:14" x14ac:dyDescent="0.2">
      <c r="A67" s="66">
        <v>45838</v>
      </c>
      <c r="B67" s="35" t="s">
        <v>190</v>
      </c>
      <c r="C67" s="68"/>
      <c r="D67" s="68">
        <f t="shared" si="3"/>
        <v>10770091.317115707</v>
      </c>
      <c r="E67" s="68">
        <f t="shared" si="17"/>
        <v>10770091.317115707</v>
      </c>
      <c r="F67" s="145">
        <f t="shared" si="18"/>
        <v>224376.90243991057</v>
      </c>
      <c r="G67" s="68">
        <f t="shared" si="13"/>
        <v>-4487538.04879821</v>
      </c>
      <c r="H67" s="68">
        <f t="shared" si="14"/>
        <v>-3141276.6341587468</v>
      </c>
      <c r="I67" s="68">
        <f t="shared" si="15"/>
        <v>7628814.6829569601</v>
      </c>
      <c r="J67" s="68">
        <f t="shared" si="1"/>
        <v>47119.14951238122</v>
      </c>
      <c r="K67" s="73">
        <f t="shared" si="2"/>
        <v>-1319336.1863466725</v>
      </c>
      <c r="L67" s="68">
        <f t="shared" si="16"/>
        <v>-1602051.0834209602</v>
      </c>
      <c r="M67" s="74">
        <f t="shared" si="11"/>
        <v>6026763.5995359998</v>
      </c>
      <c r="N67" s="69">
        <f t="shared" si="12"/>
        <v>4963217.0819708249</v>
      </c>
    </row>
    <row r="68" spans="1:14" x14ac:dyDescent="0.2">
      <c r="A68" s="66">
        <v>45869</v>
      </c>
      <c r="B68" s="35" t="s">
        <v>190</v>
      </c>
      <c r="C68" s="68"/>
      <c r="D68" s="68">
        <f t="shared" si="3"/>
        <v>10770091.317115707</v>
      </c>
      <c r="E68" s="68">
        <f t="shared" si="17"/>
        <v>10770091.317115707</v>
      </c>
      <c r="F68" s="145">
        <f t="shared" si="18"/>
        <v>224376.90243991057</v>
      </c>
      <c r="G68" s="68">
        <f t="shared" si="13"/>
        <v>-4711914.9512381209</v>
      </c>
      <c r="H68" s="68">
        <f t="shared" si="14"/>
        <v>-3365653.5365986577</v>
      </c>
      <c r="I68" s="68">
        <f t="shared" si="15"/>
        <v>7404437.7805170491</v>
      </c>
      <c r="J68" s="68">
        <f t="shared" si="1"/>
        <v>47119.14951238122</v>
      </c>
      <c r="K68" s="73">
        <f t="shared" si="2"/>
        <v>-1272217.0368342912</v>
      </c>
      <c r="L68" s="68">
        <f t="shared" si="16"/>
        <v>-1554931.9339085789</v>
      </c>
      <c r="M68" s="74">
        <f t="shared" si="11"/>
        <v>5849505.8466084702</v>
      </c>
      <c r="N68" s="69">
        <f t="shared" si="12"/>
        <v>4785959.3290432952</v>
      </c>
    </row>
    <row r="69" spans="1:14" x14ac:dyDescent="0.2">
      <c r="A69" s="66">
        <v>45900</v>
      </c>
      <c r="B69" s="35" t="s">
        <v>190</v>
      </c>
      <c r="C69" s="68"/>
      <c r="D69" s="68">
        <f t="shared" si="3"/>
        <v>10770091.317115707</v>
      </c>
      <c r="E69" s="68">
        <f t="shared" si="17"/>
        <v>10770091.317115707</v>
      </c>
      <c r="F69" s="145">
        <f t="shared" si="18"/>
        <v>224376.90243991057</v>
      </c>
      <c r="G69" s="68">
        <f t="shared" si="13"/>
        <v>-4936291.8536780318</v>
      </c>
      <c r="H69" s="68">
        <f t="shared" si="14"/>
        <v>-3590030.4390385677</v>
      </c>
      <c r="I69" s="68">
        <f t="shared" si="15"/>
        <v>7180060.8780771401</v>
      </c>
      <c r="J69" s="68">
        <f t="shared" si="1"/>
        <v>47119.14951238122</v>
      </c>
      <c r="K69" s="73">
        <f t="shared" si="2"/>
        <v>-1225097.8873219099</v>
      </c>
      <c r="L69" s="68">
        <f t="shared" si="16"/>
        <v>-1507812.7843961979</v>
      </c>
      <c r="M69" s="74">
        <f t="shared" si="11"/>
        <v>5672248.0936809424</v>
      </c>
      <c r="N69" s="69">
        <f t="shared" si="12"/>
        <v>4608701.5761157656</v>
      </c>
    </row>
    <row r="70" spans="1:14" x14ac:dyDescent="0.2">
      <c r="A70" s="66">
        <v>45930</v>
      </c>
      <c r="B70" s="35" t="s">
        <v>190</v>
      </c>
      <c r="C70" s="68"/>
      <c r="D70" s="68">
        <f t="shared" si="3"/>
        <v>10770091.317115707</v>
      </c>
      <c r="E70" s="68">
        <f t="shared" si="17"/>
        <v>10770091.317115707</v>
      </c>
      <c r="F70" s="145">
        <f t="shared" si="18"/>
        <v>224376.90243991057</v>
      </c>
      <c r="G70" s="68">
        <f t="shared" si="13"/>
        <v>-5160668.7561179427</v>
      </c>
      <c r="H70" s="68">
        <f t="shared" si="14"/>
        <v>-3814407.3414784786</v>
      </c>
      <c r="I70" s="68">
        <f t="shared" si="15"/>
        <v>6955683.9756372292</v>
      </c>
      <c r="J70" s="68">
        <f t="shared" si="1"/>
        <v>47119.14951238122</v>
      </c>
      <c r="K70" s="73">
        <f t="shared" si="2"/>
        <v>-1177978.7378095286</v>
      </c>
      <c r="L70" s="68">
        <f t="shared" si="16"/>
        <v>-1460693.6348838164</v>
      </c>
      <c r="M70" s="74">
        <f t="shared" si="11"/>
        <v>5494990.3407534128</v>
      </c>
      <c r="N70" s="69">
        <f t="shared" si="12"/>
        <v>4431443.823188236</v>
      </c>
    </row>
    <row r="71" spans="1:14" ht="13.5" thickBot="1" x14ac:dyDescent="0.25">
      <c r="A71" s="66">
        <v>45961</v>
      </c>
      <c r="B71" s="35" t="s">
        <v>190</v>
      </c>
      <c r="C71" s="68"/>
      <c r="D71" s="68">
        <f t="shared" si="3"/>
        <v>10770091.317115707</v>
      </c>
      <c r="E71" s="68">
        <f t="shared" si="17"/>
        <v>10770091.317115707</v>
      </c>
      <c r="F71" s="145">
        <f t="shared" si="18"/>
        <v>224376.90243991057</v>
      </c>
      <c r="G71" s="68">
        <f t="shared" si="13"/>
        <v>-5385045.6585578537</v>
      </c>
      <c r="H71" s="68">
        <f t="shared" si="14"/>
        <v>-4038784.2439183891</v>
      </c>
      <c r="I71" s="68">
        <f t="shared" si="15"/>
        <v>6731307.0731973182</v>
      </c>
      <c r="J71" s="68">
        <f t="shared" si="1"/>
        <v>47119.14951238122</v>
      </c>
      <c r="K71" s="73">
        <f t="shared" si="2"/>
        <v>-1130859.5882971473</v>
      </c>
      <c r="L71" s="68">
        <f t="shared" si="16"/>
        <v>-1413574.4853714351</v>
      </c>
      <c r="M71" s="74">
        <f t="shared" si="11"/>
        <v>5317732.5878258832</v>
      </c>
      <c r="N71" s="69">
        <f t="shared" si="12"/>
        <v>4254186.0702607064</v>
      </c>
    </row>
    <row r="72" spans="1:14" x14ac:dyDescent="0.2">
      <c r="A72" s="158">
        <v>45991</v>
      </c>
      <c r="B72" s="165" t="s">
        <v>191</v>
      </c>
      <c r="C72" s="160"/>
      <c r="D72" s="160">
        <f t="shared" si="3"/>
        <v>10770091.317115707</v>
      </c>
      <c r="E72" s="160">
        <f t="shared" si="17"/>
        <v>10770091.317115707</v>
      </c>
      <c r="F72" s="172">
        <f t="shared" si="18"/>
        <v>224376.90243991057</v>
      </c>
      <c r="G72" s="160">
        <f t="shared" si="13"/>
        <v>-5609422.5609977646</v>
      </c>
      <c r="H72" s="160">
        <f t="shared" si="14"/>
        <v>-4263161.1463583</v>
      </c>
      <c r="I72" s="160">
        <f t="shared" si="15"/>
        <v>6506930.1707574073</v>
      </c>
      <c r="J72" s="160">
        <f t="shared" si="1"/>
        <v>47119.14951238122</v>
      </c>
      <c r="K72" s="162">
        <f t="shared" si="2"/>
        <v>-1083740.438784766</v>
      </c>
      <c r="L72" s="160">
        <f t="shared" si="16"/>
        <v>-1366455.3358590538</v>
      </c>
      <c r="M72" s="163">
        <f t="shared" si="11"/>
        <v>5140474.8348983536</v>
      </c>
      <c r="N72" s="164">
        <f t="shared" si="12"/>
        <v>4076928.3173331767</v>
      </c>
    </row>
    <row r="73" spans="1:14" x14ac:dyDescent="0.2">
      <c r="A73" s="66">
        <v>46022</v>
      </c>
      <c r="B73" s="35" t="s">
        <v>191</v>
      </c>
      <c r="C73" s="68"/>
      <c r="D73" s="68">
        <f t="shared" si="3"/>
        <v>10770091.317115707</v>
      </c>
      <c r="E73" s="68">
        <f t="shared" si="17"/>
        <v>10770091.317115707</v>
      </c>
      <c r="F73" s="145">
        <f t="shared" si="18"/>
        <v>224376.90243991057</v>
      </c>
      <c r="G73" s="68">
        <f t="shared" si="13"/>
        <v>-5833799.4634376755</v>
      </c>
      <c r="H73" s="68">
        <f t="shared" si="14"/>
        <v>-4487538.04879821</v>
      </c>
      <c r="I73" s="68">
        <f t="shared" si="15"/>
        <v>6282553.2683174973</v>
      </c>
      <c r="J73" s="68">
        <f t="shared" si="1"/>
        <v>47119.14951238122</v>
      </c>
      <c r="K73" s="73">
        <f t="shared" si="2"/>
        <v>-1036621.2892723848</v>
      </c>
      <c r="L73" s="68">
        <f t="shared" si="16"/>
        <v>-1319336.1863466727</v>
      </c>
      <c r="M73" s="74">
        <f t="shared" si="11"/>
        <v>4963217.0819708249</v>
      </c>
      <c r="N73" s="69">
        <f t="shared" si="12"/>
        <v>3899670.5644056471</v>
      </c>
    </row>
    <row r="74" spans="1:14" x14ac:dyDescent="0.2">
      <c r="A74" s="66">
        <v>46053</v>
      </c>
      <c r="B74" s="35" t="s">
        <v>191</v>
      </c>
      <c r="C74" s="35"/>
      <c r="D74" s="68">
        <f t="shared" si="3"/>
        <v>10770091.317115707</v>
      </c>
      <c r="E74" s="68">
        <f t="shared" si="17"/>
        <v>10770091.317115707</v>
      </c>
      <c r="F74" s="145">
        <f t="shared" si="18"/>
        <v>224376.90243991057</v>
      </c>
      <c r="G74" s="68">
        <f t="shared" si="13"/>
        <v>-6058176.3658775864</v>
      </c>
      <c r="H74" s="68">
        <f t="shared" si="14"/>
        <v>-4711914.9512381218</v>
      </c>
      <c r="I74" s="68">
        <f t="shared" si="15"/>
        <v>6058176.3658775855</v>
      </c>
      <c r="J74" s="68">
        <f t="shared" si="1"/>
        <v>47119.14951238122</v>
      </c>
      <c r="K74" s="73">
        <f t="shared" si="2"/>
        <v>-989502.13976000366</v>
      </c>
      <c r="L74" s="68">
        <f t="shared" si="16"/>
        <v>-1272217.0368342912</v>
      </c>
      <c r="M74" s="74">
        <f t="shared" si="11"/>
        <v>4785959.3290432943</v>
      </c>
      <c r="N74" s="69">
        <f t="shared" si="12"/>
        <v>3722412.8114781175</v>
      </c>
    </row>
    <row r="75" spans="1:14" x14ac:dyDescent="0.2">
      <c r="A75" s="66">
        <v>46081</v>
      </c>
      <c r="B75" s="35" t="s">
        <v>191</v>
      </c>
      <c r="C75" s="35"/>
      <c r="D75" s="68">
        <f t="shared" si="3"/>
        <v>10770091.317115707</v>
      </c>
      <c r="E75" s="68">
        <f t="shared" si="17"/>
        <v>10770091.317115707</v>
      </c>
      <c r="F75" s="145">
        <f t="shared" si="18"/>
        <v>224376.90243991057</v>
      </c>
      <c r="G75" s="68">
        <f t="shared" si="13"/>
        <v>-6282553.2683174973</v>
      </c>
      <c r="H75" s="68">
        <f t="shared" si="14"/>
        <v>-4936291.8536780318</v>
      </c>
      <c r="I75" s="68">
        <f t="shared" si="15"/>
        <v>5833799.4634376755</v>
      </c>
      <c r="J75" s="68">
        <f t="shared" si="1"/>
        <v>47119.14951238122</v>
      </c>
      <c r="K75" s="73">
        <f t="shared" si="2"/>
        <v>-942382.99024762248</v>
      </c>
      <c r="L75" s="68">
        <f t="shared" si="16"/>
        <v>-1225097.8873219101</v>
      </c>
      <c r="M75" s="74">
        <f t="shared" si="11"/>
        <v>4608701.5761157656</v>
      </c>
      <c r="N75" s="69">
        <f t="shared" si="12"/>
        <v>3545155.0585505874</v>
      </c>
    </row>
    <row r="76" spans="1:14" x14ac:dyDescent="0.2">
      <c r="A76" s="66">
        <v>46112</v>
      </c>
      <c r="B76" s="35" t="s">
        <v>191</v>
      </c>
      <c r="C76" s="35"/>
      <c r="D76" s="68">
        <f t="shared" si="3"/>
        <v>10770091.317115707</v>
      </c>
      <c r="E76" s="68">
        <f t="shared" si="17"/>
        <v>10770091.317115707</v>
      </c>
      <c r="F76" s="145">
        <f t="shared" si="18"/>
        <v>224376.90243991057</v>
      </c>
      <c r="G76" s="68">
        <f t="shared" si="13"/>
        <v>-6506930.1707574083</v>
      </c>
      <c r="H76" s="68">
        <f t="shared" si="14"/>
        <v>-5160668.7561179427</v>
      </c>
      <c r="I76" s="68">
        <f t="shared" si="15"/>
        <v>5609422.5609977646</v>
      </c>
      <c r="J76" s="68">
        <f t="shared" si="1"/>
        <v>47119.14951238122</v>
      </c>
      <c r="K76" s="73">
        <f t="shared" si="2"/>
        <v>-895263.84073524131</v>
      </c>
      <c r="L76" s="68">
        <f t="shared" si="16"/>
        <v>-1177978.7378095288</v>
      </c>
      <c r="M76" s="74">
        <f t="shared" si="11"/>
        <v>4431443.823188236</v>
      </c>
      <c r="N76" s="69">
        <f t="shared" si="12"/>
        <v>3367897.3056230578</v>
      </c>
    </row>
    <row r="77" spans="1:14" x14ac:dyDescent="0.2">
      <c r="A77" s="66">
        <v>46142</v>
      </c>
      <c r="B77" s="35" t="s">
        <v>191</v>
      </c>
      <c r="C77" s="35"/>
      <c r="D77" s="68">
        <f t="shared" si="3"/>
        <v>10770091.317115707</v>
      </c>
      <c r="E77" s="68">
        <f t="shared" si="17"/>
        <v>10770091.317115707</v>
      </c>
      <c r="F77" s="145">
        <f t="shared" si="18"/>
        <v>224376.90243991057</v>
      </c>
      <c r="G77" s="68">
        <f t="shared" si="13"/>
        <v>-6731307.0731973192</v>
      </c>
      <c r="H77" s="68">
        <f t="shared" si="14"/>
        <v>-5385045.6585578537</v>
      </c>
      <c r="I77" s="68">
        <f t="shared" si="15"/>
        <v>5385045.6585578537</v>
      </c>
      <c r="J77" s="68">
        <f t="shared" si="1"/>
        <v>47119.14951238122</v>
      </c>
      <c r="K77" s="73">
        <f t="shared" si="2"/>
        <v>-848144.69122286013</v>
      </c>
      <c r="L77" s="68">
        <f t="shared" si="16"/>
        <v>-1130859.5882971475</v>
      </c>
      <c r="M77" s="74">
        <f t="shared" si="11"/>
        <v>4254186.0702607064</v>
      </c>
      <c r="N77" s="69">
        <f t="shared" si="12"/>
        <v>3190639.5526955281</v>
      </c>
    </row>
    <row r="78" spans="1:14" x14ac:dyDescent="0.2">
      <c r="A78" s="66">
        <v>46173</v>
      </c>
      <c r="B78" s="35" t="s">
        <v>191</v>
      </c>
      <c r="C78" s="35"/>
      <c r="D78" s="68">
        <f t="shared" si="3"/>
        <v>10770091.317115707</v>
      </c>
      <c r="E78" s="68">
        <f t="shared" si="17"/>
        <v>10770091.317115707</v>
      </c>
      <c r="F78" s="145">
        <f t="shared" si="18"/>
        <v>224376.90243991057</v>
      </c>
      <c r="G78" s="68">
        <f t="shared" si="13"/>
        <v>-6955683.9756372301</v>
      </c>
      <c r="H78" s="68">
        <f t="shared" si="14"/>
        <v>-5609422.5609977646</v>
      </c>
      <c r="I78" s="68">
        <f t="shared" si="15"/>
        <v>5160668.7561179427</v>
      </c>
      <c r="J78" s="68">
        <f t="shared" si="1"/>
        <v>47119.14951238122</v>
      </c>
      <c r="K78" s="73">
        <f t="shared" si="2"/>
        <v>-801025.54171047895</v>
      </c>
      <c r="L78" s="68">
        <f t="shared" si="16"/>
        <v>-1083740.4387847662</v>
      </c>
      <c r="M78" s="74">
        <f t="shared" si="11"/>
        <v>4076928.3173331767</v>
      </c>
      <c r="N78" s="69">
        <f t="shared" si="12"/>
        <v>3013381.799767998</v>
      </c>
    </row>
    <row r="79" spans="1:14" x14ac:dyDescent="0.2">
      <c r="A79" s="66">
        <v>46203</v>
      </c>
      <c r="B79" s="35" t="s">
        <v>191</v>
      </c>
      <c r="D79" s="68">
        <f t="shared" si="3"/>
        <v>10770091.317115707</v>
      </c>
      <c r="E79" s="68">
        <f t="shared" si="17"/>
        <v>10770091.317115707</v>
      </c>
      <c r="F79" s="145">
        <f t="shared" si="18"/>
        <v>224376.90243991057</v>
      </c>
      <c r="G79" s="68">
        <f t="shared" si="13"/>
        <v>-7180060.878077141</v>
      </c>
      <c r="H79" s="68">
        <f t="shared" si="14"/>
        <v>-5833799.4634376755</v>
      </c>
      <c r="I79" s="68">
        <f t="shared" si="15"/>
        <v>4936291.8536780318</v>
      </c>
      <c r="J79" s="68">
        <f t="shared" si="1"/>
        <v>47119.14951238122</v>
      </c>
      <c r="K79" s="73">
        <f t="shared" si="2"/>
        <v>-753906.39219809778</v>
      </c>
      <c r="L79" s="68">
        <f t="shared" si="16"/>
        <v>-1036621.2892723848</v>
      </c>
      <c r="M79" s="68">
        <f t="shared" si="11"/>
        <v>3899670.5644056471</v>
      </c>
      <c r="N79" s="69">
        <f t="shared" si="12"/>
        <v>2836124.0468404684</v>
      </c>
    </row>
    <row r="80" spans="1:14" x14ac:dyDescent="0.2">
      <c r="A80" s="66">
        <v>46234</v>
      </c>
      <c r="B80" s="35" t="s">
        <v>191</v>
      </c>
      <c r="D80" s="68">
        <f t="shared" si="3"/>
        <v>10770091.317115707</v>
      </c>
      <c r="E80" s="68">
        <f t="shared" si="17"/>
        <v>10770091.317115707</v>
      </c>
      <c r="F80" s="145">
        <f t="shared" si="18"/>
        <v>224376.90243991057</v>
      </c>
      <c r="G80" s="68">
        <f t="shared" si="13"/>
        <v>-7404437.7805170519</v>
      </c>
      <c r="H80" s="68">
        <f t="shared" si="14"/>
        <v>-6058176.3658775864</v>
      </c>
      <c r="I80" s="68">
        <f t="shared" si="15"/>
        <v>4711914.9512381209</v>
      </c>
      <c r="J80" s="68">
        <f t="shared" si="1"/>
        <v>47119.14951238122</v>
      </c>
      <c r="K80" s="73">
        <f t="shared" si="2"/>
        <v>-706787.2426857166</v>
      </c>
      <c r="L80" s="68">
        <f t="shared" si="16"/>
        <v>-989502.13976000354</v>
      </c>
      <c r="M80" s="68">
        <f t="shared" si="11"/>
        <v>3722412.8114781175</v>
      </c>
      <c r="N80" s="69">
        <f t="shared" si="12"/>
        <v>2658866.2939129388</v>
      </c>
    </row>
    <row r="81" spans="1:14" x14ac:dyDescent="0.2">
      <c r="A81" s="66">
        <v>46265</v>
      </c>
      <c r="B81" s="35" t="s">
        <v>191</v>
      </c>
      <c r="D81" s="68">
        <f t="shared" si="3"/>
        <v>10770091.317115707</v>
      </c>
      <c r="E81" s="68">
        <f t="shared" si="17"/>
        <v>10770091.317115707</v>
      </c>
      <c r="F81" s="145">
        <f t="shared" si="18"/>
        <v>224376.90243991057</v>
      </c>
      <c r="G81" s="68">
        <f t="shared" si="13"/>
        <v>-7628814.6829569628</v>
      </c>
      <c r="H81" s="68">
        <f t="shared" si="14"/>
        <v>-6282553.2683174973</v>
      </c>
      <c r="I81" s="68">
        <f t="shared" si="15"/>
        <v>4487538.04879821</v>
      </c>
      <c r="J81" s="68">
        <f t="shared" si="1"/>
        <v>47119.14951238122</v>
      </c>
      <c r="K81" s="73">
        <f t="shared" si="2"/>
        <v>-659668.09317333542</v>
      </c>
      <c r="L81" s="68">
        <f t="shared" si="16"/>
        <v>-942382.99024762225</v>
      </c>
      <c r="M81" s="68">
        <f t="shared" si="11"/>
        <v>3545155.0585505879</v>
      </c>
      <c r="N81" s="69">
        <f t="shared" si="12"/>
        <v>2481608.5409854092</v>
      </c>
    </row>
    <row r="82" spans="1:14" x14ac:dyDescent="0.2">
      <c r="A82" s="66">
        <v>46295</v>
      </c>
      <c r="B82" s="35" t="s">
        <v>191</v>
      </c>
      <c r="D82" s="68">
        <f t="shared" si="3"/>
        <v>10770091.317115707</v>
      </c>
      <c r="E82" s="68">
        <f t="shared" si="17"/>
        <v>10770091.317115707</v>
      </c>
      <c r="F82" s="145">
        <f t="shared" si="18"/>
        <v>224376.90243991057</v>
      </c>
      <c r="G82" s="68">
        <f t="shared" si="13"/>
        <v>-7853191.5853968738</v>
      </c>
      <c r="H82" s="68">
        <f t="shared" si="14"/>
        <v>-6506930.1707574083</v>
      </c>
      <c r="I82" s="68">
        <f t="shared" si="15"/>
        <v>4263161.1463582991</v>
      </c>
      <c r="J82" s="68">
        <f t="shared" si="1"/>
        <v>47119.14951238122</v>
      </c>
      <c r="K82" s="73">
        <f t="shared" si="2"/>
        <v>-612548.94366095425</v>
      </c>
      <c r="L82" s="68">
        <f t="shared" si="16"/>
        <v>-895263.84073524142</v>
      </c>
      <c r="M82" s="68">
        <f t="shared" si="11"/>
        <v>3367897.3056230578</v>
      </c>
      <c r="N82" s="69">
        <f t="shared" si="12"/>
        <v>2304350.7880578795</v>
      </c>
    </row>
    <row r="83" spans="1:14" ht="13.5" thickBot="1" x14ac:dyDescent="0.25">
      <c r="A83" s="66">
        <v>46326</v>
      </c>
      <c r="B83" s="35" t="s">
        <v>191</v>
      </c>
      <c r="D83" s="68">
        <f t="shared" si="3"/>
        <v>10770091.317115707</v>
      </c>
      <c r="E83" s="68">
        <f t="shared" si="17"/>
        <v>10770091.317115707</v>
      </c>
      <c r="F83" s="145">
        <f t="shared" si="18"/>
        <v>224376.90243991057</v>
      </c>
      <c r="G83" s="68">
        <f t="shared" si="13"/>
        <v>-8077568.4878367847</v>
      </c>
      <c r="H83" s="68">
        <f t="shared" si="14"/>
        <v>-6731307.0731973192</v>
      </c>
      <c r="I83" s="68">
        <f t="shared" si="15"/>
        <v>4038784.2439183882</v>
      </c>
      <c r="J83" s="68">
        <f t="shared" si="1"/>
        <v>47119.14951238122</v>
      </c>
      <c r="K83" s="73">
        <f t="shared" si="2"/>
        <v>-565429.79414857307</v>
      </c>
      <c r="L83" s="68">
        <f t="shared" si="16"/>
        <v>-848144.69122286013</v>
      </c>
      <c r="M83" s="68">
        <f t="shared" si="11"/>
        <v>3190639.5526955281</v>
      </c>
      <c r="N83" s="69">
        <f t="shared" si="12"/>
        <v>2127093.0351303495</v>
      </c>
    </row>
    <row r="84" spans="1:14" x14ac:dyDescent="0.2">
      <c r="A84" s="158">
        <v>46356</v>
      </c>
      <c r="B84" s="165" t="s">
        <v>192</v>
      </c>
      <c r="C84" s="165"/>
      <c r="D84" s="160">
        <f t="shared" si="3"/>
        <v>10770091.317115707</v>
      </c>
      <c r="E84" s="160">
        <f t="shared" si="17"/>
        <v>10770091.317115707</v>
      </c>
      <c r="F84" s="172">
        <f t="shared" si="18"/>
        <v>224376.90243991057</v>
      </c>
      <c r="G84" s="160">
        <f t="shared" si="13"/>
        <v>-8301945.3902766956</v>
      </c>
      <c r="H84" s="160">
        <f t="shared" si="14"/>
        <v>-6955683.9756372301</v>
      </c>
      <c r="I84" s="160">
        <f t="shared" si="15"/>
        <v>3814407.3414784772</v>
      </c>
      <c r="J84" s="160">
        <f t="shared" si="1"/>
        <v>47119.14951238122</v>
      </c>
      <c r="K84" s="162">
        <f t="shared" si="2"/>
        <v>-518310.64463619184</v>
      </c>
      <c r="L84" s="160">
        <f t="shared" si="16"/>
        <v>-801025.54171047907</v>
      </c>
      <c r="M84" s="160">
        <f t="shared" si="11"/>
        <v>3013381.799767998</v>
      </c>
      <c r="N84" s="164">
        <f t="shared" si="12"/>
        <v>1949835.2822028198</v>
      </c>
    </row>
    <row r="85" spans="1:14" x14ac:dyDescent="0.2">
      <c r="A85" s="66">
        <v>46387</v>
      </c>
      <c r="B85" s="71" t="s">
        <v>192</v>
      </c>
      <c r="D85" s="68">
        <f t="shared" si="3"/>
        <v>10770091.317115707</v>
      </c>
      <c r="E85" s="68">
        <f t="shared" si="17"/>
        <v>10770091.317115707</v>
      </c>
      <c r="F85" s="145">
        <f t="shared" si="18"/>
        <v>224376.90243991057</v>
      </c>
      <c r="G85" s="68">
        <f t="shared" si="13"/>
        <v>-8526322.2927166056</v>
      </c>
      <c r="H85" s="68">
        <f t="shared" si="14"/>
        <v>-7180060.878077141</v>
      </c>
      <c r="I85" s="68">
        <f t="shared" si="15"/>
        <v>3590030.4390385663</v>
      </c>
      <c r="J85" s="68">
        <f t="shared" si="1"/>
        <v>47119.14951238122</v>
      </c>
      <c r="K85" s="73">
        <f t="shared" si="2"/>
        <v>-471191.4951238106</v>
      </c>
      <c r="L85" s="68">
        <f t="shared" si="16"/>
        <v>-753906.39219809754</v>
      </c>
      <c r="M85" s="68">
        <f t="shared" si="11"/>
        <v>2836124.0468404689</v>
      </c>
      <c r="N85" s="69">
        <f t="shared" si="12"/>
        <v>1772577.5292752911</v>
      </c>
    </row>
    <row r="86" spans="1:14" x14ac:dyDescent="0.2">
      <c r="A86" s="66">
        <v>46418</v>
      </c>
      <c r="B86" s="71" t="s">
        <v>192</v>
      </c>
      <c r="D86" s="68">
        <f t="shared" si="3"/>
        <v>10770091.317115707</v>
      </c>
      <c r="E86" s="68">
        <f t="shared" si="17"/>
        <v>10770091.317115707</v>
      </c>
      <c r="F86" s="145">
        <f t="shared" si="18"/>
        <v>224376.90243991057</v>
      </c>
      <c r="G86" s="68">
        <f t="shared" si="13"/>
        <v>-8750699.1951565165</v>
      </c>
      <c r="H86" s="68">
        <f t="shared" si="14"/>
        <v>-7404437.7805170519</v>
      </c>
      <c r="I86" s="68">
        <f t="shared" si="15"/>
        <v>3365653.5365986554</v>
      </c>
      <c r="J86" s="68">
        <f t="shared" si="1"/>
        <v>47119.14951238122</v>
      </c>
      <c r="K86" s="73">
        <f t="shared" si="2"/>
        <v>-424072.34561142937</v>
      </c>
      <c r="L86" s="68">
        <f t="shared" si="16"/>
        <v>-706787.24268571648</v>
      </c>
      <c r="M86" s="68">
        <f t="shared" si="11"/>
        <v>2658866.2939129388</v>
      </c>
      <c r="N86" s="69">
        <f t="shared" si="12"/>
        <v>1595319.7763477615</v>
      </c>
    </row>
    <row r="87" spans="1:14" x14ac:dyDescent="0.2">
      <c r="A87" s="66">
        <v>46446</v>
      </c>
      <c r="B87" s="71" t="s">
        <v>192</v>
      </c>
      <c r="D87" s="68">
        <f t="shared" si="3"/>
        <v>10770091.317115707</v>
      </c>
      <c r="E87" s="68">
        <f t="shared" si="17"/>
        <v>10770091.317115707</v>
      </c>
      <c r="F87" s="145">
        <f t="shared" si="18"/>
        <v>224376.90243991057</v>
      </c>
      <c r="G87" s="68">
        <f t="shared" si="13"/>
        <v>-8975076.0975964274</v>
      </c>
      <c r="H87" s="68">
        <f t="shared" si="14"/>
        <v>-7628814.6829569628</v>
      </c>
      <c r="I87" s="68">
        <f t="shared" si="15"/>
        <v>3141276.6341587445</v>
      </c>
      <c r="J87" s="68">
        <f t="shared" si="1"/>
        <v>47119.14951238122</v>
      </c>
      <c r="K87" s="73">
        <f t="shared" si="2"/>
        <v>-376953.19609904813</v>
      </c>
      <c r="L87" s="68">
        <f t="shared" si="16"/>
        <v>-659668.09317333531</v>
      </c>
      <c r="M87" s="68">
        <f t="shared" si="11"/>
        <v>2481608.5409854092</v>
      </c>
      <c r="N87" s="69">
        <f t="shared" si="12"/>
        <v>1418062.0234202319</v>
      </c>
    </row>
    <row r="88" spans="1:14" x14ac:dyDescent="0.2">
      <c r="A88" s="66">
        <v>46477</v>
      </c>
      <c r="B88" s="71" t="s">
        <v>192</v>
      </c>
      <c r="D88" s="68">
        <f t="shared" si="3"/>
        <v>10770091.317115707</v>
      </c>
      <c r="E88" s="68">
        <f t="shared" si="17"/>
        <v>10770091.317115707</v>
      </c>
      <c r="F88" s="145">
        <f t="shared" si="18"/>
        <v>224376.90243991057</v>
      </c>
      <c r="G88" s="68">
        <f t="shared" si="13"/>
        <v>-9199453.0000363383</v>
      </c>
      <c r="H88" s="68">
        <f t="shared" si="14"/>
        <v>-7853191.5853968719</v>
      </c>
      <c r="I88" s="68">
        <f t="shared" si="15"/>
        <v>2916899.7317188354</v>
      </c>
      <c r="J88" s="68">
        <f t="shared" ref="J88:J97" si="19">(-C88*0.21)+(F88*0.21)</f>
        <v>47119.14951238122</v>
      </c>
      <c r="K88" s="73">
        <f t="shared" ref="K88:K97" si="20">K87+J88</f>
        <v>-329834.0465866669</v>
      </c>
      <c r="L88" s="68">
        <f t="shared" si="16"/>
        <v>-612548.94366095425</v>
      </c>
      <c r="M88" s="68">
        <f t="shared" si="11"/>
        <v>2304350.7880578814</v>
      </c>
      <c r="N88" s="69">
        <f t="shared" si="12"/>
        <v>1240804.270492702</v>
      </c>
    </row>
    <row r="89" spans="1:14" x14ac:dyDescent="0.2">
      <c r="A89" s="66">
        <v>46507</v>
      </c>
      <c r="B89" s="71" t="s">
        <v>192</v>
      </c>
      <c r="D89" s="68">
        <f t="shared" ref="D89:D97" si="21">D88+C89</f>
        <v>10770091.317115707</v>
      </c>
      <c r="E89" s="68">
        <f t="shared" si="17"/>
        <v>10770091.317115707</v>
      </c>
      <c r="F89" s="145">
        <f t="shared" si="18"/>
        <v>224376.90243991057</v>
      </c>
      <c r="G89" s="68">
        <f t="shared" si="13"/>
        <v>-9423829.9024762493</v>
      </c>
      <c r="H89" s="68">
        <f t="shared" si="14"/>
        <v>-8077568.4878367847</v>
      </c>
      <c r="I89" s="68">
        <f t="shared" si="15"/>
        <v>2692522.8292789226</v>
      </c>
      <c r="J89" s="68">
        <f t="shared" si="19"/>
        <v>47119.14951238122</v>
      </c>
      <c r="K89" s="73">
        <f t="shared" si="20"/>
        <v>-282714.89707428566</v>
      </c>
      <c r="L89" s="68">
        <f t="shared" si="16"/>
        <v>-565429.79414857307</v>
      </c>
      <c r="M89" s="68">
        <f t="shared" si="11"/>
        <v>2127093.0351303495</v>
      </c>
      <c r="N89" s="69">
        <f t="shared" si="12"/>
        <v>1063546.5175651724</v>
      </c>
    </row>
    <row r="90" spans="1:14" x14ac:dyDescent="0.2">
      <c r="A90" s="66">
        <v>46538</v>
      </c>
      <c r="B90" s="71" t="s">
        <v>192</v>
      </c>
      <c r="D90" s="68">
        <f t="shared" si="21"/>
        <v>10770091.317115707</v>
      </c>
      <c r="E90" s="68">
        <f t="shared" si="17"/>
        <v>10770091.317115707</v>
      </c>
      <c r="F90" s="145">
        <f t="shared" si="18"/>
        <v>224376.90243991057</v>
      </c>
      <c r="G90" s="68">
        <f t="shared" si="13"/>
        <v>-9648206.8049161602</v>
      </c>
      <c r="H90" s="68">
        <f t="shared" si="14"/>
        <v>-8301945.3902766956</v>
      </c>
      <c r="I90" s="68">
        <f t="shared" si="15"/>
        <v>2468145.9268390117</v>
      </c>
      <c r="J90" s="68">
        <f t="shared" si="19"/>
        <v>47119.14951238122</v>
      </c>
      <c r="K90" s="73">
        <f t="shared" si="20"/>
        <v>-235595.74756190443</v>
      </c>
      <c r="L90" s="68">
        <f t="shared" si="16"/>
        <v>-518310.64463619189</v>
      </c>
      <c r="M90" s="68">
        <f t="shared" si="11"/>
        <v>1949835.2822028198</v>
      </c>
      <c r="N90" s="69">
        <f t="shared" si="12"/>
        <v>886288.76463764277</v>
      </c>
    </row>
    <row r="91" spans="1:14" x14ac:dyDescent="0.2">
      <c r="A91" s="66">
        <v>46568</v>
      </c>
      <c r="B91" s="71" t="s">
        <v>192</v>
      </c>
      <c r="D91" s="68">
        <f t="shared" si="21"/>
        <v>10770091.317115707</v>
      </c>
      <c r="E91" s="68">
        <f t="shared" si="17"/>
        <v>10770091.317115707</v>
      </c>
      <c r="F91" s="145">
        <f t="shared" si="18"/>
        <v>224376.90243991057</v>
      </c>
      <c r="G91" s="68">
        <f t="shared" si="13"/>
        <v>-9872583.7073560711</v>
      </c>
      <c r="H91" s="68">
        <f t="shared" si="14"/>
        <v>-8526322.2927166056</v>
      </c>
      <c r="I91" s="68">
        <f t="shared" si="15"/>
        <v>2243769.0243991017</v>
      </c>
      <c r="J91" s="68">
        <f t="shared" si="19"/>
        <v>47119.14951238122</v>
      </c>
      <c r="K91" s="73">
        <f t="shared" si="20"/>
        <v>-188476.59804952319</v>
      </c>
      <c r="L91" s="68">
        <f t="shared" si="16"/>
        <v>-471191.4951238106</v>
      </c>
      <c r="M91" s="68">
        <f t="shared" si="11"/>
        <v>1772577.5292752911</v>
      </c>
      <c r="N91" s="69">
        <f t="shared" si="12"/>
        <v>709031.01171011303</v>
      </c>
    </row>
    <row r="92" spans="1:14" x14ac:dyDescent="0.2">
      <c r="A92" s="66">
        <v>46599</v>
      </c>
      <c r="B92" s="71" t="s">
        <v>192</v>
      </c>
      <c r="D92" s="68">
        <f t="shared" si="21"/>
        <v>10770091.317115707</v>
      </c>
      <c r="E92" s="68">
        <f t="shared" si="17"/>
        <v>10770091.317115707</v>
      </c>
      <c r="F92" s="145">
        <f t="shared" si="18"/>
        <v>224376.90243991057</v>
      </c>
      <c r="G92" s="68">
        <f t="shared" si="13"/>
        <v>-10096960.609795982</v>
      </c>
      <c r="H92" s="68">
        <f t="shared" si="14"/>
        <v>-8750699.1951565165</v>
      </c>
      <c r="I92" s="68">
        <f t="shared" si="15"/>
        <v>2019392.1219591908</v>
      </c>
      <c r="J92" s="68">
        <f t="shared" si="19"/>
        <v>47119.14951238122</v>
      </c>
      <c r="K92" s="73">
        <f t="shared" si="20"/>
        <v>-141357.44853714196</v>
      </c>
      <c r="L92" s="68">
        <f t="shared" si="16"/>
        <v>-424072.34561142931</v>
      </c>
      <c r="M92" s="68">
        <f t="shared" si="11"/>
        <v>1595319.7763477615</v>
      </c>
      <c r="N92" s="69">
        <f t="shared" si="12"/>
        <v>531773.25878258329</v>
      </c>
    </row>
    <row r="93" spans="1:14" x14ac:dyDescent="0.2">
      <c r="A93" s="66">
        <v>46630</v>
      </c>
      <c r="B93" s="71" t="s">
        <v>192</v>
      </c>
      <c r="D93" s="68">
        <f t="shared" si="21"/>
        <v>10770091.317115707</v>
      </c>
      <c r="E93" s="68">
        <f t="shared" si="17"/>
        <v>10770091.317115707</v>
      </c>
      <c r="F93" s="145">
        <f t="shared" si="18"/>
        <v>224376.90243991057</v>
      </c>
      <c r="G93" s="68">
        <f t="shared" si="13"/>
        <v>-10321337.512235893</v>
      </c>
      <c r="H93" s="68">
        <f t="shared" si="14"/>
        <v>-8975076.0975964274</v>
      </c>
      <c r="I93" s="68">
        <f t="shared" si="15"/>
        <v>1795015.2195192799</v>
      </c>
      <c r="J93" s="68">
        <f t="shared" si="19"/>
        <v>47119.14951238122</v>
      </c>
      <c r="K93" s="73">
        <f t="shared" si="20"/>
        <v>-94238.299024760738</v>
      </c>
      <c r="L93" s="68">
        <f t="shared" si="16"/>
        <v>-376953.19609904819</v>
      </c>
      <c r="M93" s="68">
        <f t="shared" si="11"/>
        <v>1418062.0234202316</v>
      </c>
      <c r="N93" s="69">
        <f t="shared" si="12"/>
        <v>354515.50585505366</v>
      </c>
    </row>
    <row r="94" spans="1:14" x14ac:dyDescent="0.2">
      <c r="A94" s="66">
        <v>46660</v>
      </c>
      <c r="B94" s="71" t="s">
        <v>192</v>
      </c>
      <c r="D94" s="68">
        <f t="shared" si="21"/>
        <v>10770091.317115707</v>
      </c>
      <c r="E94" s="68">
        <f t="shared" si="17"/>
        <v>10770091.317115707</v>
      </c>
      <c r="F94" s="145">
        <f t="shared" si="18"/>
        <v>224376.90243991057</v>
      </c>
      <c r="G94" s="68">
        <f t="shared" si="13"/>
        <v>-10545714.414675804</v>
      </c>
      <c r="H94" s="68">
        <f t="shared" si="14"/>
        <v>-9199453.0000363383</v>
      </c>
      <c r="I94" s="68">
        <f t="shared" si="15"/>
        <v>1570638.317079369</v>
      </c>
      <c r="J94" s="68">
        <f t="shared" si="19"/>
        <v>47119.14951238122</v>
      </c>
      <c r="K94" s="73">
        <f t="shared" si="20"/>
        <v>-47119.149512379518</v>
      </c>
      <c r="L94" s="68">
        <f t="shared" si="16"/>
        <v>-329834.0465866669</v>
      </c>
      <c r="M94" s="68">
        <f t="shared" si="11"/>
        <v>1240804.270492702</v>
      </c>
      <c r="N94" s="69">
        <f t="shared" si="12"/>
        <v>177257.75292752395</v>
      </c>
    </row>
    <row r="95" spans="1:14" ht="13.5" thickBot="1" x14ac:dyDescent="0.25">
      <c r="A95" s="66">
        <v>46691</v>
      </c>
      <c r="B95" s="35" t="s">
        <v>192</v>
      </c>
      <c r="D95" s="68">
        <f t="shared" si="21"/>
        <v>10770091.317115707</v>
      </c>
      <c r="E95" s="68">
        <f t="shared" si="17"/>
        <v>10770091.317115707</v>
      </c>
      <c r="F95" s="145">
        <f t="shared" si="18"/>
        <v>224376.90243991057</v>
      </c>
      <c r="G95" s="68">
        <f t="shared" si="13"/>
        <v>-10770091.317115715</v>
      </c>
      <c r="H95" s="68">
        <f t="shared" si="14"/>
        <v>-9423829.9024762493</v>
      </c>
      <c r="I95" s="68">
        <f t="shared" si="15"/>
        <v>1346261.4146394581</v>
      </c>
      <c r="J95" s="68">
        <f t="shared" si="19"/>
        <v>47119.14951238122</v>
      </c>
      <c r="K95" s="73">
        <f t="shared" si="20"/>
        <v>1.7025740817189217E-9</v>
      </c>
      <c r="L95" s="68">
        <f t="shared" si="16"/>
        <v>-282714.89707428566</v>
      </c>
      <c r="M95" s="68">
        <f t="shared" si="11"/>
        <v>1063546.5175651724</v>
      </c>
      <c r="N95" s="69">
        <f t="shared" si="12"/>
        <v>-5.7480065152049065E-9</v>
      </c>
    </row>
    <row r="96" spans="1:14" x14ac:dyDescent="0.2">
      <c r="A96" s="158">
        <v>46721</v>
      </c>
      <c r="B96" s="165" t="s">
        <v>193</v>
      </c>
      <c r="C96" s="165"/>
      <c r="D96" s="160">
        <f t="shared" si="21"/>
        <v>10770091.317115707</v>
      </c>
      <c r="E96" s="160">
        <f t="shared" si="17"/>
        <v>10770091.317115707</v>
      </c>
      <c r="F96" s="172"/>
      <c r="G96" s="160">
        <f t="shared" si="13"/>
        <v>-10770091.317115715</v>
      </c>
      <c r="H96" s="160">
        <f t="shared" si="14"/>
        <v>-9638857.7673144955</v>
      </c>
      <c r="I96" s="160">
        <f t="shared" si="15"/>
        <v>1131233.5498012118</v>
      </c>
      <c r="J96" s="160">
        <f t="shared" si="19"/>
        <v>0</v>
      </c>
      <c r="K96" s="162">
        <f t="shared" si="20"/>
        <v>1.7025740817189217E-9</v>
      </c>
      <c r="L96" s="160">
        <f t="shared" si="16"/>
        <v>-237559.04545825368</v>
      </c>
      <c r="M96" s="160">
        <f t="shared" si="11"/>
        <v>893674.5043429581</v>
      </c>
      <c r="N96" s="164">
        <f t="shared" si="12"/>
        <v>-5.7480065152049065E-9</v>
      </c>
    </row>
    <row r="97" spans="1:14" x14ac:dyDescent="0.2">
      <c r="A97" s="66">
        <v>46752</v>
      </c>
      <c r="B97" s="71" t="s">
        <v>193</v>
      </c>
      <c r="D97" s="68">
        <f t="shared" si="21"/>
        <v>10770091.317115707</v>
      </c>
      <c r="E97" s="68">
        <f t="shared" si="17"/>
        <v>10770091.317115707</v>
      </c>
      <c r="F97" s="145"/>
      <c r="G97" s="68">
        <f t="shared" si="13"/>
        <v>-10770091.317115715</v>
      </c>
      <c r="H97" s="68">
        <f t="shared" si="14"/>
        <v>-9835187.556949418</v>
      </c>
      <c r="I97" s="68">
        <f t="shared" si="15"/>
        <v>934903.76016628928</v>
      </c>
      <c r="J97" s="68">
        <f t="shared" si="19"/>
        <v>0</v>
      </c>
      <c r="K97" s="73">
        <f t="shared" si="20"/>
        <v>1.7025740817189217E-9</v>
      </c>
      <c r="L97" s="68">
        <f t="shared" si="16"/>
        <v>-196329.78963492007</v>
      </c>
      <c r="M97" s="68">
        <f t="shared" si="11"/>
        <v>738573.97053136921</v>
      </c>
      <c r="N97" s="69">
        <f t="shared" si="12"/>
        <v>-5.7480065152049065E-9</v>
      </c>
    </row>
    <row r="98" spans="1:14" x14ac:dyDescent="0.2">
      <c r="A98" s="66">
        <v>46783</v>
      </c>
      <c r="B98" s="71" t="s">
        <v>193</v>
      </c>
      <c r="D98" s="68">
        <f t="shared" ref="D98:D102" si="22">D97+C98</f>
        <v>10770091.317115707</v>
      </c>
      <c r="E98" s="68">
        <f t="shared" ref="E98:E102" si="23">(D86+D98+SUM(D87:D97)*2)/24</f>
        <v>10770091.317115707</v>
      </c>
      <c r="F98" s="145"/>
      <c r="G98" s="68">
        <f t="shared" ref="G98:G102" si="24">G97-F98</f>
        <v>-10770091.317115715</v>
      </c>
      <c r="H98" s="68">
        <f t="shared" ref="H98:H102" si="25">(G86+G98+SUM(G87:G97)*2)/24</f>
        <v>-10012819.271381015</v>
      </c>
      <c r="I98" s="68">
        <f t="shared" ref="I98:I102" si="26">E98+H98</f>
        <v>757272.04573469236</v>
      </c>
      <c r="J98" s="68">
        <f t="shared" ref="J98:J102" si="27">(-C98*0.21)+(F98*0.21)</f>
        <v>0</v>
      </c>
      <c r="K98" s="73">
        <f t="shared" ref="K98:K102" si="28">K97+J98</f>
        <v>1.7025740817189217E-9</v>
      </c>
      <c r="L98" s="68">
        <f t="shared" ref="L98:L102" si="29">(K86+K98+SUM(K87:K97)*2)/24</f>
        <v>-159027.12960428491</v>
      </c>
      <c r="M98" s="68">
        <f t="shared" ref="M98:M102" si="30">L98+I98</f>
        <v>598244.91613040748</v>
      </c>
      <c r="N98" s="69">
        <f t="shared" ref="N98:N102" si="31">+D98+G98+K98</f>
        <v>-5.7480065152049065E-9</v>
      </c>
    </row>
    <row r="99" spans="1:14" x14ac:dyDescent="0.2">
      <c r="A99" s="66">
        <v>46812</v>
      </c>
      <c r="B99" s="71" t="s">
        <v>193</v>
      </c>
      <c r="D99" s="68">
        <f t="shared" si="22"/>
        <v>10770091.317115707</v>
      </c>
      <c r="E99" s="68">
        <f t="shared" si="23"/>
        <v>10770091.317115707</v>
      </c>
      <c r="F99" s="145"/>
      <c r="G99" s="68">
        <f t="shared" si="24"/>
        <v>-10770091.317115715</v>
      </c>
      <c r="H99" s="68">
        <f t="shared" si="25"/>
        <v>-10171752.910609284</v>
      </c>
      <c r="I99" s="68">
        <f t="shared" si="26"/>
        <v>598338.40650642291</v>
      </c>
      <c r="J99" s="68">
        <f t="shared" si="27"/>
        <v>0</v>
      </c>
      <c r="K99" s="73">
        <f t="shared" si="28"/>
        <v>1.7025740817189217E-9</v>
      </c>
      <c r="L99" s="68">
        <f t="shared" si="29"/>
        <v>-125651.06536634825</v>
      </c>
      <c r="M99" s="68">
        <f t="shared" si="30"/>
        <v>472687.34114007466</v>
      </c>
      <c r="N99" s="69">
        <f t="shared" si="31"/>
        <v>-5.7480065152049065E-9</v>
      </c>
    </row>
    <row r="100" spans="1:14" x14ac:dyDescent="0.2">
      <c r="A100" s="66">
        <v>46843</v>
      </c>
      <c r="B100" s="71" t="s">
        <v>193</v>
      </c>
      <c r="D100" s="68">
        <f t="shared" si="22"/>
        <v>10770091.317115707</v>
      </c>
      <c r="E100" s="68">
        <f t="shared" si="23"/>
        <v>10770091.317115707</v>
      </c>
      <c r="F100" s="145"/>
      <c r="G100" s="68">
        <f t="shared" si="24"/>
        <v>-10770091.317115715</v>
      </c>
      <c r="H100" s="68">
        <f t="shared" si="25"/>
        <v>-10311988.474634228</v>
      </c>
      <c r="I100" s="68">
        <f t="shared" si="26"/>
        <v>458102.84248147905</v>
      </c>
      <c r="J100" s="68">
        <f t="shared" si="27"/>
        <v>0</v>
      </c>
      <c r="K100" s="73">
        <f t="shared" si="28"/>
        <v>1.7025740817189217E-9</v>
      </c>
      <c r="L100" s="68">
        <f t="shared" si="29"/>
        <v>-96201.596921109958</v>
      </c>
      <c r="M100" s="68">
        <f t="shared" si="30"/>
        <v>361901.24556036911</v>
      </c>
      <c r="N100" s="69">
        <f t="shared" si="31"/>
        <v>-5.7480065152049065E-9</v>
      </c>
    </row>
    <row r="101" spans="1:14" x14ac:dyDescent="0.2">
      <c r="A101" s="66">
        <v>46873</v>
      </c>
      <c r="B101" s="71" t="s">
        <v>193</v>
      </c>
      <c r="D101" s="68">
        <f t="shared" si="22"/>
        <v>10770091.317115707</v>
      </c>
      <c r="E101" s="68">
        <f t="shared" si="23"/>
        <v>10770091.317115707</v>
      </c>
      <c r="F101" s="145"/>
      <c r="G101" s="68">
        <f t="shared" si="24"/>
        <v>-10770091.317115715</v>
      </c>
      <c r="H101" s="68">
        <f t="shared" si="25"/>
        <v>-10433525.963455847</v>
      </c>
      <c r="I101" s="68">
        <f t="shared" si="26"/>
        <v>336565.35365986079</v>
      </c>
      <c r="J101" s="68">
        <f t="shared" si="27"/>
        <v>0</v>
      </c>
      <c r="K101" s="73">
        <f t="shared" si="28"/>
        <v>1.7025740817189217E-9</v>
      </c>
      <c r="L101" s="68">
        <f t="shared" si="29"/>
        <v>-70678.72426857012</v>
      </c>
      <c r="M101" s="68">
        <f t="shared" si="30"/>
        <v>265886.62939129065</v>
      </c>
      <c r="N101" s="69">
        <f t="shared" si="31"/>
        <v>-5.7480065152049065E-9</v>
      </c>
    </row>
    <row r="102" spans="1:14" x14ac:dyDescent="0.2">
      <c r="A102" s="66">
        <v>46904</v>
      </c>
      <c r="B102" s="71" t="s">
        <v>193</v>
      </c>
      <c r="D102" s="68">
        <f t="shared" si="22"/>
        <v>10770091.317115707</v>
      </c>
      <c r="E102" s="68">
        <f t="shared" si="23"/>
        <v>10770091.317115707</v>
      </c>
      <c r="F102" s="145"/>
      <c r="G102" s="68">
        <f t="shared" si="24"/>
        <v>-10770091.317115715</v>
      </c>
      <c r="H102" s="68">
        <f t="shared" si="25"/>
        <v>-10536365.377074139</v>
      </c>
      <c r="I102" s="68">
        <f t="shared" si="26"/>
        <v>233725.94004156813</v>
      </c>
      <c r="J102" s="68">
        <f t="shared" si="27"/>
        <v>0</v>
      </c>
      <c r="K102" s="73">
        <f t="shared" si="28"/>
        <v>1.7025740817189217E-9</v>
      </c>
      <c r="L102" s="68">
        <f t="shared" si="29"/>
        <v>-49082.447408728745</v>
      </c>
      <c r="M102" s="68">
        <f t="shared" si="30"/>
        <v>184643.49263283939</v>
      </c>
      <c r="N102" s="69">
        <f t="shared" si="31"/>
        <v>-5.7480065152049065E-9</v>
      </c>
    </row>
    <row r="103" spans="1:14" x14ac:dyDescent="0.2">
      <c r="A103" s="66">
        <v>46934</v>
      </c>
      <c r="B103" s="71" t="s">
        <v>193</v>
      </c>
      <c r="D103" s="68">
        <f t="shared" ref="D103:D105" si="32">D102+C103</f>
        <v>10770091.317115707</v>
      </c>
      <c r="E103" s="68">
        <f t="shared" ref="E103:E105" si="33">(D91+D103+SUM(D92:D102)*2)/24</f>
        <v>10770091.317115707</v>
      </c>
      <c r="F103" s="145"/>
      <c r="G103" s="68">
        <f t="shared" ref="G103:G105" si="34">G102-F103</f>
        <v>-10770091.317115715</v>
      </c>
      <c r="H103" s="68">
        <f t="shared" ref="H103:H105" si="35">(G91+G103+SUM(G92:G102)*2)/24</f>
        <v>-10620506.715489106</v>
      </c>
      <c r="I103" s="68">
        <f t="shared" ref="I103:I105" si="36">E103+H103</f>
        <v>149584.60162660107</v>
      </c>
      <c r="J103" s="68">
        <f t="shared" ref="J103:J105" si="37">(-C103*0.21)+(F103*0.21)</f>
        <v>0</v>
      </c>
      <c r="K103" s="73">
        <f t="shared" ref="K103:K105" si="38">K102+J103</f>
        <v>1.7025740817189217E-9</v>
      </c>
      <c r="L103" s="68">
        <f t="shared" ref="L103:L105" si="39">(K91+K103+SUM(K92:K102)*2)/24</f>
        <v>-31412.766341585782</v>
      </c>
      <c r="M103" s="68">
        <f t="shared" ref="M103:M105" si="40">L103+I103</f>
        <v>118171.83528501529</v>
      </c>
      <c r="N103" s="69">
        <f t="shared" ref="N103:N105" si="41">+D103+G103+K103</f>
        <v>-5.7480065152049065E-9</v>
      </c>
    </row>
    <row r="104" spans="1:14" x14ac:dyDescent="0.2">
      <c r="A104" s="66">
        <v>46965</v>
      </c>
      <c r="B104" s="71" t="s">
        <v>193</v>
      </c>
      <c r="D104" s="68">
        <f t="shared" si="32"/>
        <v>10770091.317115707</v>
      </c>
      <c r="E104" s="68">
        <f t="shared" si="33"/>
        <v>10770091.317115707</v>
      </c>
      <c r="F104" s="145"/>
      <c r="G104" s="68">
        <f t="shared" si="34"/>
        <v>-10770091.317115715</v>
      </c>
      <c r="H104" s="68">
        <f t="shared" si="35"/>
        <v>-10685949.978700748</v>
      </c>
      <c r="I104" s="68">
        <f t="shared" si="36"/>
        <v>84141.33841495961</v>
      </c>
      <c r="J104" s="68">
        <f t="shared" si="37"/>
        <v>0</v>
      </c>
      <c r="K104" s="73">
        <f t="shared" si="38"/>
        <v>1.7025740817189217E-9</v>
      </c>
      <c r="L104" s="68">
        <f t="shared" si="39"/>
        <v>-17669.681067141268</v>
      </c>
      <c r="M104" s="68">
        <f t="shared" si="40"/>
        <v>66471.657347818342</v>
      </c>
      <c r="N104" s="69">
        <f t="shared" si="41"/>
        <v>-5.7480065152049065E-9</v>
      </c>
    </row>
    <row r="105" spans="1:14" x14ac:dyDescent="0.2">
      <c r="A105" s="66">
        <v>46996</v>
      </c>
      <c r="B105" s="71" t="s">
        <v>193</v>
      </c>
      <c r="D105" s="68">
        <f t="shared" si="32"/>
        <v>10770091.317115707</v>
      </c>
      <c r="E105" s="68">
        <f t="shared" si="33"/>
        <v>10770091.317115707</v>
      </c>
      <c r="F105" s="145"/>
      <c r="G105" s="68">
        <f t="shared" si="34"/>
        <v>-10770091.317115715</v>
      </c>
      <c r="H105" s="68">
        <f t="shared" si="35"/>
        <v>-10732695.166709062</v>
      </c>
      <c r="I105" s="68">
        <f t="shared" si="36"/>
        <v>37396.150406645611</v>
      </c>
      <c r="J105" s="68">
        <f t="shared" si="37"/>
        <v>0</v>
      </c>
      <c r="K105" s="73">
        <f t="shared" si="38"/>
        <v>1.7025740817189217E-9</v>
      </c>
      <c r="L105" s="68">
        <f t="shared" si="39"/>
        <v>-7853.1915853951677</v>
      </c>
      <c r="M105" s="68">
        <f t="shared" si="40"/>
        <v>29542.958821250442</v>
      </c>
      <c r="N105" s="69">
        <f t="shared" si="41"/>
        <v>-5.7480065152049065E-9</v>
      </c>
    </row>
    <row r="106" spans="1:14" x14ac:dyDescent="0.2">
      <c r="A106" s="66">
        <v>47026</v>
      </c>
      <c r="B106" s="71" t="s">
        <v>193</v>
      </c>
      <c r="D106" s="68">
        <f t="shared" ref="D106:D107" si="42">D105+C106</f>
        <v>10770091.317115707</v>
      </c>
      <c r="E106" s="68">
        <f t="shared" ref="E106:E107" si="43">(D94+D106+SUM(D95:D105)*2)/24</f>
        <v>10770091.317115707</v>
      </c>
      <c r="F106" s="145"/>
      <c r="G106" s="68">
        <f t="shared" ref="G106:G107" si="44">G105-F106</f>
        <v>-10770091.317115715</v>
      </c>
      <c r="H106" s="68">
        <f t="shared" ref="H106:H107" si="45">(G94+G106+SUM(G95:G105)*2)/24</f>
        <v>-10760742.27951405</v>
      </c>
      <c r="I106" s="68">
        <f t="shared" ref="I106:I107" si="46">E106+H106</f>
        <v>9349.0376016572118</v>
      </c>
      <c r="J106" s="68">
        <f t="shared" ref="J106:J107" si="47">(-C106*0.21)+(F106*0.21)</f>
        <v>0</v>
      </c>
      <c r="K106" s="73">
        <f t="shared" ref="K106:K107" si="48">K105+J106</f>
        <v>1.7025740817189217E-9</v>
      </c>
      <c r="L106" s="68">
        <f t="shared" ref="L106:L107" si="49">(K94+K106+SUM(K95:K105)*2)/24</f>
        <v>-1963.297896347515</v>
      </c>
      <c r="M106" s="68">
        <f t="shared" ref="M106:M107" si="50">L106+I106</f>
        <v>7385.7397053096965</v>
      </c>
      <c r="N106" s="69">
        <f t="shared" ref="N106:N107" si="51">+D106+G106+K106</f>
        <v>-5.7480065152049065E-9</v>
      </c>
    </row>
    <row r="107" spans="1:14" x14ac:dyDescent="0.2">
      <c r="A107" s="75">
        <v>47057</v>
      </c>
      <c r="B107" s="76" t="s">
        <v>193</v>
      </c>
      <c r="C107" s="76"/>
      <c r="D107" s="77">
        <f t="shared" si="42"/>
        <v>10770091.317115707</v>
      </c>
      <c r="E107" s="77">
        <f t="shared" si="43"/>
        <v>10770091.317115707</v>
      </c>
      <c r="F107" s="146"/>
      <c r="G107" s="77">
        <f t="shared" si="44"/>
        <v>-10770091.317115715</v>
      </c>
      <c r="H107" s="77">
        <f t="shared" si="45"/>
        <v>-10770091.317115713</v>
      </c>
      <c r="I107" s="77">
        <f t="shared" si="46"/>
        <v>0</v>
      </c>
      <c r="J107" s="77">
        <f t="shared" si="47"/>
        <v>0</v>
      </c>
      <c r="K107" s="78">
        <f t="shared" si="48"/>
        <v>1.7025740817189217E-9</v>
      </c>
      <c r="L107" s="77">
        <f t="shared" si="49"/>
        <v>1.7025740817189217E-9</v>
      </c>
      <c r="M107" s="77">
        <f t="shared" si="50"/>
        <v>1.7025740817189217E-9</v>
      </c>
      <c r="N107" s="79">
        <f t="shared" si="51"/>
        <v>-5.7480065152049065E-9</v>
      </c>
    </row>
    <row r="108" spans="1:14" x14ac:dyDescent="0.2">
      <c r="A108" s="174"/>
      <c r="B108" s="175"/>
      <c r="C108" s="175"/>
      <c r="D108" s="176"/>
      <c r="E108" s="176"/>
      <c r="F108" s="177"/>
      <c r="G108" s="176"/>
      <c r="H108" s="176"/>
      <c r="I108" s="176"/>
      <c r="J108" s="176"/>
      <c r="K108" s="178"/>
      <c r="L108" s="176"/>
      <c r="M108" s="176"/>
      <c r="N108" s="179"/>
    </row>
    <row r="109" spans="1:14" x14ac:dyDescent="0.2">
      <c r="A109" s="35" t="s">
        <v>181</v>
      </c>
      <c r="F109" s="154">
        <f>SUM(F48:F59)</f>
        <v>2692522.8292789259</v>
      </c>
    </row>
  </sheetData>
  <printOptions horizontalCentered="1"/>
  <pageMargins left="0.2" right="0.2" top="0.25" bottom="0.5" header="0.3" footer="0.3"/>
  <pageSetup scale="76" fitToHeight="0" orientation="landscape" r:id="rId1"/>
  <headerFooter>
    <oddFooter xml:space="preserve">&amp;RExh. SEF-3 Page 1 of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="95" zoomScaleNormal="95" workbookViewId="0">
      <pane xSplit="1" ySplit="9" topLeftCell="B15" activePane="bottomRight" state="frozen"/>
      <selection pane="topRight"/>
      <selection pane="bottomLeft"/>
      <selection pane="bottomRight" activeCell="C27" sqref="C27"/>
    </sheetView>
  </sheetViews>
  <sheetFormatPr defaultColWidth="9.140625" defaultRowHeight="12.75" outlineLevelRow="1" x14ac:dyDescent="0.2"/>
  <cols>
    <col min="1" max="1" width="17.28515625" style="35" customWidth="1"/>
    <col min="2" max="2" width="8.85546875" style="71" bestFit="1" customWidth="1"/>
    <col min="3" max="3" width="14.7109375" style="71" bestFit="1" customWidth="1"/>
    <col min="4" max="5" width="16.140625" style="71" bestFit="1" customWidth="1"/>
    <col min="6" max="6" width="22.28515625" style="71" bestFit="1" customWidth="1"/>
    <col min="7" max="8" width="18.28515625" style="71" bestFit="1" customWidth="1"/>
    <col min="9" max="9" width="17.7109375" style="71" bestFit="1" customWidth="1"/>
    <col min="10" max="10" width="12.85546875" style="71" customWidth="1"/>
    <col min="11" max="11" width="19.42578125" style="71" bestFit="1" customWidth="1"/>
    <col min="12" max="13" width="17.5703125" style="71" bestFit="1" customWidth="1"/>
    <col min="14" max="14" width="17" style="71" bestFit="1" customWidth="1"/>
    <col min="15" max="15" width="10.85546875" style="35" bestFit="1" customWidth="1"/>
    <col min="16" max="16" width="9.7109375" style="35" bestFit="1" customWidth="1"/>
    <col min="17" max="16384" width="9.140625" style="35"/>
  </cols>
  <sheetData>
    <row r="1" spans="1:14" x14ac:dyDescent="0.2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5"/>
    </row>
    <row r="2" spans="1:14" x14ac:dyDescent="0.2">
      <c r="A2" s="32" t="s">
        <v>80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5"/>
    </row>
    <row r="3" spans="1:14" x14ac:dyDescent="0.2">
      <c r="A3" s="32" t="s">
        <v>47</v>
      </c>
      <c r="B3" s="33"/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5"/>
    </row>
    <row r="4" spans="1:14" x14ac:dyDescent="0.2">
      <c r="A4" s="33"/>
      <c r="B4" s="33"/>
      <c r="C4" s="36"/>
      <c r="D4" s="37"/>
      <c r="E4" s="38"/>
      <c r="F4" s="39"/>
      <c r="G4" s="39"/>
      <c r="H4" s="39"/>
      <c r="I4" s="39"/>
      <c r="J4" s="40"/>
      <c r="K4" s="41"/>
      <c r="L4" s="40"/>
      <c r="M4" s="40"/>
      <c r="N4" s="35"/>
    </row>
    <row r="5" spans="1:14" x14ac:dyDescent="0.2">
      <c r="A5" s="34"/>
      <c r="B5" s="34"/>
      <c r="C5" s="42" t="s">
        <v>48</v>
      </c>
      <c r="D5" s="43"/>
      <c r="E5" s="40"/>
      <c r="F5" s="44"/>
      <c r="G5" s="44"/>
      <c r="H5" s="44"/>
      <c r="I5" s="44"/>
      <c r="J5" s="45"/>
      <c r="K5" s="44"/>
      <c r="L5" s="44"/>
      <c r="M5" s="44"/>
      <c r="N5" s="35"/>
    </row>
    <row r="6" spans="1:14" x14ac:dyDescent="0.2">
      <c r="A6" s="46"/>
      <c r="B6" s="46"/>
      <c r="C6" s="47" t="s">
        <v>49</v>
      </c>
      <c r="D6" s="47" t="s">
        <v>50</v>
      </c>
      <c r="E6" s="47" t="s">
        <v>51</v>
      </c>
      <c r="F6" s="47" t="s">
        <v>52</v>
      </c>
      <c r="G6" s="47" t="s">
        <v>53</v>
      </c>
      <c r="H6" s="47" t="s">
        <v>54</v>
      </c>
      <c r="I6" s="47" t="s">
        <v>43</v>
      </c>
      <c r="J6" s="47" t="s">
        <v>52</v>
      </c>
      <c r="K6" s="47" t="s">
        <v>53</v>
      </c>
      <c r="L6" s="47" t="s">
        <v>55</v>
      </c>
      <c r="M6" s="48" t="s">
        <v>56</v>
      </c>
      <c r="N6" s="49" t="s">
        <v>50</v>
      </c>
    </row>
    <row r="7" spans="1:14" x14ac:dyDescent="0.2">
      <c r="A7" s="44" t="s">
        <v>57</v>
      </c>
      <c r="B7" s="50"/>
      <c r="C7" s="44" t="s">
        <v>58</v>
      </c>
      <c r="D7" s="44"/>
      <c r="E7" s="44" t="s">
        <v>50</v>
      </c>
      <c r="F7" s="44" t="s">
        <v>59</v>
      </c>
      <c r="G7" s="44" t="s">
        <v>59</v>
      </c>
      <c r="H7" s="44" t="s">
        <v>59</v>
      </c>
      <c r="I7" s="44" t="s">
        <v>60</v>
      </c>
      <c r="J7" s="44" t="s">
        <v>61</v>
      </c>
      <c r="K7" s="44" t="s">
        <v>61</v>
      </c>
      <c r="L7" s="44" t="s">
        <v>43</v>
      </c>
      <c r="M7" s="51" t="s">
        <v>55</v>
      </c>
      <c r="N7" s="52" t="s">
        <v>62</v>
      </c>
    </row>
    <row r="8" spans="1:14" x14ac:dyDescent="0.2">
      <c r="A8" s="44" t="s">
        <v>63</v>
      </c>
      <c r="B8" s="50"/>
      <c r="C8" s="44" t="s">
        <v>64</v>
      </c>
      <c r="D8" s="44" t="s">
        <v>65</v>
      </c>
      <c r="E8" s="44" t="s">
        <v>66</v>
      </c>
      <c r="F8" s="44" t="s">
        <v>67</v>
      </c>
      <c r="G8" s="53" t="s">
        <v>68</v>
      </c>
      <c r="H8" s="44" t="s">
        <v>69</v>
      </c>
      <c r="I8" s="44" t="s">
        <v>70</v>
      </c>
      <c r="J8" s="44" t="s">
        <v>71</v>
      </c>
      <c r="K8" s="44" t="s">
        <v>72</v>
      </c>
      <c r="L8" s="44" t="s">
        <v>73</v>
      </c>
      <c r="M8" s="51" t="s">
        <v>74</v>
      </c>
      <c r="N8" s="52" t="s">
        <v>75</v>
      </c>
    </row>
    <row r="9" spans="1:14" x14ac:dyDescent="0.2">
      <c r="A9" s="54"/>
      <c r="B9" s="54"/>
      <c r="C9" s="55"/>
      <c r="D9" s="55"/>
      <c r="E9" s="55"/>
      <c r="F9" s="56" t="s">
        <v>76</v>
      </c>
      <c r="G9" s="55"/>
      <c r="H9" s="55"/>
      <c r="I9" s="55"/>
      <c r="J9" s="55" t="s">
        <v>77</v>
      </c>
      <c r="K9" s="57"/>
      <c r="L9" s="55"/>
      <c r="M9" s="58"/>
      <c r="N9" s="59"/>
    </row>
    <row r="10" spans="1:14" x14ac:dyDescent="0.2">
      <c r="A10" s="60"/>
      <c r="B10" s="34"/>
      <c r="C10" s="44"/>
      <c r="D10" s="61"/>
      <c r="E10" s="62"/>
      <c r="F10" s="44"/>
      <c r="G10" s="44"/>
      <c r="H10" s="61"/>
      <c r="I10" s="61"/>
      <c r="J10" s="63"/>
      <c r="K10" s="63"/>
      <c r="L10" s="63"/>
      <c r="M10" s="64"/>
      <c r="N10" s="65"/>
    </row>
    <row r="11" spans="1:14" x14ac:dyDescent="0.2">
      <c r="A11" s="66" t="s">
        <v>78</v>
      </c>
      <c r="B11" s="66"/>
      <c r="C11" s="67"/>
      <c r="D11" s="61"/>
      <c r="E11" s="68"/>
      <c r="F11" s="61"/>
      <c r="G11" s="61"/>
      <c r="H11" s="61"/>
      <c r="I11" s="61"/>
      <c r="J11" s="68"/>
      <c r="K11" s="68"/>
      <c r="L11" s="68"/>
      <c r="M11" s="64"/>
      <c r="N11" s="69"/>
    </row>
    <row r="12" spans="1:14" outlineLevel="1" x14ac:dyDescent="0.2">
      <c r="A12" s="66">
        <v>44165</v>
      </c>
      <c r="B12" s="66"/>
      <c r="C12" s="67"/>
      <c r="D12" s="61"/>
      <c r="E12" s="68"/>
      <c r="F12" s="61"/>
      <c r="G12" s="61"/>
      <c r="H12" s="61"/>
      <c r="I12" s="61"/>
      <c r="J12" s="68"/>
      <c r="K12" s="68"/>
      <c r="L12" s="68"/>
      <c r="M12" s="63"/>
      <c r="N12" s="69"/>
    </row>
    <row r="13" spans="1:14" outlineLevel="1" x14ac:dyDescent="0.2">
      <c r="A13" s="66">
        <v>44196</v>
      </c>
      <c r="B13" s="66"/>
      <c r="C13" s="67"/>
      <c r="D13" s="61"/>
      <c r="E13" s="68"/>
      <c r="F13" s="61"/>
      <c r="G13" s="61"/>
      <c r="H13" s="61"/>
      <c r="I13" s="61"/>
      <c r="J13" s="68"/>
      <c r="K13" s="68"/>
      <c r="L13" s="68"/>
      <c r="M13" s="63"/>
      <c r="N13" s="69"/>
    </row>
    <row r="14" spans="1:14" outlineLevel="1" x14ac:dyDescent="0.2">
      <c r="A14" s="66">
        <v>44227</v>
      </c>
      <c r="B14" s="66"/>
      <c r="C14" s="67"/>
      <c r="D14" s="61"/>
      <c r="E14" s="68"/>
      <c r="F14" s="61"/>
      <c r="G14" s="61"/>
      <c r="H14" s="61"/>
      <c r="I14" s="61"/>
      <c r="J14" s="68"/>
      <c r="K14" s="68"/>
      <c r="L14" s="68"/>
      <c r="M14" s="63"/>
      <c r="N14" s="69"/>
    </row>
    <row r="15" spans="1:14" outlineLevel="1" x14ac:dyDescent="0.2">
      <c r="A15" s="66">
        <v>44255</v>
      </c>
      <c r="B15" s="66"/>
      <c r="C15" s="67"/>
      <c r="D15" s="61"/>
      <c r="E15" s="68"/>
      <c r="F15" s="61"/>
      <c r="G15" s="61"/>
      <c r="H15" s="61"/>
      <c r="I15" s="61"/>
      <c r="J15" s="68"/>
      <c r="K15" s="68"/>
      <c r="L15" s="68"/>
      <c r="M15" s="63"/>
      <c r="N15" s="69"/>
    </row>
    <row r="16" spans="1:14" outlineLevel="1" x14ac:dyDescent="0.2">
      <c r="A16" s="66">
        <v>44286</v>
      </c>
      <c r="B16" s="66"/>
      <c r="C16" s="67"/>
      <c r="D16" s="61"/>
      <c r="E16" s="68"/>
      <c r="F16" s="61"/>
      <c r="G16" s="61"/>
      <c r="H16" s="61"/>
      <c r="I16" s="61"/>
      <c r="J16" s="68"/>
      <c r="K16" s="68"/>
      <c r="L16" s="68"/>
      <c r="M16" s="63"/>
      <c r="N16" s="69"/>
    </row>
    <row r="17" spans="1:14" outlineLevel="1" x14ac:dyDescent="0.2">
      <c r="A17" s="66">
        <v>44316</v>
      </c>
      <c r="B17" s="66"/>
      <c r="C17" s="67"/>
      <c r="D17" s="61"/>
      <c r="E17" s="68"/>
      <c r="F17" s="61"/>
      <c r="G17" s="61"/>
      <c r="H17" s="61"/>
      <c r="I17" s="61"/>
      <c r="J17" s="68"/>
      <c r="K17" s="68"/>
      <c r="L17" s="68"/>
      <c r="M17" s="63"/>
      <c r="N17" s="69"/>
    </row>
    <row r="18" spans="1:14" outlineLevel="1" x14ac:dyDescent="0.2">
      <c r="A18" s="66">
        <v>44347</v>
      </c>
      <c r="B18" s="66"/>
      <c r="C18" s="67"/>
      <c r="D18" s="61"/>
      <c r="E18" s="68"/>
      <c r="F18" s="61"/>
      <c r="G18" s="61"/>
      <c r="H18" s="61"/>
      <c r="I18" s="61"/>
      <c r="J18" s="68"/>
      <c r="K18" s="68"/>
      <c r="L18" s="68"/>
      <c r="M18" s="63"/>
      <c r="N18" s="69"/>
    </row>
    <row r="19" spans="1:14" outlineLevel="1" x14ac:dyDescent="0.2">
      <c r="A19" s="66">
        <v>44377</v>
      </c>
      <c r="B19" s="66"/>
      <c r="C19" s="67"/>
      <c r="D19" s="61"/>
      <c r="E19" s="68"/>
      <c r="F19" s="61"/>
      <c r="G19" s="61"/>
      <c r="H19" s="61"/>
      <c r="I19" s="61"/>
      <c r="J19" s="68"/>
      <c r="K19" s="68"/>
      <c r="L19" s="68"/>
      <c r="M19" s="63"/>
      <c r="N19" s="69"/>
    </row>
    <row r="20" spans="1:14" outlineLevel="1" x14ac:dyDescent="0.2">
      <c r="A20" s="66">
        <v>44408</v>
      </c>
      <c r="B20" s="66"/>
      <c r="C20" s="67"/>
      <c r="D20" s="61"/>
      <c r="E20" s="68"/>
      <c r="F20" s="61"/>
      <c r="G20" s="61"/>
      <c r="H20" s="61"/>
      <c r="I20" s="61"/>
      <c r="J20" s="68"/>
      <c r="K20" s="68"/>
      <c r="L20" s="68"/>
      <c r="M20" s="63"/>
      <c r="N20" s="69"/>
    </row>
    <row r="21" spans="1:14" outlineLevel="1" x14ac:dyDescent="0.2">
      <c r="A21" s="66">
        <v>44439</v>
      </c>
      <c r="B21" s="66"/>
      <c r="C21" s="67"/>
      <c r="D21" s="61"/>
      <c r="E21" s="68"/>
      <c r="F21" s="61"/>
      <c r="G21" s="61"/>
      <c r="H21" s="61"/>
      <c r="I21" s="61"/>
      <c r="J21" s="68"/>
      <c r="K21" s="68"/>
      <c r="L21" s="68"/>
      <c r="M21" s="63"/>
      <c r="N21" s="69"/>
    </row>
    <row r="22" spans="1:14" outlineLevel="1" x14ac:dyDescent="0.2">
      <c r="A22" s="66">
        <v>44469</v>
      </c>
      <c r="B22" s="66"/>
      <c r="C22" s="67"/>
      <c r="D22" s="61"/>
      <c r="E22" s="68"/>
      <c r="F22" s="61"/>
      <c r="G22" s="61"/>
      <c r="H22" s="61"/>
      <c r="I22" s="61"/>
      <c r="J22" s="68"/>
      <c r="K22" s="68"/>
      <c r="L22" s="68"/>
      <c r="M22" s="63"/>
      <c r="N22" s="69"/>
    </row>
    <row r="23" spans="1:14" outlineLevel="1" x14ac:dyDescent="0.2">
      <c r="A23" s="66">
        <v>44500</v>
      </c>
      <c r="B23" s="66"/>
      <c r="C23" s="67"/>
      <c r="D23" s="61"/>
      <c r="E23" s="68"/>
      <c r="F23" s="61"/>
      <c r="G23" s="61"/>
      <c r="H23" s="61"/>
      <c r="I23" s="61"/>
      <c r="J23" s="68"/>
      <c r="K23" s="68"/>
      <c r="L23" s="68"/>
      <c r="M23" s="63"/>
      <c r="N23" s="69"/>
    </row>
    <row r="24" spans="1:14" x14ac:dyDescent="0.2">
      <c r="A24" s="66">
        <v>44530</v>
      </c>
      <c r="B24" s="66"/>
      <c r="C24" s="67"/>
      <c r="D24" s="68">
        <f>D11+C24</f>
        <v>0</v>
      </c>
      <c r="E24" s="68">
        <f t="shared" ref="E24:E37" si="0">(D12+D24+SUM(D13:D23)*2)/24</f>
        <v>0</v>
      </c>
      <c r="F24" s="68">
        <v>0</v>
      </c>
      <c r="G24" s="68">
        <v>0</v>
      </c>
      <c r="H24" s="68">
        <v>0</v>
      </c>
      <c r="I24" s="68">
        <v>0</v>
      </c>
      <c r="J24" s="68">
        <f t="shared" ref="J24:J87" si="1">(-C24*0.21)+(F24*0.21)</f>
        <v>0</v>
      </c>
      <c r="K24" s="68">
        <f t="shared" ref="K24:K87" si="2">K23+J24</f>
        <v>0</v>
      </c>
      <c r="L24" s="68">
        <v>0</v>
      </c>
      <c r="M24" s="68">
        <v>0</v>
      </c>
      <c r="N24" s="70">
        <v>0</v>
      </c>
    </row>
    <row r="25" spans="1:14" x14ac:dyDescent="0.2">
      <c r="A25" s="66">
        <v>44561</v>
      </c>
      <c r="B25" s="66"/>
      <c r="C25" s="67"/>
      <c r="D25" s="68">
        <f t="shared" ref="D25:D88" si="3">D24+C25</f>
        <v>0</v>
      </c>
      <c r="E25" s="68">
        <f t="shared" si="0"/>
        <v>0</v>
      </c>
      <c r="F25" s="68">
        <v>0</v>
      </c>
      <c r="G25" s="68">
        <v>0</v>
      </c>
      <c r="H25" s="68">
        <v>0</v>
      </c>
      <c r="I25" s="68">
        <v>0</v>
      </c>
      <c r="J25" s="68">
        <f t="shared" si="1"/>
        <v>0</v>
      </c>
      <c r="K25" s="68">
        <f t="shared" si="2"/>
        <v>0</v>
      </c>
      <c r="L25" s="68">
        <v>0</v>
      </c>
      <c r="M25" s="68">
        <v>0</v>
      </c>
      <c r="N25" s="70">
        <v>0</v>
      </c>
    </row>
    <row r="26" spans="1:14" x14ac:dyDescent="0.2">
      <c r="A26" s="66">
        <v>44592</v>
      </c>
      <c r="B26" s="66"/>
      <c r="C26" s="67">
        <f>'Deferred Return Cal (2024)'!C23</f>
        <v>0</v>
      </c>
      <c r="D26" s="68">
        <f t="shared" si="3"/>
        <v>0</v>
      </c>
      <c r="E26" s="68">
        <f t="shared" si="0"/>
        <v>0</v>
      </c>
      <c r="F26" s="145"/>
      <c r="G26" s="68">
        <f t="shared" ref="G26:G37" si="4">G25-F26</f>
        <v>0</v>
      </c>
      <c r="H26" s="68">
        <f t="shared" ref="H26:H37" si="5">(G14+G26+SUM(G15:G25)*2)/24</f>
        <v>0</v>
      </c>
      <c r="I26" s="68">
        <f>E26+H26</f>
        <v>0</v>
      </c>
      <c r="J26" s="68">
        <f t="shared" si="1"/>
        <v>0</v>
      </c>
      <c r="K26" s="68">
        <f t="shared" si="2"/>
        <v>0</v>
      </c>
      <c r="L26" s="68">
        <f t="shared" ref="L26:L36" si="6">(K14+K26+SUM(K15:K25)*2)/24</f>
        <v>0</v>
      </c>
      <c r="M26" s="68">
        <f>I26+L26</f>
        <v>0</v>
      </c>
      <c r="N26" s="70">
        <f t="shared" ref="N26:N35" si="7">+D26+G26+K26</f>
        <v>0</v>
      </c>
    </row>
    <row r="27" spans="1:14" x14ac:dyDescent="0.2">
      <c r="A27" s="66">
        <v>44620</v>
      </c>
      <c r="B27" s="66"/>
      <c r="C27" s="67">
        <f>'Deferred Return Cal (2024)'!D23</f>
        <v>1732420.3433080593</v>
      </c>
      <c r="D27" s="68">
        <f t="shared" si="3"/>
        <v>1732420.3433080593</v>
      </c>
      <c r="E27" s="68">
        <f t="shared" si="0"/>
        <v>72184.180971169131</v>
      </c>
      <c r="F27" s="145"/>
      <c r="G27" s="68">
        <f t="shared" si="4"/>
        <v>0</v>
      </c>
      <c r="H27" s="68">
        <f t="shared" si="5"/>
        <v>0</v>
      </c>
      <c r="I27" s="68">
        <f t="shared" ref="I27:I37" si="8">E27+H27</f>
        <v>72184.180971169131</v>
      </c>
      <c r="J27" s="68">
        <f t="shared" si="1"/>
        <v>-363808.27209469245</v>
      </c>
      <c r="K27" s="68">
        <f t="shared" si="2"/>
        <v>-363808.27209469245</v>
      </c>
      <c r="L27" s="68">
        <f t="shared" si="6"/>
        <v>-15158.678003945519</v>
      </c>
      <c r="M27" s="68">
        <f t="shared" ref="M27:M36" si="9">I27+L27</f>
        <v>57025.502967223612</v>
      </c>
      <c r="N27" s="70">
        <f t="shared" si="7"/>
        <v>1368612.0712133669</v>
      </c>
    </row>
    <row r="28" spans="1:14" x14ac:dyDescent="0.2">
      <c r="A28" s="66">
        <v>44651</v>
      </c>
      <c r="B28" s="66"/>
      <c r="C28" s="67">
        <f>'Deferred Return Cal (2024)'!E23</f>
        <v>1729657.3784403838</v>
      </c>
      <c r="D28" s="68">
        <f t="shared" si="3"/>
        <v>3462077.7217484433</v>
      </c>
      <c r="E28" s="68">
        <f t="shared" si="0"/>
        <v>288621.60034852341</v>
      </c>
      <c r="F28" s="145"/>
      <c r="G28" s="68">
        <f t="shared" si="4"/>
        <v>0</v>
      </c>
      <c r="H28" s="68">
        <f t="shared" si="5"/>
        <v>0</v>
      </c>
      <c r="I28" s="68">
        <f t="shared" si="8"/>
        <v>288621.60034852341</v>
      </c>
      <c r="J28" s="68">
        <f t="shared" si="1"/>
        <v>-363228.0494724806</v>
      </c>
      <c r="K28" s="68">
        <f t="shared" si="2"/>
        <v>-727036.32156717312</v>
      </c>
      <c r="L28" s="68">
        <f t="shared" si="6"/>
        <v>-60610.53607318992</v>
      </c>
      <c r="M28" s="68">
        <f t="shared" si="9"/>
        <v>228011.06427533348</v>
      </c>
      <c r="N28" s="70">
        <f t="shared" si="7"/>
        <v>2735041.4001812702</v>
      </c>
    </row>
    <row r="29" spans="1:14" x14ac:dyDescent="0.2">
      <c r="A29" s="66">
        <v>44681</v>
      </c>
      <c r="B29" s="66"/>
      <c r="C29" s="67">
        <f>'Deferred Return Cal (2024)'!$F$23</f>
        <v>1726047.8590039697</v>
      </c>
      <c r="D29" s="68">
        <f t="shared" si="3"/>
        <v>5188125.5807524128</v>
      </c>
      <c r="E29" s="68">
        <f t="shared" si="0"/>
        <v>649046.73795272585</v>
      </c>
      <c r="F29" s="145"/>
      <c r="G29" s="68">
        <f t="shared" si="4"/>
        <v>0</v>
      </c>
      <c r="H29" s="68">
        <f t="shared" si="5"/>
        <v>0</v>
      </c>
      <c r="I29" s="68">
        <f t="shared" si="8"/>
        <v>649046.73795272585</v>
      </c>
      <c r="J29" s="68">
        <f t="shared" si="1"/>
        <v>-362470.05039083364</v>
      </c>
      <c r="K29" s="68">
        <f t="shared" si="2"/>
        <v>-1089506.3719580066</v>
      </c>
      <c r="L29" s="68">
        <f t="shared" si="6"/>
        <v>-136299.81497007242</v>
      </c>
      <c r="M29" s="68">
        <f t="shared" si="9"/>
        <v>512746.92298265343</v>
      </c>
      <c r="N29" s="70">
        <f t="shared" si="7"/>
        <v>4098619.2087944061</v>
      </c>
    </row>
    <row r="30" spans="1:14" x14ac:dyDescent="0.2">
      <c r="A30" s="66">
        <v>44712</v>
      </c>
      <c r="B30" s="66"/>
      <c r="C30" s="67">
        <f>'Deferred Return Cal (2024)'!$G$23</f>
        <v>1722806.0474907642</v>
      </c>
      <c r="D30" s="68">
        <f t="shared" si="3"/>
        <v>6910931.6282431772</v>
      </c>
      <c r="E30" s="68">
        <f t="shared" si="0"/>
        <v>1153174.1216608754</v>
      </c>
      <c r="F30" s="145"/>
      <c r="G30" s="68">
        <f t="shared" si="4"/>
        <v>0</v>
      </c>
      <c r="H30" s="68">
        <f t="shared" si="5"/>
        <v>0</v>
      </c>
      <c r="I30" s="68">
        <f t="shared" si="8"/>
        <v>1153174.1216608754</v>
      </c>
      <c r="J30" s="68">
        <f t="shared" si="1"/>
        <v>-361789.26997306047</v>
      </c>
      <c r="K30" s="68">
        <f t="shared" si="2"/>
        <v>-1451295.6419310672</v>
      </c>
      <c r="L30" s="68">
        <f t="shared" si="6"/>
        <v>-242166.56554878384</v>
      </c>
      <c r="M30" s="68">
        <f t="shared" si="9"/>
        <v>911007.55611209152</v>
      </c>
      <c r="N30" s="70">
        <f t="shared" si="7"/>
        <v>5459635.98631211</v>
      </c>
    </row>
    <row r="31" spans="1:14" x14ac:dyDescent="0.2">
      <c r="A31" s="66">
        <v>44742</v>
      </c>
      <c r="B31" s="66"/>
      <c r="C31" s="67">
        <f>'Deferred Return Cal (2024)'!$H$23</f>
        <v>1719079.8875327937</v>
      </c>
      <c r="D31" s="68">
        <f t="shared" si="3"/>
        <v>8630011.5157759711</v>
      </c>
      <c r="E31" s="68">
        <f t="shared" si="0"/>
        <v>1800713.4193283401</v>
      </c>
      <c r="F31" s="145"/>
      <c r="G31" s="68">
        <f t="shared" si="4"/>
        <v>0</v>
      </c>
      <c r="H31" s="68">
        <f t="shared" si="5"/>
        <v>0</v>
      </c>
      <c r="I31" s="68">
        <f t="shared" si="8"/>
        <v>1800713.4193283401</v>
      </c>
      <c r="J31" s="68">
        <f t="shared" si="1"/>
        <v>-361006.77638188668</v>
      </c>
      <c r="K31" s="68">
        <f t="shared" si="2"/>
        <v>-1812302.4183129538</v>
      </c>
      <c r="L31" s="68">
        <f t="shared" si="6"/>
        <v>-378149.81805895135</v>
      </c>
      <c r="M31" s="68">
        <f t="shared" si="9"/>
        <v>1422563.6012693888</v>
      </c>
      <c r="N31" s="70">
        <f t="shared" si="7"/>
        <v>6817709.0974630173</v>
      </c>
    </row>
    <row r="32" spans="1:14" x14ac:dyDescent="0.2">
      <c r="A32" s="66">
        <v>44773</v>
      </c>
      <c r="C32" s="67">
        <f>'Deferred Return Cal (2024)'!$I$23</f>
        <v>1715360.6155977491</v>
      </c>
      <c r="D32" s="68">
        <f t="shared" si="3"/>
        <v>10345372.13137372</v>
      </c>
      <c r="E32" s="68">
        <f t="shared" si="0"/>
        <v>2591354.4046262437</v>
      </c>
      <c r="F32" s="145"/>
      <c r="G32" s="68">
        <f t="shared" si="4"/>
        <v>0</v>
      </c>
      <c r="H32" s="68">
        <f t="shared" si="5"/>
        <v>0</v>
      </c>
      <c r="I32" s="68">
        <f t="shared" si="8"/>
        <v>2591354.4046262437</v>
      </c>
      <c r="J32" s="68">
        <f t="shared" si="1"/>
        <v>-360225.72927552729</v>
      </c>
      <c r="K32" s="68">
        <f t="shared" si="2"/>
        <v>-2172528.1475884812</v>
      </c>
      <c r="L32" s="68">
        <f t="shared" si="6"/>
        <v>-544184.42497151112</v>
      </c>
      <c r="M32" s="68">
        <f t="shared" si="9"/>
        <v>2047169.9796547326</v>
      </c>
      <c r="N32" s="70">
        <f t="shared" si="7"/>
        <v>8172843.983785239</v>
      </c>
    </row>
    <row r="33" spans="1:15" x14ac:dyDescent="0.2">
      <c r="A33" s="66">
        <v>44804</v>
      </c>
      <c r="C33" s="67">
        <f>'Deferred Return Cal (2024)'!$J$23</f>
        <v>1711760.1385306914</v>
      </c>
      <c r="D33" s="68">
        <f t="shared" si="3"/>
        <v>12057132.269904412</v>
      </c>
      <c r="E33" s="68">
        <f t="shared" si="0"/>
        <v>3524792.0880128331</v>
      </c>
      <c r="F33" s="145"/>
      <c r="G33" s="68">
        <f t="shared" si="4"/>
        <v>0</v>
      </c>
      <c r="H33" s="68">
        <f t="shared" si="5"/>
        <v>0</v>
      </c>
      <c r="I33" s="68">
        <f t="shared" si="8"/>
        <v>3524792.0880128331</v>
      </c>
      <c r="J33" s="68">
        <f t="shared" si="1"/>
        <v>-359469.62909144518</v>
      </c>
      <c r="K33" s="68">
        <f t="shared" si="2"/>
        <v>-2531997.7766799266</v>
      </c>
      <c r="L33" s="68">
        <f t="shared" si="6"/>
        <v>-740206.33848269482</v>
      </c>
      <c r="M33" s="68">
        <f t="shared" si="9"/>
        <v>2784585.7495301384</v>
      </c>
      <c r="N33" s="70">
        <f t="shared" si="7"/>
        <v>9525134.4932244867</v>
      </c>
    </row>
    <row r="34" spans="1:15" x14ac:dyDescent="0.2">
      <c r="A34" s="66">
        <v>44834</v>
      </c>
      <c r="C34" s="67">
        <f>'Deferred Return Cal (2024)'!$K$23</f>
        <v>1708806.02112343</v>
      </c>
      <c r="D34" s="68">
        <f t="shared" si="3"/>
        <v>13765938.291027842</v>
      </c>
      <c r="E34" s="68">
        <f t="shared" si="0"/>
        <v>4600753.3613850102</v>
      </c>
      <c r="F34" s="145"/>
      <c r="G34" s="68">
        <f t="shared" si="4"/>
        <v>0</v>
      </c>
      <c r="H34" s="68">
        <f t="shared" si="5"/>
        <v>0</v>
      </c>
      <c r="I34" s="68">
        <f t="shared" si="8"/>
        <v>4600753.3613850102</v>
      </c>
      <c r="J34" s="68">
        <f t="shared" si="1"/>
        <v>-358849.26443592028</v>
      </c>
      <c r="K34" s="68">
        <f t="shared" si="2"/>
        <v>-2890847.041115847</v>
      </c>
      <c r="L34" s="68">
        <f t="shared" si="6"/>
        <v>-966158.20589085203</v>
      </c>
      <c r="M34" s="68">
        <f t="shared" si="9"/>
        <v>3634595.1554941582</v>
      </c>
      <c r="N34" s="70">
        <f t="shared" si="7"/>
        <v>10875091.249911996</v>
      </c>
    </row>
    <row r="35" spans="1:15" x14ac:dyDescent="0.2">
      <c r="A35" s="66">
        <v>44865</v>
      </c>
      <c r="C35" s="67">
        <f>'Deferred Return Cal (2024)'!$L$23</f>
        <v>1705050.2042031121</v>
      </c>
      <c r="D35" s="68">
        <f t="shared" si="3"/>
        <v>15470988.495230954</v>
      </c>
      <c r="E35" s="68">
        <f t="shared" si="0"/>
        <v>5818958.6441457933</v>
      </c>
      <c r="F35" s="145"/>
      <c r="G35" s="68">
        <f t="shared" si="4"/>
        <v>0</v>
      </c>
      <c r="H35" s="68">
        <f t="shared" si="5"/>
        <v>0</v>
      </c>
      <c r="I35" s="68">
        <f t="shared" si="8"/>
        <v>5818958.6441457933</v>
      </c>
      <c r="J35" s="68">
        <f t="shared" si="1"/>
        <v>-358060.54288265354</v>
      </c>
      <c r="K35" s="68">
        <f t="shared" si="2"/>
        <v>-3248907.5839985004</v>
      </c>
      <c r="L35" s="68">
        <f t="shared" si="6"/>
        <v>-1221981.3152706164</v>
      </c>
      <c r="M35" s="68">
        <f t="shared" si="9"/>
        <v>4596977.3288751766</v>
      </c>
      <c r="N35" s="70">
        <f t="shared" si="7"/>
        <v>12222080.911232453</v>
      </c>
    </row>
    <row r="36" spans="1:15" x14ac:dyDescent="0.2">
      <c r="A36" s="66">
        <v>44895</v>
      </c>
      <c r="C36" s="67">
        <f>'Deferred Return Cal (2024)'!$M$23</f>
        <v>1701410.1442900661</v>
      </c>
      <c r="D36" s="68">
        <f t="shared" si="3"/>
        <v>17172398.639521021</v>
      </c>
      <c r="E36" s="68">
        <f t="shared" si="0"/>
        <v>7179099.7747604595</v>
      </c>
      <c r="F36" s="145"/>
      <c r="G36" s="68">
        <f t="shared" si="4"/>
        <v>0</v>
      </c>
      <c r="H36" s="68">
        <f t="shared" si="5"/>
        <v>0</v>
      </c>
      <c r="I36" s="68">
        <f t="shared" si="8"/>
        <v>7179099.7747604595</v>
      </c>
      <c r="J36" s="68">
        <f t="shared" si="1"/>
        <v>-357296.13030091388</v>
      </c>
      <c r="K36" s="68">
        <f t="shared" si="2"/>
        <v>-3606203.7142994143</v>
      </c>
      <c r="L36" s="68">
        <f t="shared" si="6"/>
        <v>-1507610.9526996959</v>
      </c>
      <c r="M36" s="68">
        <f t="shared" si="9"/>
        <v>5671488.8220607638</v>
      </c>
      <c r="N36" s="70">
        <f t="shared" ref="N36:N96" si="10">+D36+G36+K36</f>
        <v>13566194.925221607</v>
      </c>
    </row>
    <row r="37" spans="1:15" x14ac:dyDescent="0.2">
      <c r="A37" s="66">
        <v>44926</v>
      </c>
      <c r="C37" s="67">
        <f>'Deferred Return Cal (2024)'!$N$23</f>
        <v>1698010.4379610792</v>
      </c>
      <c r="D37" s="68">
        <f t="shared" si="3"/>
        <v>18870409.077482101</v>
      </c>
      <c r="E37" s="68">
        <f t="shared" si="0"/>
        <v>8680883.4296355899</v>
      </c>
      <c r="F37" s="145"/>
      <c r="G37" s="68">
        <f t="shared" si="4"/>
        <v>0</v>
      </c>
      <c r="H37" s="68">
        <f t="shared" si="5"/>
        <v>0</v>
      </c>
      <c r="I37" s="68">
        <f t="shared" si="8"/>
        <v>8680883.4296355899</v>
      </c>
      <c r="J37" s="68">
        <f t="shared" si="1"/>
        <v>-356582.1919718266</v>
      </c>
      <c r="K37" s="68">
        <f t="shared" si="2"/>
        <v>-3962785.9062712407</v>
      </c>
      <c r="L37" s="68">
        <f t="shared" ref="L37" si="11">(K25+K37+SUM(K26:K36)*2)/24</f>
        <v>-1822985.5202234734</v>
      </c>
      <c r="M37" s="68">
        <f t="shared" ref="M37:M96" si="12">L37+I37</f>
        <v>6857897.9094121167</v>
      </c>
      <c r="N37" s="69">
        <f t="shared" si="10"/>
        <v>14907623.171210859</v>
      </c>
    </row>
    <row r="38" spans="1:15" x14ac:dyDescent="0.2">
      <c r="A38" s="66">
        <v>44957</v>
      </c>
      <c r="B38" s="66"/>
      <c r="C38" s="67">
        <f>SUM('Deferred Return Cal (2024)'!O23:P23)</f>
        <v>1658331.0328410717</v>
      </c>
      <c r="D38" s="68">
        <f t="shared" si="3"/>
        <v>20528740.110323172</v>
      </c>
      <c r="E38" s="68">
        <f>(D26+D38+SUM(D27:D37)*2)/24</f>
        <v>10322514.645794142</v>
      </c>
      <c r="F38" s="145"/>
      <c r="G38" s="68">
        <f t="shared" ref="G38:G96" si="13">G37-F38</f>
        <v>0</v>
      </c>
      <c r="H38" s="68">
        <f t="shared" ref="H38:H96" si="14">(G26+G38+SUM(G27:G37)*2)/24</f>
        <v>0</v>
      </c>
      <c r="I38" s="68">
        <f t="shared" ref="I38:I96" si="15">E38+H38</f>
        <v>10322514.645794142</v>
      </c>
      <c r="J38" s="68">
        <f t="shared" si="1"/>
        <v>-348249.51689662505</v>
      </c>
      <c r="K38" s="73">
        <f t="shared" si="2"/>
        <v>-4311035.4231678657</v>
      </c>
      <c r="L38" s="68">
        <f t="shared" ref="L38:L96" si="16">(K26+K38+SUM(K27:K37)*2)/24</f>
        <v>-2167728.0756167695</v>
      </c>
      <c r="M38" s="74">
        <f t="shared" si="12"/>
        <v>8154786.5701773725</v>
      </c>
      <c r="N38" s="69">
        <f t="shared" si="10"/>
        <v>16217704.687155306</v>
      </c>
    </row>
    <row r="39" spans="1:15" x14ac:dyDescent="0.2">
      <c r="A39" s="66">
        <v>44985</v>
      </c>
      <c r="B39" s="66"/>
      <c r="C39" s="67">
        <f>'Deferred Return Cal (2024)'!$Q$23</f>
        <v>1645181.6457436087</v>
      </c>
      <c r="D39" s="68">
        <f t="shared" si="3"/>
        <v>22173921.756066781</v>
      </c>
      <c r="E39" s="68">
        <f t="shared" ref="E39:E96" si="17">(D27+D39+SUM(D28:D38)*2)/24</f>
        <v>12029608.042589223</v>
      </c>
      <c r="F39" s="145"/>
      <c r="G39" s="68">
        <f t="shared" si="13"/>
        <v>0</v>
      </c>
      <c r="H39" s="68">
        <f t="shared" si="14"/>
        <v>0</v>
      </c>
      <c r="I39" s="68">
        <f t="shared" si="15"/>
        <v>12029608.042589223</v>
      </c>
      <c r="J39" s="68">
        <f t="shared" si="1"/>
        <v>-345488.14560615784</v>
      </c>
      <c r="K39" s="73">
        <f t="shared" si="2"/>
        <v>-4656523.568774024</v>
      </c>
      <c r="L39" s="68">
        <f t="shared" si="16"/>
        <v>-2526217.6889437363</v>
      </c>
      <c r="M39" s="74">
        <f t="shared" si="12"/>
        <v>9503390.3536454868</v>
      </c>
      <c r="N39" s="69">
        <f t="shared" si="10"/>
        <v>17517398.187292755</v>
      </c>
    </row>
    <row r="40" spans="1:15" x14ac:dyDescent="0.2">
      <c r="A40" s="66">
        <v>45016</v>
      </c>
      <c r="B40" s="66"/>
      <c r="C40" s="67">
        <f>'Deferred Return Cal (2024)'!$R$23</f>
        <v>1640175.3157687837</v>
      </c>
      <c r="D40" s="68">
        <f t="shared" si="3"/>
        <v>23814097.071835563</v>
      </c>
      <c r="E40" s="68">
        <f t="shared" si="17"/>
        <v>13729338.074374462</v>
      </c>
      <c r="F40" s="145"/>
      <c r="G40" s="68">
        <f t="shared" si="13"/>
        <v>0</v>
      </c>
      <c r="H40" s="68">
        <f t="shared" si="14"/>
        <v>0</v>
      </c>
      <c r="I40" s="68">
        <f t="shared" si="15"/>
        <v>13729338.074374462</v>
      </c>
      <c r="J40" s="68">
        <f t="shared" si="1"/>
        <v>-344436.81631144456</v>
      </c>
      <c r="K40" s="73">
        <f t="shared" si="2"/>
        <v>-5000960.3850854682</v>
      </c>
      <c r="L40" s="68">
        <f t="shared" si="16"/>
        <v>-2883160.9956186377</v>
      </c>
      <c r="M40" s="74">
        <f t="shared" si="12"/>
        <v>10846177.078755824</v>
      </c>
      <c r="N40" s="69">
        <f t="shared" si="10"/>
        <v>18813136.686750095</v>
      </c>
    </row>
    <row r="41" spans="1:15" x14ac:dyDescent="0.2">
      <c r="A41" s="66">
        <v>45046</v>
      </c>
      <c r="B41" s="66"/>
      <c r="C41" s="67">
        <f>'Deferred Return Cal (2024)'!$S$23</f>
        <v>1635104.7949539849</v>
      </c>
      <c r="D41" s="68">
        <f t="shared" si="3"/>
        <v>25449201.866789546</v>
      </c>
      <c r="E41" s="68">
        <f t="shared" si="17"/>
        <v>15421550.392546305</v>
      </c>
      <c r="F41" s="145"/>
      <c r="G41" s="68">
        <f t="shared" si="13"/>
        <v>0</v>
      </c>
      <c r="H41" s="68">
        <f t="shared" si="14"/>
        <v>0</v>
      </c>
      <c r="I41" s="68">
        <f t="shared" si="15"/>
        <v>15421550.392546305</v>
      </c>
      <c r="J41" s="68">
        <f t="shared" si="1"/>
        <v>-343372.00694033684</v>
      </c>
      <c r="K41" s="73">
        <f t="shared" si="2"/>
        <v>-5344332.3920258051</v>
      </c>
      <c r="L41" s="68">
        <f t="shared" si="16"/>
        <v>-3238525.582434725</v>
      </c>
      <c r="M41" s="74">
        <f t="shared" si="12"/>
        <v>12183024.81011158</v>
      </c>
      <c r="N41" s="69">
        <f t="shared" si="10"/>
        <v>20104869.47476374</v>
      </c>
    </row>
    <row r="42" spans="1:15" x14ac:dyDescent="0.2">
      <c r="A42" s="66">
        <v>45077</v>
      </c>
      <c r="B42" s="66"/>
      <c r="C42" s="67">
        <f>'Deferred Return Cal (2024)'!$T$23</f>
        <v>1630034.2741391861</v>
      </c>
      <c r="D42" s="68">
        <f t="shared" si="3"/>
        <v>27079236.14092873</v>
      </c>
      <c r="E42" s="68">
        <f t="shared" si="17"/>
        <v>17106107.925826419</v>
      </c>
      <c r="F42" s="145"/>
      <c r="G42" s="68">
        <f t="shared" si="13"/>
        <v>0</v>
      </c>
      <c r="H42" s="68">
        <f t="shared" si="14"/>
        <v>0</v>
      </c>
      <c r="I42" s="68">
        <f t="shared" si="15"/>
        <v>17106107.925826419</v>
      </c>
      <c r="J42" s="68">
        <f t="shared" si="1"/>
        <v>-342307.19756922906</v>
      </c>
      <c r="K42" s="73">
        <f t="shared" si="2"/>
        <v>-5686639.5895950338</v>
      </c>
      <c r="L42" s="68">
        <f t="shared" si="16"/>
        <v>-3592282.6644235491</v>
      </c>
      <c r="M42" s="74">
        <f t="shared" si="12"/>
        <v>13513825.26140287</v>
      </c>
      <c r="N42" s="69">
        <f t="shared" si="10"/>
        <v>21392596.551333696</v>
      </c>
    </row>
    <row r="43" spans="1:15" x14ac:dyDescent="0.2">
      <c r="A43" s="66">
        <v>45107</v>
      </c>
      <c r="B43" s="66"/>
      <c r="C43" s="67">
        <f>'Deferred Return Cal (2024)'!$U$23</f>
        <v>1624963.7533243876</v>
      </c>
      <c r="D43" s="68">
        <f t="shared" si="3"/>
        <v>28704199.89425312</v>
      </c>
      <c r="E43" s="68">
        <f t="shared" si="17"/>
        <v>18782878.462958198</v>
      </c>
      <c r="F43" s="145"/>
      <c r="G43" s="68">
        <f t="shared" si="13"/>
        <v>0</v>
      </c>
      <c r="H43" s="68">
        <f t="shared" si="14"/>
        <v>0</v>
      </c>
      <c r="I43" s="68">
        <f t="shared" si="15"/>
        <v>18782878.462958198</v>
      </c>
      <c r="J43" s="68">
        <f t="shared" si="1"/>
        <v>-341242.38819812139</v>
      </c>
      <c r="K43" s="73">
        <f t="shared" si="2"/>
        <v>-6027881.9777931552</v>
      </c>
      <c r="L43" s="68">
        <f t="shared" si="16"/>
        <v>-3944404.4772212212</v>
      </c>
      <c r="M43" s="74">
        <f t="shared" si="12"/>
        <v>14838473.985736977</v>
      </c>
      <c r="N43" s="69">
        <f t="shared" si="10"/>
        <v>22676317.916459963</v>
      </c>
      <c r="O43" s="68"/>
    </row>
    <row r="44" spans="1:15" x14ac:dyDescent="0.2">
      <c r="A44" s="66">
        <v>45138</v>
      </c>
      <c r="B44" s="66"/>
      <c r="C44" s="67">
        <f>'Deferred Return Cal (2024)'!$V$23</f>
        <v>1619893.2325095886</v>
      </c>
      <c r="D44" s="68">
        <f t="shared" si="3"/>
        <v>30324093.126762707</v>
      </c>
      <c r="E44" s="68">
        <f t="shared" si="17"/>
        <v>20451749.68686929</v>
      </c>
      <c r="F44" s="145"/>
      <c r="G44" s="68">
        <f t="shared" si="13"/>
        <v>0</v>
      </c>
      <c r="H44" s="68">
        <f t="shared" si="14"/>
        <v>0</v>
      </c>
      <c r="I44" s="68">
        <f t="shared" si="15"/>
        <v>20451749.68686929</v>
      </c>
      <c r="J44" s="68">
        <f t="shared" si="1"/>
        <v>-340177.57882701361</v>
      </c>
      <c r="K44" s="73">
        <f t="shared" si="2"/>
        <v>-6368059.5566201685</v>
      </c>
      <c r="L44" s="68">
        <f t="shared" si="16"/>
        <v>-4294867.4342425503</v>
      </c>
      <c r="M44" s="74">
        <f t="shared" si="12"/>
        <v>16156882.252626739</v>
      </c>
      <c r="N44" s="69">
        <f t="shared" si="10"/>
        <v>23956033.570142537</v>
      </c>
      <c r="O44" s="68"/>
    </row>
    <row r="45" spans="1:15" x14ac:dyDescent="0.2">
      <c r="A45" s="66">
        <v>45169</v>
      </c>
      <c r="B45" s="66"/>
      <c r="C45" s="67">
        <f>'Deferred Return Cal (2024)'!$W$23</f>
        <v>1614822.7116947894</v>
      </c>
      <c r="D45" s="68">
        <f t="shared" si="3"/>
        <v>31938915.838457495</v>
      </c>
      <c r="E45" s="68">
        <f t="shared" si="17"/>
        <v>22112604.043700207</v>
      </c>
      <c r="F45" s="145"/>
      <c r="G45" s="68">
        <f t="shared" si="13"/>
        <v>0</v>
      </c>
      <c r="H45" s="68">
        <f t="shared" si="14"/>
        <v>0</v>
      </c>
      <c r="I45" s="68">
        <f t="shared" si="15"/>
        <v>22112604.043700207</v>
      </c>
      <c r="J45" s="68">
        <f t="shared" si="1"/>
        <v>-339112.76945590577</v>
      </c>
      <c r="K45" s="73">
        <f t="shared" si="2"/>
        <v>-6707172.3260760745</v>
      </c>
      <c r="L45" s="68">
        <f t="shared" si="16"/>
        <v>-4643646.8491770439</v>
      </c>
      <c r="M45" s="74">
        <f t="shared" si="12"/>
        <v>17468957.194523163</v>
      </c>
      <c r="N45" s="69">
        <f t="shared" si="10"/>
        <v>25231743.51238142</v>
      </c>
      <c r="O45" s="68"/>
    </row>
    <row r="46" spans="1:15" x14ac:dyDescent="0.2">
      <c r="A46" s="66">
        <v>45199</v>
      </c>
      <c r="B46" s="66"/>
      <c r="C46" s="67">
        <f>'Deferred Return Cal (2024)'!$X$23</f>
        <v>1609752.190879991</v>
      </c>
      <c r="D46" s="68">
        <f t="shared" si="3"/>
        <v>33548668.029337484</v>
      </c>
      <c r="E46" s="68">
        <f t="shared" si="17"/>
        <v>23765292.09815282</v>
      </c>
      <c r="F46" s="145"/>
      <c r="G46" s="68">
        <f t="shared" si="13"/>
        <v>0</v>
      </c>
      <c r="H46" s="68">
        <f t="shared" si="14"/>
        <v>0</v>
      </c>
      <c r="I46" s="68">
        <f t="shared" si="15"/>
        <v>23765292.09815282</v>
      </c>
      <c r="J46" s="68">
        <f t="shared" si="1"/>
        <v>-338047.96008479811</v>
      </c>
      <c r="K46" s="73">
        <f t="shared" si="2"/>
        <v>-7045220.2861608723</v>
      </c>
      <c r="L46" s="68">
        <f t="shared" si="16"/>
        <v>-4990711.3406120921</v>
      </c>
      <c r="M46" s="74">
        <f t="shared" si="12"/>
        <v>18774580.757540729</v>
      </c>
      <c r="N46" s="69">
        <f t="shared" si="10"/>
        <v>26503447.743176613</v>
      </c>
      <c r="O46" s="68"/>
    </row>
    <row r="47" spans="1:15" ht="13.5" thickBot="1" x14ac:dyDescent="0.25">
      <c r="A47" s="66">
        <v>45230</v>
      </c>
      <c r="B47" s="66"/>
      <c r="C47" s="67">
        <f>'Deferred Return Cal (2024)'!$Y$23</f>
        <v>1604681.6700651918</v>
      </c>
      <c r="D47" s="68">
        <f t="shared" si="3"/>
        <v>35153349.699402675</v>
      </c>
      <c r="E47" s="68">
        <f t="shared" si="17"/>
        <v>25409670.887422878</v>
      </c>
      <c r="F47" s="145"/>
      <c r="G47" s="68">
        <f t="shared" si="13"/>
        <v>0</v>
      </c>
      <c r="H47" s="68">
        <f t="shared" si="14"/>
        <v>0</v>
      </c>
      <c r="I47" s="68">
        <f t="shared" si="15"/>
        <v>25409670.887422878</v>
      </c>
      <c r="J47" s="68">
        <f t="shared" si="1"/>
        <v>-336983.15071369027</v>
      </c>
      <c r="K47" s="73">
        <f t="shared" si="2"/>
        <v>-7382203.4368745629</v>
      </c>
      <c r="L47" s="68">
        <f t="shared" si="16"/>
        <v>-5336030.886358805</v>
      </c>
      <c r="M47" s="74">
        <f t="shared" si="12"/>
        <v>20073640.001064073</v>
      </c>
      <c r="N47" s="69">
        <f t="shared" si="10"/>
        <v>27771146.262528114</v>
      </c>
      <c r="O47" s="68"/>
    </row>
    <row r="48" spans="1:15" x14ac:dyDescent="0.2">
      <c r="A48" s="158">
        <v>45260</v>
      </c>
      <c r="B48" s="158" t="s">
        <v>189</v>
      </c>
      <c r="C48" s="159"/>
      <c r="D48" s="160">
        <f t="shared" si="3"/>
        <v>35153349.699402675</v>
      </c>
      <c r="E48" s="160">
        <f t="shared" si="17"/>
        <v>26978975.56509177</v>
      </c>
      <c r="F48" s="172">
        <f t="shared" ref="F48:F95" si="18">D48/48</f>
        <v>732361.45207088906</v>
      </c>
      <c r="G48" s="160">
        <f t="shared" si="13"/>
        <v>-732361.45207088906</v>
      </c>
      <c r="H48" s="160">
        <f t="shared" si="14"/>
        <v>-30515.060502953711</v>
      </c>
      <c r="I48" s="160">
        <f t="shared" si="15"/>
        <v>26948460.504588816</v>
      </c>
      <c r="J48" s="160">
        <f t="shared" si="1"/>
        <v>153795.9049348867</v>
      </c>
      <c r="K48" s="162">
        <f t="shared" si="2"/>
        <v>-7228407.531939676</v>
      </c>
      <c r="L48" s="160">
        <f t="shared" si="16"/>
        <v>-5659176.7059636516</v>
      </c>
      <c r="M48" s="163">
        <f t="shared" si="12"/>
        <v>21289283.798625164</v>
      </c>
      <c r="N48" s="164">
        <f t="shared" si="10"/>
        <v>27192580.715392105</v>
      </c>
      <c r="O48" s="68"/>
    </row>
    <row r="49" spans="1:15" x14ac:dyDescent="0.2">
      <c r="A49" s="66">
        <v>45291</v>
      </c>
      <c r="B49" s="66" t="s">
        <v>189</v>
      </c>
      <c r="C49" s="68"/>
      <c r="D49" s="68">
        <f t="shared" si="3"/>
        <v>35153349.699402675</v>
      </c>
      <c r="E49" s="68">
        <f t="shared" si="17"/>
        <v>28406637.718500197</v>
      </c>
      <c r="F49" s="145">
        <f t="shared" si="18"/>
        <v>732361.45207088906</v>
      </c>
      <c r="G49" s="68">
        <f t="shared" si="13"/>
        <v>-1464722.9041417781</v>
      </c>
      <c r="H49" s="68">
        <f t="shared" si="14"/>
        <v>-122060.24201181484</v>
      </c>
      <c r="I49" s="68">
        <f t="shared" si="15"/>
        <v>28284577.476488382</v>
      </c>
      <c r="J49" s="68">
        <f t="shared" si="1"/>
        <v>153795.9049348867</v>
      </c>
      <c r="K49" s="73">
        <f t="shared" si="2"/>
        <v>-7074611.6270047892</v>
      </c>
      <c r="L49" s="68">
        <f t="shared" si="16"/>
        <v>-5939761.2700625593</v>
      </c>
      <c r="M49" s="74">
        <f t="shared" si="12"/>
        <v>22344816.206425823</v>
      </c>
      <c r="N49" s="69">
        <f t="shared" si="10"/>
        <v>26614015.168256111</v>
      </c>
      <c r="O49" s="68"/>
    </row>
    <row r="50" spans="1:15" x14ac:dyDescent="0.2">
      <c r="A50" s="66">
        <v>45322</v>
      </c>
      <c r="B50" s="66" t="s">
        <v>189</v>
      </c>
      <c r="C50" s="68"/>
      <c r="D50" s="68">
        <f t="shared" si="3"/>
        <v>35153349.699402675</v>
      </c>
      <c r="E50" s="68">
        <f t="shared" si="17"/>
        <v>29694452.310625207</v>
      </c>
      <c r="F50" s="145">
        <f t="shared" si="18"/>
        <v>732361.45207088906</v>
      </c>
      <c r="G50" s="68">
        <f t="shared" si="13"/>
        <v>-2197084.3562126672</v>
      </c>
      <c r="H50" s="68">
        <f t="shared" si="14"/>
        <v>-274635.5445265834</v>
      </c>
      <c r="I50" s="68">
        <f t="shared" si="15"/>
        <v>29419816.766098622</v>
      </c>
      <c r="J50" s="68">
        <f t="shared" si="1"/>
        <v>153795.9049348867</v>
      </c>
      <c r="K50" s="73">
        <f t="shared" si="2"/>
        <v>-6920815.7220699023</v>
      </c>
      <c r="L50" s="68">
        <f t="shared" si="16"/>
        <v>-6178161.5208807103</v>
      </c>
      <c r="M50" s="74">
        <f t="shared" si="12"/>
        <v>23241655.245217912</v>
      </c>
      <c r="N50" s="69">
        <f t="shared" si="10"/>
        <v>26035449.621120103</v>
      </c>
      <c r="O50" s="68"/>
    </row>
    <row r="51" spans="1:15" x14ac:dyDescent="0.2">
      <c r="A51" s="66">
        <v>45351</v>
      </c>
      <c r="B51" s="66" t="s">
        <v>189</v>
      </c>
      <c r="C51" s="68"/>
      <c r="D51" s="68">
        <f t="shared" si="3"/>
        <v>35153349.699402675</v>
      </c>
      <c r="E51" s="68">
        <f t="shared" si="17"/>
        <v>30844620.541142512</v>
      </c>
      <c r="F51" s="145">
        <f t="shared" si="18"/>
        <v>732361.45207088906</v>
      </c>
      <c r="G51" s="68">
        <f t="shared" si="13"/>
        <v>-2929445.8082835563</v>
      </c>
      <c r="H51" s="68">
        <f t="shared" si="14"/>
        <v>-488240.96804725938</v>
      </c>
      <c r="I51" s="68">
        <f t="shared" si="15"/>
        <v>30356379.573095255</v>
      </c>
      <c r="J51" s="68">
        <f t="shared" si="1"/>
        <v>153795.9049348867</v>
      </c>
      <c r="K51" s="73">
        <f t="shared" si="2"/>
        <v>-6767019.8171350155</v>
      </c>
      <c r="L51" s="68">
        <f t="shared" si="16"/>
        <v>-6374839.7103500022</v>
      </c>
      <c r="M51" s="74">
        <f t="shared" si="12"/>
        <v>23981539.862745252</v>
      </c>
      <c r="N51" s="69">
        <f t="shared" si="10"/>
        <v>25456884.073984101</v>
      </c>
    </row>
    <row r="52" spans="1:15" x14ac:dyDescent="0.2">
      <c r="A52" s="66">
        <v>45382</v>
      </c>
      <c r="B52" s="66" t="s">
        <v>189</v>
      </c>
      <c r="C52" s="68"/>
      <c r="D52" s="68">
        <f t="shared" si="3"/>
        <v>35153349.699402675</v>
      </c>
      <c r="E52" s="68">
        <f t="shared" si="17"/>
        <v>31857898.898263469</v>
      </c>
      <c r="F52" s="145">
        <f t="shared" si="18"/>
        <v>732361.45207088906</v>
      </c>
      <c r="G52" s="68">
        <f t="shared" si="13"/>
        <v>-3661807.2603544453</v>
      </c>
      <c r="H52" s="68">
        <f t="shared" si="14"/>
        <v>-762876.51257384277</v>
      </c>
      <c r="I52" s="68">
        <f t="shared" si="15"/>
        <v>31095022.385689627</v>
      </c>
      <c r="J52" s="68">
        <f t="shared" si="1"/>
        <v>153795.9049348867</v>
      </c>
      <c r="K52" s="73">
        <f t="shared" si="2"/>
        <v>-6613223.9122001287</v>
      </c>
      <c r="L52" s="68">
        <f t="shared" si="16"/>
        <v>-6529954.7009948203</v>
      </c>
      <c r="M52" s="74">
        <f t="shared" si="12"/>
        <v>24565067.684694808</v>
      </c>
      <c r="N52" s="69">
        <f t="shared" si="10"/>
        <v>24878318.5268481</v>
      </c>
    </row>
    <row r="53" spans="1:15" x14ac:dyDescent="0.2">
      <c r="A53" s="66">
        <v>45412</v>
      </c>
      <c r="B53" s="66" t="s">
        <v>189</v>
      </c>
      <c r="C53" s="68"/>
      <c r="D53" s="68">
        <f t="shared" si="3"/>
        <v>35153349.699402675</v>
      </c>
      <c r="E53" s="68">
        <f t="shared" si="17"/>
        <v>32734707.250770982</v>
      </c>
      <c r="F53" s="145">
        <f t="shared" si="18"/>
        <v>732361.45207088906</v>
      </c>
      <c r="G53" s="68">
        <f t="shared" si="13"/>
        <v>-4394168.7124253344</v>
      </c>
      <c r="H53" s="68">
        <f t="shared" si="14"/>
        <v>-1098542.1781063338</v>
      </c>
      <c r="I53" s="68">
        <f t="shared" si="15"/>
        <v>31636165.072664648</v>
      </c>
      <c r="J53" s="68">
        <f t="shared" si="1"/>
        <v>153795.9049348867</v>
      </c>
      <c r="K53" s="73">
        <f t="shared" si="2"/>
        <v>-6459428.0072652418</v>
      </c>
      <c r="L53" s="68">
        <f t="shared" si="16"/>
        <v>-6643594.6652595745</v>
      </c>
      <c r="M53" s="74">
        <f t="shared" si="12"/>
        <v>24992570.407405075</v>
      </c>
      <c r="N53" s="69">
        <f t="shared" si="10"/>
        <v>24299752.979712099</v>
      </c>
    </row>
    <row r="54" spans="1:15" x14ac:dyDescent="0.2">
      <c r="A54" s="66">
        <v>45443</v>
      </c>
      <c r="B54" s="66" t="s">
        <v>189</v>
      </c>
      <c r="C54" s="68"/>
      <c r="D54" s="68">
        <f t="shared" si="3"/>
        <v>35153349.699402675</v>
      </c>
      <c r="E54" s="68">
        <f t="shared" si="17"/>
        <v>33475468.142066274</v>
      </c>
      <c r="F54" s="145">
        <f t="shared" si="18"/>
        <v>732361.45207088906</v>
      </c>
      <c r="G54" s="68">
        <f t="shared" si="13"/>
        <v>-5126530.1644962234</v>
      </c>
      <c r="H54" s="68">
        <f t="shared" si="14"/>
        <v>-1495237.964644732</v>
      </c>
      <c r="I54" s="68">
        <f t="shared" si="15"/>
        <v>31980230.17742154</v>
      </c>
      <c r="J54" s="68">
        <f t="shared" si="1"/>
        <v>153795.9049348867</v>
      </c>
      <c r="K54" s="73">
        <f t="shared" si="2"/>
        <v>-6305632.102330355</v>
      </c>
      <c r="L54" s="68">
        <f t="shared" si="16"/>
        <v>-6715848.3372585224</v>
      </c>
      <c r="M54" s="74">
        <f t="shared" si="12"/>
        <v>25264381.840163019</v>
      </c>
      <c r="N54" s="69">
        <f t="shared" si="10"/>
        <v>23721187.432576098</v>
      </c>
    </row>
    <row r="55" spans="1:15" x14ac:dyDescent="0.2">
      <c r="A55" s="66">
        <v>45473</v>
      </c>
      <c r="B55" s="66" t="s">
        <v>189</v>
      </c>
      <c r="C55" s="68"/>
      <c r="D55" s="68">
        <f t="shared" si="3"/>
        <v>35153349.699402675</v>
      </c>
      <c r="E55" s="68">
        <f t="shared" si="17"/>
        <v>34080604.115550585</v>
      </c>
      <c r="F55" s="145">
        <f t="shared" si="18"/>
        <v>732361.45207088906</v>
      </c>
      <c r="G55" s="68">
        <f t="shared" si="13"/>
        <v>-5858891.6165671125</v>
      </c>
      <c r="H55" s="68">
        <f t="shared" si="14"/>
        <v>-1952963.8721890375</v>
      </c>
      <c r="I55" s="68">
        <f t="shared" si="15"/>
        <v>32127640.243361548</v>
      </c>
      <c r="J55" s="68">
        <f t="shared" si="1"/>
        <v>153795.9049348867</v>
      </c>
      <c r="K55" s="73">
        <f t="shared" si="2"/>
        <v>-6151836.1973954681</v>
      </c>
      <c r="L55" s="68">
        <f t="shared" si="16"/>
        <v>-6746804.4511059262</v>
      </c>
      <c r="M55" s="74">
        <f t="shared" si="12"/>
        <v>25380835.792255621</v>
      </c>
      <c r="N55" s="69">
        <f t="shared" si="10"/>
        <v>23142621.885440096</v>
      </c>
    </row>
    <row r="56" spans="1:15" x14ac:dyDescent="0.2">
      <c r="A56" s="66">
        <v>45504</v>
      </c>
      <c r="B56" s="66" t="s">
        <v>189</v>
      </c>
      <c r="C56" s="68"/>
      <c r="D56" s="68">
        <f t="shared" si="3"/>
        <v>35153349.699402675</v>
      </c>
      <c r="E56" s="68">
        <f t="shared" si="17"/>
        <v>34550537.71462515</v>
      </c>
      <c r="F56" s="145">
        <f t="shared" si="18"/>
        <v>732361.45207088906</v>
      </c>
      <c r="G56" s="68">
        <f t="shared" si="13"/>
        <v>-6591253.0686380016</v>
      </c>
      <c r="H56" s="68">
        <f t="shared" si="14"/>
        <v>-2471719.9007392507</v>
      </c>
      <c r="I56" s="68">
        <f t="shared" si="15"/>
        <v>32078817.813885897</v>
      </c>
      <c r="J56" s="68">
        <f t="shared" si="1"/>
        <v>153795.9049348867</v>
      </c>
      <c r="K56" s="73">
        <f t="shared" si="2"/>
        <v>-5998040.2924605813</v>
      </c>
      <c r="L56" s="68">
        <f t="shared" si="16"/>
        <v>-6736551.7409160389</v>
      </c>
      <c r="M56" s="74">
        <f t="shared" si="12"/>
        <v>25342266.072969858</v>
      </c>
      <c r="N56" s="69">
        <f t="shared" si="10"/>
        <v>22564056.338304095</v>
      </c>
    </row>
    <row r="57" spans="1:15" x14ac:dyDescent="0.2">
      <c r="A57" s="66">
        <v>45535</v>
      </c>
      <c r="B57" s="66" t="s">
        <v>189</v>
      </c>
      <c r="C57" s="68"/>
      <c r="D57" s="68">
        <f t="shared" si="3"/>
        <v>35153349.699402675</v>
      </c>
      <c r="E57" s="68">
        <f t="shared" si="17"/>
        <v>34885691.482691199</v>
      </c>
      <c r="F57" s="145">
        <f t="shared" si="18"/>
        <v>732361.45207088906</v>
      </c>
      <c r="G57" s="68">
        <f t="shared" si="13"/>
        <v>-7323614.5207088906</v>
      </c>
      <c r="H57" s="68">
        <f t="shared" si="14"/>
        <v>-3051506.0502953711</v>
      </c>
      <c r="I57" s="68">
        <f t="shared" si="15"/>
        <v>31834185.432395827</v>
      </c>
      <c r="J57" s="68">
        <f t="shared" si="1"/>
        <v>153795.9049348867</v>
      </c>
      <c r="K57" s="73">
        <f t="shared" si="2"/>
        <v>-5844244.3875256944</v>
      </c>
      <c r="L57" s="68">
        <f t="shared" si="16"/>
        <v>-6685178.9408031227</v>
      </c>
      <c r="M57" s="74">
        <f t="shared" si="12"/>
        <v>25149006.491592705</v>
      </c>
      <c r="N57" s="69">
        <f t="shared" si="10"/>
        <v>21985490.791168094</v>
      </c>
    </row>
    <row r="58" spans="1:15" x14ac:dyDescent="0.2">
      <c r="A58" s="66">
        <v>45565</v>
      </c>
      <c r="B58" s="66" t="s">
        <v>189</v>
      </c>
      <c r="C58" s="68"/>
      <c r="D58" s="68">
        <f t="shared" si="3"/>
        <v>35153349.699402675</v>
      </c>
      <c r="E58" s="68">
        <f t="shared" si="17"/>
        <v>35086487.963149965</v>
      </c>
      <c r="F58" s="145">
        <f t="shared" si="18"/>
        <v>732361.45207088906</v>
      </c>
      <c r="G58" s="68">
        <f t="shared" si="13"/>
        <v>-8055975.9727797797</v>
      </c>
      <c r="H58" s="68">
        <f t="shared" si="14"/>
        <v>-3692322.3208573987</v>
      </c>
      <c r="I58" s="68">
        <f t="shared" si="15"/>
        <v>31394165.642292567</v>
      </c>
      <c r="J58" s="68">
        <f t="shared" si="1"/>
        <v>153795.9049348867</v>
      </c>
      <c r="K58" s="73">
        <f t="shared" si="2"/>
        <v>-5690448.4825908076</v>
      </c>
      <c r="L58" s="68">
        <f t="shared" si="16"/>
        <v>-6592774.7848814381</v>
      </c>
      <c r="M58" s="74">
        <f t="shared" si="12"/>
        <v>24801390.857411128</v>
      </c>
      <c r="N58" s="69">
        <f t="shared" si="10"/>
        <v>21406925.244032085</v>
      </c>
    </row>
    <row r="59" spans="1:15" ht="13.5" thickBot="1" x14ac:dyDescent="0.25">
      <c r="A59" s="66">
        <v>45596</v>
      </c>
      <c r="B59" s="66" t="s">
        <v>189</v>
      </c>
      <c r="C59" s="68"/>
      <c r="D59" s="68">
        <f t="shared" si="3"/>
        <v>35153349.699402675</v>
      </c>
      <c r="E59" s="68">
        <f t="shared" si="17"/>
        <v>35153349.699402682</v>
      </c>
      <c r="F59" s="145">
        <f t="shared" si="18"/>
        <v>732361.45207088906</v>
      </c>
      <c r="G59" s="68">
        <f t="shared" si="13"/>
        <v>-8788337.4248506688</v>
      </c>
      <c r="H59" s="68">
        <f t="shared" si="14"/>
        <v>-4394168.7124253344</v>
      </c>
      <c r="I59" s="68">
        <f t="shared" si="15"/>
        <v>30759180.986977346</v>
      </c>
      <c r="J59" s="68">
        <f t="shared" si="1"/>
        <v>153795.9049348867</v>
      </c>
      <c r="K59" s="73">
        <f t="shared" si="2"/>
        <v>-5536652.5776559208</v>
      </c>
      <c r="L59" s="68">
        <f t="shared" si="16"/>
        <v>-6459428.0072652409</v>
      </c>
      <c r="M59" s="205">
        <f t="shared" si="12"/>
        <v>24299752.979712106</v>
      </c>
      <c r="N59" s="69">
        <f t="shared" si="10"/>
        <v>20828359.696896084</v>
      </c>
    </row>
    <row r="60" spans="1:15" x14ac:dyDescent="0.2">
      <c r="A60" s="158">
        <v>45626</v>
      </c>
      <c r="B60" s="165" t="s">
        <v>190</v>
      </c>
      <c r="C60" s="160"/>
      <c r="D60" s="160">
        <f t="shared" si="3"/>
        <v>35153349.699402675</v>
      </c>
      <c r="E60" s="160">
        <f t="shared" si="17"/>
        <v>35153349.699402682</v>
      </c>
      <c r="F60" s="172">
        <f t="shared" si="18"/>
        <v>732361.45207088906</v>
      </c>
      <c r="G60" s="160">
        <f t="shared" si="13"/>
        <v>-9520698.8769215569</v>
      </c>
      <c r="H60" s="160">
        <f t="shared" si="14"/>
        <v>-5126530.1644962234</v>
      </c>
      <c r="I60" s="160">
        <f t="shared" si="15"/>
        <v>30026819.534906458</v>
      </c>
      <c r="J60" s="160">
        <f t="shared" si="1"/>
        <v>153795.9049348867</v>
      </c>
      <c r="K60" s="162">
        <f t="shared" si="2"/>
        <v>-5382856.6727210339</v>
      </c>
      <c r="L60" s="160">
        <f t="shared" si="16"/>
        <v>-6305632.1023303559</v>
      </c>
      <c r="M60" s="163">
        <f t="shared" si="12"/>
        <v>23721187.432576101</v>
      </c>
      <c r="N60" s="164">
        <f t="shared" si="10"/>
        <v>20249794.149760082</v>
      </c>
    </row>
    <row r="61" spans="1:15" x14ac:dyDescent="0.2">
      <c r="A61" s="66">
        <v>45657</v>
      </c>
      <c r="B61" s="35" t="s">
        <v>190</v>
      </c>
      <c r="C61" s="68"/>
      <c r="D61" s="68">
        <f t="shared" si="3"/>
        <v>35153349.699402675</v>
      </c>
      <c r="E61" s="68">
        <f t="shared" si="17"/>
        <v>35153349.699402682</v>
      </c>
      <c r="F61" s="145">
        <f t="shared" si="18"/>
        <v>732361.45207088906</v>
      </c>
      <c r="G61" s="68">
        <f t="shared" si="13"/>
        <v>-10253060.328992445</v>
      </c>
      <c r="H61" s="68">
        <f t="shared" si="14"/>
        <v>-5858891.6165671125</v>
      </c>
      <c r="I61" s="68">
        <f t="shared" si="15"/>
        <v>29294458.08283557</v>
      </c>
      <c r="J61" s="68">
        <f t="shared" si="1"/>
        <v>153795.9049348867</v>
      </c>
      <c r="K61" s="73">
        <f t="shared" si="2"/>
        <v>-5229060.7677861471</v>
      </c>
      <c r="L61" s="68">
        <f t="shared" si="16"/>
        <v>-6151836.1973954691</v>
      </c>
      <c r="M61" s="74">
        <f t="shared" si="12"/>
        <v>23142621.8854401</v>
      </c>
      <c r="N61" s="69">
        <f t="shared" si="10"/>
        <v>19671228.602624081</v>
      </c>
    </row>
    <row r="62" spans="1:15" x14ac:dyDescent="0.2">
      <c r="A62" s="66">
        <v>45688</v>
      </c>
      <c r="B62" s="35" t="s">
        <v>190</v>
      </c>
      <c r="C62" s="68"/>
      <c r="D62" s="68">
        <f t="shared" si="3"/>
        <v>35153349.699402675</v>
      </c>
      <c r="E62" s="68">
        <f t="shared" si="17"/>
        <v>35153349.699402682</v>
      </c>
      <c r="F62" s="145">
        <f t="shared" si="18"/>
        <v>732361.45207088906</v>
      </c>
      <c r="G62" s="68">
        <f t="shared" si="13"/>
        <v>-10985421.781063333</v>
      </c>
      <c r="H62" s="68">
        <f t="shared" si="14"/>
        <v>-6591253.0686380016</v>
      </c>
      <c r="I62" s="68">
        <f t="shared" si="15"/>
        <v>28562096.630764682</v>
      </c>
      <c r="J62" s="68">
        <f t="shared" si="1"/>
        <v>153795.9049348867</v>
      </c>
      <c r="K62" s="73">
        <f t="shared" si="2"/>
        <v>-5075264.8628512602</v>
      </c>
      <c r="L62" s="68">
        <f t="shared" si="16"/>
        <v>-5998040.2924605804</v>
      </c>
      <c r="M62" s="74">
        <f t="shared" si="12"/>
        <v>22564056.338304102</v>
      </c>
      <c r="N62" s="69">
        <f t="shared" si="10"/>
        <v>19092663.05548808</v>
      </c>
    </row>
    <row r="63" spans="1:15" x14ac:dyDescent="0.2">
      <c r="A63" s="66">
        <v>45716</v>
      </c>
      <c r="B63" s="35" t="s">
        <v>190</v>
      </c>
      <c r="C63" s="68"/>
      <c r="D63" s="68">
        <f t="shared" si="3"/>
        <v>35153349.699402675</v>
      </c>
      <c r="E63" s="68">
        <f t="shared" si="17"/>
        <v>35153349.699402682</v>
      </c>
      <c r="F63" s="145">
        <f t="shared" si="18"/>
        <v>732361.45207088906</v>
      </c>
      <c r="G63" s="68">
        <f t="shared" si="13"/>
        <v>-11717783.233134221</v>
      </c>
      <c r="H63" s="68">
        <f t="shared" si="14"/>
        <v>-7323614.5207088897</v>
      </c>
      <c r="I63" s="68">
        <f t="shared" si="15"/>
        <v>27829735.178693794</v>
      </c>
      <c r="J63" s="68">
        <f t="shared" si="1"/>
        <v>153795.9049348867</v>
      </c>
      <c r="K63" s="73">
        <f t="shared" si="2"/>
        <v>-4921468.9579163734</v>
      </c>
      <c r="L63" s="68">
        <f t="shared" si="16"/>
        <v>-5844244.3875256954</v>
      </c>
      <c r="M63" s="74">
        <f t="shared" si="12"/>
        <v>21985490.791168097</v>
      </c>
      <c r="N63" s="69">
        <f t="shared" si="10"/>
        <v>18514097.508352078</v>
      </c>
    </row>
    <row r="64" spans="1:15" x14ac:dyDescent="0.2">
      <c r="A64" s="66">
        <v>45747</v>
      </c>
      <c r="B64" s="35" t="s">
        <v>190</v>
      </c>
      <c r="C64" s="68"/>
      <c r="D64" s="68">
        <f t="shared" si="3"/>
        <v>35153349.699402675</v>
      </c>
      <c r="E64" s="68">
        <f t="shared" si="17"/>
        <v>35153349.699402682</v>
      </c>
      <c r="F64" s="145">
        <f t="shared" si="18"/>
        <v>732361.45207088906</v>
      </c>
      <c r="G64" s="68">
        <f t="shared" si="13"/>
        <v>-12450144.685205109</v>
      </c>
      <c r="H64" s="68">
        <f t="shared" si="14"/>
        <v>-8055975.9727797797</v>
      </c>
      <c r="I64" s="68">
        <f t="shared" si="15"/>
        <v>27097373.726622902</v>
      </c>
      <c r="J64" s="68">
        <f t="shared" si="1"/>
        <v>153795.9049348867</v>
      </c>
      <c r="K64" s="73">
        <f t="shared" si="2"/>
        <v>-4767673.0529814865</v>
      </c>
      <c r="L64" s="68">
        <f t="shared" si="16"/>
        <v>-5690448.4825908067</v>
      </c>
      <c r="M64" s="74">
        <f t="shared" si="12"/>
        <v>21406925.244032096</v>
      </c>
      <c r="N64" s="69">
        <f t="shared" si="10"/>
        <v>17935531.961216077</v>
      </c>
    </row>
    <row r="65" spans="1:14" x14ac:dyDescent="0.2">
      <c r="A65" s="66">
        <v>45777</v>
      </c>
      <c r="B65" s="35" t="s">
        <v>190</v>
      </c>
      <c r="C65" s="68"/>
      <c r="D65" s="68">
        <f t="shared" si="3"/>
        <v>35153349.699402675</v>
      </c>
      <c r="E65" s="68">
        <f t="shared" si="17"/>
        <v>35153349.699402682</v>
      </c>
      <c r="F65" s="145">
        <f t="shared" si="18"/>
        <v>732361.45207088906</v>
      </c>
      <c r="G65" s="68">
        <f t="shared" si="13"/>
        <v>-13182506.137275998</v>
      </c>
      <c r="H65" s="68">
        <f t="shared" si="14"/>
        <v>-8788337.4248506669</v>
      </c>
      <c r="I65" s="68">
        <f t="shared" si="15"/>
        <v>26365012.274552017</v>
      </c>
      <c r="J65" s="68">
        <f t="shared" si="1"/>
        <v>153795.9049348867</v>
      </c>
      <c r="K65" s="73">
        <f t="shared" si="2"/>
        <v>-4613877.1480465997</v>
      </c>
      <c r="L65" s="68">
        <f t="shared" si="16"/>
        <v>-5536652.5776559208</v>
      </c>
      <c r="M65" s="74">
        <f t="shared" si="12"/>
        <v>20828359.696896099</v>
      </c>
      <c r="N65" s="69">
        <f t="shared" si="10"/>
        <v>17356966.414080076</v>
      </c>
    </row>
    <row r="66" spans="1:14" x14ac:dyDescent="0.2">
      <c r="A66" s="66">
        <v>45808</v>
      </c>
      <c r="B66" s="35" t="s">
        <v>190</v>
      </c>
      <c r="C66" s="68"/>
      <c r="D66" s="68">
        <f t="shared" si="3"/>
        <v>35153349.699402675</v>
      </c>
      <c r="E66" s="68">
        <f t="shared" si="17"/>
        <v>35153349.699402682</v>
      </c>
      <c r="F66" s="145">
        <f t="shared" si="18"/>
        <v>732361.45207088906</v>
      </c>
      <c r="G66" s="68">
        <f t="shared" si="13"/>
        <v>-13914867.589346886</v>
      </c>
      <c r="H66" s="68">
        <f t="shared" si="14"/>
        <v>-9520698.876921555</v>
      </c>
      <c r="I66" s="68">
        <f t="shared" si="15"/>
        <v>25632650.822481126</v>
      </c>
      <c r="J66" s="68">
        <f t="shared" si="1"/>
        <v>153795.9049348867</v>
      </c>
      <c r="K66" s="73">
        <f t="shared" si="2"/>
        <v>-4460081.2431117129</v>
      </c>
      <c r="L66" s="68">
        <f t="shared" si="16"/>
        <v>-5382856.6727210339</v>
      </c>
      <c r="M66" s="74">
        <f t="shared" si="12"/>
        <v>20249794.14976009</v>
      </c>
      <c r="N66" s="69">
        <f t="shared" si="10"/>
        <v>16778400.866944075</v>
      </c>
    </row>
    <row r="67" spans="1:14" x14ac:dyDescent="0.2">
      <c r="A67" s="66">
        <v>45838</v>
      </c>
      <c r="B67" s="35" t="s">
        <v>190</v>
      </c>
      <c r="C67" s="68"/>
      <c r="D67" s="68">
        <f t="shared" si="3"/>
        <v>35153349.699402675</v>
      </c>
      <c r="E67" s="68">
        <f t="shared" si="17"/>
        <v>35153349.699402682</v>
      </c>
      <c r="F67" s="145">
        <f t="shared" si="18"/>
        <v>732361.45207088906</v>
      </c>
      <c r="G67" s="68">
        <f t="shared" si="13"/>
        <v>-14647229.041417774</v>
      </c>
      <c r="H67" s="68">
        <f t="shared" si="14"/>
        <v>-10253060.328992445</v>
      </c>
      <c r="I67" s="68">
        <f t="shared" si="15"/>
        <v>24900289.370410237</v>
      </c>
      <c r="J67" s="68">
        <f t="shared" si="1"/>
        <v>153795.9049348867</v>
      </c>
      <c r="K67" s="73">
        <f t="shared" si="2"/>
        <v>-4306285.338176826</v>
      </c>
      <c r="L67" s="68">
        <f t="shared" si="16"/>
        <v>-5229060.7677861471</v>
      </c>
      <c r="M67" s="74">
        <f t="shared" si="12"/>
        <v>19671228.602624089</v>
      </c>
      <c r="N67" s="69">
        <f t="shared" si="10"/>
        <v>16199835.319808075</v>
      </c>
    </row>
    <row r="68" spans="1:14" x14ac:dyDescent="0.2">
      <c r="A68" s="66">
        <v>45869</v>
      </c>
      <c r="B68" s="35" t="s">
        <v>190</v>
      </c>
      <c r="C68" s="68"/>
      <c r="D68" s="68">
        <f t="shared" si="3"/>
        <v>35153349.699402675</v>
      </c>
      <c r="E68" s="68">
        <f t="shared" si="17"/>
        <v>35153349.699402682</v>
      </c>
      <c r="F68" s="145">
        <f t="shared" si="18"/>
        <v>732361.45207088906</v>
      </c>
      <c r="G68" s="68">
        <f t="shared" si="13"/>
        <v>-15379590.493488662</v>
      </c>
      <c r="H68" s="68">
        <f t="shared" si="14"/>
        <v>-10985421.781063331</v>
      </c>
      <c r="I68" s="68">
        <f t="shared" si="15"/>
        <v>24167927.918339349</v>
      </c>
      <c r="J68" s="68">
        <f t="shared" si="1"/>
        <v>153795.9049348867</v>
      </c>
      <c r="K68" s="73">
        <f t="shared" si="2"/>
        <v>-4152489.4332419392</v>
      </c>
      <c r="L68" s="68">
        <f t="shared" si="16"/>
        <v>-5075264.8628512602</v>
      </c>
      <c r="M68" s="74">
        <f t="shared" si="12"/>
        <v>19092663.055488087</v>
      </c>
      <c r="N68" s="69">
        <f t="shared" si="10"/>
        <v>15621269.772672074</v>
      </c>
    </row>
    <row r="69" spans="1:14" x14ac:dyDescent="0.2">
      <c r="A69" s="66">
        <v>45900</v>
      </c>
      <c r="B69" s="35" t="s">
        <v>190</v>
      </c>
      <c r="C69" s="68"/>
      <c r="D69" s="68">
        <f t="shared" si="3"/>
        <v>35153349.699402675</v>
      </c>
      <c r="E69" s="68">
        <f t="shared" si="17"/>
        <v>35153349.699402682</v>
      </c>
      <c r="F69" s="145">
        <f t="shared" si="18"/>
        <v>732361.45207088906</v>
      </c>
      <c r="G69" s="68">
        <f t="shared" si="13"/>
        <v>-16111951.94555955</v>
      </c>
      <c r="H69" s="68">
        <f t="shared" si="14"/>
        <v>-11717783.233134219</v>
      </c>
      <c r="I69" s="68">
        <f t="shared" si="15"/>
        <v>23435566.466268465</v>
      </c>
      <c r="J69" s="68">
        <f t="shared" si="1"/>
        <v>153795.9049348867</v>
      </c>
      <c r="K69" s="73">
        <f t="shared" si="2"/>
        <v>-3998693.5283070523</v>
      </c>
      <c r="L69" s="68">
        <f t="shared" si="16"/>
        <v>-4921468.9579163734</v>
      </c>
      <c r="M69" s="74">
        <f t="shared" si="12"/>
        <v>18514097.508352093</v>
      </c>
      <c r="N69" s="69">
        <f t="shared" si="10"/>
        <v>15042704.225536073</v>
      </c>
    </row>
    <row r="70" spans="1:14" x14ac:dyDescent="0.2">
      <c r="A70" s="66">
        <v>45930</v>
      </c>
      <c r="B70" s="35" t="s">
        <v>190</v>
      </c>
      <c r="C70" s="68"/>
      <c r="D70" s="68">
        <f t="shared" si="3"/>
        <v>35153349.699402675</v>
      </c>
      <c r="E70" s="68">
        <f t="shared" si="17"/>
        <v>35153349.699402682</v>
      </c>
      <c r="F70" s="145">
        <f t="shared" si="18"/>
        <v>732361.45207088906</v>
      </c>
      <c r="G70" s="68">
        <f t="shared" si="13"/>
        <v>-16844313.397630438</v>
      </c>
      <c r="H70" s="68">
        <f t="shared" si="14"/>
        <v>-12450144.685205109</v>
      </c>
      <c r="I70" s="68">
        <f t="shared" si="15"/>
        <v>22703205.014197573</v>
      </c>
      <c r="J70" s="68">
        <f t="shared" si="1"/>
        <v>153795.9049348867</v>
      </c>
      <c r="K70" s="73">
        <f t="shared" si="2"/>
        <v>-3844897.6233721655</v>
      </c>
      <c r="L70" s="68">
        <f t="shared" si="16"/>
        <v>-4767673.0529814865</v>
      </c>
      <c r="M70" s="74">
        <f t="shared" si="12"/>
        <v>17935531.961216085</v>
      </c>
      <c r="N70" s="69">
        <f t="shared" si="10"/>
        <v>14464138.678400071</v>
      </c>
    </row>
    <row r="71" spans="1:14" ht="13.5" thickBot="1" x14ac:dyDescent="0.25">
      <c r="A71" s="66">
        <v>45961</v>
      </c>
      <c r="B71" s="35" t="s">
        <v>190</v>
      </c>
      <c r="C71" s="68"/>
      <c r="D71" s="68">
        <f t="shared" si="3"/>
        <v>35153349.699402675</v>
      </c>
      <c r="E71" s="68">
        <f t="shared" si="17"/>
        <v>35153349.699402682</v>
      </c>
      <c r="F71" s="145">
        <f t="shared" si="18"/>
        <v>732361.45207088906</v>
      </c>
      <c r="G71" s="68">
        <f t="shared" si="13"/>
        <v>-17576674.849701326</v>
      </c>
      <c r="H71" s="68">
        <f t="shared" si="14"/>
        <v>-13182506.137275996</v>
      </c>
      <c r="I71" s="68">
        <f t="shared" si="15"/>
        <v>21970843.562126689</v>
      </c>
      <c r="J71" s="68">
        <f t="shared" si="1"/>
        <v>153795.9049348867</v>
      </c>
      <c r="K71" s="73">
        <f t="shared" si="2"/>
        <v>-3691101.7184372786</v>
      </c>
      <c r="L71" s="68">
        <f t="shared" si="16"/>
        <v>-4613877.1480465997</v>
      </c>
      <c r="M71" s="74">
        <f t="shared" si="12"/>
        <v>17356966.414080091</v>
      </c>
      <c r="N71" s="69">
        <f t="shared" si="10"/>
        <v>13885573.13126407</v>
      </c>
    </row>
    <row r="72" spans="1:14" x14ac:dyDescent="0.2">
      <c r="A72" s="158">
        <v>45991</v>
      </c>
      <c r="B72" s="165" t="s">
        <v>191</v>
      </c>
      <c r="C72" s="160"/>
      <c r="D72" s="160">
        <f t="shared" si="3"/>
        <v>35153349.699402675</v>
      </c>
      <c r="E72" s="160">
        <f t="shared" si="17"/>
        <v>35153349.699402682</v>
      </c>
      <c r="F72" s="172">
        <f t="shared" si="18"/>
        <v>732361.45207088906</v>
      </c>
      <c r="G72" s="160">
        <f t="shared" si="13"/>
        <v>-18309036.301772214</v>
      </c>
      <c r="H72" s="160">
        <f t="shared" si="14"/>
        <v>-13914867.589346886</v>
      </c>
      <c r="I72" s="160">
        <f t="shared" si="15"/>
        <v>21238482.110055797</v>
      </c>
      <c r="J72" s="160">
        <f t="shared" si="1"/>
        <v>153795.9049348867</v>
      </c>
      <c r="K72" s="162">
        <f t="shared" si="2"/>
        <v>-3537305.8135023918</v>
      </c>
      <c r="L72" s="160">
        <f t="shared" si="16"/>
        <v>-4460081.2431117129</v>
      </c>
      <c r="M72" s="163">
        <f t="shared" si="12"/>
        <v>16778400.866944082</v>
      </c>
      <c r="N72" s="164">
        <f t="shared" si="10"/>
        <v>13307007.584128069</v>
      </c>
    </row>
    <row r="73" spans="1:14" x14ac:dyDescent="0.2">
      <c r="A73" s="66">
        <v>46022</v>
      </c>
      <c r="B73" s="35" t="s">
        <v>191</v>
      </c>
      <c r="C73" s="68"/>
      <c r="D73" s="68">
        <f t="shared" si="3"/>
        <v>35153349.699402675</v>
      </c>
      <c r="E73" s="68">
        <f t="shared" si="17"/>
        <v>35153349.699402682</v>
      </c>
      <c r="F73" s="145">
        <f t="shared" si="18"/>
        <v>732361.45207088906</v>
      </c>
      <c r="G73" s="68">
        <f t="shared" si="13"/>
        <v>-19041397.753843103</v>
      </c>
      <c r="H73" s="68">
        <f t="shared" si="14"/>
        <v>-14647229.041417772</v>
      </c>
      <c r="I73" s="68">
        <f t="shared" si="15"/>
        <v>20506120.657984912</v>
      </c>
      <c r="J73" s="68">
        <f t="shared" si="1"/>
        <v>153795.9049348867</v>
      </c>
      <c r="K73" s="73">
        <f t="shared" si="2"/>
        <v>-3383509.908567505</v>
      </c>
      <c r="L73" s="68">
        <f t="shared" si="16"/>
        <v>-4306285.338176826</v>
      </c>
      <c r="M73" s="74">
        <f t="shared" si="12"/>
        <v>16199835.319808086</v>
      </c>
      <c r="N73" s="69">
        <f t="shared" si="10"/>
        <v>12728442.036992067</v>
      </c>
    </row>
    <row r="74" spans="1:14" x14ac:dyDescent="0.2">
      <c r="A74" s="66">
        <v>46053</v>
      </c>
      <c r="B74" s="35" t="s">
        <v>191</v>
      </c>
      <c r="C74" s="35"/>
      <c r="D74" s="68">
        <f t="shared" si="3"/>
        <v>35153349.699402675</v>
      </c>
      <c r="E74" s="68">
        <f t="shared" si="17"/>
        <v>35153349.699402682</v>
      </c>
      <c r="F74" s="145">
        <f t="shared" si="18"/>
        <v>732361.45207088906</v>
      </c>
      <c r="G74" s="68">
        <f t="shared" si="13"/>
        <v>-19773759.205913991</v>
      </c>
      <c r="H74" s="68">
        <f t="shared" si="14"/>
        <v>-15379590.493488662</v>
      </c>
      <c r="I74" s="68">
        <f t="shared" si="15"/>
        <v>19773759.205914021</v>
      </c>
      <c r="J74" s="68">
        <f t="shared" si="1"/>
        <v>153795.9049348867</v>
      </c>
      <c r="K74" s="73">
        <f t="shared" si="2"/>
        <v>-3229714.0036326181</v>
      </c>
      <c r="L74" s="68">
        <f t="shared" si="16"/>
        <v>-4152489.4332419392</v>
      </c>
      <c r="M74" s="74">
        <f t="shared" si="12"/>
        <v>15621269.772672081</v>
      </c>
      <c r="N74" s="69">
        <f t="shared" si="10"/>
        <v>12149876.489856066</v>
      </c>
    </row>
    <row r="75" spans="1:14" x14ac:dyDescent="0.2">
      <c r="A75" s="66">
        <v>46081</v>
      </c>
      <c r="B75" s="35" t="s">
        <v>191</v>
      </c>
      <c r="C75" s="35"/>
      <c r="D75" s="68">
        <f t="shared" si="3"/>
        <v>35153349.699402675</v>
      </c>
      <c r="E75" s="68">
        <f t="shared" si="17"/>
        <v>35153349.699402682</v>
      </c>
      <c r="F75" s="145">
        <f t="shared" si="18"/>
        <v>732361.45207088906</v>
      </c>
      <c r="G75" s="68">
        <f t="shared" si="13"/>
        <v>-20506120.657984879</v>
      </c>
      <c r="H75" s="68">
        <f t="shared" si="14"/>
        <v>-16111951.945559552</v>
      </c>
      <c r="I75" s="68">
        <f t="shared" si="15"/>
        <v>19041397.753843129</v>
      </c>
      <c r="J75" s="68">
        <f t="shared" si="1"/>
        <v>153795.9049348867</v>
      </c>
      <c r="K75" s="73">
        <f t="shared" si="2"/>
        <v>-3075918.0986977313</v>
      </c>
      <c r="L75" s="68">
        <f t="shared" si="16"/>
        <v>-3998693.5283070523</v>
      </c>
      <c r="M75" s="74">
        <f t="shared" si="12"/>
        <v>15042704.225536076</v>
      </c>
      <c r="N75" s="69">
        <f t="shared" si="10"/>
        <v>11571310.942720065</v>
      </c>
    </row>
    <row r="76" spans="1:14" x14ac:dyDescent="0.2">
      <c r="A76" s="66">
        <v>46112</v>
      </c>
      <c r="B76" s="35" t="s">
        <v>191</v>
      </c>
      <c r="C76" s="35"/>
      <c r="D76" s="68">
        <f t="shared" si="3"/>
        <v>35153349.699402675</v>
      </c>
      <c r="E76" s="68">
        <f t="shared" si="17"/>
        <v>35153349.699402682</v>
      </c>
      <c r="F76" s="145">
        <f t="shared" si="18"/>
        <v>732361.45207088906</v>
      </c>
      <c r="G76" s="68">
        <f t="shared" si="13"/>
        <v>-21238482.110055767</v>
      </c>
      <c r="H76" s="68">
        <f t="shared" si="14"/>
        <v>-16844313.397630438</v>
      </c>
      <c r="I76" s="68">
        <f t="shared" si="15"/>
        <v>18309036.301772244</v>
      </c>
      <c r="J76" s="68">
        <f t="shared" si="1"/>
        <v>153795.9049348867</v>
      </c>
      <c r="K76" s="73">
        <f t="shared" si="2"/>
        <v>-2922122.1937628444</v>
      </c>
      <c r="L76" s="68">
        <f t="shared" si="16"/>
        <v>-3844897.6233721655</v>
      </c>
      <c r="M76" s="74">
        <f t="shared" si="12"/>
        <v>14464138.678400079</v>
      </c>
      <c r="N76" s="69">
        <f t="shared" si="10"/>
        <v>10992745.395584064</v>
      </c>
    </row>
    <row r="77" spans="1:14" x14ac:dyDescent="0.2">
      <c r="A77" s="66">
        <v>46142</v>
      </c>
      <c r="B77" s="35" t="s">
        <v>191</v>
      </c>
      <c r="C77" s="35"/>
      <c r="D77" s="68">
        <f t="shared" si="3"/>
        <v>35153349.699402675</v>
      </c>
      <c r="E77" s="68">
        <f t="shared" si="17"/>
        <v>35153349.699402682</v>
      </c>
      <c r="F77" s="145">
        <f t="shared" si="18"/>
        <v>732361.45207088906</v>
      </c>
      <c r="G77" s="68">
        <f t="shared" si="13"/>
        <v>-21970843.562126655</v>
      </c>
      <c r="H77" s="68">
        <f t="shared" si="14"/>
        <v>-17576674.849701326</v>
      </c>
      <c r="I77" s="68">
        <f t="shared" si="15"/>
        <v>17576674.849701356</v>
      </c>
      <c r="J77" s="68">
        <f t="shared" si="1"/>
        <v>153795.9049348867</v>
      </c>
      <c r="K77" s="73">
        <f t="shared" si="2"/>
        <v>-2768326.2888279576</v>
      </c>
      <c r="L77" s="68">
        <f t="shared" si="16"/>
        <v>-3691101.7184372786</v>
      </c>
      <c r="M77" s="74">
        <f t="shared" si="12"/>
        <v>13885573.131264077</v>
      </c>
      <c r="N77" s="69">
        <f t="shared" si="10"/>
        <v>10414179.848448062</v>
      </c>
    </row>
    <row r="78" spans="1:14" x14ac:dyDescent="0.2">
      <c r="A78" s="66">
        <v>46173</v>
      </c>
      <c r="B78" s="35" t="s">
        <v>191</v>
      </c>
      <c r="C78" s="35"/>
      <c r="D78" s="68">
        <f t="shared" si="3"/>
        <v>35153349.699402675</v>
      </c>
      <c r="E78" s="68">
        <f t="shared" si="17"/>
        <v>35153349.699402682</v>
      </c>
      <c r="F78" s="145">
        <f t="shared" si="18"/>
        <v>732361.45207088906</v>
      </c>
      <c r="G78" s="68">
        <f t="shared" si="13"/>
        <v>-22703205.014197543</v>
      </c>
      <c r="H78" s="68">
        <f t="shared" si="14"/>
        <v>-18309036.301772214</v>
      </c>
      <c r="I78" s="68">
        <f t="shared" si="15"/>
        <v>16844313.397630468</v>
      </c>
      <c r="J78" s="68">
        <f t="shared" si="1"/>
        <v>153795.9049348867</v>
      </c>
      <c r="K78" s="73">
        <f t="shared" si="2"/>
        <v>-2614530.3838930707</v>
      </c>
      <c r="L78" s="68">
        <f t="shared" si="16"/>
        <v>-3537305.8135023918</v>
      </c>
      <c r="M78" s="74">
        <f t="shared" si="12"/>
        <v>13307007.584128076</v>
      </c>
      <c r="N78" s="69">
        <f t="shared" si="10"/>
        <v>9835614.301312061</v>
      </c>
    </row>
    <row r="79" spans="1:14" x14ac:dyDescent="0.2">
      <c r="A79" s="66">
        <v>46203</v>
      </c>
      <c r="B79" s="35" t="s">
        <v>191</v>
      </c>
      <c r="D79" s="68">
        <f t="shared" si="3"/>
        <v>35153349.699402675</v>
      </c>
      <c r="E79" s="68">
        <f t="shared" si="17"/>
        <v>35153349.699402682</v>
      </c>
      <c r="F79" s="145">
        <f t="shared" si="18"/>
        <v>732361.45207088906</v>
      </c>
      <c r="G79" s="68">
        <f t="shared" si="13"/>
        <v>-23435566.466268431</v>
      </c>
      <c r="H79" s="68">
        <f t="shared" si="14"/>
        <v>-19041397.753843106</v>
      </c>
      <c r="I79" s="68">
        <f t="shared" si="15"/>
        <v>16111951.945559576</v>
      </c>
      <c r="J79" s="68">
        <f t="shared" si="1"/>
        <v>153795.9049348867</v>
      </c>
      <c r="K79" s="73">
        <f t="shared" si="2"/>
        <v>-2460734.4789581839</v>
      </c>
      <c r="L79" s="68">
        <f t="shared" si="16"/>
        <v>-3383509.908567505</v>
      </c>
      <c r="M79" s="68">
        <f t="shared" si="12"/>
        <v>12728442.036992071</v>
      </c>
      <c r="N79" s="69">
        <f t="shared" si="10"/>
        <v>9257048.7541760597</v>
      </c>
    </row>
    <row r="80" spans="1:14" x14ac:dyDescent="0.2">
      <c r="A80" s="66">
        <v>46234</v>
      </c>
      <c r="B80" s="35" t="s">
        <v>191</v>
      </c>
      <c r="D80" s="68">
        <f t="shared" si="3"/>
        <v>35153349.699402675</v>
      </c>
      <c r="E80" s="68">
        <f t="shared" si="17"/>
        <v>35153349.699402682</v>
      </c>
      <c r="F80" s="145">
        <f t="shared" si="18"/>
        <v>732361.45207088906</v>
      </c>
      <c r="G80" s="68">
        <f t="shared" si="13"/>
        <v>-24167927.91833932</v>
      </c>
      <c r="H80" s="68">
        <f t="shared" si="14"/>
        <v>-19773759.205913994</v>
      </c>
      <c r="I80" s="68">
        <f t="shared" si="15"/>
        <v>15379590.493488688</v>
      </c>
      <c r="J80" s="68">
        <f t="shared" si="1"/>
        <v>153795.9049348867</v>
      </c>
      <c r="K80" s="73">
        <f t="shared" si="2"/>
        <v>-2306938.5740232971</v>
      </c>
      <c r="L80" s="68">
        <f t="shared" si="16"/>
        <v>-3229714.0036326181</v>
      </c>
      <c r="M80" s="68">
        <f t="shared" si="12"/>
        <v>12149876.48985607</v>
      </c>
      <c r="N80" s="69">
        <f t="shared" si="10"/>
        <v>8678483.2070400584</v>
      </c>
    </row>
    <row r="81" spans="1:14" x14ac:dyDescent="0.2">
      <c r="A81" s="66">
        <v>46265</v>
      </c>
      <c r="B81" s="35" t="s">
        <v>191</v>
      </c>
      <c r="D81" s="68">
        <f t="shared" si="3"/>
        <v>35153349.699402675</v>
      </c>
      <c r="E81" s="68">
        <f t="shared" si="17"/>
        <v>35153349.699402682</v>
      </c>
      <c r="F81" s="145">
        <f t="shared" si="18"/>
        <v>732361.45207088906</v>
      </c>
      <c r="G81" s="68">
        <f t="shared" si="13"/>
        <v>-24900289.370410208</v>
      </c>
      <c r="H81" s="68">
        <f t="shared" si="14"/>
        <v>-20506120.657984879</v>
      </c>
      <c r="I81" s="68">
        <f t="shared" si="15"/>
        <v>14647229.041417804</v>
      </c>
      <c r="J81" s="68">
        <f t="shared" si="1"/>
        <v>153795.9049348867</v>
      </c>
      <c r="K81" s="73">
        <f t="shared" si="2"/>
        <v>-2153142.6690884102</v>
      </c>
      <c r="L81" s="68">
        <f t="shared" si="16"/>
        <v>-3075918.0986977313</v>
      </c>
      <c r="M81" s="68">
        <f t="shared" si="12"/>
        <v>11571310.942720072</v>
      </c>
      <c r="N81" s="69">
        <f t="shared" si="10"/>
        <v>8099917.6599040572</v>
      </c>
    </row>
    <row r="82" spans="1:14" x14ac:dyDescent="0.2">
      <c r="A82" s="66">
        <v>46295</v>
      </c>
      <c r="B82" s="35" t="s">
        <v>191</v>
      </c>
      <c r="D82" s="68">
        <f t="shared" si="3"/>
        <v>35153349.699402675</v>
      </c>
      <c r="E82" s="68">
        <f t="shared" si="17"/>
        <v>35153349.699402682</v>
      </c>
      <c r="F82" s="145">
        <f t="shared" si="18"/>
        <v>732361.45207088906</v>
      </c>
      <c r="G82" s="68">
        <f t="shared" si="13"/>
        <v>-25632650.822481096</v>
      </c>
      <c r="H82" s="68">
        <f t="shared" si="14"/>
        <v>-21238482.110055767</v>
      </c>
      <c r="I82" s="68">
        <f t="shared" si="15"/>
        <v>13914867.589346915</v>
      </c>
      <c r="J82" s="68">
        <f t="shared" si="1"/>
        <v>153795.9049348867</v>
      </c>
      <c r="K82" s="73">
        <f t="shared" si="2"/>
        <v>-1999346.7641535236</v>
      </c>
      <c r="L82" s="68">
        <f t="shared" si="16"/>
        <v>-2922122.1937628444</v>
      </c>
      <c r="M82" s="68">
        <f t="shared" si="12"/>
        <v>10992745.395584071</v>
      </c>
      <c r="N82" s="69">
        <f t="shared" si="10"/>
        <v>7521352.1127680559</v>
      </c>
    </row>
    <row r="83" spans="1:14" ht="13.5" thickBot="1" x14ac:dyDescent="0.25">
      <c r="A83" s="66">
        <v>46326</v>
      </c>
      <c r="B83" s="35" t="s">
        <v>191</v>
      </c>
      <c r="D83" s="68">
        <f t="shared" si="3"/>
        <v>35153349.699402675</v>
      </c>
      <c r="E83" s="68">
        <f t="shared" si="17"/>
        <v>35153349.699402682</v>
      </c>
      <c r="F83" s="145">
        <f t="shared" si="18"/>
        <v>732361.45207088906</v>
      </c>
      <c r="G83" s="68">
        <f t="shared" si="13"/>
        <v>-26365012.274551984</v>
      </c>
      <c r="H83" s="68">
        <f t="shared" si="14"/>
        <v>-21970843.562126655</v>
      </c>
      <c r="I83" s="68">
        <f t="shared" si="15"/>
        <v>13182506.137276027</v>
      </c>
      <c r="J83" s="68">
        <f t="shared" si="1"/>
        <v>153795.9049348867</v>
      </c>
      <c r="K83" s="73">
        <f t="shared" si="2"/>
        <v>-1845550.859218637</v>
      </c>
      <c r="L83" s="68">
        <f t="shared" si="16"/>
        <v>-2768326.2888279576</v>
      </c>
      <c r="M83" s="68">
        <f t="shared" si="12"/>
        <v>10414179.84844807</v>
      </c>
      <c r="N83" s="69">
        <f t="shared" si="10"/>
        <v>6942786.5656320546</v>
      </c>
    </row>
    <row r="84" spans="1:14" x14ac:dyDescent="0.2">
      <c r="A84" s="158">
        <v>46356</v>
      </c>
      <c r="B84" s="165" t="s">
        <v>192</v>
      </c>
      <c r="C84" s="165"/>
      <c r="D84" s="160">
        <f t="shared" si="3"/>
        <v>35153349.699402675</v>
      </c>
      <c r="E84" s="160">
        <f t="shared" si="17"/>
        <v>35153349.699402682</v>
      </c>
      <c r="F84" s="172">
        <f t="shared" si="18"/>
        <v>732361.45207088906</v>
      </c>
      <c r="G84" s="160">
        <f t="shared" si="13"/>
        <v>-27097373.726622872</v>
      </c>
      <c r="H84" s="160">
        <f t="shared" si="14"/>
        <v>-22703205.014197543</v>
      </c>
      <c r="I84" s="160">
        <f t="shared" si="15"/>
        <v>12450144.685205139</v>
      </c>
      <c r="J84" s="160">
        <f t="shared" si="1"/>
        <v>153795.9049348867</v>
      </c>
      <c r="K84" s="162">
        <f t="shared" si="2"/>
        <v>-1691754.9542837504</v>
      </c>
      <c r="L84" s="160">
        <f t="shared" si="16"/>
        <v>-2614530.3838930712</v>
      </c>
      <c r="M84" s="160">
        <f t="shared" si="12"/>
        <v>9835614.3013120685</v>
      </c>
      <c r="N84" s="164">
        <f t="shared" si="10"/>
        <v>6364221.0184960524</v>
      </c>
    </row>
    <row r="85" spans="1:14" x14ac:dyDescent="0.2">
      <c r="A85" s="66">
        <v>46387</v>
      </c>
      <c r="B85" s="71" t="s">
        <v>192</v>
      </c>
      <c r="D85" s="68">
        <f t="shared" si="3"/>
        <v>35153349.699402675</v>
      </c>
      <c r="E85" s="68">
        <f t="shared" si="17"/>
        <v>35153349.699402682</v>
      </c>
      <c r="F85" s="145">
        <f t="shared" si="18"/>
        <v>732361.45207088906</v>
      </c>
      <c r="G85" s="68">
        <f t="shared" si="13"/>
        <v>-27829735.17869376</v>
      </c>
      <c r="H85" s="68">
        <f t="shared" si="14"/>
        <v>-23435566.466268435</v>
      </c>
      <c r="I85" s="68">
        <f t="shared" si="15"/>
        <v>11717783.233134247</v>
      </c>
      <c r="J85" s="68">
        <f t="shared" si="1"/>
        <v>153795.9049348867</v>
      </c>
      <c r="K85" s="73">
        <f t="shared" si="2"/>
        <v>-1537959.0493488638</v>
      </c>
      <c r="L85" s="68">
        <f t="shared" si="16"/>
        <v>-2460734.4789581844</v>
      </c>
      <c r="M85" s="68">
        <f t="shared" si="12"/>
        <v>9257048.7541760635</v>
      </c>
      <c r="N85" s="69">
        <f t="shared" si="10"/>
        <v>5785655.4713600511</v>
      </c>
    </row>
    <row r="86" spans="1:14" x14ac:dyDescent="0.2">
      <c r="A86" s="66">
        <v>46418</v>
      </c>
      <c r="B86" s="71" t="s">
        <v>192</v>
      </c>
      <c r="D86" s="68">
        <f t="shared" si="3"/>
        <v>35153349.699402675</v>
      </c>
      <c r="E86" s="68">
        <f t="shared" si="17"/>
        <v>35153349.699402682</v>
      </c>
      <c r="F86" s="145">
        <f t="shared" si="18"/>
        <v>732361.45207088906</v>
      </c>
      <c r="G86" s="68">
        <f t="shared" si="13"/>
        <v>-28562096.630764648</v>
      </c>
      <c r="H86" s="68">
        <f t="shared" si="14"/>
        <v>-24167927.918339323</v>
      </c>
      <c r="I86" s="68">
        <f t="shared" si="15"/>
        <v>10985421.781063359</v>
      </c>
      <c r="J86" s="68">
        <f t="shared" si="1"/>
        <v>153795.9049348867</v>
      </c>
      <c r="K86" s="73">
        <f t="shared" si="2"/>
        <v>-1384163.1444139772</v>
      </c>
      <c r="L86" s="68">
        <f t="shared" si="16"/>
        <v>-2306938.5740232975</v>
      </c>
      <c r="M86" s="68">
        <f t="shared" si="12"/>
        <v>8678483.2070400622</v>
      </c>
      <c r="N86" s="69">
        <f t="shared" si="10"/>
        <v>5207089.9242240498</v>
      </c>
    </row>
    <row r="87" spans="1:14" x14ac:dyDescent="0.2">
      <c r="A87" s="66">
        <v>46446</v>
      </c>
      <c r="B87" s="71" t="s">
        <v>192</v>
      </c>
      <c r="D87" s="68">
        <f t="shared" si="3"/>
        <v>35153349.699402675</v>
      </c>
      <c r="E87" s="68">
        <f t="shared" si="17"/>
        <v>35153349.699402682</v>
      </c>
      <c r="F87" s="145">
        <f t="shared" si="18"/>
        <v>732361.45207088906</v>
      </c>
      <c r="G87" s="68">
        <f t="shared" si="13"/>
        <v>-29294458.082835536</v>
      </c>
      <c r="H87" s="68">
        <f t="shared" si="14"/>
        <v>-24900289.370410208</v>
      </c>
      <c r="I87" s="68">
        <f t="shared" si="15"/>
        <v>10253060.328992475</v>
      </c>
      <c r="J87" s="68">
        <f t="shared" si="1"/>
        <v>153795.9049348867</v>
      </c>
      <c r="K87" s="73">
        <f t="shared" si="2"/>
        <v>-1230367.2394790906</v>
      </c>
      <c r="L87" s="68">
        <f t="shared" si="16"/>
        <v>-2153142.6690884111</v>
      </c>
      <c r="M87" s="68">
        <f t="shared" si="12"/>
        <v>8099917.6599040637</v>
      </c>
      <c r="N87" s="69">
        <f t="shared" si="10"/>
        <v>4628524.3770880476</v>
      </c>
    </row>
    <row r="88" spans="1:14" x14ac:dyDescent="0.2">
      <c r="A88" s="66">
        <v>46477</v>
      </c>
      <c r="B88" s="71" t="s">
        <v>192</v>
      </c>
      <c r="D88" s="68">
        <f t="shared" si="3"/>
        <v>35153349.699402675</v>
      </c>
      <c r="E88" s="68">
        <f t="shared" si="17"/>
        <v>35153349.699402682</v>
      </c>
      <c r="F88" s="145">
        <f t="shared" si="18"/>
        <v>732361.45207088906</v>
      </c>
      <c r="G88" s="68">
        <f t="shared" si="13"/>
        <v>-30026819.534906425</v>
      </c>
      <c r="H88" s="68">
        <f t="shared" si="14"/>
        <v>-25632650.8224811</v>
      </c>
      <c r="I88" s="68">
        <f t="shared" si="15"/>
        <v>9520698.876921583</v>
      </c>
      <c r="J88" s="68">
        <f t="shared" ref="J88:J96" si="19">(-C88*0.21)+(F88*0.21)</f>
        <v>153795.9049348867</v>
      </c>
      <c r="K88" s="73">
        <f t="shared" ref="K88:K96" si="20">K87+J88</f>
        <v>-1076571.3345442039</v>
      </c>
      <c r="L88" s="68">
        <f t="shared" si="16"/>
        <v>-1999346.7641535241</v>
      </c>
      <c r="M88" s="68">
        <f t="shared" si="12"/>
        <v>7521352.1127680587</v>
      </c>
      <c r="N88" s="69">
        <f t="shared" si="10"/>
        <v>4049958.8299520463</v>
      </c>
    </row>
    <row r="89" spans="1:14" x14ac:dyDescent="0.2">
      <c r="A89" s="66">
        <v>46507</v>
      </c>
      <c r="B89" s="71" t="s">
        <v>192</v>
      </c>
      <c r="D89" s="68">
        <f t="shared" ref="D89:D96" si="21">D88+C89</f>
        <v>35153349.699402675</v>
      </c>
      <c r="E89" s="68">
        <f t="shared" si="17"/>
        <v>35153349.699402682</v>
      </c>
      <c r="F89" s="145">
        <f t="shared" si="18"/>
        <v>732361.45207088906</v>
      </c>
      <c r="G89" s="68">
        <f t="shared" si="13"/>
        <v>-30759180.986977313</v>
      </c>
      <c r="H89" s="68">
        <f t="shared" si="14"/>
        <v>-26365012.274551984</v>
      </c>
      <c r="I89" s="68">
        <f t="shared" si="15"/>
        <v>8788337.4248506986</v>
      </c>
      <c r="J89" s="68">
        <f t="shared" si="19"/>
        <v>153795.9049348867</v>
      </c>
      <c r="K89" s="73">
        <f t="shared" si="20"/>
        <v>-922775.42960931722</v>
      </c>
      <c r="L89" s="68">
        <f t="shared" si="16"/>
        <v>-1845550.8592186372</v>
      </c>
      <c r="M89" s="68">
        <f t="shared" si="12"/>
        <v>6942786.5656320611</v>
      </c>
      <c r="N89" s="69">
        <f t="shared" si="10"/>
        <v>3471393.282816045</v>
      </c>
    </row>
    <row r="90" spans="1:14" x14ac:dyDescent="0.2">
      <c r="A90" s="66">
        <v>46538</v>
      </c>
      <c r="B90" s="71" t="s">
        <v>192</v>
      </c>
      <c r="D90" s="68">
        <f t="shared" si="21"/>
        <v>35153349.699402675</v>
      </c>
      <c r="E90" s="68">
        <f t="shared" si="17"/>
        <v>35153349.699402682</v>
      </c>
      <c r="F90" s="145">
        <f t="shared" si="18"/>
        <v>732361.45207088906</v>
      </c>
      <c r="G90" s="68">
        <f t="shared" si="13"/>
        <v>-31491542.439048201</v>
      </c>
      <c r="H90" s="68">
        <f t="shared" si="14"/>
        <v>-27097373.726622876</v>
      </c>
      <c r="I90" s="68">
        <f t="shared" si="15"/>
        <v>8055975.9727798067</v>
      </c>
      <c r="J90" s="68">
        <f t="shared" si="19"/>
        <v>153795.9049348867</v>
      </c>
      <c r="K90" s="73">
        <f t="shared" si="20"/>
        <v>-768979.52467443049</v>
      </c>
      <c r="L90" s="68">
        <f t="shared" si="16"/>
        <v>-1691754.9542837506</v>
      </c>
      <c r="M90" s="68">
        <f t="shared" si="12"/>
        <v>6364221.0184960561</v>
      </c>
      <c r="N90" s="69">
        <f t="shared" si="10"/>
        <v>2892827.7356800437</v>
      </c>
    </row>
    <row r="91" spans="1:14" x14ac:dyDescent="0.2">
      <c r="A91" s="66">
        <v>46568</v>
      </c>
      <c r="B91" s="71" t="s">
        <v>192</v>
      </c>
      <c r="D91" s="68">
        <f t="shared" si="21"/>
        <v>35153349.699402675</v>
      </c>
      <c r="E91" s="68">
        <f t="shared" si="17"/>
        <v>35153349.699402682</v>
      </c>
      <c r="F91" s="145">
        <f t="shared" si="18"/>
        <v>732361.45207088906</v>
      </c>
      <c r="G91" s="68">
        <f t="shared" si="13"/>
        <v>-32223903.891119089</v>
      </c>
      <c r="H91" s="68">
        <f t="shared" si="14"/>
        <v>-27829735.17869376</v>
      </c>
      <c r="I91" s="68">
        <f t="shared" si="15"/>
        <v>7323614.5207089223</v>
      </c>
      <c r="J91" s="68">
        <f t="shared" si="19"/>
        <v>153795.9049348867</v>
      </c>
      <c r="K91" s="73">
        <f t="shared" si="20"/>
        <v>-615183.61973954376</v>
      </c>
      <c r="L91" s="68">
        <f t="shared" si="16"/>
        <v>-1537959.0493488638</v>
      </c>
      <c r="M91" s="68">
        <f t="shared" si="12"/>
        <v>5785655.4713600585</v>
      </c>
      <c r="N91" s="69">
        <f t="shared" si="10"/>
        <v>2314262.1885440424</v>
      </c>
    </row>
    <row r="92" spans="1:14" x14ac:dyDescent="0.2">
      <c r="A92" s="66">
        <v>46599</v>
      </c>
      <c r="B92" s="71" t="s">
        <v>192</v>
      </c>
      <c r="D92" s="68">
        <f t="shared" si="21"/>
        <v>35153349.699402675</v>
      </c>
      <c r="E92" s="68">
        <f t="shared" si="17"/>
        <v>35153349.699402682</v>
      </c>
      <c r="F92" s="145">
        <f t="shared" si="18"/>
        <v>732361.45207088906</v>
      </c>
      <c r="G92" s="68">
        <f t="shared" si="13"/>
        <v>-32956265.343189977</v>
      </c>
      <c r="H92" s="68">
        <f t="shared" si="14"/>
        <v>-28562096.630764645</v>
      </c>
      <c r="I92" s="68">
        <f t="shared" si="15"/>
        <v>6591253.0686380379</v>
      </c>
      <c r="J92" s="68">
        <f t="shared" si="19"/>
        <v>153795.9049348867</v>
      </c>
      <c r="K92" s="73">
        <f t="shared" si="20"/>
        <v>-461387.71480465704</v>
      </c>
      <c r="L92" s="68">
        <f t="shared" si="16"/>
        <v>-1384163.1444139772</v>
      </c>
      <c r="M92" s="68">
        <f t="shared" si="12"/>
        <v>5207089.924224061</v>
      </c>
      <c r="N92" s="69">
        <f t="shared" si="10"/>
        <v>1735696.6414080409</v>
      </c>
    </row>
    <row r="93" spans="1:14" x14ac:dyDescent="0.2">
      <c r="A93" s="66">
        <v>46630</v>
      </c>
      <c r="B93" s="71" t="s">
        <v>192</v>
      </c>
      <c r="D93" s="68">
        <f t="shared" si="21"/>
        <v>35153349.699402675</v>
      </c>
      <c r="E93" s="68">
        <f t="shared" si="17"/>
        <v>35153349.699402682</v>
      </c>
      <c r="F93" s="145">
        <f t="shared" si="18"/>
        <v>732361.45207088906</v>
      </c>
      <c r="G93" s="68">
        <f t="shared" si="13"/>
        <v>-33688626.795260869</v>
      </c>
      <c r="H93" s="68">
        <f t="shared" si="14"/>
        <v>-29294458.082835536</v>
      </c>
      <c r="I93" s="68">
        <f t="shared" si="15"/>
        <v>5858891.616567146</v>
      </c>
      <c r="J93" s="68">
        <f t="shared" si="19"/>
        <v>153795.9049348867</v>
      </c>
      <c r="K93" s="73">
        <f t="shared" si="20"/>
        <v>-307591.80986977031</v>
      </c>
      <c r="L93" s="68">
        <f t="shared" si="16"/>
        <v>-1230367.2394790906</v>
      </c>
      <c r="M93" s="68">
        <f t="shared" si="12"/>
        <v>4628524.377088055</v>
      </c>
      <c r="N93" s="69">
        <f t="shared" si="10"/>
        <v>1157131.0942720356</v>
      </c>
    </row>
    <row r="94" spans="1:14" x14ac:dyDescent="0.2">
      <c r="A94" s="66">
        <v>46660</v>
      </c>
      <c r="B94" s="71" t="s">
        <v>192</v>
      </c>
      <c r="D94" s="68">
        <f t="shared" si="21"/>
        <v>35153349.699402675</v>
      </c>
      <c r="E94" s="68">
        <f t="shared" si="17"/>
        <v>35153349.699402682</v>
      </c>
      <c r="F94" s="145">
        <f t="shared" si="18"/>
        <v>732361.45207088906</v>
      </c>
      <c r="G94" s="68">
        <f t="shared" si="13"/>
        <v>-34420988.247331761</v>
      </c>
      <c r="H94" s="68">
        <f t="shared" si="14"/>
        <v>-30026819.534906421</v>
      </c>
      <c r="I94" s="68">
        <f t="shared" si="15"/>
        <v>5126530.1644962616</v>
      </c>
      <c r="J94" s="68">
        <f t="shared" si="19"/>
        <v>153795.9049348867</v>
      </c>
      <c r="K94" s="73">
        <f t="shared" si="20"/>
        <v>-153795.90493488361</v>
      </c>
      <c r="L94" s="68">
        <f t="shared" si="16"/>
        <v>-1076571.3345442037</v>
      </c>
      <c r="M94" s="68">
        <f t="shared" si="12"/>
        <v>4049958.8299520579</v>
      </c>
      <c r="N94" s="69">
        <f t="shared" si="10"/>
        <v>578565.54713603063</v>
      </c>
    </row>
    <row r="95" spans="1:14" ht="13.5" thickBot="1" x14ac:dyDescent="0.25">
      <c r="A95" s="66">
        <v>46691</v>
      </c>
      <c r="B95" s="71" t="s">
        <v>192</v>
      </c>
      <c r="D95" s="68">
        <f t="shared" si="21"/>
        <v>35153349.699402675</v>
      </c>
      <c r="E95" s="68">
        <f t="shared" si="17"/>
        <v>35153349.699402682</v>
      </c>
      <c r="F95" s="145">
        <f t="shared" si="18"/>
        <v>732361.45207088906</v>
      </c>
      <c r="G95" s="68">
        <f t="shared" si="13"/>
        <v>-35153349.699402653</v>
      </c>
      <c r="H95" s="68">
        <f t="shared" si="14"/>
        <v>-30759180.986977313</v>
      </c>
      <c r="I95" s="68">
        <f t="shared" si="15"/>
        <v>4394168.7124253698</v>
      </c>
      <c r="J95" s="68">
        <f t="shared" si="19"/>
        <v>153795.9049348867</v>
      </c>
      <c r="K95" s="73">
        <f t="shared" si="20"/>
        <v>3.0850060284137726E-9</v>
      </c>
      <c r="L95" s="68">
        <f t="shared" si="16"/>
        <v>-922775.42960931698</v>
      </c>
      <c r="M95" s="68">
        <f t="shared" si="12"/>
        <v>3471393.2828160529</v>
      </c>
      <c r="N95" s="69">
        <f t="shared" si="10"/>
        <v>2.5436747819185257E-8</v>
      </c>
    </row>
    <row r="96" spans="1:14" x14ac:dyDescent="0.2">
      <c r="A96" s="158">
        <v>46721</v>
      </c>
      <c r="B96" s="165" t="s">
        <v>193</v>
      </c>
      <c r="C96" s="165"/>
      <c r="D96" s="160">
        <f t="shared" si="21"/>
        <v>35153349.699402675</v>
      </c>
      <c r="E96" s="160">
        <f t="shared" si="17"/>
        <v>35153349.699402682</v>
      </c>
      <c r="F96" s="198"/>
      <c r="G96" s="160">
        <f t="shared" si="13"/>
        <v>-35153349.699402653</v>
      </c>
      <c r="H96" s="160">
        <f t="shared" si="14"/>
        <v>-31461027.378545243</v>
      </c>
      <c r="I96" s="160">
        <f t="shared" si="15"/>
        <v>3692322.3208574392</v>
      </c>
      <c r="J96" s="160">
        <f t="shared" si="19"/>
        <v>0</v>
      </c>
      <c r="K96" s="162">
        <f t="shared" si="20"/>
        <v>3.0850060284137726E-9</v>
      </c>
      <c r="L96" s="160">
        <f t="shared" si="16"/>
        <v>-775387.68738005066</v>
      </c>
      <c r="M96" s="160">
        <f t="shared" si="12"/>
        <v>2916934.6334773884</v>
      </c>
      <c r="N96" s="164">
        <f t="shared" si="10"/>
        <v>2.5436747819185257E-8</v>
      </c>
    </row>
    <row r="97" spans="1:14" x14ac:dyDescent="0.2">
      <c r="A97" s="66">
        <v>46752</v>
      </c>
      <c r="B97" s="71" t="s">
        <v>193</v>
      </c>
      <c r="D97" s="68">
        <f t="shared" ref="D97:D106" si="22">D96+C97</f>
        <v>35153349.699402675</v>
      </c>
      <c r="E97" s="68">
        <f t="shared" ref="E97:E106" si="23">(D85+D97+SUM(D86:D96)*2)/24</f>
        <v>35153349.699402682</v>
      </c>
      <c r="F97" s="72"/>
      <c r="G97" s="68">
        <f t="shared" ref="G97:G106" si="24">G96-F97</f>
        <v>-35153349.699402653</v>
      </c>
      <c r="H97" s="68">
        <f t="shared" ref="H97:H106" si="25">(G85+G97+SUM(G86:G96)*2)/24</f>
        <v>-32101843.649107277</v>
      </c>
      <c r="I97" s="68">
        <f t="shared" ref="I97:I106" si="26">E97+H97</f>
        <v>3051506.0502954051</v>
      </c>
      <c r="J97" s="68">
        <f t="shared" ref="J97:J106" si="27">(-C97*0.21)+(F97*0.21)</f>
        <v>0</v>
      </c>
      <c r="K97" s="73">
        <f t="shared" ref="K97:K106" si="28">K96+J97</f>
        <v>3.0850060284137726E-9</v>
      </c>
      <c r="L97" s="68">
        <f t="shared" ref="L97:L106" si="29">(K85+K97+SUM(K86:K96)*2)/24</f>
        <v>-640816.2705620249</v>
      </c>
      <c r="M97" s="68">
        <f t="shared" ref="M97:M106" si="30">L97+I97</f>
        <v>2410689.7797333803</v>
      </c>
      <c r="N97" s="69">
        <f t="shared" ref="N97:N106" si="31">+D97+G97+K97</f>
        <v>2.5436747819185257E-8</v>
      </c>
    </row>
    <row r="98" spans="1:14" x14ac:dyDescent="0.2">
      <c r="A98" s="66">
        <v>46783</v>
      </c>
      <c r="B98" s="71" t="s">
        <v>193</v>
      </c>
      <c r="D98" s="68">
        <f t="shared" si="22"/>
        <v>35153349.699402675</v>
      </c>
      <c r="E98" s="68">
        <f t="shared" si="23"/>
        <v>35153349.699402682</v>
      </c>
      <c r="F98" s="72"/>
      <c r="G98" s="68">
        <f t="shared" si="24"/>
        <v>-35153349.699402653</v>
      </c>
      <c r="H98" s="68">
        <f t="shared" si="25"/>
        <v>-32681629.798663393</v>
      </c>
      <c r="I98" s="68">
        <f t="shared" si="26"/>
        <v>2471719.9007392898</v>
      </c>
      <c r="J98" s="68">
        <f t="shared" si="27"/>
        <v>0</v>
      </c>
      <c r="K98" s="73">
        <f t="shared" si="28"/>
        <v>3.0850060284137726E-9</v>
      </c>
      <c r="L98" s="68">
        <f t="shared" si="29"/>
        <v>-519061.1791552396</v>
      </c>
      <c r="M98" s="68">
        <f t="shared" si="30"/>
        <v>1952658.7215840502</v>
      </c>
      <c r="N98" s="69">
        <f t="shared" si="31"/>
        <v>2.5436747819185257E-8</v>
      </c>
    </row>
    <row r="99" spans="1:14" x14ac:dyDescent="0.2">
      <c r="A99" s="66">
        <v>46812</v>
      </c>
      <c r="B99" s="71" t="s">
        <v>193</v>
      </c>
      <c r="D99" s="68">
        <f t="shared" si="22"/>
        <v>35153349.699402675</v>
      </c>
      <c r="E99" s="68">
        <f t="shared" si="23"/>
        <v>35153349.699402682</v>
      </c>
      <c r="F99" s="72"/>
      <c r="G99" s="68">
        <f t="shared" si="24"/>
        <v>-35153349.699402653</v>
      </c>
      <c r="H99" s="68">
        <f t="shared" si="25"/>
        <v>-33200385.827213604</v>
      </c>
      <c r="I99" s="68">
        <f t="shared" si="26"/>
        <v>1952963.8721890785</v>
      </c>
      <c r="J99" s="68">
        <f t="shared" si="27"/>
        <v>0</v>
      </c>
      <c r="K99" s="73">
        <f t="shared" si="28"/>
        <v>3.0850060284137726E-9</v>
      </c>
      <c r="L99" s="68">
        <f t="shared" si="29"/>
        <v>-410122.41315969493</v>
      </c>
      <c r="M99" s="68">
        <f t="shared" si="30"/>
        <v>1542841.4590293835</v>
      </c>
      <c r="N99" s="69">
        <f t="shared" si="31"/>
        <v>2.5436747819185257E-8</v>
      </c>
    </row>
    <row r="100" spans="1:14" x14ac:dyDescent="0.2">
      <c r="A100" s="66">
        <v>46843</v>
      </c>
      <c r="B100" s="71" t="s">
        <v>193</v>
      </c>
      <c r="D100" s="68">
        <f t="shared" si="22"/>
        <v>35153349.699402675</v>
      </c>
      <c r="E100" s="68">
        <f t="shared" si="23"/>
        <v>35153349.699402682</v>
      </c>
      <c r="F100" s="72"/>
      <c r="G100" s="68">
        <f t="shared" si="24"/>
        <v>-35153349.699402653</v>
      </c>
      <c r="H100" s="68">
        <f t="shared" si="25"/>
        <v>-33658111.734757915</v>
      </c>
      <c r="I100" s="68">
        <f t="shared" si="26"/>
        <v>1495237.9646447673</v>
      </c>
      <c r="J100" s="68">
        <f t="shared" si="27"/>
        <v>0</v>
      </c>
      <c r="K100" s="73">
        <f t="shared" si="28"/>
        <v>3.0850060284137726E-9</v>
      </c>
      <c r="L100" s="68">
        <f t="shared" si="29"/>
        <v>-313999.97257539054</v>
      </c>
      <c r="M100" s="68">
        <f t="shared" si="30"/>
        <v>1181237.9920693769</v>
      </c>
      <c r="N100" s="69">
        <f t="shared" si="31"/>
        <v>2.5436747819185257E-8</v>
      </c>
    </row>
    <row r="101" spans="1:14" x14ac:dyDescent="0.2">
      <c r="A101" s="66">
        <v>46873</v>
      </c>
      <c r="B101" s="71" t="s">
        <v>193</v>
      </c>
      <c r="D101" s="68">
        <f t="shared" si="22"/>
        <v>35153349.699402675</v>
      </c>
      <c r="E101" s="68">
        <f t="shared" si="23"/>
        <v>35153349.699402682</v>
      </c>
      <c r="F101" s="72"/>
      <c r="G101" s="68">
        <f t="shared" si="24"/>
        <v>-35153349.699402653</v>
      </c>
      <c r="H101" s="68">
        <f t="shared" si="25"/>
        <v>-34054807.521296315</v>
      </c>
      <c r="I101" s="68">
        <f t="shared" si="26"/>
        <v>1098542.1781063676</v>
      </c>
      <c r="J101" s="68">
        <f t="shared" si="27"/>
        <v>0</v>
      </c>
      <c r="K101" s="73">
        <f t="shared" si="28"/>
        <v>3.0850060284137726E-9</v>
      </c>
      <c r="L101" s="68">
        <f t="shared" si="29"/>
        <v>-230693.85740232686</v>
      </c>
      <c r="M101" s="68">
        <f t="shared" si="30"/>
        <v>867848.3207040407</v>
      </c>
      <c r="N101" s="69">
        <f t="shared" si="31"/>
        <v>2.5436747819185257E-8</v>
      </c>
    </row>
    <row r="102" spans="1:14" x14ac:dyDescent="0.2">
      <c r="A102" s="66">
        <v>46904</v>
      </c>
      <c r="B102" s="71" t="s">
        <v>193</v>
      </c>
      <c r="D102" s="68">
        <f t="shared" si="22"/>
        <v>35153349.699402675</v>
      </c>
      <c r="E102" s="68">
        <f t="shared" si="23"/>
        <v>35153349.699402682</v>
      </c>
      <c r="F102" s="72"/>
      <c r="G102" s="68">
        <f t="shared" si="24"/>
        <v>-35153349.699402653</v>
      </c>
      <c r="H102" s="68">
        <f t="shared" si="25"/>
        <v>-34390473.1868288</v>
      </c>
      <c r="I102" s="68">
        <f t="shared" si="26"/>
        <v>762876.51257388294</v>
      </c>
      <c r="J102" s="68">
        <f t="shared" si="27"/>
        <v>0</v>
      </c>
      <c r="K102" s="73">
        <f t="shared" si="28"/>
        <v>3.0850060284137726E-9</v>
      </c>
      <c r="L102" s="68">
        <f t="shared" si="29"/>
        <v>-160204.06764050396</v>
      </c>
      <c r="M102" s="68">
        <f t="shared" si="30"/>
        <v>602672.44493337895</v>
      </c>
      <c r="N102" s="69">
        <f t="shared" si="31"/>
        <v>2.5436747819185257E-8</v>
      </c>
    </row>
    <row r="103" spans="1:14" x14ac:dyDescent="0.2">
      <c r="A103" s="66">
        <v>46934</v>
      </c>
      <c r="B103" s="71" t="s">
        <v>193</v>
      </c>
      <c r="D103" s="68">
        <f t="shared" si="22"/>
        <v>35153349.699402675</v>
      </c>
      <c r="E103" s="68">
        <f t="shared" si="23"/>
        <v>35153349.699402682</v>
      </c>
      <c r="F103" s="72"/>
      <c r="G103" s="68">
        <f t="shared" si="24"/>
        <v>-35153349.699402653</v>
      </c>
      <c r="H103" s="68">
        <f t="shared" si="25"/>
        <v>-34665108.731355384</v>
      </c>
      <c r="I103" s="68">
        <f t="shared" si="26"/>
        <v>488240.96804729849</v>
      </c>
      <c r="J103" s="68">
        <f t="shared" si="27"/>
        <v>0</v>
      </c>
      <c r="K103" s="73">
        <f t="shared" si="28"/>
        <v>3.0850060284137726E-9</v>
      </c>
      <c r="L103" s="68">
        <f t="shared" si="29"/>
        <v>-102530.60328992142</v>
      </c>
      <c r="M103" s="68">
        <f t="shared" si="30"/>
        <v>385710.36475737707</v>
      </c>
      <c r="N103" s="69">
        <f t="shared" si="31"/>
        <v>2.5436747819185257E-8</v>
      </c>
    </row>
    <row r="104" spans="1:14" x14ac:dyDescent="0.2">
      <c r="A104" s="66">
        <v>46965</v>
      </c>
      <c r="B104" s="71" t="s">
        <v>193</v>
      </c>
      <c r="D104" s="68">
        <f t="shared" si="22"/>
        <v>35153349.699402675</v>
      </c>
      <c r="E104" s="68">
        <f t="shared" si="23"/>
        <v>35153349.699402682</v>
      </c>
      <c r="F104" s="72"/>
      <c r="G104" s="68">
        <f t="shared" si="24"/>
        <v>-35153349.699402653</v>
      </c>
      <c r="H104" s="68">
        <f t="shared" si="25"/>
        <v>-34878714.154876061</v>
      </c>
      <c r="I104" s="68">
        <f t="shared" si="26"/>
        <v>274635.5445266217</v>
      </c>
      <c r="J104" s="68">
        <f t="shared" si="27"/>
        <v>0</v>
      </c>
      <c r="K104" s="73">
        <f t="shared" si="28"/>
        <v>3.0850060284137726E-9</v>
      </c>
      <c r="L104" s="68">
        <f t="shared" si="29"/>
        <v>-57673.464350579423</v>
      </c>
      <c r="M104" s="68">
        <f t="shared" si="30"/>
        <v>216962.08017604228</v>
      </c>
      <c r="N104" s="69">
        <f t="shared" si="31"/>
        <v>2.5436747819185257E-8</v>
      </c>
    </row>
    <row r="105" spans="1:14" x14ac:dyDescent="0.2">
      <c r="A105" s="66">
        <v>46996</v>
      </c>
      <c r="B105" s="71" t="s">
        <v>193</v>
      </c>
      <c r="D105" s="68">
        <f t="shared" si="22"/>
        <v>35153349.699402675</v>
      </c>
      <c r="E105" s="68">
        <f t="shared" si="23"/>
        <v>35153349.699402682</v>
      </c>
      <c r="F105" s="72"/>
      <c r="G105" s="68">
        <f t="shared" si="24"/>
        <v>-35153349.699402653</v>
      </c>
      <c r="H105" s="68">
        <f t="shared" si="25"/>
        <v>-35031289.45739083</v>
      </c>
      <c r="I105" s="68">
        <f t="shared" si="26"/>
        <v>122060.24201185256</v>
      </c>
      <c r="J105" s="68">
        <f t="shared" si="27"/>
        <v>0</v>
      </c>
      <c r="K105" s="73">
        <f t="shared" si="28"/>
        <v>3.0850060284137726E-9</v>
      </c>
      <c r="L105" s="68">
        <f t="shared" si="29"/>
        <v>-25632.65082247803</v>
      </c>
      <c r="M105" s="68">
        <f t="shared" si="30"/>
        <v>96427.591189374536</v>
      </c>
      <c r="N105" s="69">
        <f t="shared" si="31"/>
        <v>2.5436747819185257E-8</v>
      </c>
    </row>
    <row r="106" spans="1:14" x14ac:dyDescent="0.2">
      <c r="A106" s="66">
        <v>47026</v>
      </c>
      <c r="B106" s="71" t="s">
        <v>193</v>
      </c>
      <c r="D106" s="68">
        <f t="shared" si="22"/>
        <v>35153349.699402675</v>
      </c>
      <c r="E106" s="68">
        <f t="shared" si="23"/>
        <v>35153349.699402682</v>
      </c>
      <c r="F106" s="72"/>
      <c r="G106" s="68">
        <f t="shared" si="24"/>
        <v>-35153349.699402653</v>
      </c>
      <c r="H106" s="68">
        <f t="shared" si="25"/>
        <v>-35122834.638899691</v>
      </c>
      <c r="I106" s="68">
        <f t="shared" si="26"/>
        <v>30515.06050299108</v>
      </c>
      <c r="J106" s="68">
        <f t="shared" si="27"/>
        <v>0</v>
      </c>
      <c r="K106" s="73">
        <f t="shared" si="28"/>
        <v>3.0850060284137726E-9</v>
      </c>
      <c r="L106" s="68">
        <f t="shared" si="29"/>
        <v>-6408.1627056171938</v>
      </c>
      <c r="M106" s="68">
        <f t="shared" si="30"/>
        <v>24106.897797373887</v>
      </c>
      <c r="N106" s="69">
        <f t="shared" si="31"/>
        <v>2.5436747819185257E-8</v>
      </c>
    </row>
    <row r="107" spans="1:14" x14ac:dyDescent="0.2">
      <c r="A107" s="75">
        <v>47057</v>
      </c>
      <c r="B107" s="76" t="s">
        <v>193</v>
      </c>
      <c r="C107" s="76"/>
      <c r="D107" s="77">
        <f t="shared" ref="D107" si="32">D106+C107</f>
        <v>35153349.699402675</v>
      </c>
      <c r="E107" s="77">
        <f t="shared" ref="E107" si="33">(D95+D107+SUM(D96:D106)*2)/24</f>
        <v>35153349.699402682</v>
      </c>
      <c r="F107" s="80"/>
      <c r="G107" s="77">
        <f t="shared" ref="G107" si="34">G106-F107</f>
        <v>-35153349.699402653</v>
      </c>
      <c r="H107" s="77">
        <f t="shared" ref="H107" si="35">(G95+G107+SUM(G96:G106)*2)/24</f>
        <v>-35153349.699402645</v>
      </c>
      <c r="I107" s="77">
        <f t="shared" ref="I107" si="36">E107+H107</f>
        <v>0</v>
      </c>
      <c r="J107" s="77">
        <f t="shared" ref="J107" si="37">(-C107*0.21)+(F107*0.21)</f>
        <v>0</v>
      </c>
      <c r="K107" s="78">
        <f t="shared" ref="K107" si="38">K106+J107</f>
        <v>3.0850060284137726E-9</v>
      </c>
      <c r="L107" s="77">
        <f t="shared" ref="L107" si="39">(K95+K107+SUM(K96:K106)*2)/24</f>
        <v>3.0850060284137726E-9</v>
      </c>
      <c r="M107" s="77">
        <f t="shared" ref="M107" si="40">L107+I107</f>
        <v>3.0850060284137726E-9</v>
      </c>
      <c r="N107" s="79">
        <f t="shared" ref="N107" si="41">+D107+G107+K107</f>
        <v>2.5436747819185257E-8</v>
      </c>
    </row>
    <row r="108" spans="1:14" x14ac:dyDescent="0.2">
      <c r="A108" s="174"/>
      <c r="B108" s="175"/>
      <c r="C108" s="175"/>
      <c r="D108" s="176"/>
      <c r="E108" s="176"/>
      <c r="F108" s="197"/>
      <c r="G108" s="176"/>
      <c r="H108" s="176"/>
      <c r="I108" s="176"/>
      <c r="J108" s="176"/>
      <c r="K108" s="178"/>
      <c r="L108" s="176"/>
      <c r="M108" s="176"/>
      <c r="N108" s="179"/>
    </row>
    <row r="109" spans="1:14" x14ac:dyDescent="0.2">
      <c r="A109" s="66"/>
      <c r="D109" s="68"/>
      <c r="E109" s="68"/>
      <c r="F109" s="72"/>
      <c r="G109" s="68"/>
      <c r="H109" s="68"/>
      <c r="I109" s="68"/>
      <c r="J109" s="68"/>
      <c r="K109" s="73"/>
      <c r="L109" s="68"/>
      <c r="M109" s="68"/>
      <c r="N109" s="173"/>
    </row>
    <row r="110" spans="1:14" x14ac:dyDescent="0.2">
      <c r="A110" s="71"/>
    </row>
    <row r="111" spans="1:14" x14ac:dyDescent="0.2">
      <c r="A111" s="35" t="s">
        <v>181</v>
      </c>
      <c r="F111" s="154">
        <f>SUM(F48:F59)</f>
        <v>8788337.4248506688</v>
      </c>
    </row>
  </sheetData>
  <printOptions horizontalCentered="1"/>
  <pageMargins left="0.2" right="0.2" top="0.5" bottom="0.5" header="0.3" footer="0.3"/>
  <pageSetup scale="58" fitToHeight="0" orientation="landscape" r:id="rId1"/>
  <headerFooter>
    <oddFooter>&amp;R&amp;"Times New Roman,Regular"Exh. SEF-3 Page 1 of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workbookViewId="0">
      <selection activeCell="E6" sqref="E6"/>
    </sheetView>
  </sheetViews>
  <sheetFormatPr defaultRowHeight="15" x14ac:dyDescent="0.25"/>
  <sheetData>
    <row r="3" spans="2:5" x14ac:dyDescent="0.25">
      <c r="B3" s="1"/>
      <c r="C3" s="2" t="s">
        <v>19</v>
      </c>
      <c r="D3" s="2" t="s">
        <v>20</v>
      </c>
      <c r="E3" s="2" t="s">
        <v>21</v>
      </c>
    </row>
    <row r="4" spans="2:5" x14ac:dyDescent="0.25">
      <c r="B4" s="5" t="s">
        <v>22</v>
      </c>
      <c r="C4" s="6">
        <v>0.51</v>
      </c>
      <c r="D4" s="6">
        <v>0.05</v>
      </c>
      <c r="E4" s="7">
        <f>+C4*D4</f>
        <v>2.5500000000000002E-2</v>
      </c>
    </row>
    <row r="5" spans="2:5" x14ac:dyDescent="0.25">
      <c r="B5" s="5" t="s">
        <v>23</v>
      </c>
      <c r="C5" s="11">
        <v>0.49</v>
      </c>
      <c r="D5" s="8">
        <v>9.4E-2</v>
      </c>
      <c r="E5" s="9">
        <f>+C5*D5</f>
        <v>4.6059999999999997E-2</v>
      </c>
    </row>
    <row r="6" spans="2:5" x14ac:dyDescent="0.25">
      <c r="C6" s="10">
        <f>+SUM(C4:C5)</f>
        <v>1</v>
      </c>
      <c r="E6" s="10">
        <f>+SUM(E4:E5)</f>
        <v>7.1559999999999999E-2</v>
      </c>
    </row>
  </sheetData>
  <printOptions horizontalCentered="1"/>
  <pageMargins left="0.2" right="0.2" top="0.75" bottom="0.75" header="0.3" footer="0.3"/>
  <pageSetup orientation="portrait" horizontalDpi="1200" verticalDpi="1200" r:id="rId1"/>
  <headerFooter>
    <oddFooter>&amp;R&amp;"Times New Roman,Regular"Exh. SEF-3 Page of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2" sqref="K22"/>
    </sheetView>
  </sheetViews>
  <sheetFormatPr defaultRowHeight="15" x14ac:dyDescent="0.25"/>
  <cols>
    <col min="1" max="1" width="69" style="87" bestFit="1" customWidth="1"/>
    <col min="2" max="10" width="14.85546875" customWidth="1"/>
    <col min="11" max="11" width="11.5703125" bestFit="1" customWidth="1"/>
    <col min="12" max="21" width="14.85546875" bestFit="1" customWidth="1"/>
  </cols>
  <sheetData>
    <row r="2" spans="1:21" s="87" customFormat="1" x14ac:dyDescent="0.25">
      <c r="A2" s="90"/>
      <c r="B2" s="90" t="s">
        <v>122</v>
      </c>
      <c r="C2" s="90" t="s">
        <v>123</v>
      </c>
      <c r="D2" s="90" t="s">
        <v>124</v>
      </c>
      <c r="E2" s="90" t="s">
        <v>125</v>
      </c>
      <c r="F2" s="90" t="s">
        <v>126</v>
      </c>
      <c r="G2" s="90" t="s">
        <v>127</v>
      </c>
      <c r="H2" s="90" t="s">
        <v>128</v>
      </c>
      <c r="I2" s="90" t="s">
        <v>129</v>
      </c>
      <c r="J2" s="90" t="s">
        <v>130</v>
      </c>
      <c r="K2" s="90">
        <v>2023</v>
      </c>
      <c r="L2" s="90" t="s">
        <v>131</v>
      </c>
      <c r="M2" s="90" t="s">
        <v>132</v>
      </c>
      <c r="N2" s="90" t="s">
        <v>133</v>
      </c>
      <c r="O2" s="90" t="s">
        <v>134</v>
      </c>
      <c r="P2" s="90" t="s">
        <v>135</v>
      </c>
      <c r="Q2" s="90" t="s">
        <v>136</v>
      </c>
      <c r="R2" s="90" t="s">
        <v>137</v>
      </c>
      <c r="S2" s="90" t="s">
        <v>138</v>
      </c>
      <c r="T2" s="90" t="s">
        <v>139</v>
      </c>
      <c r="U2" s="90" t="s">
        <v>140</v>
      </c>
    </row>
    <row r="3" spans="1:21" s="87" customFormat="1" x14ac:dyDescent="0.25">
      <c r="A3" s="90" t="s">
        <v>228</v>
      </c>
      <c r="B3" s="90" t="s">
        <v>118</v>
      </c>
      <c r="C3" s="90" t="s">
        <v>118</v>
      </c>
      <c r="D3" s="90" t="s">
        <v>118</v>
      </c>
      <c r="E3" s="90" t="s">
        <v>118</v>
      </c>
      <c r="F3" s="90" t="s">
        <v>118</v>
      </c>
      <c r="G3" s="90" t="s">
        <v>118</v>
      </c>
      <c r="H3" s="90" t="s">
        <v>118</v>
      </c>
      <c r="I3" s="90" t="s">
        <v>118</v>
      </c>
      <c r="J3" s="90" t="s">
        <v>118</v>
      </c>
      <c r="K3" s="90" t="s">
        <v>21</v>
      </c>
      <c r="L3" s="90" t="s">
        <v>118</v>
      </c>
      <c r="M3" s="90" t="s">
        <v>118</v>
      </c>
      <c r="N3" s="90" t="s">
        <v>118</v>
      </c>
      <c r="O3" s="90" t="s">
        <v>118</v>
      </c>
      <c r="P3" s="90" t="s">
        <v>118</v>
      </c>
      <c r="Q3" s="90" t="s">
        <v>118</v>
      </c>
      <c r="R3" s="90" t="s">
        <v>118</v>
      </c>
      <c r="S3" s="90" t="s">
        <v>118</v>
      </c>
      <c r="T3" s="90" t="s">
        <v>118</v>
      </c>
      <c r="U3" s="90" t="s">
        <v>118</v>
      </c>
    </row>
    <row r="4" spans="1:21" x14ac:dyDescent="0.25">
      <c r="A4" s="89" t="s">
        <v>0</v>
      </c>
      <c r="B4" s="88">
        <v>46351.824999999997</v>
      </c>
      <c r="C4" s="88">
        <v>46351.824999999997</v>
      </c>
      <c r="D4" s="88">
        <v>60434.214999999997</v>
      </c>
      <c r="E4" s="88">
        <v>46351.824999999997</v>
      </c>
      <c r="F4" s="88">
        <v>46351.824999999997</v>
      </c>
      <c r="G4" s="88">
        <v>46351.824999999997</v>
      </c>
      <c r="H4" s="88">
        <v>46351.824999999997</v>
      </c>
      <c r="I4" s="88">
        <v>46351.824999999997</v>
      </c>
      <c r="J4" s="88">
        <v>60434.214999999997</v>
      </c>
      <c r="K4" s="88">
        <f t="shared" ref="K4:K21" si="0">SUM(B4:J4)</f>
        <v>445331.20500000007</v>
      </c>
      <c r="L4" s="88">
        <v>48614.004249999998</v>
      </c>
      <c r="M4" s="88">
        <v>48614.004249999998</v>
      </c>
      <c r="N4" s="88">
        <v>48745.254249999998</v>
      </c>
      <c r="O4" s="88">
        <v>48614.004249999998</v>
      </c>
      <c r="P4" s="88">
        <v>48614.004249999998</v>
      </c>
      <c r="Q4" s="88">
        <v>63400.513749999998</v>
      </c>
      <c r="R4" s="88">
        <v>48614.004249999998</v>
      </c>
      <c r="S4" s="88">
        <v>48614.004249999998</v>
      </c>
      <c r="T4" s="88">
        <v>48614.004249999998</v>
      </c>
      <c r="U4" s="88">
        <v>48614.004249999998</v>
      </c>
    </row>
    <row r="5" spans="1:21" x14ac:dyDescent="0.25">
      <c r="A5" s="89" t="s">
        <v>3</v>
      </c>
      <c r="B5" s="88">
        <v>16259.1850409</v>
      </c>
      <c r="C5" s="88">
        <v>9429.5253582999994</v>
      </c>
      <c r="D5" s="88">
        <v>6296.5264645999996</v>
      </c>
      <c r="E5" s="88">
        <v>1858.3736108000001</v>
      </c>
      <c r="F5" s="88">
        <v>1858.3736108000001</v>
      </c>
      <c r="G5" s="88">
        <v>1858.3736108000001</v>
      </c>
      <c r="H5" s="88">
        <v>1858.3736108000001</v>
      </c>
      <c r="I5" s="88">
        <v>1858.3736108000001</v>
      </c>
      <c r="J5" s="88">
        <v>2207.8729162</v>
      </c>
      <c r="K5" s="88">
        <f t="shared" si="0"/>
        <v>43484.977834000005</v>
      </c>
      <c r="L5" s="88">
        <v>2014.2582826</v>
      </c>
      <c r="M5" s="88"/>
      <c r="N5" s="88">
        <v>4983.1672913000002</v>
      </c>
      <c r="O5" s="88">
        <v>17072.144293000001</v>
      </c>
      <c r="P5" s="88">
        <v>9901.0016262999998</v>
      </c>
      <c r="Q5" s="88">
        <v>6611.3527878000004</v>
      </c>
      <c r="R5" s="88">
        <v>1951.2922913</v>
      </c>
      <c r="S5" s="88">
        <v>1951.2922913</v>
      </c>
      <c r="T5" s="88">
        <v>1951.2922913</v>
      </c>
      <c r="U5" s="88">
        <v>1951.2922913</v>
      </c>
    </row>
    <row r="6" spans="1:21" x14ac:dyDescent="0.25">
      <c r="A6" s="89" t="s">
        <v>4</v>
      </c>
      <c r="B6" s="88">
        <v>12761.1187001</v>
      </c>
      <c r="C6" s="88">
        <v>12761.1187001</v>
      </c>
      <c r="D6" s="88">
        <v>16442.511383500001</v>
      </c>
      <c r="E6" s="88">
        <v>12761.1187001</v>
      </c>
      <c r="F6" s="88">
        <v>12761.1187001</v>
      </c>
      <c r="G6" s="88">
        <v>12761.1187001</v>
      </c>
      <c r="H6" s="88">
        <v>12761.1187001</v>
      </c>
      <c r="I6" s="88">
        <v>12761.1187001</v>
      </c>
      <c r="J6" s="88">
        <v>16442.511383500001</v>
      </c>
      <c r="K6" s="88">
        <f t="shared" si="0"/>
        <v>122212.85366769999</v>
      </c>
      <c r="L6" s="88">
        <v>12209.8209451</v>
      </c>
      <c r="M6" s="88">
        <v>12209.8209451</v>
      </c>
      <c r="N6" s="88">
        <v>45334.924635099997</v>
      </c>
      <c r="O6" s="88">
        <v>13399.1746351</v>
      </c>
      <c r="P6" s="88">
        <v>13399.1746351</v>
      </c>
      <c r="Q6" s="88">
        <v>17264.636952699999</v>
      </c>
      <c r="R6" s="88">
        <v>13399.1746351</v>
      </c>
      <c r="S6" s="88">
        <v>13399.1746351</v>
      </c>
      <c r="T6" s="88">
        <v>13399.1746351</v>
      </c>
      <c r="U6" s="88">
        <v>13399.1746351</v>
      </c>
    </row>
    <row r="7" spans="1:21" x14ac:dyDescent="0.25">
      <c r="A7" s="89" t="s">
        <v>5</v>
      </c>
      <c r="B7" s="88">
        <v>239.24953690000001</v>
      </c>
      <c r="C7" s="88">
        <v>239.24953690000001</v>
      </c>
      <c r="D7" s="88">
        <v>355.74930540000003</v>
      </c>
      <c r="E7" s="88">
        <v>239.24953690000001</v>
      </c>
      <c r="F7" s="88">
        <v>239.24953690000001</v>
      </c>
      <c r="G7" s="88">
        <v>239.24953690000001</v>
      </c>
      <c r="H7" s="88">
        <v>239.24953690000001</v>
      </c>
      <c r="I7" s="88">
        <v>5024.2402754000004</v>
      </c>
      <c r="J7" s="88">
        <v>7470.7354131000002</v>
      </c>
      <c r="K7" s="88">
        <f t="shared" si="0"/>
        <v>14286.2222153</v>
      </c>
      <c r="L7" s="88">
        <v>8542.9695508000004</v>
      </c>
      <c r="M7" s="88">
        <v>8542.9695508000004</v>
      </c>
      <c r="N7" s="88">
        <v>211.83701379999999</v>
      </c>
      <c r="O7" s="88">
        <v>251.21201379999999</v>
      </c>
      <c r="P7" s="88">
        <v>251.21201379999999</v>
      </c>
      <c r="Q7" s="88">
        <v>373.53677069999998</v>
      </c>
      <c r="R7" s="88">
        <v>251.21201379999999</v>
      </c>
      <c r="S7" s="88">
        <v>251.21201379999999</v>
      </c>
      <c r="T7" s="88">
        <v>251.21201379999999</v>
      </c>
      <c r="U7" s="88">
        <v>251.21201379999999</v>
      </c>
    </row>
    <row r="8" spans="1:21" s="93" customFormat="1" x14ac:dyDescent="0.25">
      <c r="A8" s="89" t="s">
        <v>119</v>
      </c>
      <c r="B8" s="88">
        <v>3507.9956778999999</v>
      </c>
      <c r="C8" s="88">
        <v>3507.9956778999999</v>
      </c>
      <c r="D8" s="88">
        <v>4595.3268502999999</v>
      </c>
      <c r="E8" s="88">
        <v>3507.9956778999999</v>
      </c>
      <c r="F8" s="88">
        <v>3507.9956778999999</v>
      </c>
      <c r="G8" s="88">
        <v>3507.9956778999999</v>
      </c>
      <c r="H8" s="88">
        <v>3507.9956778999999</v>
      </c>
      <c r="I8" s="88">
        <v>3507.9956778999999</v>
      </c>
      <c r="J8" s="88">
        <v>4595.3268502999999</v>
      </c>
      <c r="K8" s="88">
        <f t="shared" si="0"/>
        <v>33746.623445899997</v>
      </c>
      <c r="L8" s="88">
        <v>3276.9064315000001</v>
      </c>
      <c r="M8" s="88">
        <v>3332.1095617999999</v>
      </c>
      <c r="N8" s="88">
        <v>3315.8954617999998</v>
      </c>
      <c r="O8" s="88">
        <v>3683.3954617999998</v>
      </c>
      <c r="P8" s="88">
        <v>3683.3954617999998</v>
      </c>
      <c r="Q8" s="88">
        <v>4825.0931928</v>
      </c>
      <c r="R8" s="88">
        <v>3683.3954617999998</v>
      </c>
      <c r="S8" s="88">
        <v>3683.3954617999998</v>
      </c>
      <c r="T8" s="88">
        <v>3683.3954617999998</v>
      </c>
      <c r="U8" s="88">
        <v>3683.3954617999998</v>
      </c>
    </row>
    <row r="9" spans="1:21" s="93" customFormat="1" x14ac:dyDescent="0.25">
      <c r="A9" s="89" t="s">
        <v>6</v>
      </c>
      <c r="B9" s="88">
        <v>3750.1681299000002</v>
      </c>
      <c r="C9" s="88">
        <v>3637.8264920000001</v>
      </c>
      <c r="D9" s="88">
        <v>2709.0979702</v>
      </c>
      <c r="E9" s="88">
        <v>716.94390720000001</v>
      </c>
      <c r="F9" s="88">
        <v>716.94390720000001</v>
      </c>
      <c r="G9" s="88">
        <v>716.94390720000001</v>
      </c>
      <c r="H9" s="88">
        <v>716.94390720000001</v>
      </c>
      <c r="I9" s="88">
        <v>716.94390720000001</v>
      </c>
      <c r="J9" s="88">
        <v>949.94344409999997</v>
      </c>
      <c r="K9" s="88">
        <f t="shared" si="0"/>
        <v>14631.755572200002</v>
      </c>
      <c r="L9" s="88">
        <v>1355.0311051000001</v>
      </c>
      <c r="M9" s="88"/>
      <c r="N9" s="88">
        <v>674.04110249999997</v>
      </c>
      <c r="O9" s="88">
        <v>3937.6765363999998</v>
      </c>
      <c r="P9" s="88">
        <v>3819.7178165999999</v>
      </c>
      <c r="Q9" s="88">
        <v>2844.5528687000001</v>
      </c>
      <c r="R9" s="88">
        <v>752.79110249999997</v>
      </c>
      <c r="S9" s="88">
        <v>752.79110249999997</v>
      </c>
      <c r="T9" s="88">
        <v>752.79110249999997</v>
      </c>
      <c r="U9" s="88">
        <v>752.79110249999997</v>
      </c>
    </row>
    <row r="10" spans="1:21" s="93" customFormat="1" x14ac:dyDescent="0.25">
      <c r="A10" s="89" t="s">
        <v>7</v>
      </c>
      <c r="B10" s="88">
        <v>5266.1313105999998</v>
      </c>
      <c r="C10" s="88">
        <v>5169.4017838</v>
      </c>
      <c r="D10" s="88">
        <v>5469.8762935000004</v>
      </c>
      <c r="E10" s="88">
        <v>2654.4340870999999</v>
      </c>
      <c r="F10" s="88">
        <v>2654.4340870999999</v>
      </c>
      <c r="G10" s="88">
        <v>2654.4340870999999</v>
      </c>
      <c r="H10" s="88">
        <v>2654.4340870999999</v>
      </c>
      <c r="I10" s="88">
        <v>2654.4340870999999</v>
      </c>
      <c r="J10" s="88">
        <v>3823.3150974</v>
      </c>
      <c r="K10" s="88">
        <f t="shared" si="0"/>
        <v>33000.89492079999</v>
      </c>
      <c r="L10" s="88">
        <v>4819.0468979999996</v>
      </c>
      <c r="M10" s="88"/>
      <c r="N10" s="88">
        <v>2392.0932914999999</v>
      </c>
      <c r="O10" s="88">
        <v>5529.4378760999998</v>
      </c>
      <c r="P10" s="88">
        <v>5427.8718730000001</v>
      </c>
      <c r="Q10" s="88">
        <v>5743.3701080999999</v>
      </c>
      <c r="R10" s="88">
        <v>2787.1557914999999</v>
      </c>
      <c r="S10" s="88">
        <v>2787.1557914999999</v>
      </c>
      <c r="T10" s="88">
        <v>2787.1557914999999</v>
      </c>
      <c r="U10" s="88">
        <v>2787.1557914999999</v>
      </c>
    </row>
    <row r="11" spans="1:21" s="93" customFormat="1" x14ac:dyDescent="0.25">
      <c r="A11" s="89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>
        <f t="shared" si="0"/>
        <v>0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s="93" customFormat="1" x14ac:dyDescent="0.25">
      <c r="A12" s="89" t="s">
        <v>9</v>
      </c>
      <c r="B12" s="88">
        <v>6475.4502666999997</v>
      </c>
      <c r="C12" s="88">
        <v>6475.4502666999997</v>
      </c>
      <c r="D12" s="88">
        <v>6475.4502666999997</v>
      </c>
      <c r="E12" s="88">
        <v>6475.4502666999997</v>
      </c>
      <c r="F12" s="88">
        <v>6475.4502666999997</v>
      </c>
      <c r="G12" s="88">
        <v>6475.4502666999997</v>
      </c>
      <c r="H12" s="88">
        <v>6475.4502666999997</v>
      </c>
      <c r="I12" s="88">
        <v>6475.4502666999997</v>
      </c>
      <c r="J12" s="88">
        <v>6475.4502666999997</v>
      </c>
      <c r="K12" s="88">
        <f t="shared" si="0"/>
        <v>58279.052400299988</v>
      </c>
      <c r="L12" s="88">
        <v>6799.2227800000001</v>
      </c>
      <c r="M12" s="88">
        <v>6799.2227800000001</v>
      </c>
      <c r="N12" s="88">
        <v>6799.2227800000001</v>
      </c>
      <c r="O12" s="88">
        <v>6799.2227800000001</v>
      </c>
      <c r="P12" s="88">
        <v>6799.2227800000001</v>
      </c>
      <c r="Q12" s="88">
        <v>6799.2227800000001</v>
      </c>
      <c r="R12" s="88">
        <v>6799.2227800000001</v>
      </c>
      <c r="S12" s="88">
        <v>6799.2227800000001</v>
      </c>
      <c r="T12" s="88">
        <v>6799.2227800000001</v>
      </c>
      <c r="U12" s="88">
        <v>6799.2227800000001</v>
      </c>
    </row>
    <row r="13" spans="1:21" s="93" customFormat="1" x14ac:dyDescent="0.25">
      <c r="A13" s="89" t="s">
        <v>10</v>
      </c>
      <c r="B13" s="88">
        <v>4235.9806061999998</v>
      </c>
      <c r="C13" s="88">
        <v>4235.9806061999998</v>
      </c>
      <c r="D13" s="88">
        <v>4235.9806061999998</v>
      </c>
      <c r="E13" s="88">
        <v>4235.9806061999998</v>
      </c>
      <c r="F13" s="88">
        <v>4235.9806061999998</v>
      </c>
      <c r="G13" s="88">
        <v>4235.9806061999998</v>
      </c>
      <c r="H13" s="88">
        <v>4235.9806061999998</v>
      </c>
      <c r="I13" s="88">
        <v>4235.9806061999998</v>
      </c>
      <c r="J13" s="88">
        <v>4235.9806061999998</v>
      </c>
      <c r="K13" s="88">
        <f t="shared" si="0"/>
        <v>38123.825455799997</v>
      </c>
      <c r="L13" s="88">
        <v>4447.7796365000004</v>
      </c>
      <c r="M13" s="88">
        <v>4447.7796365000004</v>
      </c>
      <c r="N13" s="88">
        <v>4465.7002132999996</v>
      </c>
      <c r="O13" s="88">
        <v>4447.7796365000004</v>
      </c>
      <c r="P13" s="88">
        <v>4447.7796365000004</v>
      </c>
      <c r="Q13" s="88">
        <v>4447.7796365000004</v>
      </c>
      <c r="R13" s="88">
        <v>4447.7796365000004</v>
      </c>
      <c r="S13" s="88">
        <v>4447.7796365000004</v>
      </c>
      <c r="T13" s="88">
        <v>4447.7796365000004</v>
      </c>
      <c r="U13" s="88">
        <v>4447.7796365000004</v>
      </c>
    </row>
    <row r="14" spans="1:21" s="93" customFormat="1" x14ac:dyDescent="0.25">
      <c r="A14" s="89" t="s">
        <v>11</v>
      </c>
      <c r="B14" s="88">
        <v>18865.271756400001</v>
      </c>
      <c r="C14" s="88">
        <v>18865.271756400001</v>
      </c>
      <c r="D14" s="88">
        <v>21777.765967899999</v>
      </c>
      <c r="E14" s="88">
        <v>18865.271756400001</v>
      </c>
      <c r="F14" s="88">
        <v>24865.271756400001</v>
      </c>
      <c r="G14" s="88">
        <v>18865.271756400001</v>
      </c>
      <c r="H14" s="88">
        <v>18865.271756400001</v>
      </c>
      <c r="I14" s="88">
        <v>18865.271756400001</v>
      </c>
      <c r="J14" s="88">
        <v>21777.765967899999</v>
      </c>
      <c r="K14" s="88">
        <f t="shared" si="0"/>
        <v>181612.43423060002</v>
      </c>
      <c r="L14" s="88">
        <v>18867.590969199999</v>
      </c>
      <c r="M14" s="88">
        <v>18867.590969199999</v>
      </c>
      <c r="N14" s="88">
        <v>24074.160344200001</v>
      </c>
      <c r="O14" s="88">
        <v>19808.535344200001</v>
      </c>
      <c r="P14" s="88">
        <v>19808.535344200001</v>
      </c>
      <c r="Q14" s="88">
        <v>22866.6542663</v>
      </c>
      <c r="R14" s="88">
        <v>19808.535344200001</v>
      </c>
      <c r="S14" s="88">
        <v>26108.535344200001</v>
      </c>
      <c r="T14" s="88">
        <v>19808.535344200001</v>
      </c>
      <c r="U14" s="88">
        <v>19808.535344200001</v>
      </c>
    </row>
    <row r="15" spans="1:21" s="93" customFormat="1" x14ac:dyDescent="0.25">
      <c r="A15" s="89" t="s">
        <v>12</v>
      </c>
      <c r="B15" s="88">
        <v>53829.376923900003</v>
      </c>
      <c r="C15" s="88">
        <v>53829.376923900003</v>
      </c>
      <c r="D15" s="88">
        <v>68523.881052500001</v>
      </c>
      <c r="E15" s="88">
        <v>53829.376923900003</v>
      </c>
      <c r="F15" s="88">
        <v>53829.376923900003</v>
      </c>
      <c r="G15" s="88">
        <v>53829.376923900003</v>
      </c>
      <c r="H15" s="88">
        <v>53829.376923900003</v>
      </c>
      <c r="I15" s="88">
        <v>53829.376923900003</v>
      </c>
      <c r="J15" s="88">
        <v>68523.881052500001</v>
      </c>
      <c r="K15" s="88">
        <f t="shared" si="0"/>
        <v>513853.40057229996</v>
      </c>
      <c r="L15" s="88">
        <v>52996.870210100002</v>
      </c>
      <c r="M15" s="88">
        <v>47450.2830101</v>
      </c>
      <c r="N15" s="88">
        <v>51554.345770100001</v>
      </c>
      <c r="O15" s="88">
        <v>56520.845770100001</v>
      </c>
      <c r="P15" s="88">
        <v>56520.845770100001</v>
      </c>
      <c r="Q15" s="88">
        <v>71950.075105099997</v>
      </c>
      <c r="R15" s="88">
        <v>56520.845770100001</v>
      </c>
      <c r="S15" s="88">
        <v>56520.845770100001</v>
      </c>
      <c r="T15" s="88">
        <v>56520.845770100001</v>
      </c>
      <c r="U15" s="88">
        <v>56520.845770100001</v>
      </c>
    </row>
    <row r="16" spans="1:21" s="93" customFormat="1" x14ac:dyDescent="0.25">
      <c r="A16" s="89" t="s">
        <v>13</v>
      </c>
      <c r="B16" s="88">
        <v>9347.4751825999992</v>
      </c>
      <c r="C16" s="88">
        <v>9347.4751825999992</v>
      </c>
      <c r="D16" s="88">
        <v>11398.0264405</v>
      </c>
      <c r="E16" s="88">
        <v>9347.4751825999992</v>
      </c>
      <c r="F16" s="88">
        <v>9347.4751825999992</v>
      </c>
      <c r="G16" s="88">
        <v>9347.4751825999992</v>
      </c>
      <c r="H16" s="88">
        <v>9347.4751825999992</v>
      </c>
      <c r="I16" s="88">
        <v>9347.4751825999992</v>
      </c>
      <c r="J16" s="88">
        <v>11398.0264405</v>
      </c>
      <c r="K16" s="88">
        <f t="shared" si="0"/>
        <v>88228.379159199991</v>
      </c>
      <c r="L16" s="88">
        <v>13486.773918000001</v>
      </c>
      <c r="M16" s="88">
        <v>13486.773918000001</v>
      </c>
      <c r="N16" s="88">
        <v>21989.5464417</v>
      </c>
      <c r="O16" s="88">
        <v>9814.8489417000001</v>
      </c>
      <c r="P16" s="88">
        <v>9814.8489417000001</v>
      </c>
      <c r="Q16" s="88">
        <v>11967.9277625</v>
      </c>
      <c r="R16" s="88">
        <v>9814.8489417000001</v>
      </c>
      <c r="S16" s="88">
        <v>9814.8489417000001</v>
      </c>
      <c r="T16" s="88">
        <v>9814.8489417000001</v>
      </c>
      <c r="U16" s="88">
        <v>9814.8489417000001</v>
      </c>
    </row>
    <row r="17" spans="1:21" s="93" customFormat="1" x14ac:dyDescent="0.25">
      <c r="A17" s="89" t="s">
        <v>14</v>
      </c>
      <c r="B17" s="88">
        <v>42176.838316699999</v>
      </c>
      <c r="C17" s="88">
        <v>42176.838316699999</v>
      </c>
      <c r="D17" s="88">
        <v>42176.838316699999</v>
      </c>
      <c r="E17" s="88">
        <v>42176.838316699999</v>
      </c>
      <c r="F17" s="88">
        <v>42176.838316699999</v>
      </c>
      <c r="G17" s="88">
        <v>42176.838316699999</v>
      </c>
      <c r="H17" s="88">
        <v>42176.838316699999</v>
      </c>
      <c r="I17" s="88">
        <v>42176.838316699999</v>
      </c>
      <c r="J17" s="88">
        <v>42176.838316699999</v>
      </c>
      <c r="K17" s="88">
        <f t="shared" si="0"/>
        <v>379591.54485030007</v>
      </c>
      <c r="L17" s="88">
        <v>44285.680232500003</v>
      </c>
      <c r="M17" s="88">
        <v>26506.136999999999</v>
      </c>
      <c r="N17" s="88">
        <v>44285.680232500003</v>
      </c>
      <c r="O17" s="88">
        <v>44285.680232500003</v>
      </c>
      <c r="P17" s="88">
        <v>44285.680232500003</v>
      </c>
      <c r="Q17" s="88">
        <v>44285.680232500003</v>
      </c>
      <c r="R17" s="88">
        <v>44285.680232500003</v>
      </c>
      <c r="S17" s="88">
        <v>44285.680232500003</v>
      </c>
      <c r="T17" s="88">
        <v>44285.680232500003</v>
      </c>
      <c r="U17" s="88">
        <v>44285.680232500003</v>
      </c>
    </row>
    <row r="18" spans="1:21" s="93" customFormat="1" x14ac:dyDescent="0.25">
      <c r="A18" s="89" t="s">
        <v>120</v>
      </c>
      <c r="B18" s="88">
        <v>5333.3333333</v>
      </c>
      <c r="C18" s="88">
        <v>4333.3333333</v>
      </c>
      <c r="D18" s="88">
        <v>4333.3333333</v>
      </c>
      <c r="E18" s="88">
        <v>4333.3333333</v>
      </c>
      <c r="F18" s="88">
        <v>4333.3333333</v>
      </c>
      <c r="G18" s="88">
        <v>4333.3333333</v>
      </c>
      <c r="H18" s="88">
        <v>4333.3333333</v>
      </c>
      <c r="I18" s="88">
        <v>4333.3333333</v>
      </c>
      <c r="J18" s="88">
        <v>4333.3333333</v>
      </c>
      <c r="K18" s="88">
        <f t="shared" si="0"/>
        <v>39999.999999699998</v>
      </c>
      <c r="L18" s="88">
        <v>4550</v>
      </c>
      <c r="M18" s="88">
        <v>55013.252</v>
      </c>
      <c r="N18" s="88">
        <v>62037.5</v>
      </c>
      <c r="O18" s="88">
        <v>5600</v>
      </c>
      <c r="P18" s="88">
        <v>4550</v>
      </c>
      <c r="Q18" s="88">
        <v>4550</v>
      </c>
      <c r="R18" s="88">
        <v>4550</v>
      </c>
      <c r="S18" s="88">
        <v>4550</v>
      </c>
      <c r="T18" s="88">
        <v>4550</v>
      </c>
      <c r="U18" s="88">
        <v>4550</v>
      </c>
    </row>
    <row r="19" spans="1:21" s="93" customFormat="1" x14ac:dyDescent="0.25">
      <c r="A19" s="89" t="s">
        <v>121</v>
      </c>
      <c r="B19" s="88">
        <v>104522.8434</v>
      </c>
      <c r="C19" s="88">
        <v>104522.8434</v>
      </c>
      <c r="D19" s="88">
        <v>104522.8434</v>
      </c>
      <c r="E19" s="88">
        <v>104522.8434</v>
      </c>
      <c r="F19" s="88">
        <v>104522.8434</v>
      </c>
      <c r="G19" s="88">
        <v>104522.8434</v>
      </c>
      <c r="H19" s="88">
        <v>104707.6053048</v>
      </c>
      <c r="I19" s="88">
        <v>104707.6053048</v>
      </c>
      <c r="J19" s="88">
        <v>104707.6053048</v>
      </c>
      <c r="K19" s="88">
        <f t="shared" si="0"/>
        <v>941259.87631439988</v>
      </c>
      <c r="L19" s="88">
        <v>112687.56482499999</v>
      </c>
      <c r="M19" s="88">
        <v>110034.73557</v>
      </c>
      <c r="N19" s="88">
        <v>109748.98557</v>
      </c>
      <c r="O19" s="88">
        <v>109748.98557</v>
      </c>
      <c r="P19" s="88">
        <v>109748.98557</v>
      </c>
      <c r="Q19" s="88">
        <v>109748.98557</v>
      </c>
      <c r="R19" s="88">
        <v>109748.98557</v>
      </c>
      <c r="S19" s="88">
        <v>109748.98557</v>
      </c>
      <c r="T19" s="88">
        <v>109748.98557</v>
      </c>
      <c r="U19" s="88">
        <v>109942.98557</v>
      </c>
    </row>
    <row r="20" spans="1:21" s="93" customFormat="1" x14ac:dyDescent="0.25">
      <c r="A20" s="89" t="s">
        <v>1</v>
      </c>
      <c r="B20" s="88">
        <v>175842.76626800001</v>
      </c>
      <c r="C20" s="88">
        <v>176138.67014</v>
      </c>
      <c r="D20" s="88">
        <v>117587.93030000001</v>
      </c>
      <c r="E20" s="88">
        <v>57732.781532000001</v>
      </c>
      <c r="F20" s="88">
        <v>57732.781532000001</v>
      </c>
      <c r="G20" s="88">
        <v>57436.877659999998</v>
      </c>
      <c r="H20" s="88">
        <v>176138.67014</v>
      </c>
      <c r="I20" s="88">
        <v>55256.533340000002</v>
      </c>
      <c r="J20" s="88">
        <v>57732.781532000001</v>
      </c>
      <c r="K20" s="88">
        <f t="shared" si="0"/>
        <v>931599.79244400014</v>
      </c>
      <c r="L20" s="88">
        <v>64714.999200600003</v>
      </c>
      <c r="M20" s="88">
        <v>59687.323411799996</v>
      </c>
      <c r="N20" s="88">
        <v>60619.420608599998</v>
      </c>
      <c r="O20" s="88">
        <v>184634.90458140001</v>
      </c>
      <c r="P20" s="88">
        <v>184945.60364700001</v>
      </c>
      <c r="Q20" s="88">
        <v>123467.32681499999</v>
      </c>
      <c r="R20" s="88">
        <v>60619.420608599998</v>
      </c>
      <c r="S20" s="88">
        <v>60619.420608599998</v>
      </c>
      <c r="T20" s="88">
        <v>60308.721543</v>
      </c>
      <c r="U20" s="88">
        <v>184945.60364700001</v>
      </c>
    </row>
    <row r="21" spans="1:21" s="93" customFormat="1" x14ac:dyDescent="0.25">
      <c r="A21" s="89" t="s">
        <v>2</v>
      </c>
      <c r="B21" s="88"/>
      <c r="C21" s="88"/>
      <c r="D21" s="88"/>
      <c r="E21" s="88"/>
      <c r="F21" s="88"/>
      <c r="G21" s="88"/>
      <c r="H21" s="88"/>
      <c r="I21" s="88"/>
      <c r="J21" s="88"/>
      <c r="K21" s="88">
        <f t="shared" si="0"/>
        <v>0</v>
      </c>
      <c r="L21" s="88"/>
      <c r="M21" s="88">
        <v>29133.037499999999</v>
      </c>
      <c r="N21" s="88"/>
      <c r="O21" s="88"/>
      <c r="P21" s="88"/>
      <c r="Q21" s="88"/>
      <c r="R21" s="88"/>
      <c r="S21" s="88"/>
      <c r="T21" s="88"/>
      <c r="U21" s="88"/>
    </row>
    <row r="22" spans="1:21" s="93" customFormat="1" x14ac:dyDescent="0.25">
      <c r="A22" s="89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s="93" customFormat="1" x14ac:dyDescent="0.25">
      <c r="A23" s="249"/>
      <c r="B23" s="250">
        <f t="shared" ref="B23:J23" si="1">SUM(B4:B22)</f>
        <v>508765.00945010001</v>
      </c>
      <c r="C23" s="250">
        <f t="shared" si="1"/>
        <v>501022.18247479998</v>
      </c>
      <c r="D23" s="250">
        <f t="shared" si="1"/>
        <v>477335.35295129998</v>
      </c>
      <c r="E23" s="250">
        <f t="shared" si="1"/>
        <v>369609.2918378</v>
      </c>
      <c r="F23" s="250">
        <f t="shared" si="1"/>
        <v>375609.2918378</v>
      </c>
      <c r="G23" s="250">
        <f t="shared" si="1"/>
        <v>369313.38796580001</v>
      </c>
      <c r="H23" s="250">
        <f t="shared" si="1"/>
        <v>488199.94235060003</v>
      </c>
      <c r="I23" s="250">
        <f t="shared" si="1"/>
        <v>372102.79628910002</v>
      </c>
      <c r="J23" s="250">
        <f t="shared" si="1"/>
        <v>417285.5829252</v>
      </c>
      <c r="K23" s="251">
        <f>SUM(K4:K22)</f>
        <v>3879242.8380825003</v>
      </c>
      <c r="L23" s="250">
        <f>SUM(L4:L22)</f>
        <v>403668.51923500001</v>
      </c>
      <c r="M23" s="250">
        <f t="shared" ref="M23:U23" si="2">SUM(M4:M22)</f>
        <v>444125.04010329989</v>
      </c>
      <c r="N23" s="250">
        <f t="shared" si="2"/>
        <v>491231.77500640001</v>
      </c>
      <c r="O23" s="250">
        <f t="shared" si="2"/>
        <v>534147.84792260011</v>
      </c>
      <c r="P23" s="250">
        <f t="shared" si="2"/>
        <v>526017.87959860009</v>
      </c>
      <c r="Q23" s="250">
        <f t="shared" si="2"/>
        <v>501146.7085987</v>
      </c>
      <c r="R23" s="250">
        <f t="shared" si="2"/>
        <v>388034.34442960005</v>
      </c>
      <c r="S23" s="250">
        <f t="shared" si="2"/>
        <v>394334.34442960005</v>
      </c>
      <c r="T23" s="250">
        <f t="shared" si="2"/>
        <v>387723.64536400005</v>
      </c>
      <c r="U23" s="250">
        <f t="shared" si="2"/>
        <v>512554.52746800007</v>
      </c>
    </row>
    <row r="24" spans="1:21" x14ac:dyDescent="0.25">
      <c r="B24" s="206">
        <f>SUM(B4:B21)</f>
        <v>508765.00945010001</v>
      </c>
      <c r="C24" s="206">
        <f t="shared" ref="C24:J24" si="3">SUM(C4:C21)</f>
        <v>501022.18247479998</v>
      </c>
      <c r="D24" s="206">
        <f t="shared" si="3"/>
        <v>477335.35295129998</v>
      </c>
      <c r="E24" s="206">
        <f t="shared" si="3"/>
        <v>369609.2918378</v>
      </c>
      <c r="F24" s="206">
        <f t="shared" si="3"/>
        <v>375609.2918378</v>
      </c>
      <c r="G24" s="206">
        <f t="shared" si="3"/>
        <v>369313.38796580001</v>
      </c>
      <c r="H24" s="206">
        <f t="shared" si="3"/>
        <v>488199.94235060003</v>
      </c>
      <c r="I24" s="206">
        <f t="shared" si="3"/>
        <v>372102.79628910002</v>
      </c>
      <c r="J24" s="206">
        <f t="shared" si="3"/>
        <v>417285.5829252</v>
      </c>
      <c r="K24" s="206"/>
      <c r="L24" s="206">
        <f>SUM(L4:L21)</f>
        <v>403668.51923500001</v>
      </c>
      <c r="M24" s="206">
        <f t="shared" ref="M24:U24" si="4">SUM(M4:M21)</f>
        <v>444125.04010329989</v>
      </c>
      <c r="N24" s="206">
        <f t="shared" si="4"/>
        <v>491231.77500640001</v>
      </c>
      <c r="O24" s="206">
        <f t="shared" si="4"/>
        <v>534147.84792260011</v>
      </c>
      <c r="P24" s="206">
        <f t="shared" si="4"/>
        <v>526017.87959860009</v>
      </c>
      <c r="Q24" s="206">
        <f t="shared" si="4"/>
        <v>501146.7085987</v>
      </c>
      <c r="R24" s="206">
        <f t="shared" si="4"/>
        <v>388034.34442960005</v>
      </c>
      <c r="S24" s="206">
        <f t="shared" si="4"/>
        <v>394334.34442960005</v>
      </c>
      <c r="T24" s="206">
        <f t="shared" si="4"/>
        <v>387723.64536400005</v>
      </c>
      <c r="U24" s="206">
        <f t="shared" si="4"/>
        <v>512554.52746800007</v>
      </c>
    </row>
    <row r="25" spans="1:21" x14ac:dyDescent="0.25">
      <c r="T25" s="167" t="s">
        <v>198</v>
      </c>
      <c r="U25" s="4">
        <f>SUM(I24:U24)</f>
        <v>5372373.0113701001</v>
      </c>
    </row>
    <row r="26" spans="1:21" x14ac:dyDescent="0.25">
      <c r="T26" s="167" t="s">
        <v>199</v>
      </c>
      <c r="U26" s="166">
        <v>0.79</v>
      </c>
    </row>
    <row r="27" spans="1:21" ht="15.75" thickBot="1" x14ac:dyDescent="0.3">
      <c r="T27" s="167" t="s">
        <v>200</v>
      </c>
      <c r="U27" s="168">
        <f>-U25*U26</f>
        <v>-4244174.6789823789</v>
      </c>
    </row>
    <row r="28" spans="1:21" ht="15.75" thickTop="1" x14ac:dyDescent="0.25"/>
  </sheetData>
  <pageMargins left="0.7" right="0.2" top="0.75" bottom="0.75" header="0.3" footer="0.3"/>
  <pageSetup orientation="landscape" horizontalDpi="1200" verticalDpi="1200" r:id="rId1"/>
  <headerFooter>
    <oddFooter xml:space="preserve">&amp;R&amp;"Times New Roman,Regular"Exh. SEF-3 Page &amp;P of </oddFooter>
  </headerFooter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topLeftCell="A4" workbookViewId="0">
      <selection activeCell="F23" sqref="F23"/>
    </sheetView>
  </sheetViews>
  <sheetFormatPr defaultRowHeight="15" x14ac:dyDescent="0.25"/>
  <cols>
    <col min="2" max="2" width="5" bestFit="1" customWidth="1"/>
    <col min="3" max="3" width="62.5703125" bestFit="1" customWidth="1"/>
    <col min="5" max="5" width="7.42578125" bestFit="1" customWidth="1"/>
    <col min="6" max="6" width="7.5703125" bestFit="1" customWidth="1"/>
  </cols>
  <sheetData>
    <row r="4" spans="2:6" x14ac:dyDescent="0.25">
      <c r="B4" s="12"/>
      <c r="C4" s="12"/>
      <c r="D4" s="13"/>
      <c r="E4" s="14"/>
      <c r="F4" s="15"/>
    </row>
    <row r="5" spans="2:6" x14ac:dyDescent="0.25">
      <c r="B5" s="16"/>
      <c r="C5" s="16" t="s">
        <v>24</v>
      </c>
      <c r="D5" s="17"/>
      <c r="E5" s="17"/>
      <c r="F5" s="17"/>
    </row>
    <row r="6" spans="2:6" x14ac:dyDescent="0.25">
      <c r="B6" s="16"/>
      <c r="C6" s="16" t="s">
        <v>25</v>
      </c>
      <c r="D6" s="17"/>
      <c r="E6" s="17"/>
      <c r="F6" s="17"/>
    </row>
    <row r="7" spans="2:6" x14ac:dyDescent="0.25">
      <c r="B7" s="16"/>
      <c r="C7" s="16" t="s">
        <v>26</v>
      </c>
      <c r="D7" s="17"/>
      <c r="E7" s="17"/>
      <c r="F7" s="17"/>
    </row>
    <row r="8" spans="2:6" x14ac:dyDescent="0.25">
      <c r="B8" s="16"/>
      <c r="C8" s="16" t="s">
        <v>27</v>
      </c>
      <c r="D8" s="17"/>
      <c r="E8" s="17"/>
      <c r="F8" s="17"/>
    </row>
    <row r="9" spans="2:6" x14ac:dyDescent="0.25">
      <c r="B9" s="18"/>
      <c r="C9" s="18" t="s">
        <v>28</v>
      </c>
      <c r="D9" s="18"/>
      <c r="E9" s="18"/>
      <c r="F9" s="18"/>
    </row>
    <row r="10" spans="2:6" x14ac:dyDescent="0.25">
      <c r="B10" s="17"/>
      <c r="C10" s="17"/>
      <c r="D10" s="17"/>
      <c r="E10" s="17"/>
      <c r="F10" s="17"/>
    </row>
    <row r="11" spans="2:6" x14ac:dyDescent="0.25">
      <c r="B11" s="17"/>
      <c r="C11" s="17"/>
      <c r="D11" s="17"/>
      <c r="E11" s="17"/>
      <c r="F11" s="12"/>
    </row>
    <row r="12" spans="2:6" x14ac:dyDescent="0.25">
      <c r="B12" s="19" t="s">
        <v>29</v>
      </c>
      <c r="C12" s="19"/>
      <c r="D12" s="19"/>
      <c r="E12" s="12"/>
      <c r="F12" s="12"/>
    </row>
    <row r="13" spans="2:6" x14ac:dyDescent="0.25">
      <c r="B13" s="20" t="s">
        <v>30</v>
      </c>
      <c r="C13" s="20" t="s">
        <v>31</v>
      </c>
      <c r="D13" s="20"/>
      <c r="E13" s="21"/>
      <c r="F13" s="21"/>
    </row>
    <row r="14" spans="2:6" x14ac:dyDescent="0.25">
      <c r="B14" s="12"/>
      <c r="C14" s="12"/>
      <c r="D14" s="12"/>
      <c r="E14" s="12"/>
      <c r="F14" s="12"/>
    </row>
    <row r="15" spans="2:6" x14ac:dyDescent="0.25">
      <c r="B15" s="22">
        <v>16</v>
      </c>
      <c r="C15" s="23" t="s">
        <v>32</v>
      </c>
      <c r="D15" s="24"/>
      <c r="E15" s="24"/>
      <c r="F15" s="25">
        <v>4.1980000000000003E-3</v>
      </c>
    </row>
    <row r="16" spans="2:6" x14ac:dyDescent="0.25">
      <c r="B16" s="22">
        <v>17</v>
      </c>
      <c r="C16" s="23" t="s">
        <v>33</v>
      </c>
      <c r="D16" s="24"/>
      <c r="E16" s="24"/>
      <c r="F16" s="25">
        <v>4.0000000000000001E-3</v>
      </c>
    </row>
    <row r="17" spans="2:6" x14ac:dyDescent="0.25">
      <c r="B17" s="22">
        <v>18</v>
      </c>
      <c r="C17" s="23" t="s">
        <v>34</v>
      </c>
      <c r="D17" s="12"/>
      <c r="E17" s="25">
        <v>3.8519999999999999E-2</v>
      </c>
      <c r="F17" s="26">
        <v>3.8358000000000003E-2</v>
      </c>
    </row>
    <row r="18" spans="2:6" x14ac:dyDescent="0.25">
      <c r="B18" s="22">
        <v>19</v>
      </c>
      <c r="C18" s="23"/>
      <c r="D18" s="24"/>
      <c r="E18" s="24"/>
      <c r="F18" s="27"/>
    </row>
    <row r="19" spans="2:6" x14ac:dyDescent="0.25">
      <c r="B19" s="22">
        <v>20</v>
      </c>
      <c r="C19" s="23" t="s">
        <v>35</v>
      </c>
      <c r="D19" s="24"/>
      <c r="E19" s="24"/>
      <c r="F19" s="25">
        <f>ROUND(SUM(F15:F17),6)</f>
        <v>4.6556E-2</v>
      </c>
    </row>
    <row r="20" spans="2:6" x14ac:dyDescent="0.25">
      <c r="B20" s="22">
        <v>21</v>
      </c>
      <c r="C20" s="24"/>
      <c r="D20" s="24"/>
      <c r="E20" s="24"/>
      <c r="F20" s="25"/>
    </row>
    <row r="21" spans="2:6" x14ac:dyDescent="0.25">
      <c r="B21" s="22">
        <v>22</v>
      </c>
      <c r="C21" s="24" t="s">
        <v>36</v>
      </c>
      <c r="D21" s="24"/>
      <c r="E21" s="24"/>
      <c r="F21" s="25">
        <f>ROUND(1-F19,6)</f>
        <v>0.95344399999999996</v>
      </c>
    </row>
    <row r="22" spans="2:6" x14ac:dyDescent="0.25">
      <c r="B22" s="22">
        <v>23</v>
      </c>
      <c r="C22" s="23" t="s">
        <v>37</v>
      </c>
      <c r="D22" s="24"/>
      <c r="E22" s="28">
        <v>0.21</v>
      </c>
      <c r="F22" s="25">
        <f>ROUND((F21)*E22,6)</f>
        <v>0.20022300000000001</v>
      </c>
    </row>
    <row r="23" spans="2:6" ht="15.75" thickBot="1" x14ac:dyDescent="0.3">
      <c r="B23" s="22">
        <v>24</v>
      </c>
      <c r="C23" s="23" t="s">
        <v>38</v>
      </c>
      <c r="D23" s="24"/>
      <c r="E23" s="24"/>
      <c r="F23" s="29">
        <f>ROUND(1-F22-F19,6)</f>
        <v>0.75322100000000003</v>
      </c>
    </row>
    <row r="24" spans="2:6" ht="15.75" thickTop="1" x14ac:dyDescent="0.25"/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>
      <pane ySplit="3" topLeftCell="A4" activePane="bottomLeft" state="frozen"/>
      <selection pane="bottomLeft" activeCell="F18" sqref="F18"/>
    </sheetView>
  </sheetViews>
  <sheetFormatPr defaultRowHeight="15" x14ac:dyDescent="0.25"/>
  <cols>
    <col min="2" max="2" width="13.140625" customWidth="1"/>
    <col min="3" max="3" width="15.28515625" bestFit="1" customWidth="1"/>
    <col min="4" max="5" width="14.28515625" bestFit="1" customWidth="1"/>
  </cols>
  <sheetData>
    <row r="2" spans="2:5" x14ac:dyDescent="0.25">
      <c r="C2" s="81">
        <v>18609802</v>
      </c>
      <c r="D2" s="81">
        <v>18239642</v>
      </c>
      <c r="E2" s="81">
        <v>18239652</v>
      </c>
    </row>
    <row r="3" spans="2:5" x14ac:dyDescent="0.25">
      <c r="B3" s="3" t="s">
        <v>171</v>
      </c>
      <c r="C3" s="3" t="s">
        <v>170</v>
      </c>
      <c r="D3" s="3" t="s">
        <v>169</v>
      </c>
      <c r="E3" s="3" t="s">
        <v>168</v>
      </c>
    </row>
    <row r="4" spans="2:5" x14ac:dyDescent="0.25">
      <c r="C4" s="1"/>
      <c r="D4" s="1"/>
      <c r="E4" s="1"/>
    </row>
    <row r="5" spans="2:5" x14ac:dyDescent="0.25">
      <c r="B5" t="s">
        <v>167</v>
      </c>
      <c r="C5" s="4">
        <v>1441533.12</v>
      </c>
      <c r="D5" s="4">
        <v>525376.54</v>
      </c>
      <c r="E5" s="4">
        <v>343277.89</v>
      </c>
    </row>
    <row r="6" spans="2:5" x14ac:dyDescent="0.25">
      <c r="B6" t="s">
        <v>166</v>
      </c>
      <c r="C6" s="4">
        <v>1440249.79</v>
      </c>
      <c r="D6" s="4">
        <v>525389.56999999995</v>
      </c>
      <c r="E6" s="4">
        <v>306629.76000000001</v>
      </c>
    </row>
    <row r="7" spans="2:5" x14ac:dyDescent="0.25">
      <c r="B7" t="s">
        <v>165</v>
      </c>
      <c r="C7" s="4">
        <v>1439374.95</v>
      </c>
      <c r="D7" s="4">
        <v>270932.74</v>
      </c>
      <c r="E7" s="4">
        <v>603434.99</v>
      </c>
    </row>
    <row r="8" spans="2:5" x14ac:dyDescent="0.25">
      <c r="B8" t="s">
        <v>164</v>
      </c>
      <c r="C8" s="4">
        <v>2606291.4500000002</v>
      </c>
      <c r="D8" s="4">
        <v>525424.75</v>
      </c>
      <c r="E8" s="4">
        <v>404337</v>
      </c>
    </row>
    <row r="9" spans="2:5" x14ac:dyDescent="0.25">
      <c r="B9" t="s">
        <v>163</v>
      </c>
      <c r="C9" s="4">
        <v>1729078.5</v>
      </c>
      <c r="D9" s="4">
        <v>523580.4</v>
      </c>
      <c r="E9" s="4">
        <v>376752.99</v>
      </c>
    </row>
    <row r="10" spans="2:5" x14ac:dyDescent="0.25">
      <c r="B10" t="s">
        <v>162</v>
      </c>
      <c r="C10" s="4">
        <v>1729072.73</v>
      </c>
      <c r="D10" s="4">
        <v>523852.85</v>
      </c>
      <c r="E10" s="4">
        <v>355362.34</v>
      </c>
    </row>
    <row r="11" spans="2:5" x14ac:dyDescent="0.25">
      <c r="B11" t="s">
        <v>161</v>
      </c>
      <c r="C11" s="4">
        <v>1728500.5</v>
      </c>
      <c r="D11" s="4">
        <v>524057.46</v>
      </c>
      <c r="E11" s="4">
        <v>353470.22</v>
      </c>
    </row>
    <row r="12" spans="2:5" x14ac:dyDescent="0.25">
      <c r="B12" t="s">
        <v>160</v>
      </c>
      <c r="C12" s="4">
        <v>1728804.72</v>
      </c>
      <c r="D12" s="4">
        <v>524246.69</v>
      </c>
      <c r="E12" s="4">
        <v>334818.90999999997</v>
      </c>
    </row>
    <row r="13" spans="2:5" x14ac:dyDescent="0.25">
      <c r="B13" t="s">
        <v>159</v>
      </c>
      <c r="C13" s="4">
        <v>1736301.15</v>
      </c>
      <c r="D13" s="4">
        <v>524365.12</v>
      </c>
      <c r="E13" s="4">
        <v>374212.85</v>
      </c>
    </row>
    <row r="14" spans="2:5" x14ac:dyDescent="0.25">
      <c r="B14" t="s">
        <v>158</v>
      </c>
      <c r="C14" s="4">
        <v>1736322.33</v>
      </c>
      <c r="D14" s="4">
        <v>524501.69999999995</v>
      </c>
      <c r="E14" s="4">
        <v>596097.85</v>
      </c>
    </row>
    <row r="15" spans="2:5" x14ac:dyDescent="0.25">
      <c r="B15" t="s">
        <v>157</v>
      </c>
      <c r="C15" s="4">
        <v>1554879.35</v>
      </c>
      <c r="D15" s="4">
        <v>524748.76</v>
      </c>
      <c r="E15" s="4">
        <v>526798.9</v>
      </c>
    </row>
    <row r="16" spans="2:5" x14ac:dyDescent="0.25">
      <c r="B16" t="s">
        <v>156</v>
      </c>
      <c r="C16" s="4">
        <v>1658331</v>
      </c>
      <c r="D16" s="4">
        <v>524974.31999999995</v>
      </c>
      <c r="E16" s="4">
        <v>366507.41</v>
      </c>
    </row>
    <row r="17" spans="2:5" x14ac:dyDescent="0.25">
      <c r="B17" t="s">
        <v>155</v>
      </c>
      <c r="C17" s="4">
        <v>1645182</v>
      </c>
      <c r="D17" s="4">
        <v>525102.22</v>
      </c>
      <c r="E17" s="4">
        <v>372998.81</v>
      </c>
    </row>
    <row r="18" spans="2:5" x14ac:dyDescent="0.25">
      <c r="B18" t="s">
        <v>154</v>
      </c>
      <c r="C18" s="4">
        <v>1640175</v>
      </c>
      <c r="D18" s="4">
        <v>525281.99</v>
      </c>
      <c r="E18" s="4">
        <v>474539.27</v>
      </c>
    </row>
    <row r="19" spans="2:5" x14ac:dyDescent="0.25">
      <c r="C19" s="143"/>
      <c r="D19" s="143"/>
      <c r="E19" s="143"/>
    </row>
    <row r="20" spans="2:5" x14ac:dyDescent="0.25">
      <c r="C20" s="142"/>
      <c r="D20" s="142"/>
      <c r="E20" s="142"/>
    </row>
    <row r="21" spans="2:5" ht="15.75" thickBot="1" x14ac:dyDescent="0.3">
      <c r="C21" s="229">
        <f>SUM(C5:C20)</f>
        <v>23814096.590000004</v>
      </c>
      <c r="D21" s="229">
        <f>SUM(D5:D20)</f>
        <v>7091835.1100000003</v>
      </c>
      <c r="E21" s="147">
        <f>SUM(E5:E20)</f>
        <v>5789239.1900000013</v>
      </c>
    </row>
    <row r="22" spans="2:5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zoomScaleNormal="10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R27" sqref="R27"/>
    </sheetView>
  </sheetViews>
  <sheetFormatPr defaultRowHeight="15" x14ac:dyDescent="0.25"/>
  <cols>
    <col min="1" max="1" width="5.7109375" customWidth="1"/>
    <col min="2" max="2" width="40.42578125" customWidth="1"/>
    <col min="3" max="3" width="9.7109375" bestFit="1" customWidth="1"/>
    <col min="4" max="14" width="12.5703125" bestFit="1" customWidth="1"/>
    <col min="15" max="15" width="13.42578125" customWidth="1"/>
    <col min="16" max="16" width="13.42578125" bestFit="1" customWidth="1"/>
    <col min="17" max="39" width="12.5703125" bestFit="1" customWidth="1"/>
    <col min="40" max="40" width="3" bestFit="1" customWidth="1"/>
  </cols>
  <sheetData>
    <row r="1" spans="1:44" x14ac:dyDescent="0.25">
      <c r="A1" s="5" t="s">
        <v>145</v>
      </c>
    </row>
    <row r="2" spans="1:44" x14ac:dyDescent="0.25">
      <c r="A2" s="5"/>
    </row>
    <row r="3" spans="1:44" x14ac:dyDescent="0.25">
      <c r="A3" s="5"/>
      <c r="E3" s="130"/>
      <c r="F3" s="130"/>
      <c r="G3" s="130"/>
      <c r="H3" s="130"/>
    </row>
    <row r="4" spans="1:44" x14ac:dyDescent="0.25">
      <c r="A4" s="5"/>
      <c r="B4" s="252" t="s">
        <v>146</v>
      </c>
      <c r="C4" s="252"/>
      <c r="E4" s="252" t="s">
        <v>147</v>
      </c>
      <c r="F4" s="252"/>
      <c r="G4" s="252"/>
      <c r="H4" s="252"/>
    </row>
    <row r="5" spans="1:44" x14ac:dyDescent="0.25">
      <c r="B5" s="131" t="s">
        <v>88</v>
      </c>
      <c r="C5" s="132">
        <v>7.3899999999999993E-2</v>
      </c>
      <c r="E5" s="131" t="s">
        <v>88</v>
      </c>
      <c r="F5" s="131"/>
      <c r="G5" s="132"/>
      <c r="H5" s="132">
        <v>7.1599999999999997E-2</v>
      </c>
    </row>
    <row r="6" spans="1:44" x14ac:dyDescent="0.25">
      <c r="B6" s="131" t="s">
        <v>148</v>
      </c>
      <c r="C6" s="132">
        <v>2.8299999999999999E-2</v>
      </c>
      <c r="E6" s="131" t="s">
        <v>148</v>
      </c>
      <c r="F6" s="131"/>
      <c r="G6" s="132"/>
      <c r="H6" s="132">
        <v>2.5499999999999998E-2</v>
      </c>
    </row>
    <row r="7" spans="1:44" x14ac:dyDescent="0.25">
      <c r="B7" s="131" t="s">
        <v>39</v>
      </c>
      <c r="C7" s="133">
        <v>0.21</v>
      </c>
      <c r="E7" s="131" t="s">
        <v>39</v>
      </c>
      <c r="F7" s="131"/>
      <c r="G7" s="131"/>
      <c r="H7" s="134">
        <v>0.21</v>
      </c>
    </row>
    <row r="8" spans="1:44" x14ac:dyDescent="0.25">
      <c r="A8" s="2" t="s">
        <v>81</v>
      </c>
    </row>
    <row r="9" spans="1:44" x14ac:dyDescent="0.25">
      <c r="A9" s="3" t="s">
        <v>82</v>
      </c>
      <c r="B9" s="3" t="s">
        <v>83</v>
      </c>
      <c r="C9" s="135"/>
      <c r="D9" s="135">
        <v>44620</v>
      </c>
      <c r="E9" s="135">
        <v>44651</v>
      </c>
      <c r="F9" s="135">
        <v>44681</v>
      </c>
      <c r="G9" s="135">
        <v>44712</v>
      </c>
      <c r="H9" s="135">
        <v>44742</v>
      </c>
      <c r="I9" s="135">
        <v>44773</v>
      </c>
      <c r="J9" s="135">
        <v>44804</v>
      </c>
      <c r="K9" s="135">
        <v>44834</v>
      </c>
      <c r="L9" s="135">
        <v>44865</v>
      </c>
      <c r="M9" s="135">
        <v>44895</v>
      </c>
      <c r="N9" s="135">
        <v>44926</v>
      </c>
      <c r="O9" s="135" t="s">
        <v>149</v>
      </c>
      <c r="P9" s="135" t="s">
        <v>150</v>
      </c>
      <c r="Q9" s="135">
        <v>44985</v>
      </c>
      <c r="R9" s="135">
        <v>45016</v>
      </c>
      <c r="S9" s="135">
        <v>45046</v>
      </c>
      <c r="T9" s="135">
        <v>45077</v>
      </c>
      <c r="U9" s="135">
        <v>45107</v>
      </c>
      <c r="V9" s="135">
        <v>45138</v>
      </c>
      <c r="W9" s="135">
        <v>45169</v>
      </c>
      <c r="X9" s="135">
        <v>45199</v>
      </c>
      <c r="Y9" s="135">
        <v>45230</v>
      </c>
      <c r="Z9" s="135">
        <v>45260</v>
      </c>
      <c r="AA9" s="135">
        <v>45291</v>
      </c>
      <c r="AB9" s="135">
        <v>45322</v>
      </c>
      <c r="AC9" s="135">
        <v>45351</v>
      </c>
      <c r="AD9" s="135">
        <v>45382</v>
      </c>
      <c r="AE9" s="135">
        <v>45412</v>
      </c>
      <c r="AF9" s="135">
        <f>AE9+31</f>
        <v>45443</v>
      </c>
      <c r="AG9" s="135">
        <v>45473</v>
      </c>
      <c r="AH9" s="135">
        <v>45504</v>
      </c>
      <c r="AI9" s="135">
        <v>45535</v>
      </c>
      <c r="AJ9" s="135">
        <v>45565</v>
      </c>
      <c r="AK9" s="136">
        <v>45596</v>
      </c>
      <c r="AL9" s="136">
        <v>45626</v>
      </c>
      <c r="AM9" t="s">
        <v>21</v>
      </c>
    </row>
    <row r="11" spans="1:44" x14ac:dyDescent="0.25">
      <c r="A11">
        <v>1</v>
      </c>
      <c r="B11" s="82" t="s">
        <v>151</v>
      </c>
    </row>
    <row r="12" spans="1:44" x14ac:dyDescent="0.25">
      <c r="A12">
        <v>2</v>
      </c>
      <c r="B12" t="s">
        <v>84</v>
      </c>
      <c r="C12" s="83"/>
      <c r="D12" s="83">
        <f>VLOOKUP(D$9,'Plant Additions'!$B$11:$M$22,3,FALSE)</f>
        <v>242210482.39999998</v>
      </c>
      <c r="E12" s="83">
        <f>VLOOKUP(E$9,'Plant Additions'!$B$11:$M$22,3,FALSE)</f>
        <v>242400844.05000004</v>
      </c>
      <c r="F12" s="83">
        <f>VLOOKUP(F$9,'Plant Additions'!$B$11:$M$22,3,FALSE)</f>
        <v>242473352.72000003</v>
      </c>
      <c r="G12" s="83">
        <f>VLOOKUP(G$9,'Plant Additions'!$B$11:$M$22,3,FALSE)</f>
        <v>242597388.97000003</v>
      </c>
      <c r="H12" s="83">
        <f>VLOOKUP(H$9,'Plant Additions'!$B$11:$M$22,3,FALSE)</f>
        <v>242654035.06999996</v>
      </c>
      <c r="I12" s="83">
        <f>VLOOKUP(I$9,'Plant Additions'!$B$11:$M$22,3,FALSE)</f>
        <v>242711756.40999997</v>
      </c>
      <c r="J12" s="83">
        <f>VLOOKUP(J$9,'Plant Additions'!$B$11:$M$22,3,FALSE)</f>
        <v>242786181.20999995</v>
      </c>
      <c r="K12" s="83">
        <f>VLOOKUP(K$9,'Plant Additions'!$B$11:$M$22,3,FALSE)</f>
        <v>242951019.96999997</v>
      </c>
      <c r="L12" s="83">
        <f>VLOOKUP(L$9,'Plant Additions'!$B$11:$M$22,3,FALSE)</f>
        <v>243004226.10999998</v>
      </c>
      <c r="M12" s="83">
        <f>VLOOKUP(M$9,'Plant Additions'!$B$11:$M$22,3,FALSE)</f>
        <v>243073721.75999996</v>
      </c>
      <c r="N12" s="83">
        <f>VLOOKUP(N$9,'Plant Additions'!$B$11:$M$22,3,FALSE)</f>
        <v>243176936.39999998</v>
      </c>
      <c r="O12" s="83">
        <f>'Plant Additions'!D23*(6/31)</f>
        <v>47064118.794193536</v>
      </c>
      <c r="P12" s="83">
        <f>'Plant Additions'!D23*(25/31)</f>
        <v>196100494.97580639</v>
      </c>
      <c r="Q12" s="83">
        <f>VLOOKUP(Q$9,'Plant Additions'!$B$11:$M$34,3,FALSE)</f>
        <v>243189559.47999993</v>
      </c>
      <c r="R12" s="83">
        <f>VLOOKUP(R$9,'Plant Additions'!$B$11:$M$34,3,FALSE)</f>
        <v>243198713.56999996</v>
      </c>
      <c r="S12" s="83">
        <f>'Plant Additions'!D26</f>
        <v>243198713.56999996</v>
      </c>
      <c r="T12" s="83">
        <f>'Plant Additions'!$D$27</f>
        <v>243198713.56999996</v>
      </c>
      <c r="U12" s="83">
        <f>'Plant Additions'!$D$28</f>
        <v>243198713.56999996</v>
      </c>
      <c r="V12" s="83">
        <f>'Plant Additions'!$D$29</f>
        <v>243198713.56999996</v>
      </c>
      <c r="W12" s="83">
        <f>'Plant Additions'!$D$30</f>
        <v>243198713.56999996</v>
      </c>
      <c r="X12" s="83">
        <f>'Plant Additions'!$D$31</f>
        <v>243198713.56999996</v>
      </c>
      <c r="Y12" s="83">
        <f>'Plant Additions'!$D$32</f>
        <v>243198713.56999996</v>
      </c>
      <c r="Z12" s="83">
        <f>'Plant Additions'!$D$33</f>
        <v>243198713.56999996</v>
      </c>
      <c r="AA12" s="83">
        <f>'Plant Additions'!$D$34</f>
        <v>243198713.56999996</v>
      </c>
      <c r="AB12" s="83">
        <f>'Plant Additions'!$D$35</f>
        <v>243198713.56999996</v>
      </c>
      <c r="AC12" s="83">
        <f>'Plant Additions'!$D$36</f>
        <v>243198713.56999996</v>
      </c>
      <c r="AD12" s="83">
        <f>'Plant Additions'!$D$37</f>
        <v>243198713.56999996</v>
      </c>
      <c r="AE12" s="83">
        <f>'Plant Additions'!$D$38</f>
        <v>243198713.56999996</v>
      </c>
      <c r="AF12" s="83">
        <f>'Plant Additions'!$D$39</f>
        <v>243198713.56999996</v>
      </c>
      <c r="AG12" s="83">
        <f>'Plant Additions'!$D$40</f>
        <v>243198713.56999996</v>
      </c>
      <c r="AH12" s="83">
        <f>'Plant Additions'!$D$41</f>
        <v>243198713.56999996</v>
      </c>
      <c r="AI12" s="83">
        <f>'Plant Additions'!$D$42</f>
        <v>243198713.56999996</v>
      </c>
      <c r="AJ12" s="83">
        <f>'Plant Additions'!$D$43</f>
        <v>243198713.56999996</v>
      </c>
      <c r="AK12" s="83">
        <f>'Plant Additions'!$D$44</f>
        <v>243198713.56999996</v>
      </c>
      <c r="AL12" s="83">
        <f>'Plant Additions'!$D$45</f>
        <v>243198713.56999996</v>
      </c>
    </row>
    <row r="13" spans="1:44" x14ac:dyDescent="0.25">
      <c r="A13">
        <v>3</v>
      </c>
      <c r="B13" t="s">
        <v>85</v>
      </c>
      <c r="C13" s="83"/>
      <c r="D13" s="83">
        <f>VLOOKUP(D$9,'Plant Additions'!$B$11:$M$22,7,FALSE)</f>
        <v>-270932.72951333335</v>
      </c>
      <c r="E13" s="83">
        <f>VLOOKUP(E$9,'Plant Additions'!$B$11:$M$22,7,FALSE)</f>
        <v>-794513.13279683329</v>
      </c>
      <c r="F13" s="83">
        <f>VLOOKUP(F$9,'Plant Additions'!$B$11:$M$22,7,FALSE)</f>
        <v>-1318365.9716162081</v>
      </c>
      <c r="G13" s="83">
        <f>VLOOKUP(G$9,'Plant Additions'!$B$11:$M$22,7,FALSE)</f>
        <v>-1842423.4204741665</v>
      </c>
      <c r="H13" s="83">
        <f>VLOOKUP(H$9,'Plant Additions'!$B$11:$M$22,7,FALSE)</f>
        <v>-2366670.1007572496</v>
      </c>
      <c r="I13" s="83">
        <f>VLOOKUP(I$9,'Plant Additions'!$B$11:$M$22,7,FALSE)</f>
        <v>-2891035.1749303332</v>
      </c>
      <c r="J13" s="83">
        <f>VLOOKUP(J$9,'Plant Additions'!$B$11:$M$22,7,FALSE)</f>
        <v>-3415536.8666155413</v>
      </c>
      <c r="K13" s="83">
        <f>VLOOKUP(K$9,'Plant Additions'!$B$11:$M$22,7,FALSE)</f>
        <v>-3940285.6136880415</v>
      </c>
      <c r="L13" s="83">
        <f>VLOOKUP(L$9,'Plant Additions'!$B$11:$M$22,7,FALSE)</f>
        <v>-4465259.9164428748</v>
      </c>
      <c r="M13" s="83">
        <f>VLOOKUP(M$9,'Plant Additions'!$B$11:$M$22,7,FALSE)</f>
        <v>-4990362.1317314999</v>
      </c>
      <c r="N13" s="83">
        <f>VLOOKUP(N$9,'Plant Additions'!$B$11:$M$22,7,FALSE)</f>
        <v>-5515644.1424123747</v>
      </c>
      <c r="O13" s="83">
        <f>'Plant Additions'!H23*(6/31)</f>
        <v>-1169229.8064038628</v>
      </c>
      <c r="P13" s="83">
        <f>'Plant Additions'!H23*(25/31)</f>
        <v>-4871790.8600160945</v>
      </c>
      <c r="Q13" s="83">
        <f>VLOOKUP(Q$9,'Plant Additions'!$B$11:$M$34,7,FALSE)</f>
        <v>-6566410.2130607497</v>
      </c>
      <c r="R13" s="83">
        <f>VLOOKUP(R$9,'Plant Additions'!$B$11:$M$34,7,FALSE)</f>
        <v>-7091834.9643598748</v>
      </c>
      <c r="S13" s="83">
        <f>VLOOKUP(S$9,'Plant Additions'!$B$11:$M$34,7,FALSE)</f>
        <v>-7617300.1576107079</v>
      </c>
      <c r="T13" s="83">
        <f>VLOOKUP(T$9,'Plant Additions'!$B$11:$M$34,7,FALSE)</f>
        <v>-8142765.350861541</v>
      </c>
      <c r="U13" s="83">
        <f>VLOOKUP(U$9,'Plant Additions'!$B$11:$M$34,7,FALSE)</f>
        <v>-8668230.544112375</v>
      </c>
      <c r="V13" s="83">
        <f>VLOOKUP(V$9,'Plant Additions'!$B$11:$M$34,7,FALSE)</f>
        <v>-9193695.7373632081</v>
      </c>
      <c r="W13" s="83">
        <f>VLOOKUP(W$9,'Plant Additions'!$B$11:$M$34,7,FALSE)</f>
        <v>-9719160.9306140412</v>
      </c>
      <c r="X13" s="83">
        <f>VLOOKUP(X$9,'Plant Additions'!$B$11:$M$34,7,FALSE)</f>
        <v>-10244626.123864874</v>
      </c>
      <c r="Y13" s="83">
        <f>VLOOKUP(Y$9,'Plant Additions'!$B$11:$M$34,7,FALSE)</f>
        <v>-10770091.317115707</v>
      </c>
      <c r="Z13" s="83">
        <f>VLOOKUP(Z$9,'Plant Additions'!$B$11:$M$34,7,FALSE)</f>
        <v>-11295556.51036654</v>
      </c>
      <c r="AA13" s="83">
        <f>VLOOKUP(AA$9,'Plant Additions'!$B$11:$M$34,7,FALSE)</f>
        <v>-11821021.703617373</v>
      </c>
      <c r="AB13" s="83">
        <f>'Plant Additions'!$H$35</f>
        <v>-12346486.896868207</v>
      </c>
      <c r="AC13" s="83">
        <f>'Plant Additions'!$H$36</f>
        <v>-12871952.09011904</v>
      </c>
      <c r="AD13" s="83">
        <f>'Plant Additions'!H37</f>
        <v>-13397417.283369873</v>
      </c>
      <c r="AE13" s="83">
        <f>'Plant Additions'!$H$38</f>
        <v>-13922882.476620706</v>
      </c>
      <c r="AF13" s="83">
        <f>'Plant Additions'!$H$39</f>
        <v>-14448347.669871539</v>
      </c>
      <c r="AG13" s="83">
        <f>'Plant Additions'!$H$40</f>
        <v>-14973812.863122372</v>
      </c>
      <c r="AH13" s="83">
        <f>'Plant Additions'!$H$41</f>
        <v>-15499278.056373205</v>
      </c>
      <c r="AI13" s="83">
        <f>'Plant Additions'!$H$42</f>
        <v>-16024743.249624038</v>
      </c>
      <c r="AJ13" s="83">
        <f>'Plant Additions'!$H$43</f>
        <v>-16550208.442874871</v>
      </c>
      <c r="AK13" s="83">
        <f>'Plant Additions'!H44</f>
        <v>-17075673.636125706</v>
      </c>
      <c r="AL13" s="83">
        <f>'Plant Additions'!$H$45</f>
        <v>-17601138.829376541</v>
      </c>
    </row>
    <row r="14" spans="1:44" x14ac:dyDescent="0.25">
      <c r="A14">
        <f>A13+1</f>
        <v>4</v>
      </c>
      <c r="B14" t="s">
        <v>86</v>
      </c>
      <c r="C14" s="83"/>
      <c r="D14" s="83">
        <f>VLOOKUP(D$9,'Plant Additions'!$B$11:$M$22,11,FALSE)</f>
        <v>-266950.01834769576</v>
      </c>
      <c r="E14" s="83">
        <f>VLOOKUP(E$9,'Plant Additions'!$B$11:$M$22,11,FALSE)</f>
        <v>-319164.80311869353</v>
      </c>
      <c r="F14" s="83">
        <f>VLOOKUP(F$9,'Plant Additions'!$B$11:$M$22,11,FALSE)</f>
        <v>-371348.51600692479</v>
      </c>
      <c r="G14" s="83">
        <f>VLOOKUP(G$9,'Plant Additions'!$B$11:$M$22,11,FALSE)</f>
        <v>-423559.95168536511</v>
      </c>
      <c r="H14" s="83">
        <f>VLOOKUP(H$9,'Plant Additions'!$B$11:$M$22,11,FALSE)</f>
        <v>-475758.60329241335</v>
      </c>
      <c r="I14" s="83">
        <f>VLOOKUP(I$9,'Plant Additions'!$B$11:$M$22,11,FALSE)</f>
        <v>-527953.22196333203</v>
      </c>
      <c r="J14" s="83">
        <f>VLOOKUP(J$9,'Plant Additions'!$B$11:$M$22,11,FALSE)</f>
        <v>-580142.80166008556</v>
      </c>
      <c r="K14" s="83">
        <f>VLOOKUP(K$9,'Plant Additions'!$B$11:$M$22,11,FALSE)</f>
        <v>-632332.12769500667</v>
      </c>
      <c r="L14" s="83">
        <f>VLOOKUP(L$9,'Plant Additions'!$B$11:$M$22,11,FALSE)</f>
        <v>-684500.34242324345</v>
      </c>
      <c r="M14" s="83">
        <f>VLOOKUP(M$9,'Plant Additions'!$B$11:$M$22,11,FALSE)</f>
        <v>-736682.05465822667</v>
      </c>
      <c r="N14" s="83">
        <f>VLOOKUP(N$9,'Plant Additions'!$B$11:$M$22,11,FALSE)</f>
        <v>-788873.64183008007</v>
      </c>
      <c r="O14" s="83">
        <f>'Plant Additions'!L23*(6/31)</f>
        <v>-191425.9506849699</v>
      </c>
      <c r="P14" s="83">
        <f>'Plant Additions'!L23*(25/31)</f>
        <v>-797608.12785404117</v>
      </c>
      <c r="Q14" s="83">
        <f>VLOOKUP(Q$9,'Plant Additions'!$B$11:$M$34,11,FALSE)</f>
        <v>-1189199.5099852886</v>
      </c>
      <c r="R14" s="83">
        <f>VLOOKUP(R$9,'Plant Additions'!$B$11:$M$34,11,FALSE)</f>
        <v>-1389360.4006725946</v>
      </c>
      <c r="S14" s="83">
        <f>'Plant Additions'!$L$26</f>
        <v>-1589512.7985500388</v>
      </c>
      <c r="T14" s="83">
        <f>'Plant Additions'!$L$27</f>
        <v>-1789665.1964274831</v>
      </c>
      <c r="U14" s="83">
        <f>'Plant Additions'!$L$28</f>
        <v>-1989817.5943049337</v>
      </c>
      <c r="V14" s="83">
        <f>'Plant Additions'!$L$29</f>
        <v>-2189969.9921823782</v>
      </c>
      <c r="W14" s="83">
        <f>'Plant Additions'!$L$30</f>
        <v>-2390122.3900598288</v>
      </c>
      <c r="X14" s="83">
        <f>'Plant Additions'!$L$31</f>
        <v>-2590274.7879372793</v>
      </c>
      <c r="Y14" s="83">
        <f>'Plant Additions'!$L$32</f>
        <v>-2790427.1858147234</v>
      </c>
      <c r="Z14" s="83">
        <f>'Plant Additions'!$L$33</f>
        <v>-2990579.5836921739</v>
      </c>
      <c r="AA14" s="83">
        <f>'Plant Additions'!$L$34</f>
        <v>-3190731.9815696185</v>
      </c>
      <c r="AB14" s="83">
        <f>'Plant Additions'!$L$35</f>
        <v>-3363498.9246239141</v>
      </c>
      <c r="AC14" s="83">
        <f>'Plant Additions'!$L$36</f>
        <v>-3536265.8676782036</v>
      </c>
      <c r="AD14" s="83">
        <f>'Plant Additions'!$L$37</f>
        <v>-3709032.8107324997</v>
      </c>
      <c r="AE14" s="83">
        <f>'Plant Additions'!$L$38</f>
        <v>-3881799.7537867893</v>
      </c>
      <c r="AF14" s="83">
        <f>'Plant Additions'!$L$39</f>
        <v>-4054566.6968410849</v>
      </c>
      <c r="AG14" s="83">
        <f>'Plant Additions'!$L$40</f>
        <v>-4227333.639895374</v>
      </c>
      <c r="AH14" s="83">
        <f>'Plant Additions'!$L$41</f>
        <v>-4400100.58294967</v>
      </c>
      <c r="AI14" s="83">
        <f>'Plant Additions'!$L$42</f>
        <v>-4572867.5260039596</v>
      </c>
      <c r="AJ14" s="83">
        <f>'Plant Additions'!$L$43</f>
        <v>-4745634.4690582557</v>
      </c>
      <c r="AK14" s="83">
        <f>'Plant Additions'!$L$44</f>
        <v>-4918401.4121125452</v>
      </c>
      <c r="AL14" s="83">
        <f>'Plant Additions'!$L$45</f>
        <v>-5091168.3551668404</v>
      </c>
    </row>
    <row r="15" spans="1:44" x14ac:dyDescent="0.25">
      <c r="A15">
        <f t="shared" ref="A15:A26" si="0">A14+1</f>
        <v>5</v>
      </c>
      <c r="B15" t="s">
        <v>87</v>
      </c>
      <c r="C15" s="30"/>
      <c r="D15" s="30">
        <f t="shared" ref="D15:AL15" si="1">SUM(D12:D13,D14)</f>
        <v>241672599.65213892</v>
      </c>
      <c r="E15" s="30">
        <f t="shared" si="1"/>
        <v>241287166.11408451</v>
      </c>
      <c r="F15" s="30">
        <f t="shared" si="1"/>
        <v>240783638.2323769</v>
      </c>
      <c r="G15" s="30">
        <f t="shared" si="1"/>
        <v>240331405.59784049</v>
      </c>
      <c r="H15" s="30">
        <f t="shared" si="1"/>
        <v>239811606.36595032</v>
      </c>
      <c r="I15" s="30">
        <f t="shared" si="1"/>
        <v>239292768.01310629</v>
      </c>
      <c r="J15" s="30">
        <f t="shared" si="1"/>
        <v>238790501.54172432</v>
      </c>
      <c r="K15" s="30">
        <f t="shared" si="1"/>
        <v>238378402.22861692</v>
      </c>
      <c r="L15" s="30">
        <f t="shared" si="1"/>
        <v>237854465.85113388</v>
      </c>
      <c r="M15" s="30">
        <f t="shared" si="1"/>
        <v>237346677.57361022</v>
      </c>
      <c r="N15" s="30">
        <f t="shared" si="1"/>
        <v>236872418.61575752</v>
      </c>
      <c r="O15" s="30">
        <f t="shared" si="1"/>
        <v>45703463.037104703</v>
      </c>
      <c r="P15" s="30">
        <f t="shared" si="1"/>
        <v>190431095.98793623</v>
      </c>
      <c r="Q15" s="30">
        <f t="shared" si="1"/>
        <v>235433949.7569539</v>
      </c>
      <c r="R15" s="30">
        <f t="shared" si="1"/>
        <v>234717518.2049675</v>
      </c>
      <c r="S15" s="30">
        <f t="shared" si="1"/>
        <v>233991900.61383921</v>
      </c>
      <c r="T15" s="30">
        <f t="shared" si="1"/>
        <v>233266283.02271092</v>
      </c>
      <c r="U15" s="30">
        <f t="shared" si="1"/>
        <v>232540665.43158266</v>
      </c>
      <c r="V15" s="30">
        <f t="shared" si="1"/>
        <v>231815047.84045437</v>
      </c>
      <c r="W15" s="30">
        <f t="shared" si="1"/>
        <v>231089430.24932608</v>
      </c>
      <c r="X15" s="30">
        <f t="shared" si="1"/>
        <v>230363812.65819782</v>
      </c>
      <c r="Y15" s="30">
        <f t="shared" si="1"/>
        <v>229638195.06706953</v>
      </c>
      <c r="Z15" s="30">
        <f t="shared" si="1"/>
        <v>228912577.47594127</v>
      </c>
      <c r="AA15" s="30">
        <f t="shared" si="1"/>
        <v>228186959.88481298</v>
      </c>
      <c r="AB15" s="30">
        <f t="shared" si="1"/>
        <v>227488727.74850786</v>
      </c>
      <c r="AC15" s="30">
        <f t="shared" si="1"/>
        <v>226790495.61220273</v>
      </c>
      <c r="AD15" s="30">
        <f t="shared" si="1"/>
        <v>226092263.47589758</v>
      </c>
      <c r="AE15" s="30">
        <f t="shared" si="1"/>
        <v>225394031.33959246</v>
      </c>
      <c r="AF15" s="30">
        <f t="shared" si="1"/>
        <v>224695799.20328733</v>
      </c>
      <c r="AG15" s="30">
        <f t="shared" si="1"/>
        <v>223997567.06698221</v>
      </c>
      <c r="AH15" s="30">
        <f t="shared" si="1"/>
        <v>223299334.93067709</v>
      </c>
      <c r="AI15" s="30">
        <f t="shared" si="1"/>
        <v>222601102.79437196</v>
      </c>
      <c r="AJ15" s="30">
        <f t="shared" si="1"/>
        <v>221902870.65806684</v>
      </c>
      <c r="AK15" s="30">
        <f t="shared" si="1"/>
        <v>221204638.52176172</v>
      </c>
      <c r="AL15" s="30">
        <f t="shared" si="1"/>
        <v>220506406.38545656</v>
      </c>
      <c r="AM15" s="83">
        <f>AVERAGE(C15:AL15)</f>
        <v>225213879.62154403</v>
      </c>
      <c r="AN15" s="196">
        <f>'Plant Additions'!N45-AL15</f>
        <v>0</v>
      </c>
      <c r="AO15" s="195" t="s">
        <v>214</v>
      </c>
      <c r="AP15" s="195"/>
      <c r="AQ15" s="195"/>
      <c r="AR15" s="195"/>
    </row>
    <row r="16" spans="1:44" x14ac:dyDescent="0.25">
      <c r="A16">
        <f t="shared" si="0"/>
        <v>6</v>
      </c>
      <c r="B16" t="s">
        <v>88</v>
      </c>
      <c r="C16" s="8"/>
      <c r="D16" s="8">
        <f>$C$5</f>
        <v>7.3899999999999993E-2</v>
      </c>
      <c r="E16" s="8">
        <f t="shared" ref="E16:N16" si="2">$C$5</f>
        <v>7.3899999999999993E-2</v>
      </c>
      <c r="F16" s="8">
        <f t="shared" si="2"/>
        <v>7.3899999999999993E-2</v>
      </c>
      <c r="G16" s="8">
        <f t="shared" si="2"/>
        <v>7.3899999999999993E-2</v>
      </c>
      <c r="H16" s="8">
        <f t="shared" si="2"/>
        <v>7.3899999999999993E-2</v>
      </c>
      <c r="I16" s="8">
        <f t="shared" si="2"/>
        <v>7.3899999999999993E-2</v>
      </c>
      <c r="J16" s="8">
        <f t="shared" si="2"/>
        <v>7.3899999999999993E-2</v>
      </c>
      <c r="K16" s="8">
        <f t="shared" si="2"/>
        <v>7.3899999999999993E-2</v>
      </c>
      <c r="L16" s="8">
        <f t="shared" si="2"/>
        <v>7.3899999999999993E-2</v>
      </c>
      <c r="M16" s="8">
        <f t="shared" si="2"/>
        <v>7.3899999999999993E-2</v>
      </c>
      <c r="N16" s="8">
        <f t="shared" si="2"/>
        <v>7.3899999999999993E-2</v>
      </c>
      <c r="O16" s="8">
        <f>$C$5</f>
        <v>7.3899999999999993E-2</v>
      </c>
      <c r="P16" s="137">
        <f>$H$5</f>
        <v>7.1599999999999997E-2</v>
      </c>
      <c r="Q16" s="8">
        <f>$H$5</f>
        <v>7.1599999999999997E-2</v>
      </c>
      <c r="R16" s="8">
        <f>$H$5</f>
        <v>7.1599999999999997E-2</v>
      </c>
      <c r="S16" s="8">
        <f t="shared" ref="S16:AL16" si="3">$H$5</f>
        <v>7.1599999999999997E-2</v>
      </c>
      <c r="T16" s="8">
        <f t="shared" si="3"/>
        <v>7.1599999999999997E-2</v>
      </c>
      <c r="U16" s="8">
        <f t="shared" si="3"/>
        <v>7.1599999999999997E-2</v>
      </c>
      <c r="V16" s="8">
        <f t="shared" si="3"/>
        <v>7.1599999999999997E-2</v>
      </c>
      <c r="W16" s="8">
        <f t="shared" si="3"/>
        <v>7.1599999999999997E-2</v>
      </c>
      <c r="X16" s="8">
        <f t="shared" si="3"/>
        <v>7.1599999999999997E-2</v>
      </c>
      <c r="Y16" s="8">
        <f t="shared" si="3"/>
        <v>7.1599999999999997E-2</v>
      </c>
      <c r="Z16" s="8">
        <f t="shared" si="3"/>
        <v>7.1599999999999997E-2</v>
      </c>
      <c r="AA16" s="8">
        <f t="shared" si="3"/>
        <v>7.1599999999999997E-2</v>
      </c>
      <c r="AB16" s="8">
        <f t="shared" si="3"/>
        <v>7.1599999999999997E-2</v>
      </c>
      <c r="AC16" s="8">
        <f t="shared" si="3"/>
        <v>7.1599999999999997E-2</v>
      </c>
      <c r="AD16" s="8">
        <f t="shared" si="3"/>
        <v>7.1599999999999997E-2</v>
      </c>
      <c r="AE16" s="8">
        <f t="shared" si="3"/>
        <v>7.1599999999999997E-2</v>
      </c>
      <c r="AF16" s="8">
        <f t="shared" si="3"/>
        <v>7.1599999999999997E-2</v>
      </c>
      <c r="AG16" s="8">
        <f t="shared" si="3"/>
        <v>7.1599999999999997E-2</v>
      </c>
      <c r="AH16" s="8">
        <f t="shared" si="3"/>
        <v>7.1599999999999997E-2</v>
      </c>
      <c r="AI16" s="8">
        <f t="shared" si="3"/>
        <v>7.1599999999999997E-2</v>
      </c>
      <c r="AJ16" s="8">
        <f t="shared" si="3"/>
        <v>7.1599999999999997E-2</v>
      </c>
      <c r="AK16" s="8">
        <f t="shared" si="3"/>
        <v>7.1599999999999997E-2</v>
      </c>
      <c r="AL16" s="8">
        <f t="shared" si="3"/>
        <v>7.1599999999999997E-2</v>
      </c>
    </row>
    <row r="17" spans="1:38" x14ac:dyDescent="0.25">
      <c r="A17">
        <f t="shared" si="0"/>
        <v>7</v>
      </c>
      <c r="B17" t="s">
        <v>89</v>
      </c>
      <c r="C17" s="83"/>
      <c r="D17" s="83">
        <f>D15*D16</f>
        <v>17859605.114293065</v>
      </c>
      <c r="E17" s="83">
        <f t="shared" ref="E17:AL17" si="4">E15*E16</f>
        <v>17831121.575830843</v>
      </c>
      <c r="F17" s="83">
        <f t="shared" si="4"/>
        <v>17793910.86537265</v>
      </c>
      <c r="G17" s="83">
        <f t="shared" si="4"/>
        <v>17760490.873680409</v>
      </c>
      <c r="H17" s="83">
        <f t="shared" si="4"/>
        <v>17722077.710443728</v>
      </c>
      <c r="I17" s="83">
        <f t="shared" si="4"/>
        <v>17683735.556168552</v>
      </c>
      <c r="J17" s="83">
        <f t="shared" si="4"/>
        <v>17646618.063933425</v>
      </c>
      <c r="K17" s="83">
        <f t="shared" si="4"/>
        <v>17616163.924694788</v>
      </c>
      <c r="L17" s="83">
        <f t="shared" si="4"/>
        <v>17577445.026398793</v>
      </c>
      <c r="M17" s="83">
        <f t="shared" si="4"/>
        <v>17539919.472689793</v>
      </c>
      <c r="N17" s="83">
        <f t="shared" si="4"/>
        <v>17504871.735704478</v>
      </c>
      <c r="O17" s="83">
        <f t="shared" si="4"/>
        <v>3377485.9184420374</v>
      </c>
      <c r="P17" s="83">
        <f t="shared" si="4"/>
        <v>13634866.472736234</v>
      </c>
      <c r="Q17" s="83">
        <f t="shared" si="4"/>
        <v>16857070.802597899</v>
      </c>
      <c r="R17" s="83">
        <f t="shared" si="4"/>
        <v>16805774.303475671</v>
      </c>
      <c r="S17" s="83">
        <f t="shared" si="4"/>
        <v>16753820.083950887</v>
      </c>
      <c r="T17" s="83">
        <f t="shared" si="4"/>
        <v>16701865.864426101</v>
      </c>
      <c r="U17" s="83">
        <f t="shared" si="4"/>
        <v>16649911.644901318</v>
      </c>
      <c r="V17" s="83">
        <f t="shared" si="4"/>
        <v>16597957.425376533</v>
      </c>
      <c r="W17" s="83">
        <f t="shared" si="4"/>
        <v>16546003.205851747</v>
      </c>
      <c r="X17" s="83">
        <f t="shared" si="4"/>
        <v>16494048.986326963</v>
      </c>
      <c r="Y17" s="83">
        <f t="shared" si="4"/>
        <v>16442094.766802177</v>
      </c>
      <c r="Z17" s="83">
        <f t="shared" si="4"/>
        <v>16390140.547277395</v>
      </c>
      <c r="AA17" s="83">
        <f t="shared" si="4"/>
        <v>16338186.327752609</v>
      </c>
      <c r="AB17" s="83">
        <f t="shared" si="4"/>
        <v>16288192.906793162</v>
      </c>
      <c r="AC17" s="83">
        <f t="shared" si="4"/>
        <v>16238199.485833716</v>
      </c>
      <c r="AD17" s="83">
        <f t="shared" si="4"/>
        <v>16188206.064874265</v>
      </c>
      <c r="AE17" s="83">
        <f t="shared" si="4"/>
        <v>16138212.643914819</v>
      </c>
      <c r="AF17" s="83">
        <f t="shared" si="4"/>
        <v>16088219.222955372</v>
      </c>
      <c r="AG17" s="83">
        <f t="shared" si="4"/>
        <v>16038225.801995926</v>
      </c>
      <c r="AH17" s="83">
        <f t="shared" si="4"/>
        <v>15988232.381036479</v>
      </c>
      <c r="AI17" s="83">
        <f t="shared" si="4"/>
        <v>15938238.960077032</v>
      </c>
      <c r="AJ17" s="83">
        <f t="shared" si="4"/>
        <v>15888245.539117586</v>
      </c>
      <c r="AK17" s="83">
        <f t="shared" si="4"/>
        <v>15838252.118158137</v>
      </c>
      <c r="AL17" s="83">
        <f t="shared" si="4"/>
        <v>15788258.697198689</v>
      </c>
    </row>
    <row r="18" spans="1:38" x14ac:dyDescent="0.25">
      <c r="A18">
        <f t="shared" si="0"/>
        <v>8</v>
      </c>
      <c r="B18" t="s">
        <v>90</v>
      </c>
      <c r="C18" s="83"/>
      <c r="D18" s="83">
        <f>-D15*$C$6*$C$7</f>
        <v>-1436260.2597326615</v>
      </c>
      <c r="E18" s="83">
        <f t="shared" ref="E18:O18" si="5">-E15*$C$6*$C$7</f>
        <v>-1433969.6282160042</v>
      </c>
      <c r="F18" s="83">
        <f t="shared" si="5"/>
        <v>-1430977.162015016</v>
      </c>
      <c r="G18" s="83">
        <f t="shared" si="5"/>
        <v>-1428289.5434679659</v>
      </c>
      <c r="H18" s="83">
        <f t="shared" si="5"/>
        <v>-1425200.3766328425</v>
      </c>
      <c r="I18" s="83">
        <f t="shared" si="5"/>
        <v>-1422116.9203018905</v>
      </c>
      <c r="J18" s="83">
        <f t="shared" si="5"/>
        <v>-1419131.9506624674</v>
      </c>
      <c r="K18" s="83">
        <f t="shared" si="5"/>
        <v>-1416682.8444446702</v>
      </c>
      <c r="L18" s="83">
        <f t="shared" si="5"/>
        <v>-1413569.0905532886</v>
      </c>
      <c r="M18" s="83">
        <f t="shared" si="5"/>
        <v>-1410551.3048199655</v>
      </c>
      <c r="N18" s="83">
        <f t="shared" si="5"/>
        <v>-1407732.7838334467</v>
      </c>
      <c r="O18" s="83">
        <f t="shared" si="5"/>
        <v>-271615.68082951324</v>
      </c>
      <c r="P18" s="83">
        <f>-P15*$H$6*$H$7</f>
        <v>-1019758.5190153985</v>
      </c>
      <c r="Q18" s="83">
        <f>-Q15*$H$6*$H$7</f>
        <v>-1260748.8009484878</v>
      </c>
      <c r="R18" s="83">
        <f>-R15*$H$6*$H$7</f>
        <v>-1256912.3099876007</v>
      </c>
      <c r="S18" s="83">
        <f t="shared" ref="S18:AL18" si="6">-S15*$H$6*$H$7</f>
        <v>-1253026.627787109</v>
      </c>
      <c r="T18" s="83">
        <f t="shared" si="6"/>
        <v>-1249140.9455866169</v>
      </c>
      <c r="U18" s="83">
        <f t="shared" si="6"/>
        <v>-1245255.263386125</v>
      </c>
      <c r="V18" s="83">
        <f t="shared" si="6"/>
        <v>-1241369.5811856329</v>
      </c>
      <c r="W18" s="83">
        <f t="shared" si="6"/>
        <v>-1237483.8989851412</v>
      </c>
      <c r="X18" s="83">
        <f t="shared" si="6"/>
        <v>-1233598.2167846493</v>
      </c>
      <c r="Y18" s="83">
        <f t="shared" si="6"/>
        <v>-1229712.5345841572</v>
      </c>
      <c r="Z18" s="83">
        <f t="shared" si="6"/>
        <v>-1225826.8523836653</v>
      </c>
      <c r="AA18" s="83">
        <f t="shared" si="6"/>
        <v>-1221941.1701831734</v>
      </c>
      <c r="AB18" s="83">
        <f t="shared" si="6"/>
        <v>-1218202.1370932595</v>
      </c>
      <c r="AC18" s="83">
        <f t="shared" si="6"/>
        <v>-1214463.1040033456</v>
      </c>
      <c r="AD18" s="83">
        <f t="shared" si="6"/>
        <v>-1210724.0709134315</v>
      </c>
      <c r="AE18" s="83">
        <f t="shared" si="6"/>
        <v>-1206985.0378235173</v>
      </c>
      <c r="AF18" s="83">
        <f t="shared" si="6"/>
        <v>-1203246.0047336037</v>
      </c>
      <c r="AG18" s="83">
        <f t="shared" si="6"/>
        <v>-1199506.9716436896</v>
      </c>
      <c r="AH18" s="83">
        <f t="shared" si="6"/>
        <v>-1195767.9385537757</v>
      </c>
      <c r="AI18" s="83">
        <f t="shared" si="6"/>
        <v>-1192028.9054638618</v>
      </c>
      <c r="AJ18" s="83">
        <f t="shared" si="6"/>
        <v>-1188289.8723739479</v>
      </c>
      <c r="AK18" s="83">
        <f t="shared" si="6"/>
        <v>-1184550.8392840337</v>
      </c>
      <c r="AL18" s="83">
        <f t="shared" si="6"/>
        <v>-1180811.8061941199</v>
      </c>
    </row>
    <row r="19" spans="1:38" x14ac:dyDescent="0.25">
      <c r="A19">
        <f t="shared" si="0"/>
        <v>9</v>
      </c>
      <c r="B19" t="s">
        <v>91</v>
      </c>
      <c r="C19" s="30"/>
      <c r="D19" s="30">
        <f>SUM(D17:D18)</f>
        <v>16423344.854560403</v>
      </c>
      <c r="E19" s="30">
        <f t="shared" ref="E19:AL19" si="7">SUM(E17:E18)</f>
        <v>16397151.947614839</v>
      </c>
      <c r="F19" s="30">
        <f t="shared" si="7"/>
        <v>16362933.703357635</v>
      </c>
      <c r="G19" s="30">
        <f t="shared" si="7"/>
        <v>16332201.330212444</v>
      </c>
      <c r="H19" s="30">
        <f t="shared" si="7"/>
        <v>16296877.333810885</v>
      </c>
      <c r="I19" s="30">
        <f t="shared" si="7"/>
        <v>16261618.635866662</v>
      </c>
      <c r="J19" s="30">
        <f t="shared" si="7"/>
        <v>16227486.113270957</v>
      </c>
      <c r="K19" s="30">
        <f t="shared" si="7"/>
        <v>16199481.080250118</v>
      </c>
      <c r="L19" s="30">
        <f t="shared" si="7"/>
        <v>16163875.935845504</v>
      </c>
      <c r="M19" s="30">
        <f t="shared" si="7"/>
        <v>16129368.167869827</v>
      </c>
      <c r="N19" s="30">
        <f t="shared" si="7"/>
        <v>16097138.951871032</v>
      </c>
      <c r="O19" s="30">
        <f t="shared" si="7"/>
        <v>3105870.2376125241</v>
      </c>
      <c r="P19" s="30">
        <f t="shared" si="7"/>
        <v>12615107.953720836</v>
      </c>
      <c r="Q19" s="30">
        <f t="shared" si="7"/>
        <v>15596322.001649411</v>
      </c>
      <c r="R19" s="30">
        <f t="shared" si="7"/>
        <v>15548861.99348807</v>
      </c>
      <c r="S19" s="30">
        <f t="shared" si="7"/>
        <v>15500793.456163777</v>
      </c>
      <c r="T19" s="30">
        <f t="shared" si="7"/>
        <v>15452724.918839484</v>
      </c>
      <c r="U19" s="30">
        <f t="shared" si="7"/>
        <v>15404656.381515194</v>
      </c>
      <c r="V19" s="30">
        <f t="shared" si="7"/>
        <v>15356587.844190899</v>
      </c>
      <c r="W19" s="30">
        <f t="shared" si="7"/>
        <v>15308519.306866605</v>
      </c>
      <c r="X19" s="30">
        <f t="shared" si="7"/>
        <v>15260450.769542314</v>
      </c>
      <c r="Y19" s="30">
        <f t="shared" si="7"/>
        <v>15212382.23221802</v>
      </c>
      <c r="Z19" s="30">
        <f t="shared" si="7"/>
        <v>15164313.694893729</v>
      </c>
      <c r="AA19" s="30">
        <f t="shared" si="7"/>
        <v>15116245.157569434</v>
      </c>
      <c r="AB19" s="30">
        <f t="shared" si="7"/>
        <v>15069990.769699903</v>
      </c>
      <c r="AC19" s="30">
        <f t="shared" si="7"/>
        <v>15023736.38183037</v>
      </c>
      <c r="AD19" s="30">
        <f t="shared" si="7"/>
        <v>14977481.993960833</v>
      </c>
      <c r="AE19" s="30">
        <f t="shared" si="7"/>
        <v>14931227.606091302</v>
      </c>
      <c r="AF19" s="30">
        <f t="shared" si="7"/>
        <v>14884973.218221769</v>
      </c>
      <c r="AG19" s="30">
        <f t="shared" si="7"/>
        <v>14838718.830352236</v>
      </c>
      <c r="AH19" s="30">
        <f t="shared" si="7"/>
        <v>14792464.442482702</v>
      </c>
      <c r="AI19" s="30">
        <f t="shared" si="7"/>
        <v>14746210.054613171</v>
      </c>
      <c r="AJ19" s="30">
        <f t="shared" si="7"/>
        <v>14699955.666743638</v>
      </c>
      <c r="AK19" s="30">
        <f t="shared" si="7"/>
        <v>14653701.278874103</v>
      </c>
      <c r="AL19" s="30">
        <f t="shared" si="7"/>
        <v>14607446.89100457</v>
      </c>
    </row>
    <row r="20" spans="1:38" x14ac:dyDescent="0.25">
      <c r="A20">
        <f t="shared" si="0"/>
        <v>10</v>
      </c>
      <c r="B20" t="s">
        <v>92</v>
      </c>
      <c r="C20" s="6"/>
      <c r="D20" s="6">
        <f>1-$C$7</f>
        <v>0.79</v>
      </c>
      <c r="E20" s="6">
        <f t="shared" ref="E20:O20" si="8">1-$C$7</f>
        <v>0.79</v>
      </c>
      <c r="F20" s="6">
        <f t="shared" si="8"/>
        <v>0.79</v>
      </c>
      <c r="G20" s="6">
        <f t="shared" si="8"/>
        <v>0.79</v>
      </c>
      <c r="H20" s="6">
        <f t="shared" si="8"/>
        <v>0.79</v>
      </c>
      <c r="I20" s="6">
        <f t="shared" si="8"/>
        <v>0.79</v>
      </c>
      <c r="J20" s="6">
        <f t="shared" si="8"/>
        <v>0.79</v>
      </c>
      <c r="K20" s="6">
        <f t="shared" si="8"/>
        <v>0.79</v>
      </c>
      <c r="L20" s="6">
        <f t="shared" si="8"/>
        <v>0.79</v>
      </c>
      <c r="M20" s="6">
        <f t="shared" si="8"/>
        <v>0.79</v>
      </c>
      <c r="N20" s="6">
        <f t="shared" si="8"/>
        <v>0.79</v>
      </c>
      <c r="O20" s="11">
        <f t="shared" si="8"/>
        <v>0.79</v>
      </c>
      <c r="P20" s="11">
        <f>1-$H$7</f>
        <v>0.79</v>
      </c>
      <c r="Q20" s="11">
        <f>1-$H$7</f>
        <v>0.79</v>
      </c>
      <c r="R20" s="11">
        <f>1-$H$7</f>
        <v>0.79</v>
      </c>
      <c r="S20" s="11">
        <f t="shared" ref="S20:AL20" si="9">1-$H$7</f>
        <v>0.79</v>
      </c>
      <c r="T20" s="11">
        <f t="shared" si="9"/>
        <v>0.79</v>
      </c>
      <c r="U20" s="11">
        <f t="shared" si="9"/>
        <v>0.79</v>
      </c>
      <c r="V20" s="11">
        <f t="shared" si="9"/>
        <v>0.79</v>
      </c>
      <c r="W20" s="11">
        <f t="shared" si="9"/>
        <v>0.79</v>
      </c>
      <c r="X20" s="11">
        <f t="shared" si="9"/>
        <v>0.79</v>
      </c>
      <c r="Y20" s="11">
        <f t="shared" si="9"/>
        <v>0.79</v>
      </c>
      <c r="Z20" s="11">
        <f t="shared" si="9"/>
        <v>0.79</v>
      </c>
      <c r="AA20" s="11">
        <f t="shared" si="9"/>
        <v>0.79</v>
      </c>
      <c r="AB20" s="11">
        <f t="shared" si="9"/>
        <v>0.79</v>
      </c>
      <c r="AC20" s="11">
        <f t="shared" si="9"/>
        <v>0.79</v>
      </c>
      <c r="AD20" s="11">
        <f t="shared" si="9"/>
        <v>0.79</v>
      </c>
      <c r="AE20" s="11">
        <f t="shared" si="9"/>
        <v>0.79</v>
      </c>
      <c r="AF20" s="11">
        <f t="shared" si="9"/>
        <v>0.79</v>
      </c>
      <c r="AG20" s="11">
        <f t="shared" si="9"/>
        <v>0.79</v>
      </c>
      <c r="AH20" s="11">
        <f t="shared" si="9"/>
        <v>0.79</v>
      </c>
      <c r="AI20" s="11">
        <f t="shared" si="9"/>
        <v>0.79</v>
      </c>
      <c r="AJ20" s="11">
        <f t="shared" si="9"/>
        <v>0.79</v>
      </c>
      <c r="AK20" s="11">
        <f t="shared" si="9"/>
        <v>0.79</v>
      </c>
      <c r="AL20" s="11">
        <f t="shared" si="9"/>
        <v>0.79</v>
      </c>
    </row>
    <row r="21" spans="1:38" x14ac:dyDescent="0.25">
      <c r="A21">
        <f t="shared" si="0"/>
        <v>11</v>
      </c>
      <c r="B21" t="s">
        <v>93</v>
      </c>
      <c r="C21" s="30"/>
      <c r="D21" s="30">
        <f>D19/D20</f>
        <v>20789044.11969671</v>
      </c>
      <c r="E21" s="30">
        <f t="shared" ref="E21:AL21" si="10">E19/E20</f>
        <v>20755888.541284606</v>
      </c>
      <c r="F21" s="30">
        <f t="shared" si="10"/>
        <v>20712574.308047637</v>
      </c>
      <c r="G21" s="30">
        <f t="shared" si="10"/>
        <v>20673672.569889169</v>
      </c>
      <c r="H21" s="30">
        <f t="shared" si="10"/>
        <v>20628958.650393523</v>
      </c>
      <c r="I21" s="30">
        <f t="shared" si="10"/>
        <v>20584327.38717299</v>
      </c>
      <c r="J21" s="30">
        <f t="shared" si="10"/>
        <v>20541121.662368298</v>
      </c>
      <c r="K21" s="30">
        <f t="shared" si="10"/>
        <v>20505672.253481161</v>
      </c>
      <c r="L21" s="30">
        <f t="shared" si="10"/>
        <v>20460602.450437345</v>
      </c>
      <c r="M21" s="30">
        <f t="shared" si="10"/>
        <v>20416921.731480792</v>
      </c>
      <c r="N21" s="30">
        <f t="shared" si="10"/>
        <v>20376125.25553295</v>
      </c>
      <c r="O21" s="30">
        <f t="shared" si="10"/>
        <v>3931481.3134335745</v>
      </c>
      <c r="P21" s="30">
        <f t="shared" si="10"/>
        <v>15968491.080659285</v>
      </c>
      <c r="Q21" s="30">
        <f t="shared" si="10"/>
        <v>19742179.748923305</v>
      </c>
      <c r="R21" s="30">
        <f t="shared" si="10"/>
        <v>19682103.789225403</v>
      </c>
      <c r="S21" s="30">
        <f t="shared" si="10"/>
        <v>19621257.539447818</v>
      </c>
      <c r="T21" s="30">
        <f t="shared" si="10"/>
        <v>19560411.289670233</v>
      </c>
      <c r="U21" s="30">
        <f t="shared" si="10"/>
        <v>19499565.039892651</v>
      </c>
      <c r="V21" s="30">
        <f t="shared" si="10"/>
        <v>19438718.790115062</v>
      </c>
      <c r="W21" s="30">
        <f t="shared" si="10"/>
        <v>19377872.540337473</v>
      </c>
      <c r="X21" s="30">
        <f t="shared" si="10"/>
        <v>19317026.290559892</v>
      </c>
      <c r="Y21" s="30">
        <f t="shared" si="10"/>
        <v>19256180.040782303</v>
      </c>
      <c r="Z21" s="30">
        <f t="shared" si="10"/>
        <v>19195333.791004721</v>
      </c>
      <c r="AA21" s="30">
        <f t="shared" si="10"/>
        <v>19134487.541227132</v>
      </c>
      <c r="AB21" s="30">
        <f t="shared" si="10"/>
        <v>19075937.683164433</v>
      </c>
      <c r="AC21" s="30">
        <f t="shared" si="10"/>
        <v>19017387.825101733</v>
      </c>
      <c r="AD21" s="30">
        <f t="shared" si="10"/>
        <v>18958837.96703903</v>
      </c>
      <c r="AE21" s="30">
        <f t="shared" si="10"/>
        <v>18900288.108976331</v>
      </c>
      <c r="AF21" s="30">
        <f t="shared" si="10"/>
        <v>18841738.250913631</v>
      </c>
      <c r="AG21" s="30">
        <f t="shared" si="10"/>
        <v>18783188.392850932</v>
      </c>
      <c r="AH21" s="30">
        <f t="shared" si="10"/>
        <v>18724638.534788229</v>
      </c>
      <c r="AI21" s="30">
        <f t="shared" si="10"/>
        <v>18666088.676725533</v>
      </c>
      <c r="AJ21" s="30">
        <f t="shared" si="10"/>
        <v>18607538.818662833</v>
      </c>
      <c r="AK21" s="30">
        <f t="shared" si="10"/>
        <v>18548988.96060013</v>
      </c>
      <c r="AL21" s="30">
        <f t="shared" si="10"/>
        <v>18490439.102537431</v>
      </c>
    </row>
    <row r="22" spans="1:38" x14ac:dyDescent="0.25">
      <c r="A22">
        <f t="shared" si="0"/>
        <v>12</v>
      </c>
      <c r="B22" t="s">
        <v>152</v>
      </c>
      <c r="C22" s="83"/>
      <c r="D22" s="83">
        <v>12</v>
      </c>
      <c r="E22" s="83">
        <v>12</v>
      </c>
      <c r="F22" s="83">
        <v>12</v>
      </c>
      <c r="G22" s="83">
        <v>12</v>
      </c>
      <c r="H22" s="83">
        <v>12</v>
      </c>
      <c r="I22" s="83">
        <v>12</v>
      </c>
      <c r="J22" s="83">
        <v>12</v>
      </c>
      <c r="K22" s="83">
        <v>12</v>
      </c>
      <c r="L22" s="83">
        <v>12</v>
      </c>
      <c r="M22" s="83">
        <v>12</v>
      </c>
      <c r="N22" s="83">
        <v>12</v>
      </c>
      <c r="O22" s="83">
        <v>12</v>
      </c>
      <c r="P22" s="83">
        <v>12</v>
      </c>
      <c r="Q22" s="83">
        <v>12</v>
      </c>
      <c r="R22" s="83">
        <v>12</v>
      </c>
      <c r="S22" s="83">
        <v>12</v>
      </c>
      <c r="T22" s="83">
        <v>12</v>
      </c>
      <c r="U22" s="83">
        <v>12</v>
      </c>
      <c r="V22" s="83">
        <v>12</v>
      </c>
      <c r="W22" s="83">
        <v>12</v>
      </c>
      <c r="X22" s="83">
        <v>12</v>
      </c>
      <c r="Y22" s="83">
        <v>12</v>
      </c>
      <c r="Z22" s="83">
        <v>12</v>
      </c>
      <c r="AA22" s="83">
        <v>12</v>
      </c>
      <c r="AB22" s="83">
        <v>12</v>
      </c>
      <c r="AC22" s="83">
        <v>12</v>
      </c>
      <c r="AD22" s="83">
        <v>12</v>
      </c>
      <c r="AE22" s="83">
        <v>12</v>
      </c>
      <c r="AF22" s="83">
        <v>12</v>
      </c>
      <c r="AG22" s="83">
        <v>12</v>
      </c>
      <c r="AH22" s="83">
        <v>12</v>
      </c>
      <c r="AI22" s="83">
        <v>12</v>
      </c>
      <c r="AJ22" s="83">
        <v>12</v>
      </c>
      <c r="AK22" s="83">
        <v>12</v>
      </c>
      <c r="AL22" s="83">
        <v>12</v>
      </c>
    </row>
    <row r="23" spans="1:38" ht="15.75" thickBot="1" x14ac:dyDescent="0.3">
      <c r="A23">
        <f t="shared" si="0"/>
        <v>13</v>
      </c>
      <c r="B23" t="s">
        <v>153</v>
      </c>
      <c r="C23" s="31"/>
      <c r="D23" s="31">
        <f>D21/D22</f>
        <v>1732420.3433080593</v>
      </c>
      <c r="E23" s="31">
        <f t="shared" ref="E23:P23" si="11">E21/E22</f>
        <v>1729657.3784403838</v>
      </c>
      <c r="F23" s="31">
        <f t="shared" si="11"/>
        <v>1726047.8590039697</v>
      </c>
      <c r="G23" s="31">
        <f t="shared" si="11"/>
        <v>1722806.0474907642</v>
      </c>
      <c r="H23" s="31">
        <f t="shared" si="11"/>
        <v>1719079.8875327937</v>
      </c>
      <c r="I23" s="31">
        <f t="shared" si="11"/>
        <v>1715360.6155977491</v>
      </c>
      <c r="J23" s="31">
        <f t="shared" si="11"/>
        <v>1711760.1385306914</v>
      </c>
      <c r="K23" s="31">
        <f t="shared" si="11"/>
        <v>1708806.02112343</v>
      </c>
      <c r="L23" s="31">
        <f t="shared" si="11"/>
        <v>1705050.2042031121</v>
      </c>
      <c r="M23" s="31">
        <f t="shared" si="11"/>
        <v>1701410.1442900661</v>
      </c>
      <c r="N23" s="31">
        <f t="shared" si="11"/>
        <v>1698010.4379610792</v>
      </c>
      <c r="O23" s="138">
        <f t="shared" si="11"/>
        <v>327623.44278613123</v>
      </c>
      <c r="P23" s="138">
        <f t="shared" si="11"/>
        <v>1330707.5900549404</v>
      </c>
      <c r="Q23" s="31">
        <f>Q21/Q22</f>
        <v>1645181.6457436087</v>
      </c>
      <c r="R23" s="31">
        <f>R21/R22</f>
        <v>1640175.3157687837</v>
      </c>
      <c r="S23" s="31">
        <f t="shared" ref="S23:AL23" si="12">S21/S22</f>
        <v>1635104.7949539849</v>
      </c>
      <c r="T23" s="31">
        <f t="shared" si="12"/>
        <v>1630034.2741391861</v>
      </c>
      <c r="U23" s="31">
        <f t="shared" si="12"/>
        <v>1624963.7533243876</v>
      </c>
      <c r="V23" s="31">
        <f t="shared" si="12"/>
        <v>1619893.2325095886</v>
      </c>
      <c r="W23" s="31">
        <f t="shared" si="12"/>
        <v>1614822.7116947894</v>
      </c>
      <c r="X23" s="31">
        <f t="shared" si="12"/>
        <v>1609752.190879991</v>
      </c>
      <c r="Y23" s="31">
        <f t="shared" si="12"/>
        <v>1604681.6700651918</v>
      </c>
      <c r="Z23" s="31">
        <f t="shared" si="12"/>
        <v>1599611.1492503935</v>
      </c>
      <c r="AA23" s="31">
        <f t="shared" si="12"/>
        <v>1594540.6284355943</v>
      </c>
      <c r="AB23" s="31">
        <f t="shared" si="12"/>
        <v>1589661.473597036</v>
      </c>
      <c r="AC23" s="31">
        <f t="shared" si="12"/>
        <v>1584782.3187584777</v>
      </c>
      <c r="AD23" s="31">
        <f t="shared" si="12"/>
        <v>1579903.1639199192</v>
      </c>
      <c r="AE23" s="31">
        <f t="shared" si="12"/>
        <v>1575024.0090813609</v>
      </c>
      <c r="AF23" s="31">
        <f t="shared" si="12"/>
        <v>1570144.8542428026</v>
      </c>
      <c r="AG23" s="31">
        <f t="shared" si="12"/>
        <v>1565265.6994042443</v>
      </c>
      <c r="AH23" s="31">
        <f t="shared" si="12"/>
        <v>1560386.5445656858</v>
      </c>
      <c r="AI23" s="31">
        <f t="shared" si="12"/>
        <v>1555507.3897271277</v>
      </c>
      <c r="AJ23" s="31">
        <f t="shared" si="12"/>
        <v>1550628.2348885695</v>
      </c>
      <c r="AK23" s="31">
        <f t="shared" si="12"/>
        <v>1545749.0800500109</v>
      </c>
      <c r="AL23" s="31">
        <f t="shared" si="12"/>
        <v>1540869.9252114526</v>
      </c>
    </row>
    <row r="24" spans="1:38" ht="15.75" thickTop="1" x14ac:dyDescent="0.25">
      <c r="A24">
        <f t="shared" si="0"/>
        <v>14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38" ht="15.75" thickBot="1" x14ac:dyDescent="0.3">
      <c r="A25">
        <f t="shared" si="0"/>
        <v>15</v>
      </c>
      <c r="B25" t="s">
        <v>212</v>
      </c>
      <c r="C25" s="140"/>
      <c r="D25" s="140">
        <f>Actuals!$C$5</f>
        <v>1441533.12</v>
      </c>
      <c r="E25" s="140">
        <f>Actuals!$C$6</f>
        <v>1440249.79</v>
      </c>
      <c r="F25" s="140">
        <f>Actuals!$C$7</f>
        <v>1439374.95</v>
      </c>
      <c r="G25" s="140">
        <f>Actuals!$C$8</f>
        <v>2606291.4500000002</v>
      </c>
      <c r="H25" s="140">
        <f>Actuals!$C$9</f>
        <v>1729078.5</v>
      </c>
      <c r="I25" s="140">
        <f>Actuals!$C$10</f>
        <v>1729072.73</v>
      </c>
      <c r="J25" s="140">
        <f>Actuals!$C$11</f>
        <v>1728500.5</v>
      </c>
      <c r="K25" s="140">
        <f>Actuals!$C$12</f>
        <v>1728804.72</v>
      </c>
      <c r="L25" s="140">
        <f>Actuals!$C$13</f>
        <v>1736301.15</v>
      </c>
      <c r="M25" s="140">
        <f>Actuals!$C$14</f>
        <v>1736322.33</v>
      </c>
      <c r="N25" s="140">
        <f>Actuals!$C$15</f>
        <v>1554879.35</v>
      </c>
      <c r="O25" s="140"/>
      <c r="P25" s="140">
        <f>Actuals!$C$16</f>
        <v>1658331</v>
      </c>
      <c r="Q25" s="140">
        <f>Actuals!$C$17</f>
        <v>1645182</v>
      </c>
      <c r="R25" s="140">
        <f>Actuals!$C$18</f>
        <v>1640175</v>
      </c>
      <c r="S25" s="140">
        <f>SUM($C23:S23)</f>
        <v>25449201.866789546</v>
      </c>
      <c r="T25" s="140">
        <f>SUM($C23:T23)</f>
        <v>27079236.14092873</v>
      </c>
      <c r="U25" s="140">
        <f>SUM($C23:U23)</f>
        <v>28704199.89425312</v>
      </c>
      <c r="V25" s="140">
        <f>SUM($C23:V23)</f>
        <v>30324093.126762707</v>
      </c>
      <c r="W25" s="140">
        <f>SUM($C23:W23)</f>
        <v>31938915.838457495</v>
      </c>
      <c r="X25" s="140">
        <f>SUM($C23:X23)</f>
        <v>33548668.029337484</v>
      </c>
      <c r="Y25" s="140">
        <f>SUM($C23:Y23)</f>
        <v>35153349.699402675</v>
      </c>
      <c r="Z25" s="140">
        <f>SUM($C23:Z23)</f>
        <v>36752960.848653071</v>
      </c>
      <c r="AA25" s="140">
        <f>SUM($C23:AA23)</f>
        <v>38347501.477088667</v>
      </c>
      <c r="AB25" s="140">
        <f>SUM($C23:AB23)</f>
        <v>39937162.950685702</v>
      </c>
      <c r="AC25" s="140">
        <f>SUM($C23:AC23)</f>
        <v>41521945.269444183</v>
      </c>
      <c r="AD25" s="140">
        <f>SUM($C23:AD23)</f>
        <v>43101848.433364101</v>
      </c>
      <c r="AE25" s="140">
        <f>SUM($C23:AE23)</f>
        <v>44676872.442445464</v>
      </c>
      <c r="AF25" s="140">
        <f>SUM($C23:AF23)</f>
        <v>46247017.296688266</v>
      </c>
      <c r="AG25" s="140">
        <f>SUM($C23:AG23)</f>
        <v>47812282.996092513</v>
      </c>
      <c r="AH25" s="140">
        <f>SUM($C23:AH23)</f>
        <v>49372669.540658198</v>
      </c>
      <c r="AI25" s="140">
        <f>SUM($C23:AI23)</f>
        <v>50928176.930385329</v>
      </c>
      <c r="AJ25" s="140">
        <f>SUM($C23:AJ23)</f>
        <v>52478805.165273897</v>
      </c>
      <c r="AK25" s="140">
        <f>SUM($C23:AK23)</f>
        <v>54024554.245323911</v>
      </c>
      <c r="AL25" s="140">
        <f>SUM($C23:AL23)</f>
        <v>55565424.170535363</v>
      </c>
    </row>
    <row r="26" spans="1:38" ht="16.5" thickTop="1" thickBot="1" x14ac:dyDescent="0.3">
      <c r="A26">
        <f t="shared" si="0"/>
        <v>16</v>
      </c>
      <c r="B26" t="s">
        <v>213</v>
      </c>
      <c r="C26" s="140"/>
      <c r="D26" s="193">
        <f t="shared" ref="D26:N26" si="13">D23-D25</f>
        <v>290887.22330805915</v>
      </c>
      <c r="E26" s="193">
        <f t="shared" si="13"/>
        <v>289407.58844038378</v>
      </c>
      <c r="F26" s="193">
        <f t="shared" si="13"/>
        <v>286672.90900396975</v>
      </c>
      <c r="G26" s="193">
        <f t="shared" si="13"/>
        <v>-883485.40250923601</v>
      </c>
      <c r="H26" s="193">
        <f t="shared" si="13"/>
        <v>-9998.6124672063161</v>
      </c>
      <c r="I26" s="193">
        <f t="shared" si="13"/>
        <v>-13712.114402250852</v>
      </c>
      <c r="J26" s="193">
        <f t="shared" si="13"/>
        <v>-16740.361469308613</v>
      </c>
      <c r="K26" s="193">
        <f t="shared" si="13"/>
        <v>-19998.698876569979</v>
      </c>
      <c r="L26" s="193">
        <f t="shared" si="13"/>
        <v>-31250.945796887856</v>
      </c>
      <c r="M26" s="193">
        <f t="shared" si="13"/>
        <v>-34912.185709933983</v>
      </c>
      <c r="N26" s="193">
        <f t="shared" si="13"/>
        <v>143131.08796107909</v>
      </c>
      <c r="O26" s="141"/>
      <c r="P26" s="141">
        <f>SUM(O23:P23)-P25</f>
        <v>3.2841071719303727E-2</v>
      </c>
      <c r="Q26" s="140">
        <f>Q23-Q25</f>
        <v>-0.35425639129243791</v>
      </c>
      <c r="R26" s="140">
        <f>R23-R25</f>
        <v>0.315768783679232</v>
      </c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.75" thickTop="1" x14ac:dyDescent="0.25"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6">
        <f>SUM(D26:N26)</f>
        <v>0.48748209816403687</v>
      </c>
      <c r="O27" s="195" t="s">
        <v>204</v>
      </c>
      <c r="R27" s="196">
        <f>'Plant Additions'!N25-R15</f>
        <v>0</v>
      </c>
      <c r="S27" s="195" t="s">
        <v>214</v>
      </c>
      <c r="T27" s="195"/>
      <c r="U27" s="195"/>
    </row>
  </sheetData>
  <mergeCells count="2">
    <mergeCell ref="B4:C4"/>
    <mergeCell ref="E4:H4"/>
  </mergeCells>
  <pageMargins left="0.25" right="0.25" top="0.75" bottom="0.75" header="0.3" footer="0.3"/>
  <pageSetup scale="57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workbookViewId="0">
      <pane xSplit="1" ySplit="6" topLeftCell="Z7" activePane="bottomRight" state="frozen"/>
      <selection activeCell="E7" sqref="E7"/>
      <selection pane="topRight" activeCell="E7" sqref="E7"/>
      <selection pane="bottomLeft" activeCell="E7" sqref="E7"/>
      <selection pane="bottomRight" activeCell="AG11" sqref="AG11"/>
    </sheetView>
  </sheetViews>
  <sheetFormatPr defaultColWidth="8.7109375" defaultRowHeight="15" x14ac:dyDescent="0.25"/>
  <cols>
    <col min="1" max="1" width="18.42578125" style="253" bestFit="1" customWidth="1"/>
    <col min="2" max="3" width="15.28515625" style="253" bestFit="1" customWidth="1"/>
    <col min="4" max="9" width="13.7109375" style="253" bestFit="1" customWidth="1"/>
    <col min="10" max="12" width="12.5703125" style="253" bestFit="1" customWidth="1"/>
    <col min="13" max="13" width="11.5703125" style="253" bestFit="1" customWidth="1"/>
    <col min="14" max="14" width="12.5703125" style="253" bestFit="1" customWidth="1"/>
    <col min="15" max="15" width="15.28515625" style="253" bestFit="1" customWidth="1"/>
    <col min="16" max="16" width="8.7109375" style="253"/>
    <col min="17" max="17" width="12.140625" style="253" bestFit="1" customWidth="1"/>
    <col min="18" max="18" width="12.5703125" style="254" bestFit="1" customWidth="1"/>
    <col min="19" max="20" width="11.5703125" style="253" bestFit="1" customWidth="1"/>
    <col min="21" max="21" width="12.140625" style="253" bestFit="1" customWidth="1"/>
    <col min="22" max="22" width="10.140625" style="253" customWidth="1"/>
    <col min="23" max="23" width="12.140625" style="253" customWidth="1"/>
    <col min="24" max="27" width="10" style="253" bestFit="1" customWidth="1"/>
    <col min="28" max="28" width="9" style="253" bestFit="1" customWidth="1"/>
    <col min="29" max="29" width="10" style="253" bestFit="1" customWidth="1"/>
    <col min="30" max="30" width="12.5703125" style="253" bestFit="1" customWidth="1"/>
    <col min="31" max="31" width="6.28515625" style="253" bestFit="1" customWidth="1"/>
    <col min="32" max="32" width="8.7109375" style="253"/>
    <col min="33" max="33" width="12.140625" style="253" bestFit="1" customWidth="1"/>
    <col min="34" max="34" width="12.5703125" style="254" bestFit="1" customWidth="1"/>
    <col min="35" max="36" width="11.5703125" style="253" bestFit="1" customWidth="1"/>
    <col min="37" max="37" width="12.140625" style="253" bestFit="1" customWidth="1"/>
    <col min="38" max="38" width="10.140625" style="253" customWidth="1"/>
    <col min="39" max="39" width="12.140625" style="253" customWidth="1"/>
    <col min="40" max="43" width="10" style="253" bestFit="1" customWidth="1"/>
    <col min="44" max="44" width="9" style="253" bestFit="1" customWidth="1"/>
    <col min="45" max="45" width="10" style="253" bestFit="1" customWidth="1"/>
    <col min="46" max="46" width="12.5703125" style="253" bestFit="1" customWidth="1"/>
    <col min="47" max="47" width="6.28515625" style="253" bestFit="1" customWidth="1"/>
    <col min="48" max="16384" width="8.7109375" style="253"/>
  </cols>
  <sheetData>
    <row r="1" spans="1:47" x14ac:dyDescent="0.25">
      <c r="W1" s="255" t="s">
        <v>230</v>
      </c>
      <c r="AA1" s="388"/>
      <c r="AB1" s="388"/>
      <c r="AM1" s="255"/>
    </row>
    <row r="2" spans="1:47" x14ac:dyDescent="0.25"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</row>
    <row r="3" spans="1:47" ht="15.75" thickBot="1" x14ac:dyDescent="0.3"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G3" s="256"/>
      <c r="AH3" s="257"/>
      <c r="AI3" s="256"/>
      <c r="AJ3" s="256"/>
      <c r="AK3" s="256"/>
      <c r="AL3" s="256"/>
      <c r="AM3" s="256"/>
      <c r="AN3" s="256"/>
      <c r="AO3" s="256"/>
      <c r="AP3" s="256"/>
    </row>
    <row r="4" spans="1:47" x14ac:dyDescent="0.25">
      <c r="B4" s="258" t="s">
        <v>231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260"/>
      <c r="N4" s="260"/>
      <c r="O4" s="261"/>
      <c r="Q4" s="262"/>
      <c r="R4" s="263"/>
      <c r="S4" s="264"/>
      <c r="T4" s="264"/>
      <c r="U4" s="264" t="s">
        <v>271</v>
      </c>
      <c r="V4" s="264"/>
      <c r="W4" s="264"/>
      <c r="X4" s="264"/>
      <c r="Y4" s="264"/>
      <c r="Z4" s="264"/>
      <c r="AA4" s="264"/>
      <c r="AB4" s="264"/>
      <c r="AC4" s="264"/>
      <c r="AD4" s="265"/>
      <c r="AG4" s="262"/>
      <c r="AH4" s="263"/>
      <c r="AI4" s="264"/>
      <c r="AJ4" s="264"/>
      <c r="AK4" s="264" t="s">
        <v>272</v>
      </c>
      <c r="AL4" s="264"/>
      <c r="AM4" s="264"/>
      <c r="AN4" s="264"/>
      <c r="AO4" s="264"/>
      <c r="AP4" s="264"/>
      <c r="AQ4" s="264"/>
      <c r="AR4" s="264"/>
      <c r="AS4" s="264"/>
      <c r="AT4" s="265"/>
    </row>
    <row r="5" spans="1:47" x14ac:dyDescent="0.25">
      <c r="B5" s="266">
        <v>1</v>
      </c>
      <c r="C5" s="267">
        <v>2</v>
      </c>
      <c r="D5" s="267">
        <v>3</v>
      </c>
      <c r="E5" s="267">
        <v>4</v>
      </c>
      <c r="F5" s="267">
        <v>5</v>
      </c>
      <c r="G5" s="267">
        <v>6</v>
      </c>
      <c r="H5" s="267">
        <v>7</v>
      </c>
      <c r="I5" s="267">
        <v>8</v>
      </c>
      <c r="J5" s="267">
        <v>9</v>
      </c>
      <c r="K5" s="267">
        <v>10</v>
      </c>
      <c r="L5" s="267">
        <v>11</v>
      </c>
      <c r="M5" s="267">
        <v>12</v>
      </c>
      <c r="N5" s="267">
        <v>13</v>
      </c>
      <c r="O5" s="268"/>
      <c r="Q5" s="269">
        <v>1</v>
      </c>
      <c r="R5" s="270">
        <f>Q5+1</f>
        <v>2</v>
      </c>
      <c r="S5" s="271">
        <f>R5+1</f>
        <v>3</v>
      </c>
      <c r="T5" s="271">
        <f t="shared" ref="T5:AC5" si="0">S5+1</f>
        <v>4</v>
      </c>
      <c r="U5" s="271">
        <f t="shared" si="0"/>
        <v>5</v>
      </c>
      <c r="V5" s="271">
        <f t="shared" si="0"/>
        <v>6</v>
      </c>
      <c r="W5" s="271">
        <f t="shared" si="0"/>
        <v>7</v>
      </c>
      <c r="X5" s="271">
        <f t="shared" si="0"/>
        <v>8</v>
      </c>
      <c r="Y5" s="271">
        <f t="shared" si="0"/>
        <v>9</v>
      </c>
      <c r="Z5" s="271">
        <f t="shared" si="0"/>
        <v>10</v>
      </c>
      <c r="AA5" s="271">
        <f t="shared" si="0"/>
        <v>11</v>
      </c>
      <c r="AB5" s="271">
        <f t="shared" si="0"/>
        <v>12</v>
      </c>
      <c r="AC5" s="271">
        <f t="shared" si="0"/>
        <v>13</v>
      </c>
      <c r="AD5" s="272"/>
      <c r="AG5" s="269">
        <v>1</v>
      </c>
      <c r="AH5" s="270">
        <f>AG5+1</f>
        <v>2</v>
      </c>
      <c r="AI5" s="271">
        <f>AH5+1</f>
        <v>3</v>
      </c>
      <c r="AJ5" s="271">
        <f t="shared" ref="AJ5" si="1">AI5+1</f>
        <v>4</v>
      </c>
      <c r="AK5" s="271">
        <f t="shared" ref="AK5" si="2">AJ5+1</f>
        <v>5</v>
      </c>
      <c r="AL5" s="271">
        <f t="shared" ref="AL5" si="3">AK5+1</f>
        <v>6</v>
      </c>
      <c r="AM5" s="271">
        <f t="shared" ref="AM5" si="4">AL5+1</f>
        <v>7</v>
      </c>
      <c r="AN5" s="271">
        <f t="shared" ref="AN5" si="5">AM5+1</f>
        <v>8</v>
      </c>
      <c r="AO5" s="271">
        <f t="shared" ref="AO5" si="6">AN5+1</f>
        <v>9</v>
      </c>
      <c r="AP5" s="271">
        <f t="shared" ref="AP5" si="7">AO5+1</f>
        <v>10</v>
      </c>
      <c r="AQ5" s="271">
        <f t="shared" ref="AQ5" si="8">AP5+1</f>
        <v>11</v>
      </c>
      <c r="AR5" s="271">
        <f t="shared" ref="AR5" si="9">AQ5+1</f>
        <v>12</v>
      </c>
      <c r="AS5" s="271">
        <f t="shared" ref="AS5" si="10">AR5+1</f>
        <v>13</v>
      </c>
      <c r="AT5" s="272"/>
    </row>
    <row r="6" spans="1:47" s="81" customFormat="1" ht="15.75" thickBot="1" x14ac:dyDescent="0.3">
      <c r="A6" s="81" t="s">
        <v>94</v>
      </c>
      <c r="B6" s="273" t="s">
        <v>232</v>
      </c>
      <c r="C6" s="274" t="s">
        <v>233</v>
      </c>
      <c r="D6" s="274" t="s">
        <v>234</v>
      </c>
      <c r="E6" s="274" t="s">
        <v>235</v>
      </c>
      <c r="F6" s="274" t="s">
        <v>236</v>
      </c>
      <c r="G6" s="274" t="s">
        <v>237</v>
      </c>
      <c r="H6" s="274" t="s">
        <v>238</v>
      </c>
      <c r="I6" s="274" t="s">
        <v>239</v>
      </c>
      <c r="J6" s="274" t="s">
        <v>240</v>
      </c>
      <c r="K6" s="274" t="s">
        <v>241</v>
      </c>
      <c r="L6" s="274" t="s">
        <v>242</v>
      </c>
      <c r="M6" s="274" t="s">
        <v>243</v>
      </c>
      <c r="N6" s="274" t="s">
        <v>244</v>
      </c>
      <c r="O6" s="275" t="s">
        <v>245</v>
      </c>
      <c r="Q6" s="276" t="s">
        <v>232</v>
      </c>
      <c r="R6" s="277" t="s">
        <v>233</v>
      </c>
      <c r="S6" s="278" t="s">
        <v>234</v>
      </c>
      <c r="T6" s="278" t="s">
        <v>235</v>
      </c>
      <c r="U6" s="278" t="s">
        <v>236</v>
      </c>
      <c r="V6" s="278" t="s">
        <v>237</v>
      </c>
      <c r="W6" s="278" t="s">
        <v>238</v>
      </c>
      <c r="X6" s="278" t="s">
        <v>239</v>
      </c>
      <c r="Y6" s="278" t="s">
        <v>240</v>
      </c>
      <c r="Z6" s="278" t="s">
        <v>241</v>
      </c>
      <c r="AA6" s="278" t="s">
        <v>242</v>
      </c>
      <c r="AB6" s="278" t="s">
        <v>243</v>
      </c>
      <c r="AC6" s="278" t="s">
        <v>244</v>
      </c>
      <c r="AD6" s="279" t="s">
        <v>245</v>
      </c>
      <c r="AE6" s="280" t="s">
        <v>201</v>
      </c>
      <c r="AG6" s="276" t="s">
        <v>232</v>
      </c>
      <c r="AH6" s="277" t="s">
        <v>233</v>
      </c>
      <c r="AI6" s="278" t="s">
        <v>234</v>
      </c>
      <c r="AJ6" s="278" t="s">
        <v>235</v>
      </c>
      <c r="AK6" s="278" t="s">
        <v>236</v>
      </c>
      <c r="AL6" s="278" t="s">
        <v>237</v>
      </c>
      <c r="AM6" s="278" t="s">
        <v>238</v>
      </c>
      <c r="AN6" s="278" t="s">
        <v>239</v>
      </c>
      <c r="AO6" s="278" t="s">
        <v>240</v>
      </c>
      <c r="AP6" s="278" t="s">
        <v>241</v>
      </c>
      <c r="AQ6" s="278" t="s">
        <v>242</v>
      </c>
      <c r="AR6" s="278" t="s">
        <v>243</v>
      </c>
      <c r="AS6" s="278" t="s">
        <v>244</v>
      </c>
      <c r="AT6" s="279" t="s">
        <v>245</v>
      </c>
      <c r="AU6" s="280" t="s">
        <v>201</v>
      </c>
    </row>
    <row r="7" spans="1:47" s="81" customFormat="1" x14ac:dyDescent="0.25">
      <c r="A7" s="281">
        <v>44561</v>
      </c>
      <c r="B7" s="282">
        <v>0</v>
      </c>
      <c r="C7" s="283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v>0</v>
      </c>
      <c r="L7" s="283">
        <v>0</v>
      </c>
      <c r="M7" s="284">
        <v>0</v>
      </c>
      <c r="N7" s="284">
        <v>0</v>
      </c>
      <c r="O7" s="283">
        <f>SUM(B7:N7)</f>
        <v>0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55">
        <v>0</v>
      </c>
      <c r="Y7" s="255">
        <v>0</v>
      </c>
      <c r="Z7" s="255">
        <v>0</v>
      </c>
      <c r="AA7" s="255">
        <v>0</v>
      </c>
      <c r="AB7" s="255">
        <v>0</v>
      </c>
      <c r="AC7" s="255">
        <v>0</v>
      </c>
      <c r="AD7" s="255">
        <f>SUM(Q7:AC7)</f>
        <v>0</v>
      </c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</row>
    <row r="8" spans="1:47" x14ac:dyDescent="0.25">
      <c r="A8" s="84">
        <v>44592</v>
      </c>
      <c r="B8" s="255">
        <v>0</v>
      </c>
      <c r="C8" s="255">
        <v>0</v>
      </c>
      <c r="D8" s="255">
        <v>0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f>SUM(B8:N8)</f>
        <v>0</v>
      </c>
      <c r="Q8" s="255">
        <f>(($B$7*$D$49/12)+(($B$9-$B$7)*$C$49/12))</f>
        <v>85768.212260400003</v>
      </c>
      <c r="R8" s="255">
        <f>((C$7*$D$50/12)+(($C$9-C$7)*$C$50/12))</f>
        <v>460727.22100000008</v>
      </c>
      <c r="S8" s="255">
        <f>(($B$7*$D$51/12)+(($D$9-$B$7)*$C$51/12))</f>
        <v>24265.871333333333</v>
      </c>
      <c r="T8" s="255">
        <f>((E$7*$D$52/12)+(($E$9-E$7)*$C$52/12))</f>
        <v>28244.92466666667</v>
      </c>
      <c r="U8" s="255">
        <f>((F$7*$D$53/12)+(($F$9-F$7)*$C$53/12))</f>
        <v>88745.305333333337</v>
      </c>
      <c r="V8" s="255">
        <f>((G$7*$D$54/12)+(($G$9-G$7)*$C$54/12))</f>
        <v>12535.933666666666</v>
      </c>
      <c r="W8" s="255">
        <f>((H$7*$D$55/12)+(($H$9-H$7)*$C$55/12))</f>
        <v>28745.279041666668</v>
      </c>
      <c r="X8" s="255">
        <f>((I$7*$D$56/12)+(($I$9-I$7)*$C$56/12))</f>
        <v>15142.94975</v>
      </c>
      <c r="Y8" s="255">
        <f>((J$7*$D$57/12)+(($J$9-J$7)*$C$57/12))</f>
        <v>7773.3890416666682</v>
      </c>
      <c r="Z8" s="255">
        <f>((K$7*$D$58/12)+(($K$9-K$7)*$C$58/12))</f>
        <v>3973.6485416666669</v>
      </c>
      <c r="AA8" s="255">
        <f>((L$7*$D$59/12)+(($L$9-L$7)*$C$59/12))-1400</f>
        <v>2595.4784030833339</v>
      </c>
      <c r="AB8" s="255">
        <f>((M$7*$D$60/12)+(($M$9-M$7)*$C$60/12))-158</f>
        <v>1700.4489150833335</v>
      </c>
      <c r="AC8" s="255">
        <f>((N$7*$D$61/12)+(($N$9-N$7)*$C$61/12))</f>
        <v>10063.984583333333</v>
      </c>
      <c r="AD8" s="255">
        <f t="shared" ref="AD8:AD43" si="11">SUM(Q8:AC8)</f>
        <v>770282.64653689996</v>
      </c>
      <c r="AE8" s="286">
        <f>'Plant Additions'!E11-AD8</f>
        <v>0</v>
      </c>
      <c r="AG8" s="255">
        <f>'G361 Additions'!E15</f>
        <v>0</v>
      </c>
      <c r="AH8" s="255">
        <f>'G362 Additions'!E15</f>
        <v>0</v>
      </c>
      <c r="AI8" s="255">
        <f>'G363 Additions'!E15</f>
        <v>0</v>
      </c>
      <c r="AJ8" s="255">
        <f>'G3631 Additions'!E15</f>
        <v>0</v>
      </c>
      <c r="AK8" s="255">
        <f>'G3632 Additions'!E15</f>
        <v>0</v>
      </c>
      <c r="AL8" s="255">
        <f>'G3633 Additions'!E15</f>
        <v>0</v>
      </c>
      <c r="AM8" s="255">
        <f>'G3635 Additions'!E15</f>
        <v>0</v>
      </c>
      <c r="AN8" s="255">
        <f>'G3643 Additions'!E15</f>
        <v>0</v>
      </c>
      <c r="AO8" s="255">
        <f>'G3912 Additions'!E15</f>
        <v>0</v>
      </c>
      <c r="AP8" s="255">
        <f>'G3646 Additions'!E15</f>
        <v>0</v>
      </c>
      <c r="AQ8" s="255">
        <f>'G3912 Additions'!E15</f>
        <v>0</v>
      </c>
      <c r="AR8" s="255">
        <f>'G397 Additions'!E15</f>
        <v>0</v>
      </c>
      <c r="AS8" s="255">
        <f>'G303 Additions'!E15</f>
        <v>0</v>
      </c>
      <c r="AT8" s="255">
        <f>SUM(AG8:AS8)</f>
        <v>0</v>
      </c>
      <c r="AU8" s="286">
        <f>'Plant Additions'!F11-AT8</f>
        <v>0</v>
      </c>
    </row>
    <row r="9" spans="1:47" x14ac:dyDescent="0.25">
      <c r="A9" s="84">
        <v>44620</v>
      </c>
      <c r="B9" s="255">
        <v>80157207.719999999</v>
      </c>
      <c r="C9" s="255">
        <v>110574533.04000001</v>
      </c>
      <c r="D9" s="255">
        <v>5823809.1200000001</v>
      </c>
      <c r="E9" s="255">
        <v>6778781.9199999999</v>
      </c>
      <c r="F9" s="255">
        <v>21298873.280000001</v>
      </c>
      <c r="G9" s="255">
        <v>3008624.08</v>
      </c>
      <c r="H9" s="255">
        <v>6898866.9699999997</v>
      </c>
      <c r="I9" s="255">
        <v>3634307.94</v>
      </c>
      <c r="J9" s="255">
        <v>1865613.37</v>
      </c>
      <c r="K9" s="255">
        <v>953675.65</v>
      </c>
      <c r="L9" s="255">
        <v>335519.53000000003</v>
      </c>
      <c r="M9" s="255">
        <v>156062.89000000001</v>
      </c>
      <c r="N9" s="255">
        <v>724606.89</v>
      </c>
      <c r="O9" s="255">
        <f t="shared" ref="O9:O43" si="12">SUM(B9:N9)</f>
        <v>242210482.39999998</v>
      </c>
      <c r="Q9" s="255">
        <f>(($B$7*$D$49/12)+(($B$9-$B$7)*$C$49/12))</f>
        <v>85768.212260400003</v>
      </c>
      <c r="R9" s="255">
        <f>((C$7*$D$50/12)+(($C$9-C$7)*$C$50/12))</f>
        <v>460727.22100000008</v>
      </c>
      <c r="S9" s="255">
        <f>(($B$7*$D$51/12)+(($D$9-$B$7)*$C$51/12))</f>
        <v>24265.871333333333</v>
      </c>
      <c r="T9" s="255">
        <f>((E$7*$D$52/12)+(($E$9-E$7)*$C$52/12))</f>
        <v>28244.92466666667</v>
      </c>
      <c r="U9" s="255">
        <f>((F$7*$D$53/12)+(($F$9-F$7)*$C$53/12))</f>
        <v>88745.305333333337</v>
      </c>
      <c r="V9" s="255">
        <f>((G$7*$D$54/12)+(($G$9-G$7)*$C$54/12))</f>
        <v>12535.933666666666</v>
      </c>
      <c r="W9" s="255">
        <f>((H$7*$D$55/12)+(($H$9-H$7)*$C$55/12))</f>
        <v>28745.279041666668</v>
      </c>
      <c r="X9" s="255">
        <f>((I$7*$D$56/12)+(($I$9-I$7)*$C$56/12))</f>
        <v>15142.94975</v>
      </c>
      <c r="Y9" s="255">
        <f>((J$7*$D$57/12)+(($J$9-J$7)*$C$57/12))</f>
        <v>7773.3890416666682</v>
      </c>
      <c r="Z9" s="255">
        <f>((K$7*$D$58/12)+(($K$9-K$7)*$C$58/12))</f>
        <v>3973.6485416666669</v>
      </c>
      <c r="AA9" s="255">
        <f>((L$7*$D$59/12)+(($L$9-L$7)*$C$59/12))</f>
        <v>3995.4784030833339</v>
      </c>
      <c r="AB9" s="255">
        <f>((M$7*$D$60/12)+(($M$9-M$7)*$C$60/12))</f>
        <v>1858.4489150833335</v>
      </c>
      <c r="AC9" s="255">
        <f>((N$7*$D$61/12)+(($N$9-N$7)*$C$61/12))</f>
        <v>10063.984583333333</v>
      </c>
      <c r="AD9" s="255">
        <f t="shared" si="11"/>
        <v>771840.64653689996</v>
      </c>
      <c r="AE9" s="286">
        <f>'Plant Additions'!E12-AD9</f>
        <v>0</v>
      </c>
      <c r="AG9" s="255">
        <f>'G361 Additions'!E16</f>
        <v>81159.172816499995</v>
      </c>
      <c r="AH9" s="255">
        <f>'G362 Additions'!E16</f>
        <v>111956.71470299999</v>
      </c>
      <c r="AI9" s="255">
        <f>'G363 Additions'!E16</f>
        <v>6697.3804879999998</v>
      </c>
      <c r="AJ9" s="255">
        <f>'G3631 Additions'!E16</f>
        <v>8671.1918726666681</v>
      </c>
      <c r="AK9" s="255">
        <f>'G3632 Additions'!E16</f>
        <v>24493.704272000003</v>
      </c>
      <c r="AL9" s="255">
        <f>'G3633 Additions'!E16</f>
        <v>3898.6753703333338</v>
      </c>
      <c r="AM9" s="255">
        <f>'G3635 Additions'!E16</f>
        <v>8048.6781316666666</v>
      </c>
      <c r="AN9" s="255">
        <f>'G3643 Additions'!E16</f>
        <v>4240.0259299999998</v>
      </c>
      <c r="AO9" s="255">
        <f>+'G3645 Additions'!E16</f>
        <v>2176.5489316666667</v>
      </c>
      <c r="AP9" s="255">
        <f>'G3646 Additions'!E16</f>
        <v>1096.7269975000002</v>
      </c>
      <c r="AQ9" s="255">
        <f>'G3912 Additions'!E16</f>
        <v>5591.9921666666669</v>
      </c>
      <c r="AR9" s="255">
        <f>'G397 Additions'!E16</f>
        <v>867.44956358333332</v>
      </c>
      <c r="AS9" s="255">
        <f>'G303 Additions'!E16</f>
        <v>12033.781499999999</v>
      </c>
      <c r="AT9" s="255">
        <f t="shared" ref="AT9:AT43" si="13">SUM(AG9:AS9)</f>
        <v>270932.04274358333</v>
      </c>
      <c r="AU9" s="286">
        <f>'Plant Additions'!F12-AT9</f>
        <v>0.68676975002745166</v>
      </c>
    </row>
    <row r="10" spans="1:47" x14ac:dyDescent="0.25">
      <c r="A10" s="84">
        <v>44651</v>
      </c>
      <c r="B10" s="255">
        <v>80290161.209999993</v>
      </c>
      <c r="C10" s="255">
        <v>110602343.01000001</v>
      </c>
      <c r="D10" s="255">
        <v>5825018.2400000002</v>
      </c>
      <c r="E10" s="255">
        <v>6780595.6399999997</v>
      </c>
      <c r="F10" s="255">
        <v>21304314.390000001</v>
      </c>
      <c r="G10" s="255">
        <v>3009228.66</v>
      </c>
      <c r="H10" s="255">
        <v>6911071.7400000002</v>
      </c>
      <c r="I10" s="255">
        <v>3637510.28</v>
      </c>
      <c r="J10" s="255">
        <v>1868815.71</v>
      </c>
      <c r="K10" s="255">
        <v>955579.11</v>
      </c>
      <c r="L10" s="255">
        <v>335519.53000000003</v>
      </c>
      <c r="M10" s="255">
        <v>156080.44</v>
      </c>
      <c r="N10" s="255">
        <v>724606.09</v>
      </c>
      <c r="O10" s="255">
        <f t="shared" si="12"/>
        <v>242400844.05000004</v>
      </c>
      <c r="Q10" s="255">
        <f t="shared" ref="Q10:Q18" si="14">(($B$7*$D$49/12)+((B10-$B$7)*$C$49/12))</f>
        <v>85910.472494700007</v>
      </c>
      <c r="R10" s="255">
        <f t="shared" ref="R9:R17" si="15">((C$7*$D$50/12)+((C10-C$7)*$C$50/12))</f>
        <v>460843.09587500006</v>
      </c>
      <c r="S10" s="255">
        <f t="shared" ref="S9:S17" si="16">(($B$7*$D$51/12)+((D10-$B$7)*$C$51/12))</f>
        <v>24270.909333333333</v>
      </c>
      <c r="T10" s="255">
        <f t="shared" ref="T9:T18" si="17">((E$7*$D$52/12)+((E10-E$7)*$C$52/12))</f>
        <v>28252.481833333335</v>
      </c>
      <c r="U10" s="255">
        <f t="shared" ref="U9:U18" si="18">((F$7*$D$53/12)+((F10-F$7)*$C$53/12))</f>
        <v>88767.97662500001</v>
      </c>
      <c r="V10" s="255">
        <f t="shared" ref="V9:V19" si="19">((G$7*$D$54/12)+((G10-G$7)*$C$54/12))</f>
        <v>12538.452750000002</v>
      </c>
      <c r="W10" s="255">
        <f t="shared" ref="W9:W19" si="20">((H$7*$D$55/12)+((H10-H$7)*$C$55/12))</f>
        <v>28796.132250000006</v>
      </c>
      <c r="X10" s="255">
        <f t="shared" ref="X9:X19" si="21">((I$7*$D$56/12)+((I10-I$7)*$C$56/12))</f>
        <v>15156.292833333333</v>
      </c>
      <c r="Y10" s="255">
        <f t="shared" ref="Y9:Y18" si="22">((J$7*$D$57/12)+((J10-J$7)*$C$57/12))</f>
        <v>7786.7321249999995</v>
      </c>
      <c r="Z10" s="255">
        <f t="shared" ref="Z9:Z18" si="23">((K$7*$D$58/12)+((K10-K$7)*$C$58/12))</f>
        <v>3981.5796250000003</v>
      </c>
      <c r="AA10" s="255">
        <f t="shared" ref="AA8:AA18" si="24">((L$7*$D$59/12)+((L10-L$7)*$C$59/12))</f>
        <v>3995.4784030833339</v>
      </c>
      <c r="AB10" s="255">
        <f t="shared" ref="AB9:AB19" si="25">((M$7*$D$60/12)+((M10-M$7)*$C$60/12))</f>
        <v>1858.6579063333331</v>
      </c>
      <c r="AC10" s="255">
        <f t="shared" ref="AC9:AC19" si="26">((N$7*$D$61/12)+((N10-N$7)*$C$61/12))</f>
        <v>10063.973472222222</v>
      </c>
      <c r="AD10" s="255">
        <f t="shared" si="11"/>
        <v>772222.23552633915</v>
      </c>
      <c r="AE10" s="286">
        <f>'Plant Additions'!E13-AD10</f>
        <v>0</v>
      </c>
      <c r="AG10" s="255">
        <f>'G361 Additions'!E17</f>
        <v>162452.96104162498</v>
      </c>
      <c r="AH10" s="255">
        <f>'G362 Additions'!E17</f>
        <v>223941.58700062498</v>
      </c>
      <c r="AI10" s="255">
        <f>'G363 Additions'!E17</f>
        <v>13396.151464</v>
      </c>
      <c r="AJ10" s="255">
        <f>'G3631 Additions'!E17</f>
        <v>17344.703795500001</v>
      </c>
      <c r="AK10" s="255">
        <f>'G3632 Additions'!E17</f>
        <v>48993.665820500006</v>
      </c>
      <c r="AL10" s="255">
        <f>'G3633 Additions'!E17</f>
        <v>7798.1341755833346</v>
      </c>
      <c r="AM10" s="255">
        <f>'G3635 Additions'!E17</f>
        <v>16111.595161666666</v>
      </c>
      <c r="AN10" s="255">
        <f>'G3643 Additions'!E17</f>
        <v>8483.7879233333333</v>
      </c>
      <c r="AO10" s="255">
        <f>+'G3645 Additions'!E17</f>
        <v>4356.8339266666662</v>
      </c>
      <c r="AP10" s="255">
        <f>'G3646 Additions'!E17</f>
        <v>2195.6429740000003</v>
      </c>
      <c r="AQ10" s="255">
        <f>'G3912 Additions'!E17</f>
        <v>5591.9921666666669</v>
      </c>
      <c r="AR10" s="255">
        <f>'G397 Additions'!E17</f>
        <v>867.49833795833331</v>
      </c>
      <c r="AS10" s="255">
        <f>'G303 Additions'!E17</f>
        <v>12045.768166666665</v>
      </c>
      <c r="AT10" s="255">
        <f t="shared" si="13"/>
        <v>523580.32195479167</v>
      </c>
      <c r="AU10" s="286">
        <f>'Plant Additions'!F13-AT10</f>
        <v>8.1328708271030337E-2</v>
      </c>
    </row>
    <row r="11" spans="1:47" x14ac:dyDescent="0.25">
      <c r="A11" s="84">
        <v>44681</v>
      </c>
      <c r="B11" s="255">
        <v>80347527.819999993</v>
      </c>
      <c r="C11" s="255">
        <v>110607241.43000001</v>
      </c>
      <c r="D11" s="255">
        <v>5825240.1500000004</v>
      </c>
      <c r="E11" s="255">
        <v>6780886.5199999996</v>
      </c>
      <c r="F11" s="255">
        <v>21305269.300000001</v>
      </c>
      <c r="G11" s="255">
        <v>3009347.98</v>
      </c>
      <c r="H11" s="255">
        <v>6916333.3799999999</v>
      </c>
      <c r="I11" s="255">
        <v>3638884.71</v>
      </c>
      <c r="J11" s="255">
        <v>1870146.28</v>
      </c>
      <c r="K11" s="255">
        <v>956269.09</v>
      </c>
      <c r="L11" s="255">
        <v>335519.53000000003</v>
      </c>
      <c r="M11" s="255">
        <v>156080.44</v>
      </c>
      <c r="N11" s="255">
        <v>724606.09</v>
      </c>
      <c r="O11" s="255">
        <f t="shared" si="12"/>
        <v>242473352.72000003</v>
      </c>
      <c r="Q11" s="255">
        <f t="shared" si="14"/>
        <v>85971.8547674</v>
      </c>
      <c r="R11" s="255">
        <f t="shared" si="15"/>
        <v>460863.50595833338</v>
      </c>
      <c r="S11" s="255">
        <f t="shared" si="16"/>
        <v>24271.833958333333</v>
      </c>
      <c r="T11" s="255">
        <f t="shared" si="17"/>
        <v>28253.693833333335</v>
      </c>
      <c r="U11" s="255">
        <f t="shared" si="18"/>
        <v>88771.955416666679</v>
      </c>
      <c r="V11" s="255">
        <f t="shared" si="19"/>
        <v>12538.949916666666</v>
      </c>
      <c r="W11" s="255">
        <f t="shared" si="20"/>
        <v>28818.05575</v>
      </c>
      <c r="X11" s="255">
        <f t="shared" si="21"/>
        <v>15162.019625000001</v>
      </c>
      <c r="Y11" s="255">
        <f t="shared" si="22"/>
        <v>7792.2761666666675</v>
      </c>
      <c r="Z11" s="255">
        <f t="shared" si="23"/>
        <v>3984.4545416666665</v>
      </c>
      <c r="AA11" s="255">
        <f t="shared" si="24"/>
        <v>3995.4784030833339</v>
      </c>
      <c r="AB11" s="255">
        <f t="shared" si="25"/>
        <v>1858.6579063333331</v>
      </c>
      <c r="AC11" s="255">
        <f t="shared" si="26"/>
        <v>10063.973472222222</v>
      </c>
      <c r="AD11" s="255">
        <f t="shared" si="11"/>
        <v>772346.7097157056</v>
      </c>
      <c r="AE11" s="286">
        <f>'Plant Additions'!E14-AD11</f>
        <v>0</v>
      </c>
      <c r="AG11" s="255">
        <f>'G361 Additions'!E18</f>
        <v>162645.66014287496</v>
      </c>
      <c r="AH11" s="255">
        <f>'G362 Additions'!E18</f>
        <v>223974.7042455</v>
      </c>
      <c r="AI11" s="255">
        <f>'G363 Additions'!E18</f>
        <v>13397.7971485</v>
      </c>
      <c r="AJ11" s="255">
        <f>'G3631 Additions'!E18</f>
        <v>17347.395929666665</v>
      </c>
      <c r="AK11" s="255">
        <f>'G3632 Additions'!E18</f>
        <v>49001.021243499999</v>
      </c>
      <c r="AL11" s="255">
        <f>'G3633 Additions'!E18</f>
        <v>7799.0722293333338</v>
      </c>
      <c r="AM11" s="255">
        <f>'G3635 Additions'!E18</f>
        <v>16131.97264</v>
      </c>
      <c r="AN11" s="255">
        <f>'G3643 Additions'!E18</f>
        <v>8489.1274883333317</v>
      </c>
      <c r="AO11" s="255">
        <f>+'G3645 Additions'!E18</f>
        <v>4362.1223216666667</v>
      </c>
      <c r="AP11" s="255">
        <f>'G3646 Additions'!E18</f>
        <v>2198.6254300000001</v>
      </c>
      <c r="AQ11" s="255">
        <f>'G3912 Additions'!E18</f>
        <v>5591.9921666666669</v>
      </c>
      <c r="AR11" s="255">
        <f>'G397 Additions'!E18</f>
        <v>867.5471123333333</v>
      </c>
      <c r="AS11" s="255">
        <f>'G303 Additions'!E18</f>
        <v>12045.768166666667</v>
      </c>
      <c r="AT11" s="255">
        <f t="shared" si="13"/>
        <v>523852.80626504164</v>
      </c>
      <c r="AU11" s="286">
        <f>'Plant Additions'!F14-AT11</f>
        <v>3.2554333272855729E-2</v>
      </c>
    </row>
    <row r="12" spans="1:47" x14ac:dyDescent="0.25">
      <c r="A12" s="84">
        <v>44712</v>
      </c>
      <c r="B12" s="255">
        <v>80405805.609999999</v>
      </c>
      <c r="C12" s="255">
        <v>110649495.93000001</v>
      </c>
      <c r="D12" s="255">
        <v>5827077.2999999998</v>
      </c>
      <c r="E12" s="255">
        <v>6783642.2400000002</v>
      </c>
      <c r="F12" s="255">
        <v>21313536.48</v>
      </c>
      <c r="G12" s="255">
        <v>3010266.56</v>
      </c>
      <c r="H12" s="255">
        <v>6921660.5700000003</v>
      </c>
      <c r="I12" s="255">
        <v>3640446.17</v>
      </c>
      <c r="J12" s="255">
        <v>1871707.74</v>
      </c>
      <c r="K12" s="255">
        <v>957509.11</v>
      </c>
      <c r="L12" s="255">
        <v>335519.53000000003</v>
      </c>
      <c r="M12" s="255">
        <v>156115.64000000001</v>
      </c>
      <c r="N12" s="255">
        <v>724606.09</v>
      </c>
      <c r="O12" s="255">
        <f t="shared" si="12"/>
        <v>242597388.97000003</v>
      </c>
      <c r="Q12" s="255">
        <f t="shared" si="14"/>
        <v>86034.212002700006</v>
      </c>
      <c r="R12" s="255">
        <f t="shared" si="15"/>
        <v>461039.56637500011</v>
      </c>
      <c r="S12" s="255">
        <f t="shared" si="16"/>
        <v>24279.48875</v>
      </c>
      <c r="T12" s="255">
        <f t="shared" si="17"/>
        <v>28265.176000000003</v>
      </c>
      <c r="U12" s="255">
        <f t="shared" si="18"/>
        <v>88806.402000000002</v>
      </c>
      <c r="V12" s="255">
        <f t="shared" si="19"/>
        <v>12542.777333333333</v>
      </c>
      <c r="W12" s="255">
        <f t="shared" si="20"/>
        <v>28840.252375</v>
      </c>
      <c r="X12" s="255">
        <f t="shared" si="21"/>
        <v>15168.525708333334</v>
      </c>
      <c r="Y12" s="255">
        <f t="shared" si="22"/>
        <v>7798.7822500000002</v>
      </c>
      <c r="Z12" s="255">
        <f t="shared" si="23"/>
        <v>3989.6212916666668</v>
      </c>
      <c r="AA12" s="255">
        <f t="shared" si="24"/>
        <v>3995.4784030833339</v>
      </c>
      <c r="AB12" s="255">
        <f t="shared" si="25"/>
        <v>1859.0770796666668</v>
      </c>
      <c r="AC12" s="255">
        <f t="shared" si="26"/>
        <v>10063.973472222222</v>
      </c>
      <c r="AD12" s="255">
        <f t="shared" si="11"/>
        <v>772683.33304100577</v>
      </c>
      <c r="AE12" s="286">
        <f>'Plant Additions'!E15-AD12</f>
        <v>0</v>
      </c>
      <c r="AG12" s="255">
        <f>'G361 Additions'!E19</f>
        <v>162762.75009787499</v>
      </c>
      <c r="AH12" s="255">
        <f>'G362 Additions'!E19</f>
        <v>224022.446577</v>
      </c>
      <c r="AI12" s="255">
        <f>'G363 Additions'!E19</f>
        <v>13400.165067500002</v>
      </c>
      <c r="AJ12" s="255">
        <f>'G3631 Additions'!E19</f>
        <v>17351.29303883333</v>
      </c>
      <c r="AK12" s="255">
        <f>'G3632 Additions'!E19</f>
        <v>49011.626646999997</v>
      </c>
      <c r="AL12" s="255">
        <f>'G3633 Additions'!E19</f>
        <v>7800.4171747500013</v>
      </c>
      <c r="AM12" s="255">
        <f>'G3635 Additions'!E19</f>
        <v>16144.326274999999</v>
      </c>
      <c r="AN12" s="255">
        <f>'G3643 Additions'!E19</f>
        <v>8492.5526933333331</v>
      </c>
      <c r="AO12" s="255">
        <f>+'G3645 Additions'!E19</f>
        <v>4365.4963566666665</v>
      </c>
      <c r="AP12" s="255">
        <f>'G3646 Additions'!E19</f>
        <v>2200.8449299999997</v>
      </c>
      <c r="AQ12" s="255">
        <f>'G3912 Additions'!E19</f>
        <v>5591.9921666666669</v>
      </c>
      <c r="AR12" s="255">
        <f>'G397 Additions'!E19</f>
        <v>867.64493900000002</v>
      </c>
      <c r="AS12" s="255">
        <f>'G303 Additions'!E19</f>
        <v>12045.768166666667</v>
      </c>
      <c r="AT12" s="255">
        <f t="shared" si="13"/>
        <v>524057.32413029176</v>
      </c>
      <c r="AU12" s="286">
        <f>'Plant Additions'!F15-AT12</f>
        <v>0.12472766661085188</v>
      </c>
    </row>
    <row r="13" spans="1:47" x14ac:dyDescent="0.25">
      <c r="A13" s="84">
        <v>44742</v>
      </c>
      <c r="B13" s="255">
        <v>80441101.859999999</v>
      </c>
      <c r="C13" s="255">
        <v>110661253.95999999</v>
      </c>
      <c r="D13" s="255">
        <v>5827588.5099999998</v>
      </c>
      <c r="E13" s="255">
        <v>6784409.0599999996</v>
      </c>
      <c r="F13" s="255">
        <v>21315836.940000001</v>
      </c>
      <c r="G13" s="255">
        <v>3010522.16</v>
      </c>
      <c r="H13" s="255">
        <v>6924897.3700000001</v>
      </c>
      <c r="I13" s="255">
        <v>3641319.28</v>
      </c>
      <c r="J13" s="255">
        <v>1872580.85</v>
      </c>
      <c r="K13" s="255">
        <v>958073.45</v>
      </c>
      <c r="L13" s="255">
        <v>335519.53000000003</v>
      </c>
      <c r="M13" s="255">
        <v>156325.21</v>
      </c>
      <c r="N13" s="255">
        <v>724606.89</v>
      </c>
      <c r="O13" s="255">
        <f t="shared" si="12"/>
        <v>242654035.06999996</v>
      </c>
      <c r="Q13" s="255">
        <f t="shared" si="14"/>
        <v>86071.978990200005</v>
      </c>
      <c r="R13" s="255">
        <f t="shared" si="15"/>
        <v>461088.55816666665</v>
      </c>
      <c r="S13" s="255">
        <f t="shared" si="16"/>
        <v>24281.618791666668</v>
      </c>
      <c r="T13" s="255">
        <f t="shared" si="17"/>
        <v>28268.371083333332</v>
      </c>
      <c r="U13" s="255">
        <f t="shared" si="18"/>
        <v>88815.987250000006</v>
      </c>
      <c r="V13" s="255">
        <f t="shared" si="19"/>
        <v>12543.842333333334</v>
      </c>
      <c r="W13" s="255">
        <f t="shared" si="20"/>
        <v>28853.739041666671</v>
      </c>
      <c r="X13" s="255">
        <f t="shared" si="21"/>
        <v>15172.163666666667</v>
      </c>
      <c r="Y13" s="255">
        <f t="shared" si="22"/>
        <v>7802.4202083333339</v>
      </c>
      <c r="Z13" s="255">
        <f t="shared" si="23"/>
        <v>3991.9727083333332</v>
      </c>
      <c r="AA13" s="255">
        <f t="shared" si="24"/>
        <v>3995.4784030833339</v>
      </c>
      <c r="AB13" s="255">
        <f t="shared" si="25"/>
        <v>1861.5727090833332</v>
      </c>
      <c r="AC13" s="255">
        <f t="shared" si="26"/>
        <v>10063.984583333333</v>
      </c>
      <c r="AD13" s="255">
        <f t="shared" si="11"/>
        <v>772811.68793569983</v>
      </c>
      <c r="AE13" s="286">
        <f>'Plant Additions'!E16-AD13</f>
        <v>0</v>
      </c>
      <c r="AG13" s="255">
        <f>'G361 Additions'!E20</f>
        <v>162857.49381337498</v>
      </c>
      <c r="AH13" s="255">
        <f>'G362 Additions'!E20</f>
        <v>224077.13426362499</v>
      </c>
      <c r="AI13" s="255">
        <f>'G363 Additions'!E20</f>
        <v>13402.865681499999</v>
      </c>
      <c r="AJ13" s="255">
        <f>'G3631 Additions'!E20</f>
        <v>17355.798954583337</v>
      </c>
      <c r="AK13" s="255">
        <f>'G3632 Additions'!E20</f>
        <v>49023.779432999996</v>
      </c>
      <c r="AL13" s="255">
        <f>'G3633 Additions'!E20</f>
        <v>7801.9387163333349</v>
      </c>
      <c r="AM13" s="255">
        <f>'G3635 Additions'!E20</f>
        <v>16154.317596666666</v>
      </c>
      <c r="AN13" s="255">
        <f>'G3643 Additions'!E20</f>
        <v>8495.3930249999994</v>
      </c>
      <c r="AO13" s="255">
        <f>+'G3645 Additions'!E20</f>
        <v>4368.3366883333338</v>
      </c>
      <c r="AP13" s="255">
        <f>'G3646 Additions'!E20</f>
        <v>2202.9199439999998</v>
      </c>
      <c r="AQ13" s="255">
        <f>'G3912 Additions'!E20</f>
        <v>5591.9921666666669</v>
      </c>
      <c r="AR13" s="255">
        <f>'G397 Additions'!E20</f>
        <v>868.32519562499999</v>
      </c>
      <c r="AS13" s="255">
        <f>'G303 Additions'!E20</f>
        <v>12045.781500000001</v>
      </c>
      <c r="AT13" s="255">
        <f t="shared" si="13"/>
        <v>524246.07697870838</v>
      </c>
      <c r="AU13" s="286">
        <f>'Plant Additions'!F16-AT13</f>
        <v>0.60330437496304512</v>
      </c>
    </row>
    <row r="14" spans="1:47" x14ac:dyDescent="0.25">
      <c r="A14" s="84">
        <v>44773</v>
      </c>
      <c r="B14" s="255">
        <v>80486777.609999999</v>
      </c>
      <c r="C14" s="255">
        <v>110665110.77</v>
      </c>
      <c r="D14" s="255">
        <v>5827756.21</v>
      </c>
      <c r="E14" s="255">
        <v>6784660.5999999996</v>
      </c>
      <c r="F14" s="255">
        <v>21316591.539999999</v>
      </c>
      <c r="G14" s="255">
        <v>3010606.01</v>
      </c>
      <c r="H14" s="255">
        <v>6929094.5599999996</v>
      </c>
      <c r="I14" s="255">
        <v>3642389.54</v>
      </c>
      <c r="J14" s="255">
        <v>1873651.11</v>
      </c>
      <c r="K14" s="255">
        <v>958650.5</v>
      </c>
      <c r="L14" s="255">
        <v>335519.53000000003</v>
      </c>
      <c r="M14" s="255">
        <v>156341.54</v>
      </c>
      <c r="N14" s="255">
        <v>724606.89</v>
      </c>
      <c r="O14" s="255">
        <f t="shared" si="12"/>
        <v>242711756.40999997</v>
      </c>
      <c r="Q14" s="255">
        <f t="shared" si="14"/>
        <v>86120.852042700004</v>
      </c>
      <c r="R14" s="255">
        <f t="shared" si="15"/>
        <v>461104.62820833334</v>
      </c>
      <c r="S14" s="255">
        <f t="shared" si="16"/>
        <v>24282.317541666667</v>
      </c>
      <c r="T14" s="255">
        <f t="shared" si="17"/>
        <v>28269.41916666667</v>
      </c>
      <c r="U14" s="255">
        <f t="shared" si="18"/>
        <v>88819.131416666671</v>
      </c>
      <c r="V14" s="255">
        <f t="shared" si="19"/>
        <v>12544.191708333332</v>
      </c>
      <c r="W14" s="255">
        <f t="shared" si="20"/>
        <v>28871.227333333332</v>
      </c>
      <c r="X14" s="255">
        <f t="shared" si="21"/>
        <v>15176.623083333334</v>
      </c>
      <c r="Y14" s="255">
        <f t="shared" si="22"/>
        <v>7806.8796250000014</v>
      </c>
      <c r="Z14" s="255">
        <f t="shared" si="23"/>
        <v>3994.3770833333333</v>
      </c>
      <c r="AA14" s="255">
        <f t="shared" si="24"/>
        <v>3995.4784030833339</v>
      </c>
      <c r="AB14" s="255">
        <f t="shared" si="25"/>
        <v>1861.7671721666668</v>
      </c>
      <c r="AC14" s="255">
        <f t="shared" si="26"/>
        <v>10063.984583333333</v>
      </c>
      <c r="AD14" s="255">
        <f t="shared" si="11"/>
        <v>772910.87736794993</v>
      </c>
      <c r="AE14" s="286">
        <f>'Plant Additions'!E17-AD14</f>
        <v>0</v>
      </c>
      <c r="AG14" s="255">
        <f>'G361 Additions'!E21</f>
        <v>162939.47796337499</v>
      </c>
      <c r="AH14" s="255">
        <f>'G362 Additions'!E21</f>
        <v>224092.94428912498</v>
      </c>
      <c r="AI14" s="255">
        <f>'G363 Additions'!E21</f>
        <v>13403.646427999998</v>
      </c>
      <c r="AJ14" s="255">
        <f>'G3631 Additions'!E21</f>
        <v>17357.101606750002</v>
      </c>
      <c r="AK14" s="255">
        <f>'G3632 Additions'!E21</f>
        <v>49027.292751999994</v>
      </c>
      <c r="AL14" s="255">
        <f>'G3633 Additions'!E21</f>
        <v>7802.3785869583344</v>
      </c>
      <c r="AM14" s="255">
        <f>'G3635 Additions'!E21</f>
        <v>16162.990585</v>
      </c>
      <c r="AN14" s="255">
        <f>'G3643 Additions'!E21</f>
        <v>8497.6602899999998</v>
      </c>
      <c r="AO14" s="255">
        <f>+'G3645 Additions'!E21</f>
        <v>4370.6039533333333</v>
      </c>
      <c r="AP14" s="255">
        <f>'G3646 Additions'!E21</f>
        <v>2204.2325424999999</v>
      </c>
      <c r="AQ14" s="255">
        <f>'G3912 Additions'!E21</f>
        <v>5591.9921666666669</v>
      </c>
      <c r="AR14" s="255">
        <f>'G397 Additions'!E21</f>
        <v>868.95300937499997</v>
      </c>
      <c r="AS14" s="255">
        <f>'G303 Additions'!E21</f>
        <v>12045.781499999999</v>
      </c>
      <c r="AT14" s="255">
        <f t="shared" si="13"/>
        <v>524365.05567308341</v>
      </c>
      <c r="AU14" s="286">
        <f>'Plant Additions'!F17-AT14</f>
        <v>1.8500000005587935E-2</v>
      </c>
    </row>
    <row r="15" spans="1:47" x14ac:dyDescent="0.25">
      <c r="A15" s="84">
        <v>44804</v>
      </c>
      <c r="B15" s="255">
        <v>80550549.709999993</v>
      </c>
      <c r="C15" s="255">
        <v>110665943.48999999</v>
      </c>
      <c r="D15" s="255">
        <v>5827792.4100000001</v>
      </c>
      <c r="E15" s="255">
        <v>6784714.9000000004</v>
      </c>
      <c r="F15" s="255">
        <v>21316754.449999999</v>
      </c>
      <c r="G15" s="255">
        <v>3010624.1</v>
      </c>
      <c r="H15" s="255">
        <v>6934958.0300000003</v>
      </c>
      <c r="I15" s="255">
        <v>3643859.93</v>
      </c>
      <c r="J15" s="255">
        <v>1875121.5</v>
      </c>
      <c r="K15" s="255">
        <v>959394.73</v>
      </c>
      <c r="L15" s="255">
        <v>335519.53000000003</v>
      </c>
      <c r="M15" s="255">
        <v>156341.54</v>
      </c>
      <c r="N15" s="255">
        <v>724606.89</v>
      </c>
      <c r="O15" s="255">
        <f t="shared" si="12"/>
        <v>242786181.20999995</v>
      </c>
      <c r="Q15" s="255">
        <f t="shared" si="14"/>
        <v>86189.088189699993</v>
      </c>
      <c r="R15" s="255">
        <f t="shared" si="15"/>
        <v>461108.09787499998</v>
      </c>
      <c r="S15" s="255">
        <f t="shared" si="16"/>
        <v>24282.468375</v>
      </c>
      <c r="T15" s="255">
        <f t="shared" si="17"/>
        <v>28269.64541666667</v>
      </c>
      <c r="U15" s="255">
        <f t="shared" si="18"/>
        <v>88819.810208333321</v>
      </c>
      <c r="V15" s="255">
        <f t="shared" si="19"/>
        <v>12544.267083333334</v>
      </c>
      <c r="W15" s="255">
        <f t="shared" si="20"/>
        <v>28895.658458333335</v>
      </c>
      <c r="X15" s="255">
        <f t="shared" si="21"/>
        <v>15182.749708333335</v>
      </c>
      <c r="Y15" s="255">
        <f t="shared" si="22"/>
        <v>7813.0062500000013</v>
      </c>
      <c r="Z15" s="255">
        <f t="shared" si="23"/>
        <v>3997.4780416666667</v>
      </c>
      <c r="AA15" s="255">
        <f t="shared" si="24"/>
        <v>3995.4784030833339</v>
      </c>
      <c r="AB15" s="255">
        <f t="shared" si="25"/>
        <v>1861.7671721666668</v>
      </c>
      <c r="AC15" s="255">
        <f t="shared" si="26"/>
        <v>10063.984583333333</v>
      </c>
      <c r="AD15" s="255">
        <f t="shared" si="11"/>
        <v>773023.4997649499</v>
      </c>
      <c r="AE15" s="286">
        <f>'Plant Additions'!E18-AD15</f>
        <v>0</v>
      </c>
      <c r="AG15" s="255">
        <f>'G361 Additions'!E22</f>
        <v>163050.29391149996</v>
      </c>
      <c r="AH15" s="255">
        <f>'G362 Additions'!E22</f>
        <v>224097.69243824997</v>
      </c>
      <c r="AI15" s="255">
        <f>'G363 Additions'!E22</f>
        <v>13403.880912999999</v>
      </c>
      <c r="AJ15" s="255">
        <f>'G3631 Additions'!E22</f>
        <v>17357.492827083333</v>
      </c>
      <c r="AK15" s="255">
        <f>'G3632 Additions'!E22</f>
        <v>49028.3478885</v>
      </c>
      <c r="AL15" s="255">
        <f>'G3633 Additions'!E22</f>
        <v>7802.5106842083342</v>
      </c>
      <c r="AM15" s="255">
        <f>'G3635 Additions'!E22</f>
        <v>16174.728021666666</v>
      </c>
      <c r="AN15" s="255">
        <f>'G3643 Additions'!E22</f>
        <v>8500.6243816666665</v>
      </c>
      <c r="AO15" s="255">
        <f>+'G3645 Additions'!E22</f>
        <v>4373.568045</v>
      </c>
      <c r="AP15" s="255">
        <f>'G3646 Additions'!E22</f>
        <v>2205.7520144999999</v>
      </c>
      <c r="AQ15" s="255">
        <f>'G3912 Additions'!E22</f>
        <v>5591.9921666666669</v>
      </c>
      <c r="AR15" s="255">
        <f>'G397 Additions'!E22</f>
        <v>868.99839316666669</v>
      </c>
      <c r="AS15" s="255">
        <f>'G303 Additions'!E22</f>
        <v>12045.781499999999</v>
      </c>
      <c r="AT15" s="255">
        <f t="shared" si="13"/>
        <v>524501.66318520834</v>
      </c>
      <c r="AU15" s="286">
        <f>'Plant Additions'!F18-AT15</f>
        <v>2.8500000014901161E-2</v>
      </c>
    </row>
    <row r="16" spans="1:47" x14ac:dyDescent="0.25">
      <c r="A16" s="84">
        <v>44834</v>
      </c>
      <c r="B16" s="255">
        <v>80692954.670000002</v>
      </c>
      <c r="C16" s="255">
        <v>110666799.37</v>
      </c>
      <c r="D16" s="255">
        <v>5827829.6100000003</v>
      </c>
      <c r="E16" s="255">
        <v>6784770.7300000004</v>
      </c>
      <c r="F16" s="255">
        <v>21316921.920000002</v>
      </c>
      <c r="G16" s="255">
        <v>3010642.71</v>
      </c>
      <c r="H16" s="255">
        <v>6948052.0999999996</v>
      </c>
      <c r="I16" s="255">
        <v>3647138.1</v>
      </c>
      <c r="J16" s="255">
        <v>1878399.67</v>
      </c>
      <c r="K16" s="255">
        <v>961043.13</v>
      </c>
      <c r="L16" s="255">
        <v>335519.53000000003</v>
      </c>
      <c r="M16" s="255">
        <v>156341.54</v>
      </c>
      <c r="N16" s="255">
        <v>724606.89</v>
      </c>
      <c r="O16" s="255">
        <f t="shared" si="12"/>
        <v>242951019.96999997</v>
      </c>
      <c r="Q16" s="255">
        <f t="shared" si="14"/>
        <v>86341.46149690001</v>
      </c>
      <c r="R16" s="255">
        <f t="shared" si="15"/>
        <v>461111.66404166672</v>
      </c>
      <c r="S16" s="255">
        <f t="shared" si="16"/>
        <v>24282.623374999999</v>
      </c>
      <c r="T16" s="255">
        <f t="shared" si="17"/>
        <v>28269.87804166667</v>
      </c>
      <c r="U16" s="255">
        <f t="shared" si="18"/>
        <v>88820.508000000016</v>
      </c>
      <c r="V16" s="255">
        <f t="shared" si="19"/>
        <v>12544.344625</v>
      </c>
      <c r="W16" s="255">
        <f t="shared" si="20"/>
        <v>28950.217083333333</v>
      </c>
      <c r="X16" s="255">
        <f t="shared" si="21"/>
        <v>15196.408750000002</v>
      </c>
      <c r="Y16" s="255">
        <f t="shared" si="22"/>
        <v>7826.6652916666671</v>
      </c>
      <c r="Z16" s="255">
        <f t="shared" si="23"/>
        <v>4004.3463750000005</v>
      </c>
      <c r="AA16" s="255">
        <f t="shared" si="24"/>
        <v>3995.4784030833339</v>
      </c>
      <c r="AB16" s="255">
        <f t="shared" si="25"/>
        <v>1861.7671721666668</v>
      </c>
      <c r="AC16" s="255">
        <f t="shared" si="26"/>
        <v>10063.984583333333</v>
      </c>
      <c r="AD16" s="255">
        <f t="shared" si="11"/>
        <v>773269.34723881667</v>
      </c>
      <c r="AE16" s="286">
        <f>'Plant Additions'!E19-AD16</f>
        <v>0</v>
      </c>
      <c r="AG16" s="255">
        <f>'G361 Additions'!E23</f>
        <v>163259.04818474999</v>
      </c>
      <c r="AH16" s="255">
        <f>'G362 Additions'!E23</f>
        <v>224099.40214575001</v>
      </c>
      <c r="AI16" s="255">
        <f>'G363 Additions'!E23</f>
        <v>13403.965323</v>
      </c>
      <c r="AJ16" s="255">
        <f>'G3631 Additions'!E23</f>
        <v>17357.633701708335</v>
      </c>
      <c r="AK16" s="255">
        <f>'G3632 Additions'!E23</f>
        <v>49028.727825499998</v>
      </c>
      <c r="AL16" s="255">
        <f>'G3633 Additions'!E23</f>
        <v>7802.5582412916674</v>
      </c>
      <c r="AM16" s="255">
        <f>'G3635 Additions'!E23</f>
        <v>16196.845151666666</v>
      </c>
      <c r="AN16" s="255">
        <f>'G3643 Additions'!E23</f>
        <v>8506.164368333335</v>
      </c>
      <c r="AO16" s="255">
        <f>+'G3645 Additions'!E23</f>
        <v>4379.1080316666666</v>
      </c>
      <c r="AP16" s="255">
        <f>'G3646 Additions'!E23</f>
        <v>2208.5035389999998</v>
      </c>
      <c r="AQ16" s="255">
        <f>'G3912 Additions'!E23</f>
        <v>5591.9921666666669</v>
      </c>
      <c r="AR16" s="255">
        <f>'G397 Additions'!E23</f>
        <v>868.99839316666669</v>
      </c>
      <c r="AS16" s="255">
        <f>'G303 Additions'!E23</f>
        <v>12045.781499999999</v>
      </c>
      <c r="AT16" s="255">
        <f t="shared" si="13"/>
        <v>524748.72857250005</v>
      </c>
      <c r="AU16" s="286">
        <f>'Plant Additions'!F19-AT16</f>
        <v>1.8500000005587935E-2</v>
      </c>
    </row>
    <row r="17" spans="1:47" x14ac:dyDescent="0.25">
      <c r="A17" s="84">
        <v>44865</v>
      </c>
      <c r="B17" s="255">
        <v>80724171.010000005</v>
      </c>
      <c r="C17" s="255">
        <v>110679639.3</v>
      </c>
      <c r="D17" s="255">
        <v>5828387.8799999999</v>
      </c>
      <c r="E17" s="255">
        <v>6785608.1200000001</v>
      </c>
      <c r="F17" s="255">
        <v>21319434.09</v>
      </c>
      <c r="G17" s="255">
        <v>3010921.85</v>
      </c>
      <c r="H17" s="255">
        <v>6950912.9400000004</v>
      </c>
      <c r="I17" s="255">
        <v>3647923.09</v>
      </c>
      <c r="J17" s="255">
        <v>1879184.66</v>
      </c>
      <c r="K17" s="255">
        <v>961575.21</v>
      </c>
      <c r="L17" s="255">
        <v>335519.53000000003</v>
      </c>
      <c r="M17" s="255">
        <v>156341.54</v>
      </c>
      <c r="N17" s="255">
        <v>724606.89</v>
      </c>
      <c r="O17" s="255">
        <f t="shared" si="12"/>
        <v>243004226.10999998</v>
      </c>
      <c r="Q17" s="255">
        <f t="shared" si="14"/>
        <v>86374.862980700011</v>
      </c>
      <c r="R17" s="255">
        <f t="shared" si="15"/>
        <v>461165.16375000001</v>
      </c>
      <c r="S17" s="255">
        <f t="shared" si="16"/>
        <v>24284.949500000002</v>
      </c>
      <c r="T17" s="255">
        <f t="shared" si="17"/>
        <v>28273.367166666667</v>
      </c>
      <c r="U17" s="255">
        <f t="shared" si="18"/>
        <v>88830.975374999995</v>
      </c>
      <c r="V17" s="255">
        <f t="shared" si="19"/>
        <v>12545.507708333333</v>
      </c>
      <c r="W17" s="255">
        <f t="shared" si="20"/>
        <v>28962.137250000003</v>
      </c>
      <c r="X17" s="255">
        <f t="shared" si="21"/>
        <v>15199.679541666666</v>
      </c>
      <c r="Y17" s="255">
        <f t="shared" si="22"/>
        <v>7829.936083333334</v>
      </c>
      <c r="Z17" s="255">
        <f t="shared" si="23"/>
        <v>4006.5633750000002</v>
      </c>
      <c r="AA17" s="255">
        <f t="shared" si="24"/>
        <v>3995.4784030833339</v>
      </c>
      <c r="AB17" s="255">
        <f t="shared" si="25"/>
        <v>1861.7671721666668</v>
      </c>
      <c r="AC17" s="255">
        <f t="shared" si="26"/>
        <v>10063.984583333333</v>
      </c>
      <c r="AD17" s="255">
        <f t="shared" si="11"/>
        <v>773394.37288928335</v>
      </c>
      <c r="AE17" s="286">
        <f>'Plant Additions'!E20-AD17</f>
        <v>0</v>
      </c>
      <c r="AG17" s="255">
        <f>'G361 Additions'!E24</f>
        <v>163434.83975099999</v>
      </c>
      <c r="AH17" s="255">
        <f>'G362 Additions'!E24</f>
        <v>224113.26915337497</v>
      </c>
      <c r="AI17" s="255">
        <f>'G363 Additions'!E24</f>
        <v>13404.6501135</v>
      </c>
      <c r="AJ17" s="255">
        <f>'G3631 Additions'!E24</f>
        <v>17358.776278958336</v>
      </c>
      <c r="AK17" s="255">
        <f>'G3632 Additions'!E24</f>
        <v>49031.809411500006</v>
      </c>
      <c r="AL17" s="255">
        <f>'G3633 Additions'!E24</f>
        <v>7802.9440756666681</v>
      </c>
      <c r="AM17" s="255">
        <f>'G3635 Additions'!E24</f>
        <v>16215.459213333334</v>
      </c>
      <c r="AN17" s="255">
        <f>'G3643 Additions'!E24</f>
        <v>8510.9047216666659</v>
      </c>
      <c r="AO17" s="255">
        <f>+'G3645 Additions'!E24</f>
        <v>4383.8483849999993</v>
      </c>
      <c r="AP17" s="255">
        <f>'G3646 Additions'!E24</f>
        <v>2211.0110909999999</v>
      </c>
      <c r="AQ17" s="255">
        <f>'G3912 Additions'!E24</f>
        <v>5591.9921666666669</v>
      </c>
      <c r="AR17" s="255">
        <f>'G397 Additions'!E24</f>
        <v>868.99839316666669</v>
      </c>
      <c r="AS17" s="255">
        <f>'G303 Additions'!E24</f>
        <v>12045.781499999999</v>
      </c>
      <c r="AT17" s="255">
        <f t="shared" si="13"/>
        <v>524974.28425483336</v>
      </c>
      <c r="AU17" s="286">
        <f>'Plant Additions'!F20-AT17</f>
        <v>1.8500000005587935E-2</v>
      </c>
    </row>
    <row r="18" spans="1:47" x14ac:dyDescent="0.25">
      <c r="A18" s="84">
        <v>44895</v>
      </c>
      <c r="B18" s="255">
        <v>80755617.349999994</v>
      </c>
      <c r="C18" s="255">
        <v>110704355.69</v>
      </c>
      <c r="D18" s="255">
        <v>5829462.5099999998</v>
      </c>
      <c r="E18" s="255">
        <v>6787220.0499999998</v>
      </c>
      <c r="F18" s="255">
        <v>21324269.899999999</v>
      </c>
      <c r="G18" s="255">
        <v>3011459.16</v>
      </c>
      <c r="H18" s="255">
        <v>6953786.0199999996</v>
      </c>
      <c r="I18" s="255">
        <v>3648775.69</v>
      </c>
      <c r="J18" s="255">
        <v>1880037.26</v>
      </c>
      <c r="K18" s="255">
        <v>962270.17</v>
      </c>
      <c r="L18" s="255">
        <v>335519.53000000003</v>
      </c>
      <c r="M18" s="255">
        <v>156341.54</v>
      </c>
      <c r="N18" s="255">
        <v>724606.89</v>
      </c>
      <c r="O18" s="255">
        <f t="shared" si="12"/>
        <v>243073721.75999996</v>
      </c>
      <c r="Q18" s="255">
        <f t="shared" si="14"/>
        <v>86408.5105645</v>
      </c>
      <c r="R18" s="255">
        <f>((C$7*$D$50/12)+((C18-C$7)*$C$50/12))</f>
        <v>461268.14870833332</v>
      </c>
      <c r="S18" s="255">
        <f>(($B$7*$D$51/12)+((D18-$B$7)*$C$51/12))</f>
        <v>24289.427125000002</v>
      </c>
      <c r="T18" s="255">
        <f t="shared" si="17"/>
        <v>28280.083541666667</v>
      </c>
      <c r="U18" s="255">
        <f t="shared" si="18"/>
        <v>88851.124583333323</v>
      </c>
      <c r="V18" s="255">
        <f t="shared" si="19"/>
        <v>12547.746500000001</v>
      </c>
      <c r="W18" s="255">
        <f t="shared" si="20"/>
        <v>28974.108416666666</v>
      </c>
      <c r="X18" s="255">
        <f t="shared" si="21"/>
        <v>15203.232041666668</v>
      </c>
      <c r="Y18" s="255">
        <f t="shared" si="22"/>
        <v>7833.4885833333346</v>
      </c>
      <c r="Z18" s="255">
        <f t="shared" si="23"/>
        <v>4009.459041666667</v>
      </c>
      <c r="AA18" s="255">
        <f t="shared" si="24"/>
        <v>3995.4784030833339</v>
      </c>
      <c r="AB18" s="255">
        <f t="shared" si="25"/>
        <v>1861.7671721666668</v>
      </c>
      <c r="AC18" s="255">
        <f t="shared" si="26"/>
        <v>10063.984583333333</v>
      </c>
      <c r="AD18" s="255">
        <f t="shared" si="11"/>
        <v>773586.55926474987</v>
      </c>
      <c r="AE18" s="286">
        <f>'Plant Additions'!E21-AD18</f>
        <v>0</v>
      </c>
      <c r="AG18" s="255">
        <f>'G361 Additions'!E25</f>
        <v>163498.2857145</v>
      </c>
      <c r="AH18" s="255">
        <f>'G362 Additions'!E25</f>
        <v>224151.29492737498</v>
      </c>
      <c r="AI18" s="255">
        <f>'G363 Additions'!E25</f>
        <v>13406.527948499999</v>
      </c>
      <c r="AJ18" s="255">
        <f>'G3631 Additions'!E25</f>
        <v>17361.909367458335</v>
      </c>
      <c r="AK18" s="255">
        <f>'G3632 Additions'!E25</f>
        <v>49040.259588499997</v>
      </c>
      <c r="AL18" s="255">
        <f>'G3633 Additions'!E25</f>
        <v>7804.0020587916679</v>
      </c>
      <c r="AM18" s="255">
        <f>'G3635 Additions'!E25</f>
        <v>16222.148786666668</v>
      </c>
      <c r="AN18" s="255">
        <f>'G3643 Additions'!E25</f>
        <v>8512.8152433333325</v>
      </c>
      <c r="AO18" s="255">
        <f>+'G3645 Additions'!E25</f>
        <v>4385.7589066666669</v>
      </c>
      <c r="AP18" s="255">
        <f>'G3646 Additions'!E25</f>
        <v>2212.4221869999997</v>
      </c>
      <c r="AQ18" s="255">
        <f>'G3912 Additions'!E25</f>
        <v>5591.9921666666669</v>
      </c>
      <c r="AR18" s="255">
        <f>'G397 Additions'!E25</f>
        <v>868.99839316666669</v>
      </c>
      <c r="AS18" s="255">
        <f>'G303 Additions'!E25</f>
        <v>12045.781499999999</v>
      </c>
      <c r="AT18" s="255">
        <f t="shared" si="13"/>
        <v>525102.19678862509</v>
      </c>
      <c r="AU18" s="286">
        <f>'Plant Additions'!F21-AT18</f>
        <v>1.8500000005587935E-2</v>
      </c>
    </row>
    <row r="19" spans="1:47" x14ac:dyDescent="0.25">
      <c r="A19" s="281">
        <v>44926</v>
      </c>
      <c r="B19" s="255">
        <v>80821249.890000001</v>
      </c>
      <c r="C19" s="255">
        <v>110724940.01000001</v>
      </c>
      <c r="D19" s="255">
        <v>5830357.4800000004</v>
      </c>
      <c r="E19" s="255">
        <v>6788562.5099999998</v>
      </c>
      <c r="F19" s="255">
        <v>21328297.27</v>
      </c>
      <c r="G19" s="255">
        <v>3011906.65</v>
      </c>
      <c r="H19" s="255">
        <v>6959805.7599999998</v>
      </c>
      <c r="I19" s="255">
        <v>3650392.49</v>
      </c>
      <c r="J19" s="255">
        <v>1881654.06</v>
      </c>
      <c r="K19" s="255">
        <v>963302.32</v>
      </c>
      <c r="L19" s="255">
        <v>335519.53000000003</v>
      </c>
      <c r="M19" s="255">
        <v>156341.54</v>
      </c>
      <c r="N19" s="255">
        <v>724606.89</v>
      </c>
      <c r="O19" s="255">
        <f t="shared" si="12"/>
        <v>243176936.39999998</v>
      </c>
      <c r="Q19" s="255">
        <f>((B$7*$D$49/12)+((B19-$B$7)*$C$49/12))</f>
        <v>86478.737382300009</v>
      </c>
      <c r="R19" s="255">
        <f>((C$7*$D$50/12)+((C19-C$7)*$C$50/12))</f>
        <v>461353.91670833342</v>
      </c>
      <c r="S19" s="255">
        <f>(($B$7*$D$51/12)+((D19-$B$7)*$C$51/12))</f>
        <v>24293.156166666668</v>
      </c>
      <c r="T19" s="255">
        <f>((E$7*$D$52/12)+((E19-E$7)*$C$52/12))</f>
        <v>28285.677125000002</v>
      </c>
      <c r="U19" s="255">
        <f>((F$7*$D$53/12)+((F19-F$7)*$C$53/12))</f>
        <v>88867.90529166667</v>
      </c>
      <c r="V19" s="255">
        <f>((G$7*$D$54/12)+((G19-G$7)*$C$54/12))</f>
        <v>12549.611041666665</v>
      </c>
      <c r="W19" s="255">
        <f>((H$7*$D$55/12)+((H19-H$7)*$C$55/12))</f>
        <v>28999.190666666665</v>
      </c>
      <c r="X19" s="255">
        <f>((I$7*$D$56/12)+((I19-I$7)*$C$56/12))</f>
        <v>15209.968708333336</v>
      </c>
      <c r="Y19" s="255">
        <f>((J$7*$D$57/12)+((J19-J$7)*$C$57/12))</f>
        <v>7840.2252500000004</v>
      </c>
      <c r="Z19" s="255">
        <f>((K$7*$D$58/12)+((K19-K$7)*$C$58/12))</f>
        <v>4013.7596666666668</v>
      </c>
      <c r="AA19" s="255">
        <f>((L$7*$D$59/12)+((L19-L$7)*$C$59/12))</f>
        <v>3995.4784030833339</v>
      </c>
      <c r="AB19" s="255">
        <f>((M$7*$D$60/12)+((M19-M$7)*$C$60/12))</f>
        <v>1861.7671721666668</v>
      </c>
      <c r="AC19" s="255">
        <f>((N$7*$D$61/12)+((N19-N$7)*$C$61/12))</f>
        <v>10063.984583333333</v>
      </c>
      <c r="AD19" s="255">
        <f t="shared" si="11"/>
        <v>773813.37816588336</v>
      </c>
      <c r="AE19" s="286">
        <f>'Plant Additions'!E22-AD19</f>
        <v>0</v>
      </c>
      <c r="AG19" s="255">
        <f>'G361 Additions'!E26</f>
        <v>163596.57808049998</v>
      </c>
      <c r="AH19" s="255">
        <f>'G362 Additions'!E26</f>
        <v>224197.16189624998</v>
      </c>
      <c r="AI19" s="255">
        <f>'G363 Additions'!E26</f>
        <v>13408.792988499999</v>
      </c>
      <c r="AJ19" s="255">
        <f>'G3631 Additions'!E26</f>
        <v>17365.688524666668</v>
      </c>
      <c r="AK19" s="255">
        <f>'G3632 Additions'!E26</f>
        <v>49050.45224549999</v>
      </c>
      <c r="AL19" s="255">
        <f>'G3633 Additions'!E26</f>
        <v>7805.2781954583334</v>
      </c>
      <c r="AM19" s="255">
        <f>'G3635 Additions'!E26</f>
        <v>16232.523743333333</v>
      </c>
      <c r="AN19" s="255">
        <f>'G3643 Additions'!E26</f>
        <v>8515.6962100000001</v>
      </c>
      <c r="AO19" s="255">
        <f>+'G3645 Additions'!E26</f>
        <v>4388.6398733333326</v>
      </c>
      <c r="AP19" s="255">
        <f>'G3646 Additions'!E26</f>
        <v>2214.4083634999997</v>
      </c>
      <c r="AQ19" s="255">
        <f>'G3912 Additions'!E26</f>
        <v>5591.9921666666669</v>
      </c>
      <c r="AR19" s="255">
        <f>'G397 Additions'!E26</f>
        <v>868.99839316666669</v>
      </c>
      <c r="AS19" s="255">
        <f>'G303 Additions'!E26</f>
        <v>12045.781499999999</v>
      </c>
      <c r="AT19" s="255">
        <f t="shared" si="13"/>
        <v>525281.99218087504</v>
      </c>
      <c r="AU19" s="286">
        <f>'Plant Additions'!F22-AT19</f>
        <v>1.8500000005587935E-2</v>
      </c>
    </row>
    <row r="20" spans="1:47" x14ac:dyDescent="0.25">
      <c r="A20" s="84">
        <v>44957</v>
      </c>
      <c r="B20" s="255">
        <v>80810529.189999998</v>
      </c>
      <c r="C20" s="255">
        <v>110724940.01000001</v>
      </c>
      <c r="D20" s="255">
        <v>5830357.4800000004</v>
      </c>
      <c r="E20" s="255">
        <v>6788562.5099999998</v>
      </c>
      <c r="F20" s="255">
        <v>21328297.27</v>
      </c>
      <c r="G20" s="255">
        <v>3011906.65</v>
      </c>
      <c r="H20" s="255">
        <v>6958819.9500000002</v>
      </c>
      <c r="I20" s="255">
        <v>3650146.04</v>
      </c>
      <c r="J20" s="255">
        <v>1881407.61</v>
      </c>
      <c r="K20" s="255">
        <v>963179.1</v>
      </c>
      <c r="L20" s="255">
        <v>335519.53000000003</v>
      </c>
      <c r="M20" s="255">
        <v>156341.54</v>
      </c>
      <c r="N20" s="255">
        <v>724606.89</v>
      </c>
      <c r="O20" s="255">
        <f t="shared" si="12"/>
        <v>243164613.76999995</v>
      </c>
      <c r="Q20" s="255">
        <f>(($B$7*$E$49/12)+(($B$19-$B$7)*$D$49/12)+((B20-$B$19)*$C$49/12))</f>
        <v>172676.5994493</v>
      </c>
      <c r="R20" s="255">
        <f>((C$7*$E$50/12)+((C$19-C$7)*$D$50/12)+((C20-C$19)*$C$50/12))</f>
        <v>876572.44174583338</v>
      </c>
      <c r="S20" s="255">
        <f>((D$7*$E$51/12)+((D$19-D$7)*$D$51/12)+((D20-D$19)*$C$51/12))</f>
        <v>46156.996716666668</v>
      </c>
      <c r="T20" s="255">
        <f>((E$7*$E$52/12)+((E$19-E$7)*$D$52/12)+((E20-E$19)*$C$52/12))</f>
        <v>53742.786537500004</v>
      </c>
      <c r="U20" s="255">
        <f>(($E$7*$F$53/12)+(($F$19-$F$7)*$D$53/12)+(($F$31-$F$19)*$C$53/12))</f>
        <v>168849.04180416666</v>
      </c>
      <c r="V20" s="255">
        <f>(($G$7*$E$54/12)+(($G$19-$G$7)*$D$54/12)+(($G$31-$G$19)/12)*$C$54/12)</f>
        <v>23844.261180555553</v>
      </c>
      <c r="W20" s="255">
        <f>((H$7*$E$55/12)+((H$19-H$7)*$D$55/12)+((H20-H$19)*$C$55/12))</f>
        <v>55094.354725000005</v>
      </c>
      <c r="X20" s="255">
        <f>((I$7*$E$56/12)+((I$19-I$7)*$D$56/12)+((I20-I$19)*$C$56/12))</f>
        <v>28897.913670833335</v>
      </c>
      <c r="Y20" s="255">
        <f>((J$7*$E$57/12)+((J$19-J$7)*$D$57/12)+((J20-J$19)*$C$57/12))</f>
        <v>14895.401100000001</v>
      </c>
      <c r="Z20" s="255">
        <f>((K$7*$E$58/12)+((K$19-K$7)*$D$58/12)+((K20-K$19)*$C$58/12))</f>
        <v>7625.6299499999996</v>
      </c>
      <c r="AA20" s="255">
        <f>((L$7*$E$59/12)+((L$19-L$7)*$D$59/12)+((L20-L$19)*$C$59/12))</f>
        <v>6847.3944080833344</v>
      </c>
      <c r="AB20" s="255">
        <f>((M$7*$E$60/12)+((M$19-M$7)*$D$60/12)+((M20-M$19)*$C$60/12))</f>
        <v>3190.6702621666668</v>
      </c>
      <c r="AC20" s="255">
        <f>((N$7*$E$61/12)+((N$19-N$7)*$D$61/12)+((N20-N$19)*$C$61/12))</f>
        <v>20127.969166666666</v>
      </c>
      <c r="AD20" s="255">
        <f t="shared" si="11"/>
        <v>1478521.4607167724</v>
      </c>
      <c r="AE20" s="286">
        <f>'Plant Additions'!E23-AD20</f>
        <v>0</v>
      </c>
      <c r="AG20" s="255">
        <f>'G361 Additions'!E27</f>
        <v>163652.17631849999</v>
      </c>
      <c r="AH20" s="255">
        <f>'G362 Additions'!E27</f>
        <v>224218.00352025</v>
      </c>
      <c r="AI20" s="255">
        <f>'G363 Additions'!E27</f>
        <v>13409.822204000002</v>
      </c>
      <c r="AJ20" s="255">
        <f>'G3631 Additions'!E27</f>
        <v>17367.405754750002</v>
      </c>
      <c r="AK20" s="255">
        <f>'G3632 Additions'!E27</f>
        <v>49055.083721000003</v>
      </c>
      <c r="AL20" s="255">
        <f>'G3633 Additions'!E27</f>
        <v>7805.8580679166671</v>
      </c>
      <c r="AM20" s="255">
        <f>'G3635 Additions'!E27</f>
        <v>16238.396661666668</v>
      </c>
      <c r="AN20" s="255">
        <f>'G3643 Additions'!E27</f>
        <v>8517.2949516666686</v>
      </c>
      <c r="AO20" s="255">
        <f>+'G3645 Additions'!E27</f>
        <v>4390.2386150000002</v>
      </c>
      <c r="AP20" s="255">
        <f>'G3646 Additions'!E27</f>
        <v>2215.4536330000001</v>
      </c>
      <c r="AQ20" s="255">
        <f>'G3912 Additions'!E27</f>
        <v>5591.9921666666669</v>
      </c>
      <c r="AR20" s="255">
        <f>'G397 Additions'!E27</f>
        <v>868.99839316666669</v>
      </c>
      <c r="AS20" s="255">
        <f>'G303 Additions'!E27</f>
        <v>12045.781499999999</v>
      </c>
      <c r="AT20" s="255">
        <f t="shared" si="13"/>
        <v>525376.50550758338</v>
      </c>
      <c r="AU20" s="286">
        <f>'Plant Additions'!F23-AT20</f>
        <v>1.8500000005587935E-2</v>
      </c>
    </row>
    <row r="21" spans="1:47" x14ac:dyDescent="0.25">
      <c r="A21" s="84">
        <v>44985</v>
      </c>
      <c r="B21" s="255">
        <v>80832200.620000005</v>
      </c>
      <c r="C21" s="255">
        <v>110724966.70999999</v>
      </c>
      <c r="D21" s="255">
        <v>5830358.6399999997</v>
      </c>
      <c r="E21" s="255">
        <v>6788564.25</v>
      </c>
      <c r="F21" s="255">
        <v>21328302.489999998</v>
      </c>
      <c r="G21" s="255">
        <v>3011907.23</v>
      </c>
      <c r="H21" s="255">
        <v>6960812.6900000004</v>
      </c>
      <c r="I21" s="255">
        <v>3650644.38</v>
      </c>
      <c r="J21" s="255">
        <v>1881905.95</v>
      </c>
      <c r="K21" s="255">
        <v>963428.56</v>
      </c>
      <c r="L21" s="255">
        <v>335519.53000000003</v>
      </c>
      <c r="M21" s="255">
        <v>156341.54</v>
      </c>
      <c r="N21" s="255">
        <v>724606.89</v>
      </c>
      <c r="O21" s="255">
        <f t="shared" si="12"/>
        <v>243189559.47999993</v>
      </c>
      <c r="Q21" s="255">
        <f>((B$7*$E$49/12)+((B$19-B$7)*$D$49/12)+((B21-B$19)*$C$49/12))</f>
        <v>172699.78787939998</v>
      </c>
      <c r="R21" s="255">
        <f>((C$7*$E$50/12)+((C$19-C$7)*$D$50/12)+((C21-C$19)*$C$50/12))</f>
        <v>876572.55299583334</v>
      </c>
      <c r="S21" s="255">
        <f>((D$7*$E$51/12)+((D$19-D$7)*$D$51/12)+((D21-D$19)*$C$51/12))</f>
        <v>46157.001550000001</v>
      </c>
      <c r="T21" s="255">
        <f>((E$7*$E$52/12)+((E$19-E$7)*$D$52/12)+((E21-E$19)*$C$52/12))</f>
        <v>53742.793787500006</v>
      </c>
      <c r="U21" s="255">
        <f>(($E$7*$F$53/12)+(($F$19-$F$7)*$D$53/12)+(($F$31-$F$19)*$C$53/12))</f>
        <v>168849.04180416666</v>
      </c>
      <c r="V21" s="255">
        <f>(($G$7*$E$54/12)+(($G$19-$G$7)*$D$54/12)+(($G$31-$G$19)/12)*$C$54/12)</f>
        <v>23844.261180555553</v>
      </c>
      <c r="W21" s="255">
        <f>((H$7*$E$55/12)+((H$19-H$7)*$D$55/12)+((H21-H$19)*$C$55/12))</f>
        <v>55102.657808333337</v>
      </c>
      <c r="X21" s="255">
        <f>((I$7*$E$56/12)+((I$19-I$7)*$D$56/12)+((I21-I$19)*$C$56/12))</f>
        <v>28899.990087499998</v>
      </c>
      <c r="Y21" s="255">
        <f>((J$7*$E$57/12)+((J$19-J$7)*$D$57/12)+((J21-J$19)*$C$57/12))</f>
        <v>14897.477516666666</v>
      </c>
      <c r="Z21" s="255">
        <f>((K$7*$E$58/12)+((K$19-K$7)*$D$58/12)+((K21-K$19)*$C$58/12))</f>
        <v>7626.669366666667</v>
      </c>
      <c r="AA21" s="255">
        <f>((L$7*$E$59/12)+((L$19-L$7)*$D$59/12)+((L21-L$19)*$C$59/12))</f>
        <v>6847.3944080833344</v>
      </c>
      <c r="AB21" s="255">
        <f>((M$7*$E$60/12)+((M$19-M$7)*$D$60/12)+((M21-M$19)*$C$60/12))</f>
        <v>3190.6702621666668</v>
      </c>
      <c r="AC21" s="255">
        <f>((N$7*$E$61/12)+((N$19-N$7)*$D$61/12)+((N21-N$19)*$C$61/12))</f>
        <v>20127.969166666666</v>
      </c>
      <c r="AD21" s="255">
        <f t="shared" si="11"/>
        <v>1478558.2678135389</v>
      </c>
      <c r="AE21" s="286">
        <f>'Plant Additions'!E24-AD21</f>
        <v>0</v>
      </c>
      <c r="AG21" s="255">
        <f>'G361 Additions'!E28</f>
        <v>163663.26393262498</v>
      </c>
      <c r="AH21" s="255">
        <f>'G362 Additions'!E28</f>
        <v>224218.030554</v>
      </c>
      <c r="AI21" s="255">
        <f>'G363 Additions'!E28</f>
        <v>13409.823538000001</v>
      </c>
      <c r="AJ21" s="255">
        <f>'G3631 Additions'!E28</f>
        <v>17367.4079805</v>
      </c>
      <c r="AK21" s="255">
        <f>'G3632 Additions'!E28</f>
        <v>49055.089724000005</v>
      </c>
      <c r="AL21" s="255">
        <f>'G3633 Additions'!E28</f>
        <v>7805.8588195000002</v>
      </c>
      <c r="AM21" s="255">
        <f>'G3635 Additions'!E28</f>
        <v>16239.571413333335</v>
      </c>
      <c r="AN21" s="255">
        <f>'G3643 Additions'!E28</f>
        <v>8517.5888233333335</v>
      </c>
      <c r="AO21" s="255">
        <f>+'G3645 Additions'!E28</f>
        <v>4390.532486666667</v>
      </c>
      <c r="AP21" s="255">
        <f>'G3646 Additions'!E28</f>
        <v>2215.5988090000001</v>
      </c>
      <c r="AQ21" s="255">
        <f>'G3912 Additions'!E28</f>
        <v>5591.9921666666669</v>
      </c>
      <c r="AR21" s="255">
        <f>'G397 Additions'!E28</f>
        <v>868.99839316666669</v>
      </c>
      <c r="AS21" s="255">
        <f>'G303 Additions'!E28</f>
        <v>12045.781499999999</v>
      </c>
      <c r="AT21" s="255">
        <f t="shared" si="13"/>
        <v>525389.53814079182</v>
      </c>
      <c r="AU21" s="286">
        <f>'Plant Additions'!F24-AT21</f>
        <v>8.4999999962747097E-3</v>
      </c>
    </row>
    <row r="22" spans="1:47" x14ac:dyDescent="0.25">
      <c r="A22" s="84">
        <v>45016</v>
      </c>
      <c r="B22" s="255">
        <v>80840164.689999998</v>
      </c>
      <c r="C22" s="255">
        <v>110724966.70999999</v>
      </c>
      <c r="D22" s="255">
        <v>5830358.6399999997</v>
      </c>
      <c r="E22" s="255">
        <v>6788564.25</v>
      </c>
      <c r="F22" s="255">
        <v>21328302.489999998</v>
      </c>
      <c r="G22" s="255">
        <v>3011907.23</v>
      </c>
      <c r="H22" s="255">
        <v>6961545.0199999996</v>
      </c>
      <c r="I22" s="255">
        <v>3650827.45</v>
      </c>
      <c r="J22" s="255">
        <v>1882089.02</v>
      </c>
      <c r="K22" s="255">
        <v>963520.11</v>
      </c>
      <c r="L22" s="255">
        <v>335519.53000000003</v>
      </c>
      <c r="M22" s="255">
        <v>156341.54</v>
      </c>
      <c r="N22" s="255">
        <v>724606.89</v>
      </c>
      <c r="O22" s="255">
        <f t="shared" si="12"/>
        <v>243198713.56999996</v>
      </c>
      <c r="Q22" s="255">
        <f>(($B$7*$E$49/12)+(($B$19-$B$7)*$D$49/12)+((B22-$B$19)*$C$49/12))</f>
        <v>172708.3094343</v>
      </c>
      <c r="R22" s="255">
        <f>(($C$7*$E$50/12)+(($C$19-$C$7)*$D$50/12)+(($C$31-$C$19)*$C$50/12))</f>
        <v>876572.55299583334</v>
      </c>
      <c r="S22" s="255">
        <f>((D7*E51/12)+((D19-D7)*D51/12)+((D31-D19)*C51/12))</f>
        <v>46157.001550000001</v>
      </c>
      <c r="T22" s="255">
        <f>(($T$7*$E$52/12)+(($E$19-$E$7)*$D$52/12)+(($E$31-$E$19)*$C$52/12))</f>
        <v>53742.793787500006</v>
      </c>
      <c r="U22" s="255">
        <f>(($E$7*$F$53/12)+(($F$19-$F$7)*$D$53/12)+(($F$31-$F$19)*$C$53/12))</f>
        <v>168849.04180416666</v>
      </c>
      <c r="V22" s="255">
        <f>(($G$7*$E$54/12)+(($G$19-$G$7)*$D$54/12)+(($G$31-$G$19)/12)*$C$54/12)</f>
        <v>23844.261180555553</v>
      </c>
      <c r="W22" s="255">
        <f>(($H$7*$E$55/12)+(($H$19-$H$7)*$D$55/12)+(($H$31-$H$19)*$C$55/12))</f>
        <v>55105.709183333332</v>
      </c>
      <c r="X22" s="255">
        <f>($I$7*$E$56/12)+(($I$19-$I$7)*$D$56/12)+(($I$31-$I$19)*$C$56/12)</f>
        <v>28900.752879166666</v>
      </c>
      <c r="Y22" s="255">
        <f>(($J$7*$E$57/12)+(($J$19-$J$7)*$D$57/12)+(($J$31-$J$19)*$C$57/12))</f>
        <v>14898.240308333334</v>
      </c>
      <c r="Z22" s="255">
        <f>(($K$7*$E$58/12)+(($K$19-$K$7)*$D$58/12)+(($K$31-$K$19)*$C$58/12))</f>
        <v>7627.0508249999993</v>
      </c>
      <c r="AA22" s="255">
        <f>((7*$E$59/12)+(($L$19-$L$7)*$D$59/12)+(($L$31-$L$19)*$C$59/12))</f>
        <v>6847.4964330833345</v>
      </c>
      <c r="AB22" s="255">
        <f>(($M$7*$E$60/12)+(($M$19-$M$7)*$D$60/12)+(($M$31-$M$19)*$C$60/12))</f>
        <v>3190.6702621666668</v>
      </c>
      <c r="AC22" s="255">
        <f>(($N$7*$E$61/12)+(($N$19-$N$7)*$D$61/12)+(($N$31-$N$19)*$C$61/12))</f>
        <v>20127.969166666666</v>
      </c>
      <c r="AD22" s="255">
        <f t="shared" si="11"/>
        <v>1478571.8498101062</v>
      </c>
      <c r="AE22" s="286">
        <f>'Plant Additions'!E25-AD22</f>
        <v>0</v>
      </c>
      <c r="AG22" s="255">
        <f>'G361 Additions'!E29</f>
        <v>163693.26987637498</v>
      </c>
      <c r="AH22" s="255">
        <f>'G362 Additions'!E29</f>
        <v>224218.05758774999</v>
      </c>
      <c r="AI22" s="255">
        <f>'G363 Additions'!E29</f>
        <v>13409.824871999999</v>
      </c>
      <c r="AJ22" s="255">
        <f>'G3631 Additions'!E29</f>
        <v>17367.410206249999</v>
      </c>
      <c r="AK22" s="255">
        <f>'G3632 Additions'!E29</f>
        <v>49055.095727</v>
      </c>
      <c r="AL22" s="255">
        <f>'G3633 Additions'!E29</f>
        <v>7805.8595710833333</v>
      </c>
      <c r="AM22" s="255">
        <f>'G3635 Additions'!E29</f>
        <v>16242.750661666667</v>
      </c>
      <c r="AN22" s="255">
        <f>'G3643 Additions'!E29</f>
        <v>8518.3838016666668</v>
      </c>
      <c r="AO22" s="255">
        <f>+'G3645 Additions'!E29</f>
        <v>4391.3274650000003</v>
      </c>
      <c r="AP22" s="255">
        <f>'G3646 Additions'!E29</f>
        <v>2215.9909704999995</v>
      </c>
      <c r="AQ22" s="255">
        <f>'G3912 Additions'!E29</f>
        <v>5591.9921666666669</v>
      </c>
      <c r="AR22" s="255">
        <f>'G397 Additions'!E29</f>
        <v>868.99839316666669</v>
      </c>
      <c r="AS22" s="255">
        <f>'G303 Additions'!E29</f>
        <v>12045.781499999999</v>
      </c>
      <c r="AT22" s="255">
        <f t="shared" si="13"/>
        <v>525424.74279912503</v>
      </c>
      <c r="AU22" s="286">
        <f>'Plant Additions'!F25-AT22</f>
        <v>8.4999999962747097E-3</v>
      </c>
    </row>
    <row r="23" spans="1:47" x14ac:dyDescent="0.25">
      <c r="A23" s="84">
        <v>45046</v>
      </c>
      <c r="B23" s="255">
        <v>80840164.689999998</v>
      </c>
      <c r="C23" s="255">
        <v>110724966.70999999</v>
      </c>
      <c r="D23" s="255">
        <v>5830358.6399999997</v>
      </c>
      <c r="E23" s="255">
        <v>6788564.25</v>
      </c>
      <c r="F23" s="255">
        <v>21328302.489999998</v>
      </c>
      <c r="G23" s="255">
        <v>3011907.23</v>
      </c>
      <c r="H23" s="255">
        <v>6961545.0199999996</v>
      </c>
      <c r="I23" s="255">
        <v>3650827.45</v>
      </c>
      <c r="J23" s="255">
        <v>1882089.02</v>
      </c>
      <c r="K23" s="255">
        <v>963520.11</v>
      </c>
      <c r="L23" s="255">
        <v>335519.53000000003</v>
      </c>
      <c r="M23" s="255">
        <v>156341.54</v>
      </c>
      <c r="N23" s="255">
        <v>724606.89</v>
      </c>
      <c r="O23" s="255">
        <f t="shared" si="12"/>
        <v>243198713.56999996</v>
      </c>
      <c r="Q23" s="255">
        <f>(($B$7*$E$49/12)+(($B$19-$B$7)*$D$49/12)+(($B$31-$B$19)*$C$49/12))</f>
        <v>172708.3094343</v>
      </c>
      <c r="R23" s="255">
        <f>((C7*E50/12)+((C19-C7)*D50/12)+((C31-C19)*C50/12))</f>
        <v>876572.55299583334</v>
      </c>
      <c r="S23" s="255">
        <f>((D7*E51/12)+((D19-D7)*D51/12)+((D31-D19)*C51/12))</f>
        <v>46157.001550000001</v>
      </c>
      <c r="T23" s="255">
        <f t="shared" ref="T23:T31" si="27">(($T$7*$E$52/12)+(($E$19-$E$7)*$D$52/12)+(($E$31-$E$19)*$C$52/12))</f>
        <v>53742.793787500006</v>
      </c>
      <c r="U23" s="255">
        <f t="shared" ref="U23:U31" si="28">(($E$7*$F$53/12)+(($F$19-$F$7)*$D$53/12)+(($F$31-$F$19)*$C$53/12))</f>
        <v>168849.04180416666</v>
      </c>
      <c r="V23" s="255">
        <f t="shared" ref="V23:V31" si="29">(($G$7*$E$54/12)+(($G$19-$G$7)*$D$54/12)+(($G$31-$G$19)/12)*$C$54/12)</f>
        <v>23844.261180555553</v>
      </c>
      <c r="W23" s="255">
        <f t="shared" ref="W23:W31" si="30">(($H$7*$E$55/12)+(($H$19-$H$7)*$D$55/12)+(($H$31-$H$19)*$C$55/12))</f>
        <v>55105.709183333332</v>
      </c>
      <c r="X23" s="255">
        <f t="shared" ref="X23:X31" si="31">($I$7*$E$56/12)+(($I$19-$I$7)*$D$56/12)+(($I$31-$I$19)*$C$56/12)</f>
        <v>28900.752879166666</v>
      </c>
      <c r="Y23" s="255">
        <f t="shared" ref="Y23:Y31" si="32">(($J$7*$E$57/12)+(($J$19-$J$7)*$D$57/12)+(($J$31-$J$19)*$C$57/12))</f>
        <v>14898.240308333334</v>
      </c>
      <c r="Z23" s="255">
        <f t="shared" ref="Z23:Z31" si="33">(($K$7*$E$58/12)+(($K$19-$K$7)*$D$58/12)+(($K$31-$K$19)*$C$58/12))</f>
        <v>7627.0508249999993</v>
      </c>
      <c r="AA23" s="255">
        <f t="shared" ref="AA23:AA31" si="34">((7*$E$59/12)+(($L$19-$L$7)*$D$59/12)+(($L$31-$L$19)*$C$59/12))</f>
        <v>6847.4964330833345</v>
      </c>
      <c r="AB23" s="255">
        <f t="shared" ref="AB23:AB31" si="35">(($M$7*$E$60/12)+(($M$19-$M$7)*$D$60/12)+(($M$31-$M$19)*$C$60/12))</f>
        <v>3190.6702621666668</v>
      </c>
      <c r="AC23" s="255">
        <f t="shared" ref="AC23:AC31" si="36">(($N$7*$E$61/12)+(($N$19-$N$7)*$D$61/12)+(($N$31-$N$19)*$C$61/12))</f>
        <v>20127.969166666666</v>
      </c>
      <c r="AD23" s="255">
        <f t="shared" si="11"/>
        <v>1478571.8498101062</v>
      </c>
      <c r="AE23" s="286">
        <f>'Plant Additions'!E26-AD23</f>
        <v>0</v>
      </c>
      <c r="AG23" s="255">
        <f>'G361 Additions'!E30</f>
        <v>163701.33349724999</v>
      </c>
      <c r="AH23" s="255">
        <f>'G362 Additions'!E30</f>
        <v>224218.05758774999</v>
      </c>
      <c r="AI23" s="255">
        <f>'G363 Additions'!E30</f>
        <v>13409.824871999999</v>
      </c>
      <c r="AJ23" s="255">
        <f>'G3631 Additions'!E30</f>
        <v>17367.410206249999</v>
      </c>
      <c r="AK23" s="255">
        <f>'G3632 Additions'!E30</f>
        <v>49055.095727</v>
      </c>
      <c r="AL23" s="255">
        <f>'G3633 Additions'!E30</f>
        <v>7805.8595710833333</v>
      </c>
      <c r="AM23" s="255">
        <f>'G3635 Additions'!E30</f>
        <v>16243.605046666666</v>
      </c>
      <c r="AN23" s="255">
        <f>'G3643 Additions'!E30</f>
        <v>8518.5973833333337</v>
      </c>
      <c r="AO23" s="255">
        <f>+'G3645 Additions'!E30</f>
        <v>4391.5410466666663</v>
      </c>
      <c r="AP23" s="255">
        <f>'G3646 Additions'!E30</f>
        <v>2216.0962530000002</v>
      </c>
      <c r="AQ23" s="255">
        <f>'G3912 Additions'!E30</f>
        <v>5591.9921666666669</v>
      </c>
      <c r="AR23" s="255">
        <f>'G397 Additions'!E30</f>
        <v>868.99839316666669</v>
      </c>
      <c r="AS23" s="255">
        <f>'G303 Additions'!E30</f>
        <v>12076.781499999999</v>
      </c>
      <c r="AT23" s="255">
        <f t="shared" si="13"/>
        <v>525465.19325083343</v>
      </c>
      <c r="AU23" s="286">
        <f>'Plant Additions'!F26-AT23</f>
        <v>0</v>
      </c>
    </row>
    <row r="24" spans="1:47" x14ac:dyDescent="0.25">
      <c r="A24" s="84">
        <v>45077</v>
      </c>
      <c r="B24" s="255">
        <v>80840164.689999998</v>
      </c>
      <c r="C24" s="255">
        <v>110724966.70999999</v>
      </c>
      <c r="D24" s="255">
        <v>5830358.6399999997</v>
      </c>
      <c r="E24" s="255">
        <v>6788564.25</v>
      </c>
      <c r="F24" s="255">
        <v>21328302.489999998</v>
      </c>
      <c r="G24" s="255">
        <v>3011907.23</v>
      </c>
      <c r="H24" s="255">
        <v>6961545.0199999996</v>
      </c>
      <c r="I24" s="255">
        <v>3650827.45</v>
      </c>
      <c r="J24" s="255">
        <v>1882089.02</v>
      </c>
      <c r="K24" s="255">
        <v>963520.11</v>
      </c>
      <c r="L24" s="255">
        <v>335519.53000000003</v>
      </c>
      <c r="M24" s="255">
        <v>156341.54</v>
      </c>
      <c r="N24" s="255">
        <v>724606.89</v>
      </c>
      <c r="O24" s="255">
        <f t="shared" si="12"/>
        <v>243198713.56999996</v>
      </c>
      <c r="Q24" s="255">
        <f>((B7*E49/12)+((B19-B7)*D49/12+((B31-B19)*C49/12)))</f>
        <v>172708.3094343</v>
      </c>
      <c r="R24" s="255">
        <f>((C7*E50/12)+((C19-C7)*D50/12)+((C31-C19)*C50/12))</f>
        <v>876572.55299583334</v>
      </c>
      <c r="S24" s="255">
        <f>((D7*E51/12)+((D19-D7)*D51/12)+((D31-D19)*C51/12))</f>
        <v>46157.001550000001</v>
      </c>
      <c r="T24" s="255">
        <f t="shared" si="27"/>
        <v>53742.793787500006</v>
      </c>
      <c r="U24" s="255">
        <f t="shared" si="28"/>
        <v>168849.04180416666</v>
      </c>
      <c r="V24" s="255">
        <f t="shared" si="29"/>
        <v>23844.261180555553</v>
      </c>
      <c r="W24" s="255">
        <f t="shared" si="30"/>
        <v>55105.709183333332</v>
      </c>
      <c r="X24" s="255">
        <f t="shared" si="31"/>
        <v>28900.752879166666</v>
      </c>
      <c r="Y24" s="255">
        <f t="shared" si="32"/>
        <v>14898.240308333334</v>
      </c>
      <c r="Z24" s="255">
        <f t="shared" si="33"/>
        <v>7627.0508249999993</v>
      </c>
      <c r="AA24" s="255">
        <f t="shared" si="34"/>
        <v>6847.4964330833345</v>
      </c>
      <c r="AB24" s="255">
        <f t="shared" si="35"/>
        <v>3190.6702621666668</v>
      </c>
      <c r="AC24" s="255">
        <f t="shared" si="36"/>
        <v>20127.969166666666</v>
      </c>
      <c r="AD24" s="255">
        <f t="shared" si="11"/>
        <v>1478571.8498101062</v>
      </c>
      <c r="AE24" s="286">
        <f>'Plant Additions'!E27-AD24</f>
        <v>0</v>
      </c>
      <c r="AG24" s="255">
        <f>'G361 Additions'!E31</f>
        <v>163701.33349724999</v>
      </c>
      <c r="AH24" s="255">
        <f>'G362 Additions'!E31</f>
        <v>224218.05758774999</v>
      </c>
      <c r="AI24" s="255">
        <f>'G363 Additions'!E31</f>
        <v>13409.824871999999</v>
      </c>
      <c r="AJ24" s="255">
        <f>'G3631 Additions'!E31</f>
        <v>17367.410206249999</v>
      </c>
      <c r="AK24" s="255">
        <f>'G3632 Additions'!E31</f>
        <v>49055.095727</v>
      </c>
      <c r="AL24" s="255">
        <f>'G3633 Additions'!E31</f>
        <v>7805.8595710833333</v>
      </c>
      <c r="AM24" s="255">
        <f>'G3635 Additions'!E31</f>
        <v>16243.605046666666</v>
      </c>
      <c r="AN24" s="255">
        <f>'G3643 Additions'!E31</f>
        <v>8518.5973833333337</v>
      </c>
      <c r="AO24" s="255">
        <f>+'G3645 Additions'!E31</f>
        <v>4391.5410466666663</v>
      </c>
      <c r="AP24" s="255">
        <f>'G3646 Additions'!E31</f>
        <v>2216.0962530000002</v>
      </c>
      <c r="AQ24" s="255">
        <f>'G3912 Additions'!E31</f>
        <v>5591.9921666666669</v>
      </c>
      <c r="AR24" s="255">
        <f>'G397 Additions'!E31</f>
        <v>868.99839316666669</v>
      </c>
      <c r="AS24" s="255">
        <f>'G303 Additions'!E31</f>
        <v>12076.781499999999</v>
      </c>
      <c r="AT24" s="255">
        <f t="shared" si="13"/>
        <v>525465.19325083343</v>
      </c>
      <c r="AU24" s="286">
        <f>'Plant Additions'!F27-AT24</f>
        <v>0</v>
      </c>
    </row>
    <row r="25" spans="1:47" x14ac:dyDescent="0.25">
      <c r="A25" s="84">
        <v>45107</v>
      </c>
      <c r="B25" s="255">
        <v>80840164.689999998</v>
      </c>
      <c r="C25" s="255">
        <v>110724966.70999999</v>
      </c>
      <c r="D25" s="255">
        <v>5830358.6399999997</v>
      </c>
      <c r="E25" s="255">
        <v>6788564.25</v>
      </c>
      <c r="F25" s="255">
        <v>21328302.489999998</v>
      </c>
      <c r="G25" s="255">
        <v>3011907.23</v>
      </c>
      <c r="H25" s="255">
        <v>6961545.0199999996</v>
      </c>
      <c r="I25" s="255">
        <v>3650827.45</v>
      </c>
      <c r="J25" s="255">
        <v>1882089.02</v>
      </c>
      <c r="K25" s="255">
        <v>963520.11</v>
      </c>
      <c r="L25" s="255">
        <v>335519.53000000003</v>
      </c>
      <c r="M25" s="255">
        <v>156341.54</v>
      </c>
      <c r="N25" s="255">
        <v>724606.89</v>
      </c>
      <c r="O25" s="255">
        <f t="shared" si="12"/>
        <v>243198713.56999996</v>
      </c>
      <c r="Q25" s="255">
        <f>((B7*E49/12)+((B19-B7)*D49/12)+((B31-B19)*C49/12))</f>
        <v>172708.3094343</v>
      </c>
      <c r="R25" s="255">
        <f>((C7*E50/12)+((C19-C7)*D50/12)+((C31-C19)*C50/12))</f>
        <v>876572.55299583334</v>
      </c>
      <c r="S25" s="255">
        <f>((D7*E51/12)+((D19-D7)*D51/12)+((D31-D19)*C51/12))</f>
        <v>46157.001550000001</v>
      </c>
      <c r="T25" s="255">
        <f t="shared" si="27"/>
        <v>53742.793787500006</v>
      </c>
      <c r="U25" s="255">
        <f t="shared" si="28"/>
        <v>168849.04180416666</v>
      </c>
      <c r="V25" s="255">
        <f t="shared" si="29"/>
        <v>23844.261180555553</v>
      </c>
      <c r="W25" s="255">
        <f t="shared" si="30"/>
        <v>55105.709183333332</v>
      </c>
      <c r="X25" s="255">
        <f t="shared" si="31"/>
        <v>28900.752879166666</v>
      </c>
      <c r="Y25" s="255">
        <f t="shared" si="32"/>
        <v>14898.240308333334</v>
      </c>
      <c r="Z25" s="255">
        <f t="shared" si="33"/>
        <v>7627.0508249999993</v>
      </c>
      <c r="AA25" s="255">
        <f t="shared" si="34"/>
        <v>6847.4964330833345</v>
      </c>
      <c r="AB25" s="255">
        <f t="shared" si="35"/>
        <v>3190.6702621666668</v>
      </c>
      <c r="AC25" s="255">
        <f t="shared" si="36"/>
        <v>20127.969166666666</v>
      </c>
      <c r="AD25" s="255">
        <f t="shared" si="11"/>
        <v>1478571.8498101062</v>
      </c>
      <c r="AE25" s="286">
        <f>'Plant Additions'!E28-AD25</f>
        <v>0</v>
      </c>
      <c r="AG25" s="255">
        <f>'G361 Additions'!E32</f>
        <v>163701.33349724999</v>
      </c>
      <c r="AH25" s="255">
        <f>'G362 Additions'!E32</f>
        <v>224218.05758774999</v>
      </c>
      <c r="AI25" s="255">
        <f>'G363 Additions'!E32</f>
        <v>13409.824871999999</v>
      </c>
      <c r="AJ25" s="255">
        <f>'G3631 Additions'!E32</f>
        <v>17367.410206249999</v>
      </c>
      <c r="AK25" s="255">
        <f>'G3632 Additions'!E32</f>
        <v>49055.095727</v>
      </c>
      <c r="AL25" s="255">
        <f>'G3633 Additions'!E32</f>
        <v>7805.8595710833333</v>
      </c>
      <c r="AM25" s="255">
        <f>'G3635 Additions'!E32</f>
        <v>16243.605046666666</v>
      </c>
      <c r="AN25" s="255">
        <f>'G3643 Additions'!E32</f>
        <v>8518.5973833333337</v>
      </c>
      <c r="AO25" s="255">
        <f>+'G3645 Additions'!E32</f>
        <v>4391.5410466666663</v>
      </c>
      <c r="AP25" s="255">
        <f>'G3646 Additions'!E32</f>
        <v>2216.0962530000002</v>
      </c>
      <c r="AQ25" s="255">
        <f>'G3912 Additions'!E32</f>
        <v>5591.9921666666669</v>
      </c>
      <c r="AR25" s="255">
        <f>'G397 Additions'!E32</f>
        <v>868.99839316666669</v>
      </c>
      <c r="AS25" s="255">
        <f>'G303 Additions'!E32</f>
        <v>12076.781499999999</v>
      </c>
      <c r="AT25" s="255">
        <f t="shared" si="13"/>
        <v>525465.19325083343</v>
      </c>
      <c r="AU25" s="286">
        <f>'Plant Additions'!F28-AT25</f>
        <v>0</v>
      </c>
    </row>
    <row r="26" spans="1:47" x14ac:dyDescent="0.25">
      <c r="A26" s="84">
        <v>45138</v>
      </c>
      <c r="B26" s="255">
        <v>80840164.689999998</v>
      </c>
      <c r="C26" s="255">
        <v>110724966.70999999</v>
      </c>
      <c r="D26" s="255">
        <v>5830358.6399999997</v>
      </c>
      <c r="E26" s="255">
        <v>6788564.25</v>
      </c>
      <c r="F26" s="255">
        <v>21328302.489999998</v>
      </c>
      <c r="G26" s="255">
        <v>3011907.23</v>
      </c>
      <c r="H26" s="255">
        <v>6961545.0199999996</v>
      </c>
      <c r="I26" s="255">
        <v>3650827.45</v>
      </c>
      <c r="J26" s="255">
        <v>1882089.02</v>
      </c>
      <c r="K26" s="255">
        <v>963520.11</v>
      </c>
      <c r="L26" s="255">
        <v>335519.53000000003</v>
      </c>
      <c r="M26" s="255">
        <v>156341.54</v>
      </c>
      <c r="N26" s="255">
        <v>724606.89</v>
      </c>
      <c r="O26" s="255">
        <f t="shared" si="12"/>
        <v>243198713.56999996</v>
      </c>
      <c r="Q26" s="255">
        <f>((B7*E49/12)+((B19-B7)*D49/12)+((B31-B19)*C49/12))</f>
        <v>172708.3094343</v>
      </c>
      <c r="R26" s="255">
        <f>((C7*E50/12)+((C19-C7)*D50/12)+((C31-C19)*C50/12))</f>
        <v>876572.55299583334</v>
      </c>
      <c r="S26" s="255">
        <f>((D7*E51/12)+((D19-D7)*D51/12)+((D31-D19)*C51/12))</f>
        <v>46157.001550000001</v>
      </c>
      <c r="T26" s="255">
        <f t="shared" si="27"/>
        <v>53742.793787500006</v>
      </c>
      <c r="U26" s="255">
        <f t="shared" si="28"/>
        <v>168849.04180416666</v>
      </c>
      <c r="V26" s="255">
        <f t="shared" si="29"/>
        <v>23844.261180555553</v>
      </c>
      <c r="W26" s="255">
        <f t="shared" si="30"/>
        <v>55105.709183333332</v>
      </c>
      <c r="X26" s="255">
        <f t="shared" si="31"/>
        <v>28900.752879166666</v>
      </c>
      <c r="Y26" s="255">
        <f t="shared" si="32"/>
        <v>14898.240308333334</v>
      </c>
      <c r="Z26" s="255">
        <f t="shared" si="33"/>
        <v>7627.0508249999993</v>
      </c>
      <c r="AA26" s="255">
        <f t="shared" si="34"/>
        <v>6847.4964330833345</v>
      </c>
      <c r="AB26" s="255">
        <f t="shared" si="35"/>
        <v>3190.6702621666668</v>
      </c>
      <c r="AC26" s="255">
        <f t="shared" si="36"/>
        <v>20127.969166666666</v>
      </c>
      <c r="AD26" s="255">
        <f t="shared" si="11"/>
        <v>1478571.8498101062</v>
      </c>
      <c r="AE26" s="286">
        <f>'Plant Additions'!E29-AD26</f>
        <v>0</v>
      </c>
      <c r="AG26" s="255">
        <f>'G361 Additions'!E33</f>
        <v>163701.33349724999</v>
      </c>
      <c r="AH26" s="255">
        <f>'G362 Additions'!E33</f>
        <v>224218.05758774999</v>
      </c>
      <c r="AI26" s="255">
        <f>'G363 Additions'!E33</f>
        <v>13409.824871999999</v>
      </c>
      <c r="AJ26" s="255">
        <f>'G3631 Additions'!E33</f>
        <v>17367.410206249999</v>
      </c>
      <c r="AK26" s="255">
        <f>'G3632 Additions'!E33</f>
        <v>49055.095727</v>
      </c>
      <c r="AL26" s="255">
        <f>'G3633 Additions'!E33</f>
        <v>7805.8595710833333</v>
      </c>
      <c r="AM26" s="255">
        <f>'G3635 Additions'!E33</f>
        <v>16243.605046666666</v>
      </c>
      <c r="AN26" s="255">
        <f>'G3643 Additions'!E33</f>
        <v>8518.5973833333337</v>
      </c>
      <c r="AO26" s="255">
        <f>+'G3645 Additions'!E33</f>
        <v>4391.5410466666663</v>
      </c>
      <c r="AP26" s="255">
        <f>'G3646 Additions'!E33</f>
        <v>2216.0962530000002</v>
      </c>
      <c r="AQ26" s="255">
        <f>'G3912 Additions'!E33</f>
        <v>5591.9921666666669</v>
      </c>
      <c r="AR26" s="255">
        <f>'G397 Additions'!E33</f>
        <v>868.99839316666669</v>
      </c>
      <c r="AS26" s="255">
        <f>'G303 Additions'!E33</f>
        <v>12076.781499999999</v>
      </c>
      <c r="AT26" s="255">
        <f t="shared" si="13"/>
        <v>525465.19325083343</v>
      </c>
      <c r="AU26" s="286">
        <f>'Plant Additions'!F29-AT26</f>
        <v>0</v>
      </c>
    </row>
    <row r="27" spans="1:47" x14ac:dyDescent="0.25">
      <c r="A27" s="84">
        <v>45169</v>
      </c>
      <c r="B27" s="255">
        <v>80840164.689999998</v>
      </c>
      <c r="C27" s="255">
        <v>110724966.70999999</v>
      </c>
      <c r="D27" s="255">
        <v>5830358.6399999997</v>
      </c>
      <c r="E27" s="255">
        <v>6788564.25</v>
      </c>
      <c r="F27" s="255">
        <v>21328302.489999998</v>
      </c>
      <c r="G27" s="255">
        <v>3011907.23</v>
      </c>
      <c r="H27" s="255">
        <v>6961545.0199999996</v>
      </c>
      <c r="I27" s="255">
        <v>3650827.45</v>
      </c>
      <c r="J27" s="255">
        <v>1882089.02</v>
      </c>
      <c r="K27" s="255">
        <v>963520.11</v>
      </c>
      <c r="L27" s="255">
        <v>335519.53000000003</v>
      </c>
      <c r="M27" s="255">
        <v>156341.54</v>
      </c>
      <c r="N27" s="255">
        <v>724606.89</v>
      </c>
      <c r="O27" s="255">
        <f t="shared" si="12"/>
        <v>243198713.56999996</v>
      </c>
      <c r="Q27" s="255">
        <f>((B7*E49/12)+((B19-B7)*D49/12)+((B31-B19)*C49/12))</f>
        <v>172708.3094343</v>
      </c>
      <c r="R27" s="255">
        <f t="shared" ref="R27" si="37">((C8*E51/12)+((C20-C8)*D51/12)+((C32-C20)*C51/12))</f>
        <v>876572.55299583334</v>
      </c>
      <c r="S27" s="255">
        <f>((D7*E51/12)+((D19-D7)*D51/12)+((D31-D19)*C51/12))</f>
        <v>46157.001550000001</v>
      </c>
      <c r="T27" s="255">
        <f t="shared" si="27"/>
        <v>53742.793787500006</v>
      </c>
      <c r="U27" s="255">
        <f t="shared" si="28"/>
        <v>168849.04180416666</v>
      </c>
      <c r="V27" s="255">
        <f t="shared" si="29"/>
        <v>23844.261180555553</v>
      </c>
      <c r="W27" s="255">
        <f t="shared" si="30"/>
        <v>55105.709183333332</v>
      </c>
      <c r="X27" s="255">
        <f t="shared" si="31"/>
        <v>28900.752879166666</v>
      </c>
      <c r="Y27" s="255">
        <f t="shared" si="32"/>
        <v>14898.240308333334</v>
      </c>
      <c r="Z27" s="255">
        <f t="shared" si="33"/>
        <v>7627.0508249999993</v>
      </c>
      <c r="AA27" s="255">
        <f t="shared" si="34"/>
        <v>6847.4964330833345</v>
      </c>
      <c r="AB27" s="255">
        <f t="shared" si="35"/>
        <v>3190.6702621666668</v>
      </c>
      <c r="AC27" s="255">
        <f t="shared" si="36"/>
        <v>20127.969166666666</v>
      </c>
      <c r="AD27" s="255">
        <f t="shared" si="11"/>
        <v>1478571.8498101062</v>
      </c>
      <c r="AE27" s="286">
        <f>'Plant Additions'!E30-AD27</f>
        <v>0</v>
      </c>
      <c r="AG27" s="255">
        <f>'G361 Additions'!E34</f>
        <v>163701.33349724999</v>
      </c>
      <c r="AH27" s="255">
        <f>'G362 Additions'!E34</f>
        <v>224218.05758774999</v>
      </c>
      <c r="AI27" s="255">
        <f>'G363 Additions'!E34</f>
        <v>13409.824871999999</v>
      </c>
      <c r="AJ27" s="255">
        <f>'G3631 Additions'!E34</f>
        <v>17367.410206249999</v>
      </c>
      <c r="AK27" s="255">
        <f>'G3632 Additions'!E34</f>
        <v>49055.095727</v>
      </c>
      <c r="AL27" s="255">
        <f>'G3633 Additions'!E34</f>
        <v>7805.8595710833333</v>
      </c>
      <c r="AM27" s="255">
        <f>'G3635 Additions'!E34</f>
        <v>16243.605046666666</v>
      </c>
      <c r="AN27" s="255">
        <f>'G3643 Additions'!E34</f>
        <v>8518.5973833333337</v>
      </c>
      <c r="AO27" s="255">
        <f>+'G3645 Additions'!E34</f>
        <v>4391.5410466666663</v>
      </c>
      <c r="AP27" s="255">
        <f>'G3646 Additions'!E34</f>
        <v>2216.0962530000002</v>
      </c>
      <c r="AQ27" s="255">
        <f>'G3912 Additions'!E34</f>
        <v>5591.9921666666669</v>
      </c>
      <c r="AR27" s="255">
        <f>'G397 Additions'!E34</f>
        <v>868.99839316666669</v>
      </c>
      <c r="AS27" s="255">
        <f>'G303 Additions'!E34</f>
        <v>12076.781499999999</v>
      </c>
      <c r="AT27" s="255">
        <f t="shared" si="13"/>
        <v>525465.19325083343</v>
      </c>
      <c r="AU27" s="286">
        <f>'Plant Additions'!F30-AT27</f>
        <v>0</v>
      </c>
    </row>
    <row r="28" spans="1:47" x14ac:dyDescent="0.25">
      <c r="A28" s="84">
        <v>45199</v>
      </c>
      <c r="B28" s="255">
        <v>80840164.689999998</v>
      </c>
      <c r="C28" s="255">
        <v>110724966.70999999</v>
      </c>
      <c r="D28" s="255">
        <v>5830358.6399999997</v>
      </c>
      <c r="E28" s="255">
        <v>6788564.25</v>
      </c>
      <c r="F28" s="255">
        <v>21328302.489999998</v>
      </c>
      <c r="G28" s="255">
        <v>3011907.23</v>
      </c>
      <c r="H28" s="255">
        <v>6961545.0199999996</v>
      </c>
      <c r="I28" s="255">
        <v>3650827.45</v>
      </c>
      <c r="J28" s="255">
        <v>1882089.02</v>
      </c>
      <c r="K28" s="255">
        <v>963520.11</v>
      </c>
      <c r="L28" s="255">
        <v>335519.53000000003</v>
      </c>
      <c r="M28" s="255">
        <v>156341.54</v>
      </c>
      <c r="N28" s="255">
        <v>724606.89</v>
      </c>
      <c r="O28" s="255">
        <f t="shared" si="12"/>
        <v>243198713.56999996</v>
      </c>
      <c r="Q28" s="255">
        <f>((B7*E49/12)+((B19-B7)*D49/12)+((B31-B19)*C49/12))</f>
        <v>172708.3094343</v>
      </c>
      <c r="R28" s="255">
        <f>((C7*E50/12)+((C19-C7)*D50/12)+((C31-C19)*C50/12))</f>
        <v>876572.55299583334</v>
      </c>
      <c r="S28" s="255">
        <f>(($D$7*$E$51/12)+(($D$19-$D$7)*$D$51/12)+(($D$31-$D$19)*$C$51/12))</f>
        <v>46157.001550000001</v>
      </c>
      <c r="T28" s="255">
        <f t="shared" si="27"/>
        <v>53742.793787500006</v>
      </c>
      <c r="U28" s="255">
        <f t="shared" si="28"/>
        <v>168849.04180416666</v>
      </c>
      <c r="V28" s="255">
        <f t="shared" si="29"/>
        <v>23844.261180555553</v>
      </c>
      <c r="W28" s="255">
        <f t="shared" si="30"/>
        <v>55105.709183333332</v>
      </c>
      <c r="X28" s="255">
        <f t="shared" si="31"/>
        <v>28900.752879166666</v>
      </c>
      <c r="Y28" s="255">
        <f t="shared" si="32"/>
        <v>14898.240308333334</v>
      </c>
      <c r="Z28" s="255">
        <f t="shared" si="33"/>
        <v>7627.0508249999993</v>
      </c>
      <c r="AA28" s="255">
        <f t="shared" si="34"/>
        <v>6847.4964330833345</v>
      </c>
      <c r="AB28" s="255">
        <f t="shared" si="35"/>
        <v>3190.6702621666668</v>
      </c>
      <c r="AC28" s="255">
        <f t="shared" si="36"/>
        <v>20127.969166666666</v>
      </c>
      <c r="AD28" s="255">
        <f t="shared" si="11"/>
        <v>1478571.8498101062</v>
      </c>
      <c r="AE28" s="286">
        <f>'Plant Additions'!E31-AD28</f>
        <v>0</v>
      </c>
      <c r="AG28" s="255">
        <f>'G361 Additions'!E35</f>
        <v>163701.33349724999</v>
      </c>
      <c r="AH28" s="255">
        <f>'G362 Additions'!E35</f>
        <v>224218.05758774999</v>
      </c>
      <c r="AI28" s="255">
        <f>'G363 Additions'!E35</f>
        <v>13409.824871999999</v>
      </c>
      <c r="AJ28" s="255">
        <f>'G3631 Additions'!E35</f>
        <v>17367.410206249999</v>
      </c>
      <c r="AK28" s="255">
        <f>'G3632 Additions'!E35</f>
        <v>49055.095727</v>
      </c>
      <c r="AL28" s="255">
        <f>'G3633 Additions'!E35</f>
        <v>7805.8595710833333</v>
      </c>
      <c r="AM28" s="255">
        <f>'G3635 Additions'!E35</f>
        <v>16243.605046666666</v>
      </c>
      <c r="AN28" s="255">
        <f>'G3643 Additions'!E35</f>
        <v>8518.5973833333337</v>
      </c>
      <c r="AO28" s="255">
        <f>+'G3645 Additions'!E35</f>
        <v>4391.5410466666663</v>
      </c>
      <c r="AP28" s="255">
        <f>'G3646 Additions'!E35</f>
        <v>2216.0962530000002</v>
      </c>
      <c r="AQ28" s="255">
        <f>'G3912 Additions'!E35</f>
        <v>5591.9921666666669</v>
      </c>
      <c r="AR28" s="255">
        <f>'G397 Additions'!E35</f>
        <v>868.99839316666669</v>
      </c>
      <c r="AS28" s="255">
        <f>'G303 Additions'!E35</f>
        <v>12076.781499999999</v>
      </c>
      <c r="AT28" s="255">
        <f t="shared" si="13"/>
        <v>525465.19325083343</v>
      </c>
      <c r="AU28" s="286">
        <f>'Plant Additions'!F31-AT28</f>
        <v>0</v>
      </c>
    </row>
    <row r="29" spans="1:47" x14ac:dyDescent="0.25">
      <c r="A29" s="84">
        <v>45230</v>
      </c>
      <c r="B29" s="255">
        <v>80840164.689999998</v>
      </c>
      <c r="C29" s="255">
        <v>110724966.70999999</v>
      </c>
      <c r="D29" s="255">
        <v>5830358.6399999997</v>
      </c>
      <c r="E29" s="255">
        <v>6788564.25</v>
      </c>
      <c r="F29" s="255">
        <v>21328302.489999998</v>
      </c>
      <c r="G29" s="255">
        <v>3011907.23</v>
      </c>
      <c r="H29" s="255">
        <v>6961545.0199999996</v>
      </c>
      <c r="I29" s="255">
        <v>3650827.45</v>
      </c>
      <c r="J29" s="255">
        <v>1882089.02</v>
      </c>
      <c r="K29" s="255">
        <v>963520.11</v>
      </c>
      <c r="L29" s="255">
        <v>335519.53000000003</v>
      </c>
      <c r="M29" s="255">
        <v>156341.54</v>
      </c>
      <c r="N29" s="255">
        <v>724606.89</v>
      </c>
      <c r="O29" s="255">
        <f t="shared" si="12"/>
        <v>243198713.56999996</v>
      </c>
      <c r="Q29" s="255">
        <f>((B7*E49/12)+((B19-B7)*D49/12)+((B31-B19)*C49/12))</f>
        <v>172708.3094343</v>
      </c>
      <c r="R29" s="255">
        <f>((C7*E50/12)+((C19-C7)*D50/12)+((C31-C19)*C50/12))</f>
        <v>876572.55299583334</v>
      </c>
      <c r="S29" s="255">
        <f t="shared" ref="S29:S31" si="38">(($D$7*$E$51/12)+(($D$19-$D$7)*$D$51/12)+(($D$31-$D$19)*$C$51/12))</f>
        <v>46157.001550000001</v>
      </c>
      <c r="T29" s="255">
        <f t="shared" si="27"/>
        <v>53742.793787500006</v>
      </c>
      <c r="U29" s="255">
        <f t="shared" si="28"/>
        <v>168849.04180416666</v>
      </c>
      <c r="V29" s="255">
        <f t="shared" si="29"/>
        <v>23844.261180555553</v>
      </c>
      <c r="W29" s="255">
        <f t="shared" si="30"/>
        <v>55105.709183333332</v>
      </c>
      <c r="X29" s="255">
        <f t="shared" si="31"/>
        <v>28900.752879166666</v>
      </c>
      <c r="Y29" s="255">
        <f t="shared" si="32"/>
        <v>14898.240308333334</v>
      </c>
      <c r="Z29" s="255">
        <f t="shared" si="33"/>
        <v>7627.0508249999993</v>
      </c>
      <c r="AA29" s="255">
        <f t="shared" si="34"/>
        <v>6847.4964330833345</v>
      </c>
      <c r="AB29" s="255">
        <f t="shared" si="35"/>
        <v>3190.6702621666668</v>
      </c>
      <c r="AC29" s="255">
        <f t="shared" si="36"/>
        <v>20127.969166666666</v>
      </c>
      <c r="AD29" s="255">
        <f t="shared" si="11"/>
        <v>1478571.8498101062</v>
      </c>
      <c r="AE29" s="286">
        <f>'Plant Additions'!E32-AD29</f>
        <v>0</v>
      </c>
      <c r="AG29" s="255">
        <f>'G361 Additions'!E36</f>
        <v>163701.33349724999</v>
      </c>
      <c r="AH29" s="255">
        <f>'G362 Additions'!E36</f>
        <v>224218.05758774999</v>
      </c>
      <c r="AI29" s="255">
        <f>'G363 Additions'!E36</f>
        <v>13409.824871999999</v>
      </c>
      <c r="AJ29" s="255">
        <f>'G3631 Additions'!E36</f>
        <v>17367.410206249999</v>
      </c>
      <c r="AK29" s="255">
        <f>'G3632 Additions'!E36</f>
        <v>49055.095727</v>
      </c>
      <c r="AL29" s="255">
        <f>'G3633 Additions'!E36</f>
        <v>7805.8595710833333</v>
      </c>
      <c r="AM29" s="255">
        <f>'G3635 Additions'!E36</f>
        <v>16243.605046666666</v>
      </c>
      <c r="AN29" s="255">
        <f>'G3643 Additions'!E36</f>
        <v>8518.5973833333337</v>
      </c>
      <c r="AO29" s="255">
        <f>+'G3645 Additions'!E36</f>
        <v>4391.5410466666663</v>
      </c>
      <c r="AP29" s="255">
        <f>'G3646 Additions'!E36</f>
        <v>2216.0962530000002</v>
      </c>
      <c r="AQ29" s="255">
        <f>'G3912 Additions'!E36</f>
        <v>5591.9921666666669</v>
      </c>
      <c r="AR29" s="255">
        <f>'G397 Additions'!E36</f>
        <v>868.99839316666669</v>
      </c>
      <c r="AS29" s="255">
        <f>'G303 Additions'!E36</f>
        <v>12076.781499999999</v>
      </c>
      <c r="AT29" s="255">
        <f t="shared" si="13"/>
        <v>525465.19325083343</v>
      </c>
      <c r="AU29" s="286">
        <f>'Plant Additions'!F32-AT29</f>
        <v>0</v>
      </c>
    </row>
    <row r="30" spans="1:47" x14ac:dyDescent="0.25">
      <c r="A30" s="84">
        <v>45260</v>
      </c>
      <c r="B30" s="255">
        <v>80840164.689999998</v>
      </c>
      <c r="C30" s="255">
        <v>110724966.70999999</v>
      </c>
      <c r="D30" s="255">
        <v>5830358.6399999997</v>
      </c>
      <c r="E30" s="255">
        <v>6788564.25</v>
      </c>
      <c r="F30" s="255">
        <v>21328302.489999998</v>
      </c>
      <c r="G30" s="255">
        <v>3011907.23</v>
      </c>
      <c r="H30" s="255">
        <v>6961545.0199999996</v>
      </c>
      <c r="I30" s="255">
        <v>3650827.45</v>
      </c>
      <c r="J30" s="255">
        <v>1882089.02</v>
      </c>
      <c r="K30" s="255">
        <v>963520.11</v>
      </c>
      <c r="L30" s="255">
        <v>335519.53000000003</v>
      </c>
      <c r="M30" s="255">
        <v>156341.54</v>
      </c>
      <c r="N30" s="255">
        <v>724606.89</v>
      </c>
      <c r="O30" s="255">
        <f t="shared" si="12"/>
        <v>243198713.56999996</v>
      </c>
      <c r="Q30" s="255">
        <f>((B7*E49/12)+((B19-B7)*D49/12)+((B31-B19)*C49/12))</f>
        <v>172708.3094343</v>
      </c>
      <c r="R30" s="255">
        <f>((C7*E50/12)+((C19-C7)*D50/12)+((C31-C19)*C50/12))</f>
        <v>876572.55299583334</v>
      </c>
      <c r="S30" s="255">
        <f t="shared" si="38"/>
        <v>46157.001550000001</v>
      </c>
      <c r="T30" s="255">
        <f t="shared" si="27"/>
        <v>53742.793787500006</v>
      </c>
      <c r="U30" s="255">
        <f t="shared" si="28"/>
        <v>168849.04180416666</v>
      </c>
      <c r="V30" s="255">
        <f t="shared" si="29"/>
        <v>23844.261180555553</v>
      </c>
      <c r="W30" s="255">
        <f t="shared" si="30"/>
        <v>55105.709183333332</v>
      </c>
      <c r="X30" s="255">
        <f t="shared" si="31"/>
        <v>28900.752879166666</v>
      </c>
      <c r="Y30" s="255">
        <f t="shared" si="32"/>
        <v>14898.240308333334</v>
      </c>
      <c r="Z30" s="255">
        <f t="shared" si="33"/>
        <v>7627.0508249999993</v>
      </c>
      <c r="AA30" s="255">
        <f t="shared" si="34"/>
        <v>6847.4964330833345</v>
      </c>
      <c r="AB30" s="255">
        <f t="shared" si="35"/>
        <v>3190.6702621666668</v>
      </c>
      <c r="AC30" s="255">
        <f t="shared" si="36"/>
        <v>20127.969166666666</v>
      </c>
      <c r="AD30" s="255">
        <f t="shared" si="11"/>
        <v>1478571.8498101062</v>
      </c>
      <c r="AE30" s="286">
        <f>'Plant Additions'!E33-AD30</f>
        <v>0</v>
      </c>
      <c r="AG30" s="255">
        <f>'G361 Additions'!E37</f>
        <v>163701.33349724999</v>
      </c>
      <c r="AH30" s="255">
        <f>'G362 Additions'!E37</f>
        <v>224218.05758774999</v>
      </c>
      <c r="AI30" s="255">
        <f>'G363 Additions'!E37</f>
        <v>13409.824871999999</v>
      </c>
      <c r="AJ30" s="255">
        <f>'G3631 Additions'!E37</f>
        <v>17367.410206249999</v>
      </c>
      <c r="AK30" s="255">
        <f>'G3632 Additions'!E37</f>
        <v>49055.095727</v>
      </c>
      <c r="AL30" s="255">
        <f>'G3633 Additions'!E37</f>
        <v>7805.8595710833333</v>
      </c>
      <c r="AM30" s="255">
        <f>'G3635 Additions'!E37</f>
        <v>16243.605046666666</v>
      </c>
      <c r="AN30" s="255">
        <f>'G3643 Additions'!E37</f>
        <v>8518.5973833333337</v>
      </c>
      <c r="AO30" s="255">
        <f>+'G3645 Additions'!E37</f>
        <v>4391.5410466666663</v>
      </c>
      <c r="AP30" s="255">
        <f>'G3646 Additions'!E37</f>
        <v>2216.0962530000002</v>
      </c>
      <c r="AQ30" s="255">
        <f>'G3912 Additions'!E37</f>
        <v>5591.9921666666669</v>
      </c>
      <c r="AR30" s="255">
        <f>'G397 Additions'!E37</f>
        <v>868.99839316666669</v>
      </c>
      <c r="AS30" s="255">
        <f>'G303 Additions'!E37</f>
        <v>12076.781499999999</v>
      </c>
      <c r="AT30" s="255">
        <f t="shared" si="13"/>
        <v>525465.19325083343</v>
      </c>
      <c r="AU30" s="286">
        <f>'Plant Additions'!F33-AT30</f>
        <v>0</v>
      </c>
    </row>
    <row r="31" spans="1:47" x14ac:dyDescent="0.25">
      <c r="A31" s="281">
        <v>45291</v>
      </c>
      <c r="B31" s="255">
        <v>80840164.689999998</v>
      </c>
      <c r="C31" s="255">
        <v>110724966.70999999</v>
      </c>
      <c r="D31" s="255">
        <v>5830358.6399999997</v>
      </c>
      <c r="E31" s="255">
        <v>6788564.25</v>
      </c>
      <c r="F31" s="255">
        <v>21328302.489999998</v>
      </c>
      <c r="G31" s="255">
        <v>3011907.23</v>
      </c>
      <c r="H31" s="255">
        <v>6961545.0199999996</v>
      </c>
      <c r="I31" s="255">
        <v>3650827.45</v>
      </c>
      <c r="J31" s="255">
        <v>1882089.02</v>
      </c>
      <c r="K31" s="255">
        <v>963520.11</v>
      </c>
      <c r="L31" s="255">
        <v>335519.53000000003</v>
      </c>
      <c r="M31" s="255">
        <v>156341.54</v>
      </c>
      <c r="N31" s="255">
        <v>724606.89</v>
      </c>
      <c r="O31" s="255">
        <f t="shared" si="12"/>
        <v>243198713.56999996</v>
      </c>
      <c r="Q31" s="255">
        <f>((B7*E49/12)+((B19-B7)*D49/12)+((B31-B19)*C49/12))</f>
        <v>172708.3094343</v>
      </c>
      <c r="R31" s="255">
        <f>((C7*E50/12)+((C19-C7)*D50/12)+((C31-C19)*C50/12))</f>
        <v>876572.55299583334</v>
      </c>
      <c r="S31" s="255">
        <f t="shared" si="38"/>
        <v>46157.001550000001</v>
      </c>
      <c r="T31" s="255">
        <f t="shared" si="27"/>
        <v>53742.793787500006</v>
      </c>
      <c r="U31" s="255">
        <f t="shared" si="28"/>
        <v>168849.04180416666</v>
      </c>
      <c r="V31" s="255">
        <f t="shared" si="29"/>
        <v>23844.261180555553</v>
      </c>
      <c r="W31" s="255">
        <f t="shared" si="30"/>
        <v>55105.709183333332</v>
      </c>
      <c r="X31" s="255">
        <f t="shared" si="31"/>
        <v>28900.752879166666</v>
      </c>
      <c r="Y31" s="255">
        <f t="shared" si="32"/>
        <v>14898.240308333334</v>
      </c>
      <c r="Z31" s="255">
        <f t="shared" si="33"/>
        <v>7627.0508249999993</v>
      </c>
      <c r="AA31" s="255">
        <f t="shared" si="34"/>
        <v>6847.4964330833345</v>
      </c>
      <c r="AB31" s="255">
        <f t="shared" si="35"/>
        <v>3190.6702621666668</v>
      </c>
      <c r="AC31" s="255">
        <f t="shared" si="36"/>
        <v>20127.969166666666</v>
      </c>
      <c r="AD31" s="255">
        <f t="shared" si="11"/>
        <v>1478571.8498101062</v>
      </c>
      <c r="AE31" s="286">
        <f>'Plant Additions'!E34-AD31</f>
        <v>0</v>
      </c>
      <c r="AG31" s="255">
        <f>'G361 Additions'!E38</f>
        <v>163701.33349724999</v>
      </c>
      <c r="AH31" s="255">
        <f>'G362 Additions'!E38</f>
        <v>224218.05758774999</v>
      </c>
      <c r="AI31" s="255">
        <f>'G363 Additions'!E38</f>
        <v>13409.824871999999</v>
      </c>
      <c r="AJ31" s="255">
        <f>'G3631 Additions'!E38</f>
        <v>17367.410206249999</v>
      </c>
      <c r="AK31" s="255">
        <f>'G3632 Additions'!E38</f>
        <v>49055.095727</v>
      </c>
      <c r="AL31" s="255">
        <f>'G3633 Additions'!E38</f>
        <v>7805.8595710833333</v>
      </c>
      <c r="AM31" s="255">
        <f>'G3635 Additions'!E38</f>
        <v>16243.605046666666</v>
      </c>
      <c r="AN31" s="255">
        <f>'G3643 Additions'!E38</f>
        <v>8518.5973833333337</v>
      </c>
      <c r="AO31" s="255">
        <f>+'G3645 Additions'!E38</f>
        <v>4391.5410466666663</v>
      </c>
      <c r="AP31" s="255">
        <f>'G3646 Additions'!E38</f>
        <v>2216.0962530000002</v>
      </c>
      <c r="AQ31" s="255">
        <f>'G3912 Additions'!E38</f>
        <v>5591.9921666666669</v>
      </c>
      <c r="AR31" s="255">
        <f>'G397 Additions'!E38</f>
        <v>868.99839316666669</v>
      </c>
      <c r="AS31" s="255">
        <f>'G303 Additions'!E38</f>
        <v>12076.781499999999</v>
      </c>
      <c r="AT31" s="255">
        <f t="shared" si="13"/>
        <v>525465.19325083343</v>
      </c>
      <c r="AU31" s="286">
        <f>'Plant Additions'!F34-AT31</f>
        <v>0</v>
      </c>
    </row>
    <row r="32" spans="1:47" x14ac:dyDescent="0.25">
      <c r="A32" s="84">
        <v>45322</v>
      </c>
      <c r="B32" s="255">
        <v>80840164.689999998</v>
      </c>
      <c r="C32" s="255">
        <v>110724966.70999999</v>
      </c>
      <c r="D32" s="255">
        <v>5830358.6399999997</v>
      </c>
      <c r="E32" s="255">
        <v>6788564.25</v>
      </c>
      <c r="F32" s="255">
        <v>21328302.489999998</v>
      </c>
      <c r="G32" s="255">
        <v>3011907.23</v>
      </c>
      <c r="H32" s="255">
        <v>6961545.0199999996</v>
      </c>
      <c r="I32" s="255">
        <v>3650827.45</v>
      </c>
      <c r="J32" s="255">
        <v>1882089.02</v>
      </c>
      <c r="K32" s="255">
        <v>963520.11</v>
      </c>
      <c r="L32" s="255">
        <v>335519.53000000003</v>
      </c>
      <c r="M32" s="255">
        <v>156341.54</v>
      </c>
      <c r="N32" s="255">
        <v>724606.89</v>
      </c>
      <c r="O32" s="255">
        <f t="shared" si="12"/>
        <v>243198713.56999996</v>
      </c>
      <c r="Q32" s="255">
        <f>((B7*F49/12)+((B19-B7)*E49/12)+((B31-B19)*D49/12)+((B43-B31)*C49/12))</f>
        <v>172728.48522096666</v>
      </c>
      <c r="R32" s="255">
        <f>((C7*F50/12)+((C19-C7)*E50/12)+((C31-C19)*D50/12)+((C43-C31)*C50/12))</f>
        <v>788915.4089462501</v>
      </c>
      <c r="S32" s="255">
        <f>($D$7*$F$51/12)+(($D$19-$D$7)*$E$51/12)+(($D$31-$D$19)*$D$51/12)+(($D$43-$D$31)*$C$51/12)</f>
        <v>41541.306228333335</v>
      </c>
      <c r="T32" s="255">
        <f>(($E$7*$F$52/12)+(($E$19-$E$7)*$E$52/12)+(($E$31-$E$19)*$D$52/12)+(($E$43-$E$31)*$C$52/12))</f>
        <v>48368.521658749996</v>
      </c>
      <c r="U32" s="255">
        <f>(($F$7*$F$53/12)+(($F$19-$F$7)*$E$53/12)+(($F$31-$F$19)*$D$53/12)+(($F$43-$F$31)*$C$53/12))</f>
        <v>151964.15937375001</v>
      </c>
      <c r="V32" s="255">
        <f>($G$7*$F$54/12)+(($G$19-$G$7)*$E$54/12)+(($G$31-$G$19)*$D$54/12)+(($G$43-$G$31)*$C$54/12)</f>
        <v>21459.839472916668</v>
      </c>
      <c r="W32" s="255">
        <f>(($H$7*$F$55/12)+(($H$19-$H$7)*$E$55/12)+(($H$31-$H$19)*$D$55/12)+(($H$43-$H$31)*$C$55/12))</f>
        <v>49602.385181666665</v>
      </c>
      <c r="X32" s="255">
        <f>(($X$7*$F$55/12)+(($I$19-$I$7)*$E$55/12)+(($I$31-$I$19)*$D$55/12)+(($I$43-$I$31)*$C$55/12))</f>
        <v>26012.489924583337</v>
      </c>
      <c r="Y32" s="255">
        <f>($J$7*$F$57/12)+(($J$19-$J$7)*$E$57/12)+(($J$31-$J$19)*$D$57/12)+(($J$43-$J$31)*$C$57/12)</f>
        <v>13410.228610833336</v>
      </c>
      <c r="Z32" s="255">
        <f>(($K$7*$F$58/12)+(($K$19-$K$7)*$E$58/12)+(($K$31-$K$19)*$D$58/12)+(($K$43-$K$31)*$C$58/12))</f>
        <v>6865.2532008333346</v>
      </c>
      <c r="AA32" s="255">
        <f>(($L$7*$F$59/12)+(($L$19-$L$7)*$E$59/12)+(($L$31-$L$19)*$D$59/12)+(($L$43-$L$31)*$C$59/12))</f>
        <v>4890.1971497500008</v>
      </c>
      <c r="AB32" s="255">
        <f>(($M$7*$F$60/12)+(($M$19-$M$7)*$E$60/12)+(($M$31-$M$19)*$D$60/12)+(($M$43-$M$31)*$C$60/12))</f>
        <v>2278.6779455000001</v>
      </c>
      <c r="AC32" s="255">
        <f>(($N$7*$F$61/12))+(($N$19-$N$7)*$E$61/12)+(($N$31-$N$19)*$D$61/12)+(($N$43-$N$31)*$C$61/12)</f>
        <v>20127.969166666666</v>
      </c>
      <c r="AD32" s="255">
        <f t="shared" si="11"/>
        <v>1348164.9220808002</v>
      </c>
      <c r="AE32" s="286">
        <f>'Plant Additions'!E35-AD32</f>
        <v>0</v>
      </c>
      <c r="AG32" s="255">
        <f>'G361 Additions'!E39</f>
        <v>163701.33349724999</v>
      </c>
      <c r="AH32" s="255">
        <f>'G362 Additions'!E39</f>
        <v>224218.05758774999</v>
      </c>
      <c r="AI32" s="255">
        <f>'G363 Additions'!E39</f>
        <v>13409.824871999999</v>
      </c>
      <c r="AJ32" s="255">
        <f>'G3631 Additions'!E39</f>
        <v>17367.410206249999</v>
      </c>
      <c r="AK32" s="255">
        <f>'G3632 Additions'!E39</f>
        <v>49055.095727</v>
      </c>
      <c r="AL32" s="255">
        <f>'G3633 Additions'!E39</f>
        <v>7805.8595710833333</v>
      </c>
      <c r="AM32" s="255">
        <f>'G3635 Additions'!E39</f>
        <v>16243.605046666666</v>
      </c>
      <c r="AN32" s="255">
        <f>'G3643 Additions'!E39</f>
        <v>8518.5973833333337</v>
      </c>
      <c r="AO32" s="255">
        <f>+'G3645 Additions'!E39</f>
        <v>4391.5410466666663</v>
      </c>
      <c r="AP32" s="255">
        <f>'G3646 Additions'!E39</f>
        <v>2216.0962530000002</v>
      </c>
      <c r="AQ32" s="255">
        <f>'G3912 Additions'!E39</f>
        <v>5591.9921666666669</v>
      </c>
      <c r="AR32" s="255">
        <f>'G397 Additions'!E39</f>
        <v>868.99839316666669</v>
      </c>
      <c r="AS32" s="255">
        <f>'G303 Additions'!E39</f>
        <v>12076.781499999999</v>
      </c>
      <c r="AT32" s="255">
        <f t="shared" si="13"/>
        <v>525465.19325083343</v>
      </c>
      <c r="AU32" s="286">
        <f>'Plant Additions'!F35-AT32</f>
        <v>0</v>
      </c>
    </row>
    <row r="33" spans="1:47" x14ac:dyDescent="0.25">
      <c r="A33" s="84">
        <v>45350</v>
      </c>
      <c r="B33" s="255">
        <v>80840164.689999998</v>
      </c>
      <c r="C33" s="255">
        <v>110724966.70999999</v>
      </c>
      <c r="D33" s="255">
        <v>5830358.6399999997</v>
      </c>
      <c r="E33" s="255">
        <v>6788564.25</v>
      </c>
      <c r="F33" s="255">
        <v>21328302.489999998</v>
      </c>
      <c r="G33" s="255">
        <v>3011907.23</v>
      </c>
      <c r="H33" s="255">
        <v>6961545.0199999996</v>
      </c>
      <c r="I33" s="255">
        <v>3650827.45</v>
      </c>
      <c r="J33" s="255">
        <v>1882089.02</v>
      </c>
      <c r="K33" s="255">
        <v>963520.11</v>
      </c>
      <c r="L33" s="255">
        <v>335519.53000000003</v>
      </c>
      <c r="M33" s="255">
        <v>156341.54</v>
      </c>
      <c r="N33" s="255">
        <v>724606.89</v>
      </c>
      <c r="O33" s="255">
        <f t="shared" si="12"/>
        <v>243198713.56999996</v>
      </c>
      <c r="Q33" s="255">
        <f>((B7*F49/12)+((B19-B7)*E49/12)+((B31-B19)*D49/12)+((B43-B31)*C49/12))</f>
        <v>172728.48522096666</v>
      </c>
      <c r="R33" s="255">
        <f>((C7*F50/12)+((C19-C7)*E50/12)+((C31-C19)*D50/12)+((C43-C31)*C50/12))</f>
        <v>788915.4089462501</v>
      </c>
      <c r="S33" s="255">
        <f t="shared" ref="S33:S43" si="39">($D$7*$F$51/12)+(($D$19-$D$7)*$E$51/12)+(($D$31-$D$19)*$D$51/12)+(($D$43-$D$31)*$C$51/12)</f>
        <v>41541.306228333335</v>
      </c>
      <c r="T33" s="255">
        <f t="shared" ref="T33:T43" si="40">(($E$7*$F$52/12)+(($E$19-$E$7)*$E$52/12)+(($E$31-$E$19)*$D$52/12)+(($E$43-$E$31)*$C$52/12))</f>
        <v>48368.521658749996</v>
      </c>
      <c r="U33" s="255">
        <f t="shared" ref="U33:U43" si="41">(($F$7*$F$53/12)+(($F$19-$F$7)*$E$53/12)+(($F$31-$F$19)*$D$53/12)+(($F$43-$F$31)*$C$53/12))</f>
        <v>151964.15937375001</v>
      </c>
      <c r="V33" s="255">
        <f t="shared" ref="V33:V43" si="42">($G$7*$F$54/12)+(($G$19-$G$7)*$E$54/12)+(($G$31-$G$19)*$D$54/12)+(($G$43-$G$31)*$C$54/12)</f>
        <v>21459.839472916668</v>
      </c>
      <c r="W33" s="255">
        <f t="shared" ref="W33:W43" si="43">(($H$7*$F$55/12)+(($H$19-$H$7)*$E$55/12)+(($H$31-$H$19)*$D$55/12)+(($H$43-$H$31)*$C$55/12))</f>
        <v>49602.385181666665</v>
      </c>
      <c r="X33" s="255">
        <f t="shared" ref="X33:X43" si="44">(($X$7*$F$55/12)+(($I$19-$I$7)*$E$55/12)+(($I$31-$I$19)*$D$55/12)+(($I$43-$I$31)*$C$55/12))</f>
        <v>26012.489924583337</v>
      </c>
      <c r="Y33" s="255">
        <f t="shared" ref="Y33:Y43" si="45">($J$7*$F$57/12)+(($J$19-$J$7)*$E$57/12)+(($J$31-$J$19)*$D$57/12)+(($J$43-$J$31)*$C$57/12)</f>
        <v>13410.228610833336</v>
      </c>
      <c r="Z33" s="255">
        <f t="shared" ref="Z33:Z43" si="46">(($K$7*$F$58/12)+(($K$19-$K$7)*$E$58/12)+(($K$31-$K$19)*$D$58/12)+(($K$43-$K$31)*$C$58/12))</f>
        <v>6865.2532008333346</v>
      </c>
      <c r="AA33" s="255">
        <f t="shared" ref="AA33:AA43" si="47">(($L$7*$F$59/12)+(($L$19-$L$7)*$E$59/12)+(($L$31-$L$19)*$D$59/12)+(($L$43-$L$31)*$C$59/12))</f>
        <v>4890.1971497500008</v>
      </c>
      <c r="AB33" s="255">
        <f t="shared" ref="AB33:AB43" si="48">(($M$7*$F$60/12)+(($M$19-$M$7)*$E$60/12)+(($M$31-$M$19)*$D$60/12)+(($M$43-$M$31)*$C$60/12))</f>
        <v>2278.6779455000001</v>
      </c>
      <c r="AC33" s="255">
        <f t="shared" ref="AC33:AC43" si="49">(($N$7*$F$61/12))+(($N$19-$N$7)*$E$61/12)+(($N$31-$N$19)*$D$61/12)+(($N$43-$N$31)*$C$61/12)</f>
        <v>20127.969166666666</v>
      </c>
      <c r="AD33" s="255">
        <f t="shared" si="11"/>
        <v>1348164.9220808002</v>
      </c>
      <c r="AE33" s="286">
        <f>'Plant Additions'!E36-AD33</f>
        <v>0</v>
      </c>
      <c r="AG33" s="255">
        <f>'G361 Additions'!E40</f>
        <v>163701.33349724999</v>
      </c>
      <c r="AH33" s="255">
        <f>'G362 Additions'!E40</f>
        <v>224218.05758774999</v>
      </c>
      <c r="AI33" s="255">
        <f>'G363 Additions'!E40</f>
        <v>13409.824871999999</v>
      </c>
      <c r="AJ33" s="255">
        <f>'G3631 Additions'!E40</f>
        <v>17367.410206249999</v>
      </c>
      <c r="AK33" s="255">
        <f>'G3632 Additions'!E40</f>
        <v>49055.095727</v>
      </c>
      <c r="AL33" s="255">
        <f>'G3633 Additions'!E40</f>
        <v>7805.8595710833333</v>
      </c>
      <c r="AM33" s="255">
        <f>'G3635 Additions'!E40</f>
        <v>16243.605046666666</v>
      </c>
      <c r="AN33" s="255">
        <f>'G3643 Additions'!E40</f>
        <v>8518.5973833333337</v>
      </c>
      <c r="AO33" s="255">
        <f>+'G3645 Additions'!E40</f>
        <v>4391.5410466666663</v>
      </c>
      <c r="AP33" s="255">
        <f>'G3646 Additions'!E40</f>
        <v>2216.0962530000002</v>
      </c>
      <c r="AQ33" s="255">
        <f>'G3912 Additions'!E40</f>
        <v>5591.9921666666669</v>
      </c>
      <c r="AR33" s="255">
        <f>'G397 Additions'!E40</f>
        <v>868.99839316666669</v>
      </c>
      <c r="AS33" s="255">
        <f>'G303 Additions'!E40</f>
        <v>12076.781499999999</v>
      </c>
      <c r="AT33" s="255">
        <f t="shared" si="13"/>
        <v>525465.19325083343</v>
      </c>
      <c r="AU33" s="286">
        <f>'Plant Additions'!F36-AT33</f>
        <v>0</v>
      </c>
    </row>
    <row r="34" spans="1:47" x14ac:dyDescent="0.25">
      <c r="A34" s="84">
        <v>45382</v>
      </c>
      <c r="B34" s="255">
        <v>80840164.689999998</v>
      </c>
      <c r="C34" s="255">
        <v>110724966.70999999</v>
      </c>
      <c r="D34" s="255">
        <v>5830358.6399999997</v>
      </c>
      <c r="E34" s="255">
        <v>6788564.25</v>
      </c>
      <c r="F34" s="255">
        <v>21328302.489999998</v>
      </c>
      <c r="G34" s="255">
        <v>3011907.23</v>
      </c>
      <c r="H34" s="255">
        <v>6961545.0199999996</v>
      </c>
      <c r="I34" s="255">
        <v>3650827.45</v>
      </c>
      <c r="J34" s="255">
        <v>1882089.02</v>
      </c>
      <c r="K34" s="255">
        <v>963520.11</v>
      </c>
      <c r="L34" s="255">
        <v>335519.53000000003</v>
      </c>
      <c r="M34" s="255">
        <v>156341.54</v>
      </c>
      <c r="N34" s="255">
        <v>724606.89</v>
      </c>
      <c r="O34" s="255">
        <f t="shared" si="12"/>
        <v>243198713.56999996</v>
      </c>
      <c r="Q34" s="255">
        <f>((B7*F49/12)+((B19-B7)*E49/12)+((B31-B19)*D49/12)+((B43-B31)*C49/12))</f>
        <v>172728.48522096666</v>
      </c>
      <c r="R34" s="255">
        <f>((C7*F51/12)+((C19-C7)*E50/12)+((C31-C19)*D50/12)+((C43-C31)*C50/12))</f>
        <v>788915.4089462501</v>
      </c>
      <c r="S34" s="255">
        <f t="shared" si="39"/>
        <v>41541.306228333335</v>
      </c>
      <c r="T34" s="255">
        <f t="shared" si="40"/>
        <v>48368.521658749996</v>
      </c>
      <c r="U34" s="255">
        <f t="shared" si="41"/>
        <v>151964.15937375001</v>
      </c>
      <c r="V34" s="255">
        <f t="shared" si="42"/>
        <v>21459.839472916668</v>
      </c>
      <c r="W34" s="255">
        <f t="shared" si="43"/>
        <v>49602.385181666665</v>
      </c>
      <c r="X34" s="255">
        <f t="shared" si="44"/>
        <v>26012.489924583337</v>
      </c>
      <c r="Y34" s="255">
        <f t="shared" si="45"/>
        <v>13410.228610833336</v>
      </c>
      <c r="Z34" s="255">
        <f t="shared" si="46"/>
        <v>6865.2532008333346</v>
      </c>
      <c r="AA34" s="255">
        <f t="shared" si="47"/>
        <v>4890.1971497500008</v>
      </c>
      <c r="AB34" s="255">
        <f t="shared" si="48"/>
        <v>2278.6779455000001</v>
      </c>
      <c r="AC34" s="255">
        <f t="shared" si="49"/>
        <v>20127.969166666666</v>
      </c>
      <c r="AD34" s="255">
        <f t="shared" si="11"/>
        <v>1348164.9220808002</v>
      </c>
      <c r="AE34" s="286">
        <f>'Plant Additions'!E37-AD34</f>
        <v>0</v>
      </c>
      <c r="AG34" s="255">
        <f>'G361 Additions'!E41</f>
        <v>163701.33349724999</v>
      </c>
      <c r="AH34" s="255">
        <f>'G362 Additions'!E41</f>
        <v>224218.05758774999</v>
      </c>
      <c r="AI34" s="255">
        <f>'G363 Additions'!E41</f>
        <v>13409.824871999999</v>
      </c>
      <c r="AJ34" s="255">
        <f>'G3631 Additions'!E41</f>
        <v>17367.410206249999</v>
      </c>
      <c r="AK34" s="255">
        <f>'G3632 Additions'!E41</f>
        <v>49055.095727</v>
      </c>
      <c r="AL34" s="255">
        <f>'G3633 Additions'!E41</f>
        <v>7805.8595710833333</v>
      </c>
      <c r="AM34" s="255">
        <f>'G3635 Additions'!E41</f>
        <v>16243.605046666666</v>
      </c>
      <c r="AN34" s="255">
        <f>'G3643 Additions'!E41</f>
        <v>8518.5973833333337</v>
      </c>
      <c r="AO34" s="255">
        <f>+'G3645 Additions'!E41</f>
        <v>4391.5410466666663</v>
      </c>
      <c r="AP34" s="255">
        <f>'G3646 Additions'!E41</f>
        <v>2216.0962530000002</v>
      </c>
      <c r="AQ34" s="255">
        <f>'G3912 Additions'!E41</f>
        <v>5591.9921666666669</v>
      </c>
      <c r="AR34" s="255">
        <f>'G397 Additions'!E41</f>
        <v>868.99839316666669</v>
      </c>
      <c r="AS34" s="255">
        <f>'G303 Additions'!E41</f>
        <v>12076.781499999999</v>
      </c>
      <c r="AT34" s="255">
        <f t="shared" si="13"/>
        <v>525465.19325083343</v>
      </c>
      <c r="AU34" s="286">
        <f>'Plant Additions'!F37-AT34</f>
        <v>0</v>
      </c>
    </row>
    <row r="35" spans="1:47" x14ac:dyDescent="0.25">
      <c r="A35" s="84">
        <v>45412</v>
      </c>
      <c r="B35" s="255">
        <v>80840164.689999998</v>
      </c>
      <c r="C35" s="255">
        <v>110724966.70999999</v>
      </c>
      <c r="D35" s="255">
        <v>5830358.6399999997</v>
      </c>
      <c r="E35" s="255">
        <v>6788564.25</v>
      </c>
      <c r="F35" s="255">
        <v>21328302.489999998</v>
      </c>
      <c r="G35" s="255">
        <v>3011907.23</v>
      </c>
      <c r="H35" s="255">
        <v>6961545.0199999996</v>
      </c>
      <c r="I35" s="255">
        <v>3650827.45</v>
      </c>
      <c r="J35" s="255">
        <v>1882089.02</v>
      </c>
      <c r="K35" s="255">
        <v>963520.11</v>
      </c>
      <c r="L35" s="255">
        <v>335519.53000000003</v>
      </c>
      <c r="M35" s="255">
        <v>156341.54</v>
      </c>
      <c r="N35" s="255">
        <v>724606.89</v>
      </c>
      <c r="O35" s="255">
        <f t="shared" si="12"/>
        <v>243198713.56999996</v>
      </c>
      <c r="Q35" s="255">
        <f>((B7*F49/12)+((B19-B7)*E49/12)+((B31-B19)*D49/12)+((B43-B31)*C49/12))</f>
        <v>172728.48522096666</v>
      </c>
      <c r="R35" s="255">
        <f>((C7*F50/12)+((C19-C7)*E50/12)+((C31-C19)*D50/12)+((C43-C31)*C50/12))</f>
        <v>788915.4089462501</v>
      </c>
      <c r="S35" s="255">
        <f t="shared" si="39"/>
        <v>41541.306228333335</v>
      </c>
      <c r="T35" s="255">
        <f t="shared" si="40"/>
        <v>48368.521658749996</v>
      </c>
      <c r="U35" s="255">
        <f t="shared" si="41"/>
        <v>151964.15937375001</v>
      </c>
      <c r="V35" s="255">
        <f t="shared" si="42"/>
        <v>21459.839472916668</v>
      </c>
      <c r="W35" s="255">
        <f t="shared" si="43"/>
        <v>49602.385181666665</v>
      </c>
      <c r="X35" s="255">
        <f t="shared" si="44"/>
        <v>26012.489924583337</v>
      </c>
      <c r="Y35" s="255">
        <f t="shared" si="45"/>
        <v>13410.228610833336</v>
      </c>
      <c r="Z35" s="255">
        <f t="shared" si="46"/>
        <v>6865.2532008333346</v>
      </c>
      <c r="AA35" s="255">
        <f t="shared" si="47"/>
        <v>4890.1971497500008</v>
      </c>
      <c r="AB35" s="255">
        <f t="shared" si="48"/>
        <v>2278.6779455000001</v>
      </c>
      <c r="AC35" s="255">
        <f t="shared" si="49"/>
        <v>20127.969166666666</v>
      </c>
      <c r="AD35" s="255">
        <f t="shared" si="11"/>
        <v>1348164.9220808002</v>
      </c>
      <c r="AE35" s="286">
        <f>'Plant Additions'!E38-AD35</f>
        <v>0</v>
      </c>
      <c r="AG35" s="255">
        <f>'G361 Additions'!E42</f>
        <v>163701.33349724999</v>
      </c>
      <c r="AH35" s="255">
        <f>'G362 Additions'!E42</f>
        <v>224218.05758774999</v>
      </c>
      <c r="AI35" s="255">
        <f>'G363 Additions'!E42</f>
        <v>13409.824871999999</v>
      </c>
      <c r="AJ35" s="255">
        <f>'G3631 Additions'!E42</f>
        <v>17367.410206249999</v>
      </c>
      <c r="AK35" s="255">
        <f>'G3632 Additions'!E42</f>
        <v>49055.095727</v>
      </c>
      <c r="AL35" s="255">
        <f>'G3633 Additions'!E42</f>
        <v>7805.8595710833333</v>
      </c>
      <c r="AM35" s="255">
        <f>'G3635 Additions'!E42</f>
        <v>16243.605046666666</v>
      </c>
      <c r="AN35" s="255">
        <f>'G3643 Additions'!E42</f>
        <v>8518.5973833333337</v>
      </c>
      <c r="AO35" s="255">
        <f>+'G3645 Additions'!E42</f>
        <v>4391.5410466666663</v>
      </c>
      <c r="AP35" s="255">
        <f>'G3646 Additions'!E42</f>
        <v>2216.0962530000002</v>
      </c>
      <c r="AQ35" s="255">
        <f>'G3912 Additions'!E42</f>
        <v>5591.9921666666669</v>
      </c>
      <c r="AR35" s="255">
        <f>'G397 Additions'!E42</f>
        <v>868.99839316666669</v>
      </c>
      <c r="AS35" s="255">
        <f>'G303 Additions'!E42</f>
        <v>12076.781499999999</v>
      </c>
      <c r="AT35" s="255">
        <f t="shared" si="13"/>
        <v>525465.19325083343</v>
      </c>
      <c r="AU35" s="286">
        <f>'Plant Additions'!F38-AT35</f>
        <v>0</v>
      </c>
    </row>
    <row r="36" spans="1:47" x14ac:dyDescent="0.25">
      <c r="A36" s="84">
        <v>45443</v>
      </c>
      <c r="B36" s="255">
        <v>80840164.689999998</v>
      </c>
      <c r="C36" s="255">
        <v>110724966.70999999</v>
      </c>
      <c r="D36" s="255">
        <v>5830358.6399999997</v>
      </c>
      <c r="E36" s="255">
        <v>6788564.25</v>
      </c>
      <c r="F36" s="255">
        <v>21328302.489999998</v>
      </c>
      <c r="G36" s="255">
        <v>3011907.23</v>
      </c>
      <c r="H36" s="255">
        <v>6961545.0199999996</v>
      </c>
      <c r="I36" s="255">
        <v>3650827.45</v>
      </c>
      <c r="J36" s="255">
        <v>1882089.02</v>
      </c>
      <c r="K36" s="255">
        <v>963520.11</v>
      </c>
      <c r="L36" s="255">
        <v>335519.53000000003</v>
      </c>
      <c r="M36" s="255">
        <v>156341.54</v>
      </c>
      <c r="N36" s="255">
        <v>724606.89</v>
      </c>
      <c r="O36" s="255">
        <f t="shared" si="12"/>
        <v>243198713.56999996</v>
      </c>
      <c r="Q36" s="255">
        <f>((B7*F49/12)+((B19-B7)*E49/12)+((B31-B19)*D49/12)+((B43-B31)*C49/12))</f>
        <v>172728.48522096666</v>
      </c>
      <c r="R36" s="255">
        <f>((C7*F50/12)+((C19-C7)*E50/12)+((C31-C19)*D50/12)+((C43-C31)*C54/12))</f>
        <v>788915.4089462501</v>
      </c>
      <c r="S36" s="255">
        <f t="shared" si="39"/>
        <v>41541.306228333335</v>
      </c>
      <c r="T36" s="255">
        <f t="shared" si="40"/>
        <v>48368.521658749996</v>
      </c>
      <c r="U36" s="255">
        <f t="shared" si="41"/>
        <v>151964.15937375001</v>
      </c>
      <c r="V36" s="255">
        <f t="shared" si="42"/>
        <v>21459.839472916668</v>
      </c>
      <c r="W36" s="255">
        <f t="shared" si="43"/>
        <v>49602.385181666665</v>
      </c>
      <c r="X36" s="255">
        <f t="shared" si="44"/>
        <v>26012.489924583337</v>
      </c>
      <c r="Y36" s="255">
        <f t="shared" si="45"/>
        <v>13410.228610833336</v>
      </c>
      <c r="Z36" s="255">
        <f t="shared" si="46"/>
        <v>6865.2532008333346</v>
      </c>
      <c r="AA36" s="255">
        <f t="shared" si="47"/>
        <v>4890.1971497500008</v>
      </c>
      <c r="AB36" s="255">
        <f t="shared" si="48"/>
        <v>2278.6779455000001</v>
      </c>
      <c r="AC36" s="255">
        <f t="shared" si="49"/>
        <v>20127.969166666666</v>
      </c>
      <c r="AD36" s="255">
        <f t="shared" si="11"/>
        <v>1348164.9220808002</v>
      </c>
      <c r="AE36" s="286">
        <f>'Plant Additions'!E39-AD36</f>
        <v>0</v>
      </c>
      <c r="AG36" s="255">
        <f>'G361 Additions'!E43</f>
        <v>163701.33349724999</v>
      </c>
      <c r="AH36" s="255">
        <f>'G362 Additions'!E43</f>
        <v>224218.05758774999</v>
      </c>
      <c r="AI36" s="255">
        <f>'G363 Additions'!E43</f>
        <v>13409.824871999999</v>
      </c>
      <c r="AJ36" s="255">
        <f>'G3631 Additions'!E43</f>
        <v>17367.410206249999</v>
      </c>
      <c r="AK36" s="255">
        <f>'G3632 Additions'!E43</f>
        <v>49055.095727</v>
      </c>
      <c r="AL36" s="255">
        <f>'G3633 Additions'!E43</f>
        <v>7805.8595710833333</v>
      </c>
      <c r="AM36" s="255">
        <f>'G3635 Additions'!E43</f>
        <v>16243.605046666666</v>
      </c>
      <c r="AN36" s="255">
        <f>'G3643 Additions'!E43</f>
        <v>8518.5973833333337</v>
      </c>
      <c r="AO36" s="255">
        <f>+'G3645 Additions'!E43</f>
        <v>4391.5410466666663</v>
      </c>
      <c r="AP36" s="255">
        <f>'G3646 Additions'!E43</f>
        <v>2216.0962530000002</v>
      </c>
      <c r="AQ36" s="255">
        <f>'G3912 Additions'!E43</f>
        <v>5591.9921666666669</v>
      </c>
      <c r="AR36" s="255">
        <f>'G397 Additions'!E43</f>
        <v>868.99839316666669</v>
      </c>
      <c r="AS36" s="255">
        <f>'G303 Additions'!E43</f>
        <v>12076.781499999999</v>
      </c>
      <c r="AT36" s="255">
        <f t="shared" si="13"/>
        <v>525465.19325083343</v>
      </c>
      <c r="AU36" s="286">
        <f>'Plant Additions'!F39-AT36</f>
        <v>0</v>
      </c>
    </row>
    <row r="37" spans="1:47" x14ac:dyDescent="0.25">
      <c r="A37" s="84">
        <v>45473</v>
      </c>
      <c r="B37" s="255">
        <v>80840164.689999998</v>
      </c>
      <c r="C37" s="255">
        <v>110724966.70999999</v>
      </c>
      <c r="D37" s="255">
        <v>5830358.6399999997</v>
      </c>
      <c r="E37" s="255">
        <v>6788564.25</v>
      </c>
      <c r="F37" s="255">
        <v>21328302.489999998</v>
      </c>
      <c r="G37" s="255">
        <v>3011907.23</v>
      </c>
      <c r="H37" s="255">
        <v>6961545.0199999996</v>
      </c>
      <c r="I37" s="255">
        <v>3650827.45</v>
      </c>
      <c r="J37" s="255">
        <v>1882089.02</v>
      </c>
      <c r="K37" s="255">
        <v>963520.11</v>
      </c>
      <c r="L37" s="255">
        <v>335519.53000000003</v>
      </c>
      <c r="M37" s="255">
        <v>156341.54</v>
      </c>
      <c r="N37" s="255">
        <v>724606.89</v>
      </c>
      <c r="O37" s="255">
        <f t="shared" si="12"/>
        <v>243198713.56999996</v>
      </c>
      <c r="Q37" s="255">
        <f>((B7*F49/12)+((B19-B7)*E49/12)+((B31-B19)*D49/12)+((B43-B31)*C49/12))</f>
        <v>172728.48522096666</v>
      </c>
      <c r="R37" s="255">
        <f>((C7*F50/12)+((C19-C7)*E50/12)+((C31-C19)*D50/12)+((C43-C31)*C50/12))</f>
        <v>788915.4089462501</v>
      </c>
      <c r="S37" s="255">
        <f t="shared" si="39"/>
        <v>41541.306228333335</v>
      </c>
      <c r="T37" s="255">
        <f t="shared" si="40"/>
        <v>48368.521658749996</v>
      </c>
      <c r="U37" s="255">
        <f t="shared" si="41"/>
        <v>151964.15937375001</v>
      </c>
      <c r="V37" s="255">
        <f t="shared" si="42"/>
        <v>21459.839472916668</v>
      </c>
      <c r="W37" s="255">
        <f t="shared" si="43"/>
        <v>49602.385181666665</v>
      </c>
      <c r="X37" s="255">
        <f t="shared" si="44"/>
        <v>26012.489924583337</v>
      </c>
      <c r="Y37" s="255">
        <f t="shared" si="45"/>
        <v>13410.228610833336</v>
      </c>
      <c r="Z37" s="255">
        <f t="shared" si="46"/>
        <v>6865.2532008333346</v>
      </c>
      <c r="AA37" s="255">
        <f t="shared" si="47"/>
        <v>4890.1971497500008</v>
      </c>
      <c r="AB37" s="255">
        <f t="shared" si="48"/>
        <v>2278.6779455000001</v>
      </c>
      <c r="AC37" s="255">
        <f t="shared" si="49"/>
        <v>20127.969166666666</v>
      </c>
      <c r="AD37" s="255">
        <f t="shared" si="11"/>
        <v>1348164.9220808002</v>
      </c>
      <c r="AE37" s="286">
        <f>'Plant Additions'!E40-AD37</f>
        <v>0</v>
      </c>
      <c r="AG37" s="255">
        <f>'G361 Additions'!E44</f>
        <v>163701.33349724999</v>
      </c>
      <c r="AH37" s="255">
        <f>'G362 Additions'!E44</f>
        <v>224218.05758774999</v>
      </c>
      <c r="AI37" s="255">
        <f>'G363 Additions'!E44</f>
        <v>13409.824871999999</v>
      </c>
      <c r="AJ37" s="255">
        <f>'G3631 Additions'!E44</f>
        <v>17367.410206249999</v>
      </c>
      <c r="AK37" s="255">
        <f>'G3632 Additions'!E44</f>
        <v>49055.095727</v>
      </c>
      <c r="AL37" s="255">
        <f>'G3633 Additions'!E44</f>
        <v>7805.8595710833333</v>
      </c>
      <c r="AM37" s="255">
        <f>'G3635 Additions'!E44</f>
        <v>16243.605046666666</v>
      </c>
      <c r="AN37" s="255">
        <f>'G3643 Additions'!E44</f>
        <v>8518.5973833333337</v>
      </c>
      <c r="AO37" s="255">
        <f>+'G3645 Additions'!E44</f>
        <v>4391.5410466666663</v>
      </c>
      <c r="AP37" s="255">
        <f>'G3646 Additions'!E44</f>
        <v>2216.0962530000002</v>
      </c>
      <c r="AQ37" s="255">
        <f>'G3912 Additions'!E44</f>
        <v>5591.9921666666669</v>
      </c>
      <c r="AR37" s="255">
        <f>'G397 Additions'!E44</f>
        <v>868.99839316666669</v>
      </c>
      <c r="AS37" s="255">
        <f>'G303 Additions'!E44</f>
        <v>12076.781499999999</v>
      </c>
      <c r="AT37" s="255">
        <f t="shared" si="13"/>
        <v>525465.19325083343</v>
      </c>
      <c r="AU37" s="286">
        <f>'Plant Additions'!F40-AT37</f>
        <v>0</v>
      </c>
    </row>
    <row r="38" spans="1:47" x14ac:dyDescent="0.25">
      <c r="A38" s="84">
        <v>45504</v>
      </c>
      <c r="B38" s="255">
        <v>80840164.689999998</v>
      </c>
      <c r="C38" s="255">
        <v>110724966.70999999</v>
      </c>
      <c r="D38" s="255">
        <v>5830358.6399999997</v>
      </c>
      <c r="E38" s="255">
        <v>6788564.25</v>
      </c>
      <c r="F38" s="255">
        <v>21328302.489999998</v>
      </c>
      <c r="G38" s="255">
        <v>3011907.23</v>
      </c>
      <c r="H38" s="255">
        <v>6961545.0199999996</v>
      </c>
      <c r="I38" s="255">
        <v>3650827.45</v>
      </c>
      <c r="J38" s="255">
        <v>1882089.02</v>
      </c>
      <c r="K38" s="255">
        <v>963520.11</v>
      </c>
      <c r="L38" s="255">
        <v>335519.53000000003</v>
      </c>
      <c r="M38" s="255">
        <v>156341.54</v>
      </c>
      <c r="N38" s="255">
        <v>724606.89</v>
      </c>
      <c r="O38" s="255">
        <f t="shared" si="12"/>
        <v>243198713.56999996</v>
      </c>
      <c r="Q38" s="255">
        <f>((B7*F49/12)+((B19-B7)*E49/12)+((B31-B19)*D49/12)+((B43-B31)*C49/12))</f>
        <v>172728.48522096666</v>
      </c>
      <c r="R38" s="255">
        <f>((C7*F50/12)+((C19-C7)*E50/12)+((C31-C19)*D50/12)+((C43-C31)*C50/12))</f>
        <v>788915.4089462501</v>
      </c>
      <c r="S38" s="255">
        <f t="shared" si="39"/>
        <v>41541.306228333335</v>
      </c>
      <c r="T38" s="255">
        <f t="shared" si="40"/>
        <v>48368.521658749996</v>
      </c>
      <c r="U38" s="255">
        <f t="shared" si="41"/>
        <v>151964.15937375001</v>
      </c>
      <c r="V38" s="255">
        <f t="shared" si="42"/>
        <v>21459.839472916668</v>
      </c>
      <c r="W38" s="255">
        <f t="shared" si="43"/>
        <v>49602.385181666665</v>
      </c>
      <c r="X38" s="255">
        <f t="shared" si="44"/>
        <v>26012.489924583337</v>
      </c>
      <c r="Y38" s="255">
        <f t="shared" si="45"/>
        <v>13410.228610833336</v>
      </c>
      <c r="Z38" s="255">
        <f t="shared" si="46"/>
        <v>6865.2532008333346</v>
      </c>
      <c r="AA38" s="255">
        <f t="shared" si="47"/>
        <v>4890.1971497500008</v>
      </c>
      <c r="AB38" s="255">
        <f t="shared" si="48"/>
        <v>2278.6779455000001</v>
      </c>
      <c r="AC38" s="255">
        <f t="shared" si="49"/>
        <v>20127.969166666666</v>
      </c>
      <c r="AD38" s="255">
        <f t="shared" si="11"/>
        <v>1348164.9220808002</v>
      </c>
      <c r="AE38" s="286">
        <f>'Plant Additions'!E41-AD38</f>
        <v>0</v>
      </c>
      <c r="AG38" s="255">
        <f>'G361 Additions'!E45</f>
        <v>163701.33349724999</v>
      </c>
      <c r="AH38" s="255">
        <f>'G362 Additions'!E45</f>
        <v>224218.05758774999</v>
      </c>
      <c r="AI38" s="255">
        <f>'G363 Additions'!E45</f>
        <v>13409.824871999999</v>
      </c>
      <c r="AJ38" s="255">
        <f>'G3631 Additions'!E45</f>
        <v>17367.410206249999</v>
      </c>
      <c r="AK38" s="255">
        <f>'G3632 Additions'!E45</f>
        <v>49055.095727</v>
      </c>
      <c r="AL38" s="255">
        <f>'G3633 Additions'!E45</f>
        <v>7805.8595710833333</v>
      </c>
      <c r="AM38" s="255">
        <f>'G3635 Additions'!E45</f>
        <v>16243.605046666666</v>
      </c>
      <c r="AN38" s="255">
        <f>'G3643 Additions'!E45</f>
        <v>8518.5973833333337</v>
      </c>
      <c r="AO38" s="255">
        <f>+'G3645 Additions'!E45</f>
        <v>4391.5410466666663</v>
      </c>
      <c r="AP38" s="255">
        <f>'G3646 Additions'!E45</f>
        <v>2216.0962530000002</v>
      </c>
      <c r="AQ38" s="255">
        <f>'G3912 Additions'!E45</f>
        <v>5591.9921666666669</v>
      </c>
      <c r="AR38" s="255">
        <f>'G397 Additions'!E45</f>
        <v>868.99839316666669</v>
      </c>
      <c r="AS38" s="255">
        <f>'G303 Additions'!E45</f>
        <v>12076.781499999999</v>
      </c>
      <c r="AT38" s="255">
        <f t="shared" si="13"/>
        <v>525465.19325083343</v>
      </c>
      <c r="AU38" s="286">
        <f>'Plant Additions'!F41-AT38</f>
        <v>0</v>
      </c>
    </row>
    <row r="39" spans="1:47" x14ac:dyDescent="0.25">
      <c r="A39" s="84">
        <v>45535</v>
      </c>
      <c r="B39" s="255">
        <v>80840164.689999998</v>
      </c>
      <c r="C39" s="255">
        <v>110724966.70999999</v>
      </c>
      <c r="D39" s="255">
        <v>5830358.6399999997</v>
      </c>
      <c r="E39" s="255">
        <v>6788564.25</v>
      </c>
      <c r="F39" s="255">
        <v>21328302.489999998</v>
      </c>
      <c r="G39" s="255">
        <v>3011907.23</v>
      </c>
      <c r="H39" s="255">
        <v>6961545.0199999996</v>
      </c>
      <c r="I39" s="255">
        <v>3650827.45</v>
      </c>
      <c r="J39" s="255">
        <v>1882089.02</v>
      </c>
      <c r="K39" s="255">
        <v>963520.11</v>
      </c>
      <c r="L39" s="255">
        <v>335519.53000000003</v>
      </c>
      <c r="M39" s="255">
        <v>156341.54</v>
      </c>
      <c r="N39" s="255">
        <v>724606.89</v>
      </c>
      <c r="O39" s="255">
        <f t="shared" si="12"/>
        <v>243198713.56999996</v>
      </c>
      <c r="Q39" s="255">
        <f>((B7*F49/12)+((B19-B7)*E49/12)+((B31-B19)*D49/12)+((B43-B31)*C49/12))</f>
        <v>172728.48522096666</v>
      </c>
      <c r="R39" s="255">
        <f>((C7*F50/12)+((C19-C7)*E50/12)+((C31-C19)*D50/12)+((C43-C31)*C50/12))</f>
        <v>788915.4089462501</v>
      </c>
      <c r="S39" s="255">
        <f t="shared" si="39"/>
        <v>41541.306228333335</v>
      </c>
      <c r="T39" s="255">
        <f t="shared" si="40"/>
        <v>48368.521658749996</v>
      </c>
      <c r="U39" s="255">
        <f t="shared" si="41"/>
        <v>151964.15937375001</v>
      </c>
      <c r="V39" s="255">
        <f t="shared" si="42"/>
        <v>21459.839472916668</v>
      </c>
      <c r="W39" s="255">
        <f t="shared" si="43"/>
        <v>49602.385181666665</v>
      </c>
      <c r="X39" s="255">
        <f t="shared" si="44"/>
        <v>26012.489924583337</v>
      </c>
      <c r="Y39" s="255">
        <f t="shared" si="45"/>
        <v>13410.228610833336</v>
      </c>
      <c r="Z39" s="255">
        <f t="shared" si="46"/>
        <v>6865.2532008333346</v>
      </c>
      <c r="AA39" s="255">
        <f t="shared" si="47"/>
        <v>4890.1971497500008</v>
      </c>
      <c r="AB39" s="255">
        <f t="shared" si="48"/>
        <v>2278.6779455000001</v>
      </c>
      <c r="AC39" s="255">
        <f t="shared" si="49"/>
        <v>20127.969166666666</v>
      </c>
      <c r="AD39" s="255">
        <f t="shared" si="11"/>
        <v>1348164.9220808002</v>
      </c>
      <c r="AE39" s="286">
        <f>'Plant Additions'!E42-AD39</f>
        <v>0</v>
      </c>
      <c r="AG39" s="255">
        <f>'G361 Additions'!E46</f>
        <v>163701.33349724999</v>
      </c>
      <c r="AH39" s="255">
        <f>'G362 Additions'!E46</f>
        <v>224218.05758774999</v>
      </c>
      <c r="AI39" s="255">
        <f>'G363 Additions'!E46</f>
        <v>13409.824871999999</v>
      </c>
      <c r="AJ39" s="255">
        <f>'G3631 Additions'!E46</f>
        <v>17367.410206249999</v>
      </c>
      <c r="AK39" s="255">
        <f>'G3632 Additions'!E46</f>
        <v>49055.095727</v>
      </c>
      <c r="AL39" s="255">
        <f>'G3633 Additions'!E46</f>
        <v>7805.8595710833333</v>
      </c>
      <c r="AM39" s="255">
        <f>'G3635 Additions'!E46</f>
        <v>16243.605046666666</v>
      </c>
      <c r="AN39" s="255">
        <f>'G3643 Additions'!E46</f>
        <v>8518.5973833333337</v>
      </c>
      <c r="AO39" s="255">
        <f>+'G3645 Additions'!E46</f>
        <v>4391.5410466666663</v>
      </c>
      <c r="AP39" s="255">
        <f>'G3646 Additions'!E46</f>
        <v>2216.0962530000002</v>
      </c>
      <c r="AQ39" s="255">
        <f>'G3912 Additions'!E46</f>
        <v>5591.9921666666669</v>
      </c>
      <c r="AR39" s="255">
        <f>'G397 Additions'!E46</f>
        <v>868.99839316666669</v>
      </c>
      <c r="AS39" s="255">
        <f>'G303 Additions'!E46</f>
        <v>12076.781499999999</v>
      </c>
      <c r="AT39" s="255">
        <f t="shared" si="13"/>
        <v>525465.19325083343</v>
      </c>
      <c r="AU39" s="286">
        <f>'Plant Additions'!F42-AT39</f>
        <v>0</v>
      </c>
    </row>
    <row r="40" spans="1:47" x14ac:dyDescent="0.25">
      <c r="A40" s="84">
        <v>45565</v>
      </c>
      <c r="B40" s="255">
        <v>80840164.689999998</v>
      </c>
      <c r="C40" s="255">
        <v>110724966.70999999</v>
      </c>
      <c r="D40" s="255">
        <v>5830358.6399999997</v>
      </c>
      <c r="E40" s="255">
        <v>6788564.25</v>
      </c>
      <c r="F40" s="255">
        <v>21328302.489999998</v>
      </c>
      <c r="G40" s="255">
        <v>3011907.23</v>
      </c>
      <c r="H40" s="255">
        <v>6961545.0199999996</v>
      </c>
      <c r="I40" s="255">
        <v>3650827.45</v>
      </c>
      <c r="J40" s="255">
        <v>1882089.02</v>
      </c>
      <c r="K40" s="255">
        <v>963520.11</v>
      </c>
      <c r="L40" s="255">
        <v>335519.53000000003</v>
      </c>
      <c r="M40" s="255">
        <v>156341.54</v>
      </c>
      <c r="N40" s="255">
        <v>724606.89</v>
      </c>
      <c r="O40" s="255">
        <f t="shared" si="12"/>
        <v>243198713.56999996</v>
      </c>
      <c r="Q40" s="255">
        <f>((B7*F49/12)+((B19-B7)*E49/12)+((B31-B19)*D49/12)+((B43-B31)*C49/12))</f>
        <v>172728.48522096666</v>
      </c>
      <c r="R40" s="255">
        <f>((C7*F50/12)+((C19-C7)*E50/12)+((C31-C19)*D50/12)+((C43-C31)*C50/12))</f>
        <v>788915.4089462501</v>
      </c>
      <c r="S40" s="255">
        <f t="shared" si="39"/>
        <v>41541.306228333335</v>
      </c>
      <c r="T40" s="255">
        <f t="shared" si="40"/>
        <v>48368.521658749996</v>
      </c>
      <c r="U40" s="255">
        <f t="shared" si="41"/>
        <v>151964.15937375001</v>
      </c>
      <c r="V40" s="255">
        <f t="shared" si="42"/>
        <v>21459.839472916668</v>
      </c>
      <c r="W40" s="255">
        <f t="shared" si="43"/>
        <v>49602.385181666665</v>
      </c>
      <c r="X40" s="255">
        <f t="shared" si="44"/>
        <v>26012.489924583337</v>
      </c>
      <c r="Y40" s="255">
        <f t="shared" si="45"/>
        <v>13410.228610833336</v>
      </c>
      <c r="Z40" s="255">
        <f t="shared" si="46"/>
        <v>6865.2532008333346</v>
      </c>
      <c r="AA40" s="255">
        <f t="shared" si="47"/>
        <v>4890.1971497500008</v>
      </c>
      <c r="AB40" s="255">
        <f t="shared" si="48"/>
        <v>2278.6779455000001</v>
      </c>
      <c r="AC40" s="255">
        <f t="shared" si="49"/>
        <v>20127.969166666666</v>
      </c>
      <c r="AD40" s="255">
        <f t="shared" si="11"/>
        <v>1348164.9220808002</v>
      </c>
      <c r="AE40" s="286">
        <f>'Plant Additions'!E43-AD40</f>
        <v>0</v>
      </c>
      <c r="AG40" s="255">
        <f>'G361 Additions'!E47</f>
        <v>163701.33349724999</v>
      </c>
      <c r="AH40" s="255">
        <f>'G362 Additions'!E47</f>
        <v>224218.05758774999</v>
      </c>
      <c r="AI40" s="255">
        <f>'G363 Additions'!E47</f>
        <v>13409.824871999999</v>
      </c>
      <c r="AJ40" s="255">
        <f>'G3631 Additions'!E47</f>
        <v>17367.410206249999</v>
      </c>
      <c r="AK40" s="255">
        <f>'G3632 Additions'!E47</f>
        <v>49055.095727</v>
      </c>
      <c r="AL40" s="255">
        <f>'G3633 Additions'!E47</f>
        <v>7805.8595710833333</v>
      </c>
      <c r="AM40" s="255">
        <f>'G3635 Additions'!E47</f>
        <v>16243.605046666666</v>
      </c>
      <c r="AN40" s="255">
        <f>'G3643 Additions'!E47</f>
        <v>8518.5973833333337</v>
      </c>
      <c r="AO40" s="255">
        <f>+'G3645 Additions'!E47</f>
        <v>4391.5410466666663</v>
      </c>
      <c r="AP40" s="255">
        <f>'G3646 Additions'!E47</f>
        <v>2216.0962530000002</v>
      </c>
      <c r="AQ40" s="255">
        <f>'G3912 Additions'!E47</f>
        <v>5591.9921666666669</v>
      </c>
      <c r="AR40" s="255">
        <f>'G397 Additions'!E47</f>
        <v>868.99839316666669</v>
      </c>
      <c r="AS40" s="255">
        <f>'G303 Additions'!E47</f>
        <v>12076.781499999999</v>
      </c>
      <c r="AT40" s="255">
        <f t="shared" si="13"/>
        <v>525465.19325083343</v>
      </c>
      <c r="AU40" s="286">
        <f>'Plant Additions'!F43-AT40</f>
        <v>0</v>
      </c>
    </row>
    <row r="41" spans="1:47" x14ac:dyDescent="0.25">
      <c r="A41" s="84">
        <v>45596</v>
      </c>
      <c r="B41" s="255">
        <v>80840164.689999998</v>
      </c>
      <c r="C41" s="255">
        <v>110724966.70999999</v>
      </c>
      <c r="D41" s="255">
        <v>5830358.6399999997</v>
      </c>
      <c r="E41" s="255">
        <v>6788564.25</v>
      </c>
      <c r="F41" s="255">
        <v>21328302.489999998</v>
      </c>
      <c r="G41" s="255">
        <v>3011907.23</v>
      </c>
      <c r="H41" s="255">
        <v>6961545.0199999996</v>
      </c>
      <c r="I41" s="255">
        <v>3650827.45</v>
      </c>
      <c r="J41" s="255">
        <v>1882089.02</v>
      </c>
      <c r="K41" s="255">
        <v>963520.11</v>
      </c>
      <c r="L41" s="255">
        <v>335519.53000000003</v>
      </c>
      <c r="M41" s="255">
        <v>156341.54</v>
      </c>
      <c r="N41" s="255">
        <v>724606.89</v>
      </c>
      <c r="O41" s="255">
        <f t="shared" si="12"/>
        <v>243198713.56999996</v>
      </c>
      <c r="Q41" s="255">
        <f>((B7*F49/12)+((B19-B7)*E49/12)+((B31-B19)*D49/12)+((B43-B31)*C49/12))</f>
        <v>172728.48522096666</v>
      </c>
      <c r="R41" s="255">
        <f>((C7*F50/12)+((C19-C7)*E50/12)+((C31-C19)*D50/12)+((C43-C31)*C50/12))</f>
        <v>788915.4089462501</v>
      </c>
      <c r="S41" s="255">
        <f t="shared" si="39"/>
        <v>41541.306228333335</v>
      </c>
      <c r="T41" s="255">
        <f t="shared" si="40"/>
        <v>48368.521658749996</v>
      </c>
      <c r="U41" s="255">
        <f t="shared" si="41"/>
        <v>151964.15937375001</v>
      </c>
      <c r="V41" s="255">
        <f t="shared" si="42"/>
        <v>21459.839472916668</v>
      </c>
      <c r="W41" s="255">
        <f t="shared" si="43"/>
        <v>49602.385181666665</v>
      </c>
      <c r="X41" s="255">
        <f t="shared" si="44"/>
        <v>26012.489924583337</v>
      </c>
      <c r="Y41" s="255">
        <f t="shared" si="45"/>
        <v>13410.228610833336</v>
      </c>
      <c r="Z41" s="255">
        <f t="shared" si="46"/>
        <v>6865.2532008333346</v>
      </c>
      <c r="AA41" s="255">
        <f t="shared" si="47"/>
        <v>4890.1971497500008</v>
      </c>
      <c r="AB41" s="255">
        <f t="shared" si="48"/>
        <v>2278.6779455000001</v>
      </c>
      <c r="AC41" s="255">
        <f t="shared" si="49"/>
        <v>20127.969166666666</v>
      </c>
      <c r="AD41" s="255">
        <f t="shared" si="11"/>
        <v>1348164.9220808002</v>
      </c>
      <c r="AE41" s="286">
        <f>'Plant Additions'!E44-AD41</f>
        <v>0</v>
      </c>
      <c r="AG41" s="255">
        <f>'G361 Additions'!E48</f>
        <v>163701.33349724999</v>
      </c>
      <c r="AH41" s="255">
        <f>'G362 Additions'!E48</f>
        <v>224218.05758774999</v>
      </c>
      <c r="AI41" s="255">
        <f>'G363 Additions'!E48</f>
        <v>13409.824871999999</v>
      </c>
      <c r="AJ41" s="255">
        <f>'G3631 Additions'!E48</f>
        <v>17367.410206249999</v>
      </c>
      <c r="AK41" s="255">
        <f>'G3632 Additions'!E48</f>
        <v>49055.095727</v>
      </c>
      <c r="AL41" s="255">
        <f>'G3633 Additions'!E48</f>
        <v>7805.8595710833333</v>
      </c>
      <c r="AM41" s="255">
        <f>'G3635 Additions'!E48</f>
        <v>16243.605046666666</v>
      </c>
      <c r="AN41" s="255">
        <f>'G3643 Additions'!E48</f>
        <v>8518.5973833333337</v>
      </c>
      <c r="AO41" s="255">
        <f>+'G3645 Additions'!E48</f>
        <v>4391.5410466666663</v>
      </c>
      <c r="AP41" s="255">
        <f>'G3646 Additions'!E48</f>
        <v>2216.0962530000002</v>
      </c>
      <c r="AQ41" s="255">
        <f>'G3912 Additions'!E48</f>
        <v>5591.9921666666669</v>
      </c>
      <c r="AR41" s="255">
        <f>'G397 Additions'!E48</f>
        <v>868.99839316666669</v>
      </c>
      <c r="AS41" s="255">
        <f>'G303 Additions'!E48</f>
        <v>12076.781499999999</v>
      </c>
      <c r="AT41" s="255">
        <f t="shared" si="13"/>
        <v>525465.19325083343</v>
      </c>
      <c r="AU41" s="286">
        <f>'Plant Additions'!F44-AT41</f>
        <v>0</v>
      </c>
    </row>
    <row r="42" spans="1:47" x14ac:dyDescent="0.25">
      <c r="A42" s="84">
        <v>45626</v>
      </c>
      <c r="B42" s="255">
        <v>80840164.689999998</v>
      </c>
      <c r="C42" s="255">
        <v>110724966.70999999</v>
      </c>
      <c r="D42" s="255">
        <v>5830358.6399999997</v>
      </c>
      <c r="E42" s="255">
        <v>6788564.25</v>
      </c>
      <c r="F42" s="255">
        <v>21328302.489999998</v>
      </c>
      <c r="G42" s="255">
        <v>3011907.23</v>
      </c>
      <c r="H42" s="255">
        <v>6961545.0199999996</v>
      </c>
      <c r="I42" s="255">
        <v>3650827.45</v>
      </c>
      <c r="J42" s="255">
        <v>1882089.02</v>
      </c>
      <c r="K42" s="255">
        <v>963520.11</v>
      </c>
      <c r="L42" s="255">
        <v>335519.53000000003</v>
      </c>
      <c r="M42" s="255">
        <v>156341.54</v>
      </c>
      <c r="N42" s="255">
        <v>724606.89</v>
      </c>
      <c r="O42" s="255">
        <f t="shared" si="12"/>
        <v>243198713.56999996</v>
      </c>
      <c r="Q42" s="255">
        <f>((B7*F49/12)+((B19-B7)*E49/12)+((B31-B19)*D49/12)+((B43-B31)*C49/12))</f>
        <v>172728.48522096666</v>
      </c>
      <c r="R42" s="255">
        <f>((C7*F50/12)+((C19-C7)*E50/12)+((C31-C19)*D50/12)+((C43-C31)*C50/12))</f>
        <v>788915.4089462501</v>
      </c>
      <c r="S42" s="255">
        <f t="shared" si="39"/>
        <v>41541.306228333335</v>
      </c>
      <c r="T42" s="255">
        <f t="shared" si="40"/>
        <v>48368.521658749996</v>
      </c>
      <c r="U42" s="255">
        <f t="shared" si="41"/>
        <v>151964.15937375001</v>
      </c>
      <c r="V42" s="255">
        <f t="shared" si="42"/>
        <v>21459.839472916668</v>
      </c>
      <c r="W42" s="255">
        <f t="shared" si="43"/>
        <v>49602.385181666665</v>
      </c>
      <c r="X42" s="255">
        <f t="shared" si="44"/>
        <v>26012.489924583337</v>
      </c>
      <c r="Y42" s="255">
        <f t="shared" si="45"/>
        <v>13410.228610833336</v>
      </c>
      <c r="Z42" s="255">
        <f t="shared" si="46"/>
        <v>6865.2532008333346</v>
      </c>
      <c r="AA42" s="255">
        <f t="shared" si="47"/>
        <v>4890.1971497500008</v>
      </c>
      <c r="AB42" s="255">
        <f t="shared" si="48"/>
        <v>2278.6779455000001</v>
      </c>
      <c r="AC42" s="255">
        <f t="shared" si="49"/>
        <v>20127.969166666666</v>
      </c>
      <c r="AD42" s="255">
        <f t="shared" si="11"/>
        <v>1348164.9220808002</v>
      </c>
      <c r="AE42" s="286">
        <f>'Plant Additions'!E45-AD42</f>
        <v>0</v>
      </c>
      <c r="AG42" s="255">
        <f>'G361 Additions'!E49</f>
        <v>163701.33349724999</v>
      </c>
      <c r="AH42" s="255">
        <f>'G362 Additions'!E49</f>
        <v>224218.05758774999</v>
      </c>
      <c r="AI42" s="255">
        <f>'G363 Additions'!E49</f>
        <v>13409.824871999999</v>
      </c>
      <c r="AJ42" s="255">
        <f>'G3631 Additions'!E49</f>
        <v>17367.410206249999</v>
      </c>
      <c r="AK42" s="255">
        <f>'G3632 Additions'!E49</f>
        <v>49055.095727</v>
      </c>
      <c r="AL42" s="255">
        <f>'G3633 Additions'!E49</f>
        <v>7805.8595710833333</v>
      </c>
      <c r="AM42" s="255">
        <f>'G3635 Additions'!E49</f>
        <v>16243.605046666666</v>
      </c>
      <c r="AN42" s="255">
        <f>'G3643 Additions'!E49</f>
        <v>8518.5973833333337</v>
      </c>
      <c r="AO42" s="255">
        <f>+'G3645 Additions'!E49</f>
        <v>4391.5410466666663</v>
      </c>
      <c r="AP42" s="255">
        <f>'G3646 Additions'!E49</f>
        <v>2216.0962530000002</v>
      </c>
      <c r="AQ42" s="255">
        <f>'G3912 Additions'!E49</f>
        <v>5591.9921666666669</v>
      </c>
      <c r="AR42" s="255">
        <f>'G397 Additions'!E49</f>
        <v>868.99839316666669</v>
      </c>
      <c r="AS42" s="255">
        <f>'G303 Additions'!E49</f>
        <v>12076.781499999999</v>
      </c>
      <c r="AT42" s="255">
        <f t="shared" si="13"/>
        <v>525465.19325083343</v>
      </c>
      <c r="AU42" s="286">
        <f>'Plant Additions'!F45-AT42</f>
        <v>0</v>
      </c>
    </row>
    <row r="43" spans="1:47" x14ac:dyDescent="0.25">
      <c r="A43" s="281">
        <v>45657</v>
      </c>
      <c r="B43" s="255">
        <v>80840164.689999998</v>
      </c>
      <c r="C43" s="255">
        <v>110724966.70999999</v>
      </c>
      <c r="D43" s="255">
        <v>5830358.6399999997</v>
      </c>
      <c r="E43" s="255">
        <v>6788564.25</v>
      </c>
      <c r="F43" s="255">
        <v>21328302.489999998</v>
      </c>
      <c r="G43" s="255">
        <v>3011907.23</v>
      </c>
      <c r="H43" s="255">
        <v>6961545.0199999996</v>
      </c>
      <c r="I43" s="255">
        <v>3650827.45</v>
      </c>
      <c r="J43" s="255">
        <v>1882089.02</v>
      </c>
      <c r="K43" s="255">
        <v>963520.11</v>
      </c>
      <c r="L43" s="255">
        <v>335519.53000000003</v>
      </c>
      <c r="M43" s="255">
        <v>156341.54</v>
      </c>
      <c r="N43" s="255">
        <v>724606.89</v>
      </c>
      <c r="O43" s="255">
        <f t="shared" si="12"/>
        <v>243198713.56999996</v>
      </c>
      <c r="Q43" s="255">
        <f>((B7*F49/12)+((B19-B7)*E49/12)+((B31-B19)*D49/12)+((B43-B31)*C49/12))</f>
        <v>172728.48522096666</v>
      </c>
      <c r="R43" s="255">
        <f>((C7*F50/12)+((C19-C7)*E50/12)+((C31-C19)*D50/12)+((C43-C31)*C50/12))</f>
        <v>788915.4089462501</v>
      </c>
      <c r="S43" s="255">
        <f t="shared" si="39"/>
        <v>41541.306228333335</v>
      </c>
      <c r="T43" s="255">
        <f t="shared" si="40"/>
        <v>48368.521658749996</v>
      </c>
      <c r="U43" s="255">
        <f t="shared" si="41"/>
        <v>151964.15937375001</v>
      </c>
      <c r="V43" s="255">
        <f t="shared" si="42"/>
        <v>21459.839472916668</v>
      </c>
      <c r="W43" s="255">
        <f t="shared" si="43"/>
        <v>49602.385181666665</v>
      </c>
      <c r="X43" s="255">
        <f t="shared" si="44"/>
        <v>26012.489924583337</v>
      </c>
      <c r="Y43" s="255">
        <f t="shared" si="45"/>
        <v>13410.228610833336</v>
      </c>
      <c r="Z43" s="255">
        <f t="shared" si="46"/>
        <v>6865.2532008333346</v>
      </c>
      <c r="AA43" s="255">
        <f t="shared" si="47"/>
        <v>4890.1971497500008</v>
      </c>
      <c r="AB43" s="255">
        <f t="shared" si="48"/>
        <v>2278.6779455000001</v>
      </c>
      <c r="AC43" s="255">
        <f t="shared" si="49"/>
        <v>20127.969166666666</v>
      </c>
      <c r="AD43" s="255">
        <f t="shared" si="11"/>
        <v>1348164.9220808002</v>
      </c>
      <c r="AE43" s="286"/>
      <c r="AG43" s="255">
        <f>'G361 Additions'!E50</f>
        <v>163701.33349724999</v>
      </c>
      <c r="AH43" s="255">
        <f>'G362 Additions'!E50</f>
        <v>224218.05758774999</v>
      </c>
      <c r="AI43" s="255">
        <f>'G363 Additions'!E50</f>
        <v>13409.824871999999</v>
      </c>
      <c r="AJ43" s="255">
        <f>'G3631 Additions'!E50</f>
        <v>17367.410206249999</v>
      </c>
      <c r="AK43" s="255">
        <f>'G3632 Additions'!E50</f>
        <v>49055.095727</v>
      </c>
      <c r="AL43" s="255">
        <f>'G3633 Additions'!E50</f>
        <v>7805.8595710833333</v>
      </c>
      <c r="AM43" s="255">
        <f>'G3635 Additions'!E50</f>
        <v>16243.605046666666</v>
      </c>
      <c r="AN43" s="255">
        <f>'G3643 Additions'!E50</f>
        <v>8518.5973833333337</v>
      </c>
      <c r="AO43" s="255">
        <f>+'G3645 Additions'!E50</f>
        <v>4391.5410466666663</v>
      </c>
      <c r="AP43" s="255">
        <f>'G3646 Additions'!E50</f>
        <v>2216.0962530000002</v>
      </c>
      <c r="AQ43" s="255">
        <f>'G3912 Additions'!E50</f>
        <v>5591.9921666666669</v>
      </c>
      <c r="AR43" s="255">
        <f>'G397 Additions'!E50</f>
        <v>868.99839316666669</v>
      </c>
      <c r="AS43" s="255">
        <f>'G303 Additions'!E50</f>
        <v>12076.781499999999</v>
      </c>
      <c r="AT43" s="255">
        <f t="shared" si="13"/>
        <v>525465.19325083343</v>
      </c>
    </row>
    <row r="44" spans="1:47" x14ac:dyDescent="0.25">
      <c r="A44" s="287" t="s">
        <v>21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55"/>
      <c r="P44" s="288"/>
      <c r="Q44" s="288">
        <f t="shared" ref="Q44" si="50">SUM(Q8:Q43)</f>
        <v>5178639.7597559011</v>
      </c>
      <c r="R44" s="289">
        <f t="shared" ref="R44:AD44" si="51">SUM(R7:R43)</f>
        <v>25518256.21972166</v>
      </c>
      <c r="S44" s="289">
        <f t="shared" si="51"/>
        <v>1343730.2240900008</v>
      </c>
      <c r="T44" s="288">
        <f t="shared" si="51"/>
        <v>1564513.420646667</v>
      </c>
      <c r="U44" s="288">
        <f t="shared" si="51"/>
        <v>4915420.8009683331</v>
      </c>
      <c r="V44" s="288">
        <f t="shared" si="51"/>
        <v>694160.76617500011</v>
      </c>
      <c r="W44" s="290">
        <f t="shared" si="51"/>
        <v>1602934.0032549992</v>
      </c>
      <c r="X44" s="290">
        <f t="shared" si="51"/>
        <v>841068.87481166702</v>
      </c>
      <c r="Y44" s="290">
        <f t="shared" si="51"/>
        <v>433375.21494666685</v>
      </c>
      <c r="Z44" s="290">
        <f t="shared" si="51"/>
        <v>221826.75481000004</v>
      </c>
      <c r="AA44" s="290">
        <f t="shared" si="51"/>
        <v>187397.85978099989</v>
      </c>
      <c r="AB44" s="290">
        <f t="shared" si="51"/>
        <v>87799.644956583419</v>
      </c>
      <c r="AC44" s="290">
        <f t="shared" si="51"/>
        <v>603839.04166666674</v>
      </c>
      <c r="AD44" s="290">
        <f t="shared" si="51"/>
        <v>43192962.585585155</v>
      </c>
      <c r="AG44" s="288">
        <f>SUM(AG8:AG43)</f>
        <v>5640393.2750876285</v>
      </c>
      <c r="AH44" s="289">
        <f>SUM(AH8:AH43)</f>
        <v>7733957.6526446277</v>
      </c>
      <c r="AI44" s="289">
        <f>SUM(AI8:AI43)</f>
        <v>462561.61649000034</v>
      </c>
      <c r="AJ44" s="288">
        <f t="shared" ref="AJ44:AT44" si="52">SUM(AJ8:AJ43)</f>
        <v>599046.82417062484</v>
      </c>
      <c r="AK44" s="288">
        <f t="shared" si="52"/>
        <v>1692052.9665664993</v>
      </c>
      <c r="AL44" s="288">
        <f t="shared" si="52"/>
        <v>269258.53695995838</v>
      </c>
      <c r="AM44" s="290">
        <f t="shared" si="52"/>
        <v>559632.01002333371</v>
      </c>
      <c r="AN44" s="290">
        <f t="shared" si="52"/>
        <v>293688.56490166672</v>
      </c>
      <c r="AO44" s="290">
        <f t="shared" si="52"/>
        <v>151305.32596666671</v>
      </c>
      <c r="AP44" s="290">
        <f t="shared" si="52"/>
        <v>76336.15473850003</v>
      </c>
      <c r="AQ44" s="290">
        <f t="shared" si="52"/>
        <v>195719.72583333324</v>
      </c>
      <c r="AR44" s="290">
        <f t="shared" si="52"/>
        <v>30408.371559708361</v>
      </c>
      <c r="AS44" s="290">
        <f t="shared" si="52"/>
        <v>422241.31249999988</v>
      </c>
      <c r="AT44" s="290">
        <f t="shared" si="52"/>
        <v>18126602.33744254</v>
      </c>
    </row>
    <row r="47" spans="1:47" x14ac:dyDescent="0.25">
      <c r="A47" s="291" t="s">
        <v>246</v>
      </c>
    </row>
    <row r="48" spans="1:47" x14ac:dyDescent="0.25">
      <c r="A48" s="256"/>
      <c r="B48" s="267" t="s">
        <v>247</v>
      </c>
      <c r="C48" s="267">
        <v>2022</v>
      </c>
      <c r="D48" s="267">
        <v>2023</v>
      </c>
      <c r="E48" s="267">
        <v>2024</v>
      </c>
      <c r="F48" s="267">
        <v>2025</v>
      </c>
      <c r="G48" s="292"/>
      <c r="H48" s="292"/>
    </row>
    <row r="49" spans="1:8" x14ac:dyDescent="0.25">
      <c r="A49" s="256">
        <v>1</v>
      </c>
      <c r="B49" s="81" t="s">
        <v>232</v>
      </c>
      <c r="C49" s="293">
        <v>1.2840000000000001E-2</v>
      </c>
      <c r="D49" s="293">
        <v>2.564E-2</v>
      </c>
      <c r="E49" s="293">
        <v>2.564E-2</v>
      </c>
      <c r="F49" s="293">
        <v>2.564E-2</v>
      </c>
      <c r="G49" s="293"/>
      <c r="H49" s="293"/>
    </row>
    <row r="50" spans="1:8" x14ac:dyDescent="0.25">
      <c r="A50" s="256">
        <v>2</v>
      </c>
      <c r="B50" s="81" t="s">
        <v>233</v>
      </c>
      <c r="C50" s="294">
        <v>0.05</v>
      </c>
      <c r="D50" s="294">
        <v>9.5000000000000001E-2</v>
      </c>
      <c r="E50" s="294">
        <v>8.5500000000000007E-2</v>
      </c>
      <c r="F50" s="294">
        <v>7.6999999999999999E-2</v>
      </c>
      <c r="G50" s="293"/>
      <c r="H50" s="293"/>
    </row>
    <row r="51" spans="1:8" x14ac:dyDescent="0.25">
      <c r="A51" s="256">
        <v>3</v>
      </c>
      <c r="B51" s="81" t="s">
        <v>234</v>
      </c>
      <c r="C51" s="293">
        <v>0.05</v>
      </c>
      <c r="D51" s="293">
        <v>9.5000000000000001E-2</v>
      </c>
      <c r="E51" s="293">
        <v>8.5500000000000007E-2</v>
      </c>
      <c r="F51" s="293">
        <v>7.6999999999999999E-2</v>
      </c>
      <c r="G51" s="293"/>
      <c r="H51" s="293"/>
    </row>
    <row r="52" spans="1:8" x14ac:dyDescent="0.25">
      <c r="A52" s="256">
        <v>4</v>
      </c>
      <c r="B52" s="81" t="s">
        <v>235</v>
      </c>
      <c r="C52" s="293">
        <v>0.05</v>
      </c>
      <c r="D52" s="293">
        <v>9.5000000000000001E-2</v>
      </c>
      <c r="E52" s="293">
        <v>8.5500000000000007E-2</v>
      </c>
      <c r="F52" s="293">
        <v>7.6999999999999999E-2</v>
      </c>
      <c r="G52" s="293"/>
      <c r="H52" s="293"/>
    </row>
    <row r="53" spans="1:8" x14ac:dyDescent="0.25">
      <c r="A53" s="256">
        <v>5</v>
      </c>
      <c r="B53" s="81" t="s">
        <v>236</v>
      </c>
      <c r="C53" s="293">
        <v>0.05</v>
      </c>
      <c r="D53" s="293">
        <v>9.5000000000000001E-2</v>
      </c>
      <c r="E53" s="293">
        <v>8.5500000000000007E-2</v>
      </c>
      <c r="F53" s="293">
        <v>7.6999999999999999E-2</v>
      </c>
      <c r="G53" s="293"/>
      <c r="H53" s="293"/>
    </row>
    <row r="54" spans="1:8" x14ac:dyDescent="0.25">
      <c r="A54" s="256">
        <v>6</v>
      </c>
      <c r="B54" s="81" t="s">
        <v>237</v>
      </c>
      <c r="C54" s="293">
        <v>0.05</v>
      </c>
      <c r="D54" s="293">
        <v>9.5000000000000001E-2</v>
      </c>
      <c r="E54" s="293">
        <v>8.5500000000000007E-2</v>
      </c>
      <c r="F54" s="293">
        <v>7.6999999999999999E-2</v>
      </c>
      <c r="G54" s="293"/>
      <c r="H54" s="293"/>
    </row>
    <row r="55" spans="1:8" x14ac:dyDescent="0.25">
      <c r="A55" s="256">
        <v>7</v>
      </c>
      <c r="B55" s="81" t="s">
        <v>238</v>
      </c>
      <c r="C55" s="293">
        <v>0.05</v>
      </c>
      <c r="D55" s="293">
        <v>9.5000000000000001E-2</v>
      </c>
      <c r="E55" s="293">
        <v>8.5500000000000007E-2</v>
      </c>
      <c r="F55" s="293">
        <v>7.6999999999999999E-2</v>
      </c>
      <c r="G55" s="293"/>
      <c r="H55" s="293"/>
    </row>
    <row r="56" spans="1:8" x14ac:dyDescent="0.25">
      <c r="A56" s="256">
        <v>8</v>
      </c>
      <c r="B56" s="81" t="s">
        <v>239</v>
      </c>
      <c r="C56" s="293">
        <v>0.05</v>
      </c>
      <c r="D56" s="293">
        <v>9.5000000000000001E-2</v>
      </c>
      <c r="E56" s="293">
        <v>8.5500000000000007E-2</v>
      </c>
      <c r="F56" s="293">
        <v>7.6999999999999999E-2</v>
      </c>
      <c r="G56" s="293"/>
      <c r="H56" s="293"/>
    </row>
    <row r="57" spans="1:8" x14ac:dyDescent="0.25">
      <c r="A57" s="256">
        <v>9</v>
      </c>
      <c r="B57" s="81" t="s">
        <v>240</v>
      </c>
      <c r="C57" s="293">
        <v>0.05</v>
      </c>
      <c r="D57" s="293">
        <v>9.5000000000000001E-2</v>
      </c>
      <c r="E57" s="293">
        <v>8.5500000000000007E-2</v>
      </c>
      <c r="F57" s="293">
        <v>7.6999999999999999E-2</v>
      </c>
      <c r="G57" s="293"/>
      <c r="H57" s="293"/>
    </row>
    <row r="58" spans="1:8" x14ac:dyDescent="0.25">
      <c r="A58" s="256">
        <v>10</v>
      </c>
      <c r="B58" s="81" t="s">
        <v>241</v>
      </c>
      <c r="C58" s="293">
        <v>0.05</v>
      </c>
      <c r="D58" s="293">
        <v>9.5000000000000001E-2</v>
      </c>
      <c r="E58" s="293">
        <v>8.5500000000000007E-2</v>
      </c>
      <c r="F58" s="293">
        <v>7.6999999999999999E-2</v>
      </c>
      <c r="G58" s="293"/>
      <c r="H58" s="293"/>
    </row>
    <row r="59" spans="1:8" x14ac:dyDescent="0.25">
      <c r="A59" s="256">
        <v>11</v>
      </c>
      <c r="B59" s="81" t="s">
        <v>242</v>
      </c>
      <c r="C59" s="293">
        <v>0.1429</v>
      </c>
      <c r="D59" s="293">
        <v>0.24490000000000001</v>
      </c>
      <c r="E59" s="293">
        <v>0.1749</v>
      </c>
      <c r="F59" s="293">
        <v>0.1249</v>
      </c>
      <c r="G59" s="293"/>
      <c r="H59" s="293"/>
    </row>
    <row r="60" spans="1:8" x14ac:dyDescent="0.25">
      <c r="A60" s="256">
        <v>12</v>
      </c>
      <c r="B60" s="81" t="s">
        <v>243</v>
      </c>
      <c r="C60" s="293">
        <v>0.1429</v>
      </c>
      <c r="D60" s="293">
        <v>0.24490000000000001</v>
      </c>
      <c r="E60" s="293">
        <v>0.1749</v>
      </c>
      <c r="F60" s="293">
        <v>0.1249</v>
      </c>
      <c r="G60" s="293"/>
      <c r="H60" s="293"/>
    </row>
    <row r="61" spans="1:8" x14ac:dyDescent="0.25">
      <c r="A61" s="256">
        <v>13</v>
      </c>
      <c r="B61" s="81" t="s">
        <v>244</v>
      </c>
      <c r="C61" s="293">
        <v>0.16666666666666666</v>
      </c>
      <c r="D61" s="293">
        <v>0.33333333333333331</v>
      </c>
      <c r="E61" s="293">
        <v>0.33333333333333331</v>
      </c>
      <c r="F61" s="293">
        <v>0.16666666666666666</v>
      </c>
      <c r="G61" s="293"/>
      <c r="H61" s="29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0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E18" sqref="E18"/>
    </sheetView>
  </sheetViews>
  <sheetFormatPr defaultColWidth="8.85546875" defaultRowHeight="12.75" x14ac:dyDescent="0.2"/>
  <cols>
    <col min="1" max="1" width="24.42578125" style="295" customWidth="1"/>
    <col min="2" max="2" width="14.28515625" style="295" customWidth="1"/>
    <col min="3" max="3" width="12.28515625" style="295" bestFit="1" customWidth="1"/>
    <col min="4" max="4" width="11.85546875" style="295" bestFit="1" customWidth="1"/>
    <col min="5" max="5" width="13.28515625" style="295" bestFit="1" customWidth="1"/>
    <col min="6" max="7" width="11.85546875" style="295" bestFit="1" customWidth="1"/>
    <col min="8" max="8" width="12.42578125" style="295" bestFit="1" customWidth="1"/>
    <col min="9" max="9" width="12.28515625" style="295" bestFit="1" customWidth="1"/>
    <col min="10" max="10" width="11.28515625" style="295" bestFit="1" customWidth="1"/>
    <col min="11" max="11" width="9.28515625" style="295" bestFit="1" customWidth="1"/>
    <col min="12" max="12" width="11.7109375" style="295" bestFit="1" customWidth="1"/>
    <col min="13" max="13" width="9.7109375" style="296" bestFit="1" customWidth="1"/>
    <col min="14" max="14" width="10.28515625" style="295" bestFit="1" customWidth="1"/>
    <col min="15" max="22" width="7.28515625" style="295" bestFit="1" customWidth="1"/>
    <col min="23" max="23" width="9.28515625" style="295" bestFit="1" customWidth="1"/>
    <col min="24" max="41" width="8.85546875" style="295"/>
    <col min="42" max="42" width="9.28515625" style="295" bestFit="1" customWidth="1"/>
    <col min="43" max="16384" width="8.85546875" style="295"/>
  </cols>
  <sheetData>
    <row r="1" spans="1:42" s="297" customFormat="1" x14ac:dyDescent="0.2">
      <c r="A1" s="360" t="s">
        <v>260</v>
      </c>
      <c r="B1" s="360" t="s">
        <v>259</v>
      </c>
      <c r="C1" s="351"/>
      <c r="D1" s="351"/>
      <c r="E1" s="351"/>
      <c r="J1" s="351"/>
      <c r="K1" s="351"/>
      <c r="L1" s="356"/>
      <c r="M1" s="348"/>
      <c r="N1" s="356"/>
    </row>
    <row r="2" spans="1:42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42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42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42" s="297" customFormat="1" x14ac:dyDescent="0.2">
      <c r="A5" s="346" t="s">
        <v>258</v>
      </c>
      <c r="B5" s="345">
        <v>1</v>
      </c>
      <c r="C5" s="345">
        <v>2</v>
      </c>
      <c r="D5" s="345">
        <v>3</v>
      </c>
      <c r="E5" s="345">
        <v>4</v>
      </c>
      <c r="F5" s="345">
        <v>5</v>
      </c>
      <c r="G5" s="345">
        <v>6</v>
      </c>
      <c r="H5" s="345">
        <v>7</v>
      </c>
      <c r="I5" s="345">
        <v>8</v>
      </c>
      <c r="J5" s="345">
        <v>9</v>
      </c>
      <c r="K5" s="345">
        <v>10</v>
      </c>
      <c r="L5" s="345">
        <v>11</v>
      </c>
      <c r="M5" s="345">
        <v>12</v>
      </c>
      <c r="N5" s="345">
        <v>13</v>
      </c>
      <c r="O5" s="345">
        <v>14</v>
      </c>
      <c r="P5" s="345">
        <v>15</v>
      </c>
      <c r="Q5" s="345">
        <v>16</v>
      </c>
      <c r="R5" s="345">
        <v>17</v>
      </c>
      <c r="S5" s="345">
        <v>18</v>
      </c>
      <c r="T5" s="345">
        <v>19</v>
      </c>
      <c r="U5" s="345">
        <v>20</v>
      </c>
      <c r="V5" s="345">
        <v>21</v>
      </c>
      <c r="W5" s="345">
        <v>22</v>
      </c>
      <c r="X5" s="345">
        <v>23</v>
      </c>
      <c r="Y5" s="345">
        <v>24</v>
      </c>
      <c r="Z5" s="345">
        <v>25</v>
      </c>
      <c r="AA5" s="345">
        <v>26</v>
      </c>
      <c r="AB5" s="345">
        <v>27</v>
      </c>
      <c r="AC5" s="345">
        <v>28</v>
      </c>
      <c r="AD5" s="345">
        <v>29</v>
      </c>
      <c r="AE5" s="345">
        <v>30</v>
      </c>
      <c r="AF5" s="345">
        <v>31</v>
      </c>
      <c r="AG5" s="345">
        <v>32</v>
      </c>
      <c r="AH5" s="345">
        <v>33</v>
      </c>
      <c r="AI5" s="345">
        <v>34</v>
      </c>
      <c r="AJ5" s="345">
        <v>35</v>
      </c>
      <c r="AK5" s="345">
        <v>36</v>
      </c>
      <c r="AL5" s="345">
        <v>37</v>
      </c>
      <c r="AM5" s="345">
        <v>38</v>
      </c>
      <c r="AN5" s="345">
        <v>39</v>
      </c>
      <c r="AO5" s="345">
        <v>40</v>
      </c>
      <c r="AP5" s="345" t="s">
        <v>21</v>
      </c>
    </row>
    <row r="6" spans="1:42" s="297" customFormat="1" x14ac:dyDescent="0.2">
      <c r="A6" s="291" t="s">
        <v>246</v>
      </c>
      <c r="B6" s="344">
        <v>1.2840000000000001E-2</v>
      </c>
      <c r="C6" s="344">
        <v>2.564E-2</v>
      </c>
      <c r="D6" s="344">
        <v>2.564E-2</v>
      </c>
      <c r="E6" s="344">
        <v>2.564E-2</v>
      </c>
      <c r="F6" s="344">
        <v>2.564E-2</v>
      </c>
      <c r="G6" s="344">
        <v>2.564E-2</v>
      </c>
      <c r="H6" s="344">
        <v>2.564E-2</v>
      </c>
      <c r="I6" s="344">
        <v>2.564E-2</v>
      </c>
      <c r="J6" s="344">
        <v>2.564E-2</v>
      </c>
      <c r="K6" s="344">
        <v>2.564E-2</v>
      </c>
      <c r="L6" s="344">
        <v>2.564E-2</v>
      </c>
      <c r="M6" s="344">
        <v>2.564E-2</v>
      </c>
      <c r="N6" s="344">
        <v>2.564E-2</v>
      </c>
      <c r="O6" s="344">
        <v>2.564E-2</v>
      </c>
      <c r="P6" s="344">
        <v>2.564E-2</v>
      </c>
      <c r="Q6" s="344">
        <v>2.564E-2</v>
      </c>
      <c r="R6" s="344">
        <v>2.564E-2</v>
      </c>
      <c r="S6" s="344">
        <v>2.564E-2</v>
      </c>
      <c r="T6" s="344">
        <v>2.564E-2</v>
      </c>
      <c r="U6" s="344">
        <v>2.564E-2</v>
      </c>
      <c r="V6" s="344">
        <v>2.564E-2</v>
      </c>
      <c r="W6" s="344">
        <v>2.564E-2</v>
      </c>
      <c r="X6" s="344">
        <v>2.564E-2</v>
      </c>
      <c r="Y6" s="344">
        <v>2.564E-2</v>
      </c>
      <c r="Z6" s="344">
        <v>2.564E-2</v>
      </c>
      <c r="AA6" s="344">
        <v>2.564E-2</v>
      </c>
      <c r="AB6" s="344">
        <v>2.564E-2</v>
      </c>
      <c r="AC6" s="344">
        <v>2.564E-2</v>
      </c>
      <c r="AD6" s="344">
        <v>2.564E-2</v>
      </c>
      <c r="AE6" s="344">
        <v>2.564E-2</v>
      </c>
      <c r="AF6" s="344">
        <v>2.564E-2</v>
      </c>
      <c r="AG6" s="344">
        <v>2.564E-2</v>
      </c>
      <c r="AH6" s="344">
        <v>2.564E-2</v>
      </c>
      <c r="AI6" s="344">
        <v>2.564E-2</v>
      </c>
      <c r="AJ6" s="344">
        <v>2.564E-2</v>
      </c>
      <c r="AK6" s="344">
        <v>2.564E-2</v>
      </c>
      <c r="AL6" s="344">
        <v>2.564E-2</v>
      </c>
      <c r="AM6" s="344">
        <v>2.564E-2</v>
      </c>
      <c r="AN6" s="344">
        <v>2.564E-2</v>
      </c>
      <c r="AO6" s="344">
        <v>1.2840000000000001E-2</v>
      </c>
      <c r="AP6" s="344">
        <f>SUM(B6:AO6)</f>
        <v>0.99999999999999989</v>
      </c>
    </row>
    <row r="7" spans="1:42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42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  <c r="M8" s="295"/>
    </row>
    <row r="9" spans="1:42" ht="13.5" thickBot="1" x14ac:dyDescent="0.25">
      <c r="A9" s="334"/>
      <c r="B9" s="333"/>
      <c r="C9" s="330"/>
      <c r="D9" s="333" t="s">
        <v>257</v>
      </c>
      <c r="E9" s="332">
        <v>2.4299999999999999E-2</v>
      </c>
      <c r="F9" s="331"/>
      <c r="G9" s="330"/>
      <c r="H9" s="326"/>
      <c r="I9" s="325"/>
      <c r="J9" s="324"/>
      <c r="K9" s="324"/>
      <c r="L9" s="328" t="s">
        <v>208</v>
      </c>
      <c r="M9" s="295"/>
    </row>
    <row r="10" spans="1:42" ht="13.5" thickBot="1" x14ac:dyDescent="0.25">
      <c r="A10" s="334"/>
      <c r="B10" s="333"/>
      <c r="C10" s="330"/>
      <c r="D10" s="333" t="s">
        <v>256</v>
      </c>
      <c r="E10" s="332">
        <v>2.4299999999999999E-2</v>
      </c>
      <c r="F10" s="331"/>
      <c r="G10" s="330"/>
      <c r="H10" s="326"/>
      <c r="I10" s="325"/>
      <c r="J10" s="324"/>
      <c r="K10" s="323" t="s">
        <v>255</v>
      </c>
      <c r="L10" s="328"/>
      <c r="M10" s="295"/>
    </row>
    <row r="11" spans="1:42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  <c r="M11" s="295"/>
    </row>
    <row r="12" spans="1:42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  <c r="M12" s="295"/>
    </row>
    <row r="13" spans="1:42" ht="15" x14ac:dyDescent="0.25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  <c r="M13" s="93"/>
    </row>
    <row r="14" spans="1:42" ht="15" x14ac:dyDescent="0.25">
      <c r="A14" s="84">
        <v>44561</v>
      </c>
      <c r="B14" s="303">
        <v>0</v>
      </c>
      <c r="C14" s="313">
        <v>0</v>
      </c>
      <c r="D14" s="303">
        <v>0</v>
      </c>
      <c r="E14" s="304">
        <v>0</v>
      </c>
      <c r="F14" s="303">
        <v>0</v>
      </c>
      <c r="G14" s="304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12"/>
    </row>
    <row r="15" spans="1:42" ht="15" x14ac:dyDescent="0.25">
      <c r="A15" s="314">
        <v>44592</v>
      </c>
      <c r="B15" s="303">
        <v>0</v>
      </c>
      <c r="C15" s="313">
        <v>0</v>
      </c>
      <c r="D15" s="303">
        <f>(($B$14*$C$6/12)+(($B$16-$B$14)*$B$6/12))+M15</f>
        <v>85768.212260400003</v>
      </c>
      <c r="E15" s="304">
        <v>0</v>
      </c>
      <c r="F15" s="303">
        <f t="shared" ref="F15:F28" si="0">-D15+F14</f>
        <v>-85768.212260400003</v>
      </c>
      <c r="G15" s="304">
        <f t="shared" ref="G15:G28" si="1">+G14-E15</f>
        <v>0</v>
      </c>
      <c r="H15" s="303">
        <f t="shared" ref="H15:H28" si="2">B15+F15</f>
        <v>-85768.212260400003</v>
      </c>
      <c r="I15" s="303">
        <f t="shared" ref="I15:I28" si="3">C15+G15</f>
        <v>0</v>
      </c>
      <c r="J15" s="303">
        <f t="shared" ref="J15:J28" si="4">I15-H15</f>
        <v>85768.212260400003</v>
      </c>
      <c r="K15" s="303">
        <f t="shared" ref="K15:K28" si="5">-J15*$K$11</f>
        <v>-18011.324574684</v>
      </c>
      <c r="L15" s="303">
        <f t="shared" ref="L15:L28" si="6">-K15+K14</f>
        <v>18011.324574684</v>
      </c>
      <c r="M15" s="303"/>
      <c r="N15" s="321"/>
      <c r="O15" s="85"/>
    </row>
    <row r="16" spans="1:42" x14ac:dyDescent="0.2">
      <c r="A16" s="314">
        <v>44620</v>
      </c>
      <c r="B16" s="303">
        <v>80157207.719999999</v>
      </c>
      <c r="C16" s="313">
        <v>80157207.719999999</v>
      </c>
      <c r="D16" s="303">
        <f>(($B$14*$C$6/12)+(($B$16-$B$14)*$B$6/12))+M16</f>
        <v>85768.212260400003</v>
      </c>
      <c r="E16" s="304">
        <f t="shared" ref="E16:E25" si="7">+(C15*$E$10/12)+(((C16-C15)*$E$10/12)*0.5)</f>
        <v>81159.172816499995</v>
      </c>
      <c r="F16" s="303">
        <f t="shared" si="0"/>
        <v>-171536.42452080001</v>
      </c>
      <c r="G16" s="304">
        <f t="shared" si="1"/>
        <v>-81159.172816499995</v>
      </c>
      <c r="H16" s="303">
        <f t="shared" si="2"/>
        <v>79985671.295479193</v>
      </c>
      <c r="I16" s="303">
        <f t="shared" si="3"/>
        <v>80076048.547183499</v>
      </c>
      <c r="J16" s="303">
        <f t="shared" si="4"/>
        <v>90377.25170430541</v>
      </c>
      <c r="K16" s="303">
        <f t="shared" si="5"/>
        <v>-18979.222857904137</v>
      </c>
      <c r="L16" s="303">
        <f t="shared" si="6"/>
        <v>967.89828322013636</v>
      </c>
      <c r="M16" s="303"/>
    </row>
    <row r="17" spans="1:15" x14ac:dyDescent="0.2">
      <c r="A17" s="314">
        <v>44651</v>
      </c>
      <c r="B17" s="303">
        <v>80290161.209999993</v>
      </c>
      <c r="C17" s="313">
        <v>80290161.209999993</v>
      </c>
      <c r="D17" s="303">
        <f>(($B$14*$C$6/12)+((B17-$B$14)*$B$6/12))+M17</f>
        <v>85910.472494700007</v>
      </c>
      <c r="E17" s="304">
        <f t="shared" si="7"/>
        <v>162452.96104162498</v>
      </c>
      <c r="F17" s="303">
        <f t="shared" si="0"/>
        <v>-257446.8970155</v>
      </c>
      <c r="G17" s="304">
        <f t="shared" si="1"/>
        <v>-243612.13385812496</v>
      </c>
      <c r="H17" s="303">
        <f t="shared" si="2"/>
        <v>80032714.312984496</v>
      </c>
      <c r="I17" s="303">
        <f t="shared" si="3"/>
        <v>80046549.076141864</v>
      </c>
      <c r="J17" s="303">
        <f t="shared" si="4"/>
        <v>13834.763157367706</v>
      </c>
      <c r="K17" s="303">
        <f t="shared" si="5"/>
        <v>-2905.3002630472183</v>
      </c>
      <c r="L17" s="303">
        <f t="shared" si="6"/>
        <v>-16073.922594856918</v>
      </c>
      <c r="M17" s="303"/>
    </row>
    <row r="18" spans="1:15" x14ac:dyDescent="0.2">
      <c r="A18" s="314">
        <v>44681</v>
      </c>
      <c r="B18" s="303">
        <v>80347527.819999993</v>
      </c>
      <c r="C18" s="313">
        <v>80347527.819999993</v>
      </c>
      <c r="D18" s="303">
        <f>(($B$14*$C$6/12)+((B18-$B$14)*$B$6/12))+M18</f>
        <v>85971.8547674</v>
      </c>
      <c r="E18" s="304">
        <f t="shared" si="7"/>
        <v>162645.66014287496</v>
      </c>
      <c r="F18" s="303">
        <f t="shared" si="0"/>
        <v>-343418.75178290001</v>
      </c>
      <c r="G18" s="304">
        <f t="shared" si="1"/>
        <v>-406257.79400099989</v>
      </c>
      <c r="H18" s="303">
        <f t="shared" si="2"/>
        <v>80004109.068217099</v>
      </c>
      <c r="I18" s="303">
        <f t="shared" si="3"/>
        <v>79941270.025998995</v>
      </c>
      <c r="J18" s="303">
        <f t="shared" si="4"/>
        <v>-62839.042218104005</v>
      </c>
      <c r="K18" s="303">
        <f t="shared" si="5"/>
        <v>13196.19886580184</v>
      </c>
      <c r="L18" s="303">
        <f t="shared" si="6"/>
        <v>-16101.499128849058</v>
      </c>
      <c r="M18" s="303"/>
    </row>
    <row r="19" spans="1:15" x14ac:dyDescent="0.2">
      <c r="A19" s="314">
        <v>44712</v>
      </c>
      <c r="B19" s="303">
        <v>80405805.609999999</v>
      </c>
      <c r="C19" s="313">
        <v>80405805.609999999</v>
      </c>
      <c r="D19" s="303">
        <f>(($B$14*$C$6/12)+((B19-$B$14)*$B$6/12))+M19</f>
        <v>86034.212002700006</v>
      </c>
      <c r="E19" s="304">
        <f t="shared" si="7"/>
        <v>162762.75009787499</v>
      </c>
      <c r="F19" s="303">
        <f t="shared" si="0"/>
        <v>-429452.96378560003</v>
      </c>
      <c r="G19" s="304">
        <f t="shared" si="1"/>
        <v>-569020.5440988749</v>
      </c>
      <c r="H19" s="303">
        <f t="shared" si="2"/>
        <v>79976352.646214396</v>
      </c>
      <c r="I19" s="303">
        <f t="shared" si="3"/>
        <v>79836785.06590113</v>
      </c>
      <c r="J19" s="303">
        <f t="shared" si="4"/>
        <v>-139567.58031326532</v>
      </c>
      <c r="K19" s="303">
        <f t="shared" si="5"/>
        <v>29309.191865785717</v>
      </c>
      <c r="L19" s="303">
        <f t="shared" si="6"/>
        <v>-16112.992999983877</v>
      </c>
      <c r="M19" s="303"/>
    </row>
    <row r="20" spans="1:15" x14ac:dyDescent="0.2">
      <c r="A20" s="314">
        <v>44742</v>
      </c>
      <c r="B20" s="303">
        <v>80441101.859999999</v>
      </c>
      <c r="C20" s="313">
        <v>80441101.859999999</v>
      </c>
      <c r="D20" s="303">
        <f>(($B$14*$C$6/12)+((B20-$B$14)*$B$6/12))+M20</f>
        <v>86071.978990200005</v>
      </c>
      <c r="E20" s="304">
        <f t="shared" si="7"/>
        <v>162857.49381337498</v>
      </c>
      <c r="F20" s="303">
        <f t="shared" si="0"/>
        <v>-515524.94277580001</v>
      </c>
      <c r="G20" s="304">
        <f t="shared" si="1"/>
        <v>-731878.03791224991</v>
      </c>
      <c r="H20" s="303">
        <f t="shared" si="2"/>
        <v>79925576.917224199</v>
      </c>
      <c r="I20" s="303">
        <f t="shared" si="3"/>
        <v>79709223.82208775</v>
      </c>
      <c r="J20" s="303">
        <f t="shared" si="4"/>
        <v>-216353.09513644874</v>
      </c>
      <c r="K20" s="303">
        <f t="shared" si="5"/>
        <v>45434.149978654234</v>
      </c>
      <c r="L20" s="303">
        <f t="shared" si="6"/>
        <v>-16124.958112868517</v>
      </c>
      <c r="M20" s="303"/>
    </row>
    <row r="21" spans="1:15" x14ac:dyDescent="0.2">
      <c r="A21" s="314">
        <v>44773</v>
      </c>
      <c r="B21" s="303">
        <v>80486777.609999999</v>
      </c>
      <c r="C21" s="313">
        <v>80486777.609999999</v>
      </c>
      <c r="D21" s="303">
        <f>(($B$14*$C$6/12)+((B21-$B$14)*$B$6/12))+M21</f>
        <v>86120.852042700004</v>
      </c>
      <c r="E21" s="304">
        <f t="shared" si="7"/>
        <v>162939.47796337499</v>
      </c>
      <c r="F21" s="303">
        <f t="shared" si="0"/>
        <v>-601645.79481850006</v>
      </c>
      <c r="G21" s="304">
        <f t="shared" si="1"/>
        <v>-894817.51587562496</v>
      </c>
      <c r="H21" s="303">
        <f t="shared" si="2"/>
        <v>79885131.815181494</v>
      </c>
      <c r="I21" s="303">
        <f t="shared" si="3"/>
        <v>79591960.094124377</v>
      </c>
      <c r="J21" s="303">
        <f t="shared" si="4"/>
        <v>-293171.72105711699</v>
      </c>
      <c r="K21" s="303">
        <f t="shared" si="5"/>
        <v>61566.061421994564</v>
      </c>
      <c r="L21" s="303">
        <f t="shared" si="6"/>
        <v>-16131.91144334033</v>
      </c>
      <c r="M21" s="303"/>
    </row>
    <row r="22" spans="1:15" x14ac:dyDescent="0.2">
      <c r="A22" s="314">
        <v>44804</v>
      </c>
      <c r="B22" s="303">
        <v>80550549.709999993</v>
      </c>
      <c r="C22" s="313">
        <v>80550549.709999993</v>
      </c>
      <c r="D22" s="303">
        <f>(($B$14*$C$6/12)+((B22-$B$14)*$B$6/12))+M22</f>
        <v>86189.088189699993</v>
      </c>
      <c r="E22" s="304">
        <f t="shared" si="7"/>
        <v>163050.29391149996</v>
      </c>
      <c r="F22" s="303">
        <f t="shared" si="0"/>
        <v>-687834.88300820009</v>
      </c>
      <c r="G22" s="304">
        <f t="shared" si="1"/>
        <v>-1057867.8097871249</v>
      </c>
      <c r="H22" s="303">
        <f t="shared" si="2"/>
        <v>79862714.826991796</v>
      </c>
      <c r="I22" s="303">
        <f t="shared" si="3"/>
        <v>79492681.900212869</v>
      </c>
      <c r="J22" s="303">
        <f t="shared" si="4"/>
        <v>-370032.92677892745</v>
      </c>
      <c r="K22" s="303">
        <f t="shared" si="5"/>
        <v>77706.914623574761</v>
      </c>
      <c r="L22" s="303">
        <f t="shared" si="6"/>
        <v>-16140.853201580197</v>
      </c>
      <c r="M22" s="303"/>
      <c r="N22" s="320"/>
    </row>
    <row r="23" spans="1:15" x14ac:dyDescent="0.2">
      <c r="A23" s="314">
        <v>44834</v>
      </c>
      <c r="B23" s="303">
        <v>80692954.670000002</v>
      </c>
      <c r="C23" s="313">
        <v>80692954.670000002</v>
      </c>
      <c r="D23" s="303">
        <f>(($B$14*$C$6/12)+((B23-$B$14)*$B$6/12))+M23</f>
        <v>86341.46149690001</v>
      </c>
      <c r="E23" s="304">
        <f t="shared" si="7"/>
        <v>163259.04818474999</v>
      </c>
      <c r="F23" s="303">
        <f t="shared" si="0"/>
        <v>-774176.34450510005</v>
      </c>
      <c r="G23" s="304">
        <f t="shared" si="1"/>
        <v>-1221126.8579718748</v>
      </c>
      <c r="H23" s="303">
        <f t="shared" si="2"/>
        <v>79918778.3254949</v>
      </c>
      <c r="I23" s="303">
        <f t="shared" si="3"/>
        <v>79471827.812028125</v>
      </c>
      <c r="J23" s="303">
        <f t="shared" si="4"/>
        <v>-446950.51346677542</v>
      </c>
      <c r="K23" s="303">
        <f t="shared" si="5"/>
        <v>93859.607828022839</v>
      </c>
      <c r="L23" s="303">
        <f t="shared" si="6"/>
        <v>-16152.693204448078</v>
      </c>
      <c r="M23" s="303"/>
    </row>
    <row r="24" spans="1:15" x14ac:dyDescent="0.2">
      <c r="A24" s="314">
        <v>44865</v>
      </c>
      <c r="B24" s="303">
        <v>80724171.010000005</v>
      </c>
      <c r="C24" s="313">
        <v>80724171.010000005</v>
      </c>
      <c r="D24" s="303">
        <f>(($B$14*$C$6/12)+((B24-$B$14)*$B$6/12))+M24</f>
        <v>86374.862980700011</v>
      </c>
      <c r="E24" s="304">
        <f t="shared" si="7"/>
        <v>163434.83975099999</v>
      </c>
      <c r="F24" s="303">
        <f t="shared" si="0"/>
        <v>-860551.20748580003</v>
      </c>
      <c r="G24" s="304">
        <f t="shared" si="1"/>
        <v>-1384561.6977228748</v>
      </c>
      <c r="H24" s="303">
        <f t="shared" si="2"/>
        <v>79863619.80251421</v>
      </c>
      <c r="I24" s="303">
        <f t="shared" si="3"/>
        <v>79339609.312277123</v>
      </c>
      <c r="J24" s="303">
        <f t="shared" si="4"/>
        <v>-524010.49023708701</v>
      </c>
      <c r="K24" s="303">
        <f t="shared" si="5"/>
        <v>110042.20294978826</v>
      </c>
      <c r="L24" s="303">
        <f t="shared" si="6"/>
        <v>-16182.595121765422</v>
      </c>
      <c r="M24" s="303"/>
    </row>
    <row r="25" spans="1:15" x14ac:dyDescent="0.2">
      <c r="A25" s="314">
        <v>44895</v>
      </c>
      <c r="B25" s="303">
        <v>80755617.349999994</v>
      </c>
      <c r="C25" s="313">
        <v>80755617.349999994</v>
      </c>
      <c r="D25" s="303">
        <f>(($B$14*$C$6/12)+((B25-$B$14)*$B$6/12))+M25</f>
        <v>86408.5105645</v>
      </c>
      <c r="E25" s="304">
        <f t="shared" si="7"/>
        <v>163498.2857145</v>
      </c>
      <c r="F25" s="303">
        <f t="shared" si="0"/>
        <v>-946959.71805030003</v>
      </c>
      <c r="G25" s="304">
        <f t="shared" si="1"/>
        <v>-1548059.9834373747</v>
      </c>
      <c r="H25" s="303">
        <f t="shared" si="2"/>
        <v>79808657.631949693</v>
      </c>
      <c r="I25" s="303">
        <f t="shared" si="3"/>
        <v>79207557.36656262</v>
      </c>
      <c r="J25" s="303">
        <f t="shared" si="4"/>
        <v>-601100.26538707316</v>
      </c>
      <c r="K25" s="303">
        <f t="shared" si="5"/>
        <v>126231.05573128536</v>
      </c>
      <c r="L25" s="303">
        <f t="shared" si="6"/>
        <v>-16188.852781497102</v>
      </c>
      <c r="M25" s="303"/>
    </row>
    <row r="26" spans="1:15" x14ac:dyDescent="0.2">
      <c r="A26" s="314">
        <v>44926</v>
      </c>
      <c r="B26" s="303">
        <v>80821249.890000001</v>
      </c>
      <c r="C26" s="313">
        <v>80821249.890000001</v>
      </c>
      <c r="D26" s="304">
        <f>(($B$14*$C$6/12)+((B26-$B$14)*$B$6/12))+M26</f>
        <v>86478.737382300009</v>
      </c>
      <c r="E26" s="304">
        <f>+(C25*$E$10/12)+(((C26-C25)*$E$10/12)*0.5)</f>
        <v>163596.57808049998</v>
      </c>
      <c r="F26" s="303">
        <f t="shared" si="0"/>
        <v>-1033438.4554326</v>
      </c>
      <c r="G26" s="304">
        <f t="shared" si="1"/>
        <v>-1711656.5615178747</v>
      </c>
      <c r="H26" s="303">
        <f t="shared" si="2"/>
        <v>79787811.434567407</v>
      </c>
      <c r="I26" s="303">
        <f t="shared" si="3"/>
        <v>79109593.328482121</v>
      </c>
      <c r="J26" s="303">
        <f t="shared" si="4"/>
        <v>-678218.10608528554</v>
      </c>
      <c r="K26" s="303">
        <f t="shared" si="5"/>
        <v>142425.80227790997</v>
      </c>
      <c r="L26" s="303">
        <f t="shared" si="6"/>
        <v>-16194.746546624607</v>
      </c>
      <c r="M26" s="303"/>
      <c r="N26" s="303"/>
    </row>
    <row r="27" spans="1:15" x14ac:dyDescent="0.2">
      <c r="A27" s="319">
        <v>44957</v>
      </c>
      <c r="B27" s="316">
        <v>80810529.189999998</v>
      </c>
      <c r="C27" s="318">
        <v>80810529.189999998</v>
      </c>
      <c r="D27" s="316">
        <f>(($B$14*$D$6/12)+(($B$26-$B$14)*$C$6/12)+((B27-$B$26)*$B$6/12))</f>
        <v>172676.5994493</v>
      </c>
      <c r="E27" s="317">
        <f>+(C26*$E$10/12)+(((C27-C26)*$E$10/12)*0.5)</f>
        <v>163652.17631849999</v>
      </c>
      <c r="F27" s="316">
        <f t="shared" si="0"/>
        <v>-1206115.0548819001</v>
      </c>
      <c r="G27" s="317">
        <f t="shared" si="1"/>
        <v>-1875308.7378363747</v>
      </c>
      <c r="H27" s="316">
        <f t="shared" si="2"/>
        <v>79604414.135118097</v>
      </c>
      <c r="I27" s="316">
        <f t="shared" si="3"/>
        <v>78935220.452163622</v>
      </c>
      <c r="J27" s="316">
        <f t="shared" si="4"/>
        <v>-669193.68295447528</v>
      </c>
      <c r="K27" s="316">
        <f t="shared" si="5"/>
        <v>140530.67342043979</v>
      </c>
      <c r="L27" s="316">
        <f t="shared" si="6"/>
        <v>1895.1288574701757</v>
      </c>
      <c r="M27" s="303"/>
      <c r="N27" s="303"/>
    </row>
    <row r="28" spans="1:15" x14ac:dyDescent="0.2">
      <c r="A28" s="314">
        <v>44985</v>
      </c>
      <c r="B28" s="303">
        <v>80832200.620000005</v>
      </c>
      <c r="C28" s="313">
        <v>80832200.620000005</v>
      </c>
      <c r="D28" s="303">
        <f>(($B$14*$D$6/12)+(($B$26-$B$14)*$C$6/12)+((B28-$B$26)*$B$6/12))</f>
        <v>172699.78787939998</v>
      </c>
      <c r="E28" s="304">
        <f>+(C27*$E$10/12)+(((C28-C27)*$E$10/12)*0.5)</f>
        <v>163663.26393262498</v>
      </c>
      <c r="F28" s="303">
        <f t="shared" si="0"/>
        <v>-1378814.8427613</v>
      </c>
      <c r="G28" s="304">
        <f t="shared" si="1"/>
        <v>-2038972.0017689997</v>
      </c>
      <c r="H28" s="303">
        <f t="shared" si="2"/>
        <v>79453385.777238712</v>
      </c>
      <c r="I28" s="303">
        <f t="shared" si="3"/>
        <v>78793228.618230999</v>
      </c>
      <c r="J28" s="303">
        <f t="shared" si="4"/>
        <v>-660157.1590077132</v>
      </c>
      <c r="K28" s="303">
        <f t="shared" si="5"/>
        <v>138633.00339161977</v>
      </c>
      <c r="L28" s="303">
        <f t="shared" si="6"/>
        <v>1897.6700288200227</v>
      </c>
      <c r="M28" s="303"/>
      <c r="N28" s="303"/>
      <c r="O28" s="299"/>
    </row>
    <row r="29" spans="1:15" ht="15" x14ac:dyDescent="0.25">
      <c r="A29" s="314">
        <v>45016</v>
      </c>
      <c r="B29" s="303">
        <f>C29</f>
        <v>80840164.689999998</v>
      </c>
      <c r="C29" s="313">
        <v>80840164.689999998</v>
      </c>
      <c r="D29" s="303">
        <f>(($B$14*$D$6/12)+(($B$26-$B$14)*$C$6/12)+(($B$38-$B$26)*$B$6/12))</f>
        <v>172708.3094343</v>
      </c>
      <c r="E29" s="304">
        <f>+(C28*$E$10/12)+(((C29-C28)*$E$10/12)*0.5)</f>
        <v>163693.26987637498</v>
      </c>
      <c r="F29" s="303">
        <f>-D29+F28</f>
        <v>-1551523.1521956001</v>
      </c>
      <c r="G29" s="304">
        <f>+G28-E29</f>
        <v>-2202665.2716453746</v>
      </c>
      <c r="H29" s="303">
        <f>B29+F29</f>
        <v>79288641.537804395</v>
      </c>
      <c r="I29" s="303">
        <f>C29+G29</f>
        <v>78637499.41835463</v>
      </c>
      <c r="J29" s="303">
        <f>I29-H29</f>
        <v>-651142.11944976449</v>
      </c>
      <c r="K29" s="303">
        <f>-J29*$K$11</f>
        <v>136739.84508445053</v>
      </c>
      <c r="L29" s="303">
        <f>-K29+K28</f>
        <v>1893.1583071692439</v>
      </c>
      <c r="M29" s="312"/>
      <c r="N29" s="299"/>
      <c r="O29" s="299"/>
    </row>
    <row r="30" spans="1:15" ht="15" x14ac:dyDescent="0.25">
      <c r="A30" s="314">
        <v>45046</v>
      </c>
      <c r="B30" s="303">
        <f>C30</f>
        <v>80840164.689999998</v>
      </c>
      <c r="C30" s="313">
        <f>C29</f>
        <v>80840164.689999998</v>
      </c>
      <c r="D30" s="303">
        <f>(($B$14*$D$6/12)+(($B$26-$B$14)*$C$6/12)+(($B$38-$B$26)*$B$6/12))</f>
        <v>172708.3094343</v>
      </c>
      <c r="E30" s="304">
        <f>+(C29*$E$10/12)+(((C30-C29)*$E$10/12)*0.5)</f>
        <v>163701.33349724999</v>
      </c>
      <c r="F30" s="303">
        <f>-D30+F29</f>
        <v>-1724231.4616299002</v>
      </c>
      <c r="G30" s="304">
        <f>+G29-E30</f>
        <v>-2366366.6051426246</v>
      </c>
      <c r="H30" s="303">
        <f>B30+F30</f>
        <v>79115933.2283701</v>
      </c>
      <c r="I30" s="303">
        <f>C30+G30</f>
        <v>78473798.084857374</v>
      </c>
      <c r="J30" s="303">
        <f>I30-H30</f>
        <v>-642135.14351272583</v>
      </c>
      <c r="K30" s="303">
        <f>-J30*$K$11</f>
        <v>134848.38013767242</v>
      </c>
      <c r="L30" s="303">
        <f>-K30+K29</f>
        <v>1891.4649467781128</v>
      </c>
      <c r="M30" s="312"/>
      <c r="N30" s="315"/>
      <c r="O30" s="299"/>
    </row>
    <row r="31" spans="1:15" ht="15" x14ac:dyDescent="0.25">
      <c r="A31" s="314">
        <v>45077</v>
      </c>
      <c r="B31" s="303">
        <f>C31</f>
        <v>80840164.689999998</v>
      </c>
      <c r="C31" s="313">
        <f>C30</f>
        <v>80840164.689999998</v>
      </c>
      <c r="D31" s="303">
        <f>(($B$14*$D$6/12)+(($B$26-$B$14)*$C$6/12)+(($B$38-$B$26)*$B$6/12))</f>
        <v>172708.3094343</v>
      </c>
      <c r="E31" s="304">
        <f>+(C30*$E$10/12)+(((C31-C30)*$E$10/12)*0.5)</f>
        <v>163701.33349724999</v>
      </c>
      <c r="F31" s="303">
        <f>-D31+F30</f>
        <v>-1896939.7710642002</v>
      </c>
      <c r="G31" s="304">
        <f>+G30-E31</f>
        <v>-2530067.9386398746</v>
      </c>
      <c r="H31" s="303">
        <f>B31+F31</f>
        <v>78943224.918935791</v>
      </c>
      <c r="I31" s="303">
        <f>C31+G31</f>
        <v>78310096.751360118</v>
      </c>
      <c r="J31" s="303">
        <f>I31-H31</f>
        <v>-633128.16757567227</v>
      </c>
      <c r="K31" s="303">
        <f>-J31*$K$11</f>
        <v>132956.91519089116</v>
      </c>
      <c r="L31" s="303">
        <f>-K31+K30</f>
        <v>1891.464946781256</v>
      </c>
      <c r="M31" s="312"/>
      <c r="O31" s="299"/>
    </row>
    <row r="32" spans="1:15" ht="15" x14ac:dyDescent="0.25">
      <c r="A32" s="314">
        <v>45107</v>
      </c>
      <c r="B32" s="303">
        <f>C32</f>
        <v>80840164.689999998</v>
      </c>
      <c r="C32" s="313">
        <f>C31</f>
        <v>80840164.689999998</v>
      </c>
      <c r="D32" s="303">
        <f>(($B$14*$D$6/12)+(($B$26-$B$14)*$C$6/12)+(($B$38-$B$26)*$B$6/12))</f>
        <v>172708.3094343</v>
      </c>
      <c r="E32" s="304">
        <f>+(C31*$E$10/12)+(((C32-C31)*$E$10/12)*0.5)</f>
        <v>163701.33349724999</v>
      </c>
      <c r="F32" s="303">
        <f>-D32+F31</f>
        <v>-2069648.0804985003</v>
      </c>
      <c r="G32" s="304">
        <f>+G31-E32</f>
        <v>-2693769.2721371246</v>
      </c>
      <c r="H32" s="303">
        <f>B32+F32</f>
        <v>78770516.609501496</v>
      </c>
      <c r="I32" s="303">
        <f>C32+G32</f>
        <v>78146395.417862877</v>
      </c>
      <c r="J32" s="303">
        <f>I32-H32</f>
        <v>-624121.19163861871</v>
      </c>
      <c r="K32" s="303">
        <f>-J32*$K$11</f>
        <v>131065.45024410992</v>
      </c>
      <c r="L32" s="303">
        <f>-K32+K31</f>
        <v>1891.4649467812415</v>
      </c>
      <c r="M32" s="312"/>
      <c r="O32" s="299"/>
    </row>
    <row r="33" spans="1:15" ht="15" x14ac:dyDescent="0.25">
      <c r="A33" s="314">
        <v>45138</v>
      </c>
      <c r="B33" s="303">
        <f>C33</f>
        <v>80840164.689999998</v>
      </c>
      <c r="C33" s="313">
        <f>C32</f>
        <v>80840164.689999998</v>
      </c>
      <c r="D33" s="303">
        <f>(($B$14*$D$6/12)+(($B$26-$B$14)*$C$6/12)+(($B$38-$B$26)*$B$6/12))</f>
        <v>172708.3094343</v>
      </c>
      <c r="E33" s="304">
        <f>+(C32*$E$10/12)+(((C33-C32)*$E$10/12)*0.5)</f>
        <v>163701.33349724999</v>
      </c>
      <c r="F33" s="303">
        <f>-D33+F32</f>
        <v>-2242356.3899328001</v>
      </c>
      <c r="G33" s="304">
        <f>+G32-E33</f>
        <v>-2857470.6056343745</v>
      </c>
      <c r="H33" s="303">
        <f>B33+F33</f>
        <v>78597808.300067201</v>
      </c>
      <c r="I33" s="303">
        <f>C33+G33</f>
        <v>77982694.084365621</v>
      </c>
      <c r="J33" s="303">
        <f>I33-H33</f>
        <v>-615114.21570158005</v>
      </c>
      <c r="K33" s="303">
        <f>-J33*$K$11</f>
        <v>129173.9852973318</v>
      </c>
      <c r="L33" s="303">
        <f>-K33+K32</f>
        <v>1891.4649467781128</v>
      </c>
      <c r="M33" s="312"/>
      <c r="N33" s="299"/>
      <c r="O33" s="299"/>
    </row>
    <row r="34" spans="1:15" ht="15" x14ac:dyDescent="0.25">
      <c r="A34" s="314">
        <v>45169</v>
      </c>
      <c r="B34" s="303">
        <f>C34</f>
        <v>80840164.689999998</v>
      </c>
      <c r="C34" s="313">
        <f>C33</f>
        <v>80840164.689999998</v>
      </c>
      <c r="D34" s="303">
        <f>(($B$14*$D$6/12)+(($B$26-$B$14)*$C$6/12)+(($B$38-$B$26)*$B$6/12))</f>
        <v>172708.3094343</v>
      </c>
      <c r="E34" s="304">
        <f>+(C33*$E$10/12)+(((C34-C33)*$E$10/12)*0.5)</f>
        <v>163701.33349724999</v>
      </c>
      <c r="F34" s="303">
        <f>-D34+F33</f>
        <v>-2415064.6993670999</v>
      </c>
      <c r="G34" s="304">
        <f>+G33-E34</f>
        <v>-3021171.9391316245</v>
      </c>
      <c r="H34" s="303">
        <f>B34+F34</f>
        <v>78425099.990632892</v>
      </c>
      <c r="I34" s="303">
        <f>C34+G34</f>
        <v>77818992.75086838</v>
      </c>
      <c r="J34" s="303">
        <f>I34-H34</f>
        <v>-606107.23976451159</v>
      </c>
      <c r="K34" s="303">
        <f>-J34*$K$11</f>
        <v>127282.52035054743</v>
      </c>
      <c r="L34" s="303">
        <f>-K34+K33</f>
        <v>1891.4649467843701</v>
      </c>
      <c r="M34" s="312"/>
      <c r="N34" s="299"/>
      <c r="O34" s="299"/>
    </row>
    <row r="35" spans="1:15" ht="15" x14ac:dyDescent="0.25">
      <c r="A35" s="314">
        <v>45199</v>
      </c>
      <c r="B35" s="303">
        <f>C35</f>
        <v>80840164.689999998</v>
      </c>
      <c r="C35" s="313">
        <f>C34</f>
        <v>80840164.689999998</v>
      </c>
      <c r="D35" s="303">
        <f>(($B$14*$D$6/12)+(($B$26-$B$14)*$C$6/12)+(($B$38-$B$26)*$B$6/12))</f>
        <v>172708.3094343</v>
      </c>
      <c r="E35" s="304">
        <f>+(C34*$E$10/12)+(((C35-C34)*$E$10/12)*0.5)</f>
        <v>163701.33349724999</v>
      </c>
      <c r="F35" s="303">
        <f>-D35+F34</f>
        <v>-2587773.0088013997</v>
      </c>
      <c r="G35" s="304">
        <f>+G34-E35</f>
        <v>-3184873.2726288745</v>
      </c>
      <c r="H35" s="303">
        <f>B35+F35</f>
        <v>78252391.681198597</v>
      </c>
      <c r="I35" s="303">
        <f>C35+G35</f>
        <v>77655291.417371124</v>
      </c>
      <c r="J35" s="303">
        <f>I35-H35</f>
        <v>-597100.26382747293</v>
      </c>
      <c r="K35" s="303">
        <f>-J35*$K$11</f>
        <v>125391.05540376931</v>
      </c>
      <c r="L35" s="303">
        <f>-K35+K34</f>
        <v>1891.4649467781273</v>
      </c>
      <c r="M35" s="312"/>
      <c r="N35" s="299"/>
      <c r="O35" s="299"/>
    </row>
    <row r="36" spans="1:15" ht="15" x14ac:dyDescent="0.25">
      <c r="A36" s="314">
        <v>45230</v>
      </c>
      <c r="B36" s="303">
        <f>C36</f>
        <v>80840164.689999998</v>
      </c>
      <c r="C36" s="313">
        <f>C35</f>
        <v>80840164.689999998</v>
      </c>
      <c r="D36" s="303">
        <f>(($B$14*$D$6/12)+(($B$26-$B$14)*$C$6/12)+(($B$38-$B$26)*$B$6/12))</f>
        <v>172708.3094343</v>
      </c>
      <c r="E36" s="304">
        <f>+(C35*$E$10/12)+(((C36-C35)*$E$10/12)*0.5)</f>
        <v>163701.33349724999</v>
      </c>
      <c r="F36" s="303">
        <f>-D36+F35</f>
        <v>-2760481.3182356996</v>
      </c>
      <c r="G36" s="304">
        <f>+G35-E36</f>
        <v>-3348574.6061261245</v>
      </c>
      <c r="H36" s="303">
        <f>B36+F36</f>
        <v>78079683.371764302</v>
      </c>
      <c r="I36" s="303">
        <f>C36+G36</f>
        <v>77491590.083873868</v>
      </c>
      <c r="J36" s="303">
        <f>I36-H36</f>
        <v>-588093.28789043427</v>
      </c>
      <c r="K36" s="303">
        <f>-J36*$K$11</f>
        <v>123499.59045699119</v>
      </c>
      <c r="L36" s="303">
        <f>-K36+K35</f>
        <v>1891.4649467781128</v>
      </c>
      <c r="M36" s="312"/>
      <c r="N36" s="299"/>
      <c r="O36" s="299"/>
    </row>
    <row r="37" spans="1:15" ht="15" x14ac:dyDescent="0.25">
      <c r="A37" s="314">
        <v>45260</v>
      </c>
      <c r="B37" s="303">
        <f>C37</f>
        <v>80840164.689999998</v>
      </c>
      <c r="C37" s="313">
        <f>C36</f>
        <v>80840164.689999998</v>
      </c>
      <c r="D37" s="303">
        <f>(($B$14*$D$6/12)+(($B$26-$B$14)*$C$6/12)+(($B$38-$B$26)*$B$6/12))</f>
        <v>172708.3094343</v>
      </c>
      <c r="E37" s="304">
        <f>+(C36*$E$10/12)+(((C37-C36)*$E$10/12)*0.5)</f>
        <v>163701.33349724999</v>
      </c>
      <c r="F37" s="303">
        <f>-D37+F36</f>
        <v>-2933189.6276699994</v>
      </c>
      <c r="G37" s="304">
        <f>+G36-E37</f>
        <v>-3512275.9396233745</v>
      </c>
      <c r="H37" s="303">
        <f>B37+F37</f>
        <v>77906975.062329993</v>
      </c>
      <c r="I37" s="303">
        <f>C37+G37</f>
        <v>77327888.750376627</v>
      </c>
      <c r="J37" s="303">
        <f>I37-H37</f>
        <v>-579086.3119533658</v>
      </c>
      <c r="K37" s="303">
        <f>-J37*$K$11</f>
        <v>121608.12551020681</v>
      </c>
      <c r="L37" s="303">
        <f>-K37+K36</f>
        <v>1891.4649467843847</v>
      </c>
      <c r="M37" s="312"/>
      <c r="N37" s="299"/>
      <c r="O37" s="299"/>
    </row>
    <row r="38" spans="1:15" ht="15" x14ac:dyDescent="0.25">
      <c r="A38" s="314">
        <v>45291</v>
      </c>
      <c r="B38" s="303">
        <f>C38</f>
        <v>80840164.689999998</v>
      </c>
      <c r="C38" s="313">
        <f>C37</f>
        <v>80840164.689999998</v>
      </c>
      <c r="D38" s="303">
        <f>(($B$14*$D$6/12)+(($B$26-$B$14)*$C$6/12)+(($B$38-$B$26)*$B$6/12))</f>
        <v>172708.3094343</v>
      </c>
      <c r="E38" s="304">
        <f>+(C37*$E$10/12)+(((C38-C37)*$E$10/12)*0.5)</f>
        <v>163701.33349724999</v>
      </c>
      <c r="F38" s="303">
        <f>-D38+F37</f>
        <v>-3105897.9371042992</v>
      </c>
      <c r="G38" s="304">
        <f>+G37-E38</f>
        <v>-3675977.2731206245</v>
      </c>
      <c r="H38" s="303">
        <f>B38+F38</f>
        <v>77734266.752895698</v>
      </c>
      <c r="I38" s="303">
        <f>C38+G38</f>
        <v>77164187.416879371</v>
      </c>
      <c r="J38" s="303">
        <f>I38-H38</f>
        <v>-570079.33601632714</v>
      </c>
      <c r="K38" s="303">
        <f>-J38*$K$11</f>
        <v>119716.6605634287</v>
      </c>
      <c r="L38" s="303">
        <f>-K38+K37</f>
        <v>1891.4649467781128</v>
      </c>
      <c r="M38" s="312"/>
      <c r="N38" s="299"/>
      <c r="O38" s="299"/>
    </row>
    <row r="39" spans="1:15" ht="15" x14ac:dyDescent="0.25">
      <c r="A39" s="314">
        <v>45322</v>
      </c>
      <c r="B39" s="303">
        <f>C39</f>
        <v>80840164.689999998</v>
      </c>
      <c r="C39" s="313">
        <f>C38</f>
        <v>80840164.689999998</v>
      </c>
      <c r="D39" s="303">
        <f>(($B$14*$E$6/12)+(($B$26-$B$14)*$D$6/12)+(($B$38-$B$26)*$C$6/12)+(($B$50-$B$38)*$B$6/12))</f>
        <v>172728.48522096666</v>
      </c>
      <c r="E39" s="304">
        <f>+(C38*$E$10/12)+(((C39-C38)*$E$10/12)*0.5)</f>
        <v>163701.33349724999</v>
      </c>
      <c r="F39" s="303">
        <f>-D39+F38</f>
        <v>-3278626.4223252661</v>
      </c>
      <c r="G39" s="304">
        <f>+G38-E39</f>
        <v>-3839678.6066178745</v>
      </c>
      <c r="H39" s="303">
        <f>B39+F39</f>
        <v>77561538.267674729</v>
      </c>
      <c r="I39" s="303">
        <f>C39+G39</f>
        <v>77000486.08338213</v>
      </c>
      <c r="J39" s="303">
        <f>I39-H39</f>
        <v>-561052.18429259956</v>
      </c>
      <c r="K39" s="303">
        <f>-J39*$K$11</f>
        <v>117820.95870144591</v>
      </c>
      <c r="L39" s="303">
        <f>-K39+K38</f>
        <v>1895.7018619827868</v>
      </c>
      <c r="M39" s="312"/>
      <c r="N39" s="299"/>
      <c r="O39" s="299"/>
    </row>
    <row r="40" spans="1:15" ht="15" x14ac:dyDescent="0.25">
      <c r="A40" s="314">
        <v>45351</v>
      </c>
      <c r="B40" s="303">
        <f>C40</f>
        <v>80840164.689999998</v>
      </c>
      <c r="C40" s="313">
        <f>C39</f>
        <v>80840164.689999998</v>
      </c>
      <c r="D40" s="303">
        <f>(($B$14*$E$6/12)+(($B$26-$B$14)*$D$6/12)+(($B$38-$B$26)*$C$6/12)+(($B$50-$B$38)*$B$6/12))</f>
        <v>172728.48522096666</v>
      </c>
      <c r="E40" s="304">
        <f>+(C39*$E$10/12)+(((C40-C39)*$E$10/12)*0.5)</f>
        <v>163701.33349724999</v>
      </c>
      <c r="F40" s="303">
        <f>-D40+F39</f>
        <v>-3451354.9075462329</v>
      </c>
      <c r="G40" s="304">
        <f>+G39-E40</f>
        <v>-4003379.9401151245</v>
      </c>
      <c r="H40" s="303">
        <f>B40+F40</f>
        <v>77388809.782453761</v>
      </c>
      <c r="I40" s="303">
        <f>C40+G40</f>
        <v>76836784.749884874</v>
      </c>
      <c r="J40" s="303">
        <f>I40-H40</f>
        <v>-552025.03256888688</v>
      </c>
      <c r="K40" s="303">
        <f>-J40*$K$11</f>
        <v>115925.25683946624</v>
      </c>
      <c r="L40" s="303">
        <f>-K40+K39</f>
        <v>1895.7018619796727</v>
      </c>
      <c r="M40" s="312"/>
      <c r="N40" s="299"/>
      <c r="O40" s="299"/>
    </row>
    <row r="41" spans="1:15" ht="15" x14ac:dyDescent="0.25">
      <c r="A41" s="314">
        <v>45382</v>
      </c>
      <c r="B41" s="303">
        <f>C41</f>
        <v>80840164.689999998</v>
      </c>
      <c r="C41" s="313">
        <f>C40</f>
        <v>80840164.689999998</v>
      </c>
      <c r="D41" s="303">
        <f>(($B$14*$E$6/12)+(($B$26-$B$14)*$D$6/12)+(($B$38-$B$26)*$C$6/12)+(($B$50-$B$38)*$B$6/12))</f>
        <v>172728.48522096666</v>
      </c>
      <c r="E41" s="304">
        <f>+(C40*$E$10/12)+(((C41-C40)*$E$10/12)*0.5)</f>
        <v>163701.33349724999</v>
      </c>
      <c r="F41" s="303">
        <f>-D41+F40</f>
        <v>-3624083.3927671998</v>
      </c>
      <c r="G41" s="304">
        <f>+G40-E41</f>
        <v>-4167081.2736123744</v>
      </c>
      <c r="H41" s="303">
        <f>B41+F41</f>
        <v>77216081.297232792</v>
      </c>
      <c r="I41" s="303">
        <f>C41+G41</f>
        <v>76673083.416387618</v>
      </c>
      <c r="J41" s="303">
        <f>I41-H41</f>
        <v>-542997.88084517419</v>
      </c>
      <c r="K41" s="303">
        <f>-J41*$K$11</f>
        <v>114029.55497748658</v>
      </c>
      <c r="L41" s="303">
        <f>-K41+K40</f>
        <v>1895.7018619796581</v>
      </c>
      <c r="M41" s="312"/>
      <c r="N41" s="299"/>
      <c r="O41" s="299"/>
    </row>
    <row r="42" spans="1:15" ht="15" x14ac:dyDescent="0.25">
      <c r="A42" s="314">
        <v>45412</v>
      </c>
      <c r="B42" s="303">
        <f>C42</f>
        <v>80840164.689999998</v>
      </c>
      <c r="C42" s="313">
        <f>C41</f>
        <v>80840164.689999998</v>
      </c>
      <c r="D42" s="303">
        <f>(($B$14*$E$6/12)+(($B$26-$B$14)*$D$6/12)+(($B$38-$B$26)*$C$6/12)+(($B$50-$B$38)*$B$6/12))</f>
        <v>172728.48522096666</v>
      </c>
      <c r="E42" s="304">
        <f>+(C41*$E$10/12)+(((C42-C41)*$E$10/12)*0.5)</f>
        <v>163701.33349724999</v>
      </c>
      <c r="F42" s="303">
        <f>-D42+F41</f>
        <v>-3796811.8779881666</v>
      </c>
      <c r="G42" s="304">
        <f>+G41-E42</f>
        <v>-4330782.6071096249</v>
      </c>
      <c r="H42" s="303">
        <f>B42+F42</f>
        <v>77043352.812011838</v>
      </c>
      <c r="I42" s="303">
        <f>C42+G42</f>
        <v>76509382.082890376</v>
      </c>
      <c r="J42" s="303">
        <f>I42-H42</f>
        <v>-533970.72912146151</v>
      </c>
      <c r="K42" s="303">
        <f>-J42*$K$11</f>
        <v>112133.85311550691</v>
      </c>
      <c r="L42" s="303">
        <f>-K42+K41</f>
        <v>1895.7018619796727</v>
      </c>
      <c r="M42" s="312"/>
      <c r="N42" s="299"/>
      <c r="O42" s="299"/>
    </row>
    <row r="43" spans="1:15" ht="15" x14ac:dyDescent="0.25">
      <c r="A43" s="314">
        <v>45443</v>
      </c>
      <c r="B43" s="303">
        <f>C43</f>
        <v>80840164.689999998</v>
      </c>
      <c r="C43" s="313">
        <f>C42</f>
        <v>80840164.689999998</v>
      </c>
      <c r="D43" s="303">
        <f>(($B$14*$E$6/12)+(($B$26-$B$14)*$D$6/12)+(($B$38-$B$26)*$C$6/12)+(($B$50-$B$38)*$B$6/12))</f>
        <v>172728.48522096666</v>
      </c>
      <c r="E43" s="304">
        <f>+(C42*$E$10/12)+(((C43-C42)*$E$10/12)*0.5)</f>
        <v>163701.33349724999</v>
      </c>
      <c r="F43" s="303">
        <f>-D43+F42</f>
        <v>-3969540.3632091335</v>
      </c>
      <c r="G43" s="304">
        <f>+G42-E43</f>
        <v>-4494483.9406068753</v>
      </c>
      <c r="H43" s="303">
        <f>B43+F43</f>
        <v>76870624.326790869</v>
      </c>
      <c r="I43" s="303">
        <f>C43+G43</f>
        <v>76345680.74939312</v>
      </c>
      <c r="J43" s="303">
        <f>I43-H43</f>
        <v>-524943.57739774883</v>
      </c>
      <c r="K43" s="303">
        <f>-J43*$K$11</f>
        <v>110238.15125352725</v>
      </c>
      <c r="L43" s="303">
        <f>-K43+K42</f>
        <v>1895.7018619796581</v>
      </c>
      <c r="M43" s="312"/>
      <c r="N43" s="299"/>
      <c r="O43" s="299"/>
    </row>
    <row r="44" spans="1:15" ht="15" x14ac:dyDescent="0.25">
      <c r="A44" s="314">
        <v>45473</v>
      </c>
      <c r="B44" s="303">
        <f>C44</f>
        <v>80840164.689999998</v>
      </c>
      <c r="C44" s="313">
        <f>C43</f>
        <v>80840164.689999998</v>
      </c>
      <c r="D44" s="303">
        <f>(($B$14*$E$6/12)+(($B$26-$B$14)*$D$6/12)+(($B$38-$B$26)*$C$6/12)+(($B$50-$B$38)*$B$6/12))</f>
        <v>172728.48522096666</v>
      </c>
      <c r="E44" s="304">
        <f>+(C43*$E$10/12)+(((C44-C43)*$E$10/12)*0.5)</f>
        <v>163701.33349724999</v>
      </c>
      <c r="F44" s="303">
        <f>-D44+F43</f>
        <v>-4142268.8484301004</v>
      </c>
      <c r="G44" s="304">
        <f>+G43-E44</f>
        <v>-4658185.2741041258</v>
      </c>
      <c r="H44" s="303">
        <f>B44+F44</f>
        <v>76697895.841569901</v>
      </c>
      <c r="I44" s="303">
        <f>C44+G44</f>
        <v>76181979.415895879</v>
      </c>
      <c r="J44" s="303">
        <f>I44-H44</f>
        <v>-515916.42567402124</v>
      </c>
      <c r="K44" s="303">
        <f>-J44*$K$11</f>
        <v>108342.44939154446</v>
      </c>
      <c r="L44" s="303">
        <f>-K44+K43</f>
        <v>1895.7018619827868</v>
      </c>
      <c r="M44" s="312"/>
      <c r="N44" s="299"/>
      <c r="O44" s="299"/>
    </row>
    <row r="45" spans="1:15" ht="15" x14ac:dyDescent="0.25">
      <c r="A45" s="314">
        <v>45504</v>
      </c>
      <c r="B45" s="303">
        <f>C45</f>
        <v>80840164.689999998</v>
      </c>
      <c r="C45" s="313">
        <f>C44</f>
        <v>80840164.689999998</v>
      </c>
      <c r="D45" s="303">
        <f>(($B$14*$E$6/12)+(($B$26-$B$14)*$D$6/12)+(($B$38-$B$26)*$C$6/12)+(($B$50-$B$38)*$B$6/12))</f>
        <v>172728.48522096666</v>
      </c>
      <c r="E45" s="304">
        <f>+(C44*$E$10/12)+(((C45-C44)*$E$10/12)*0.5)</f>
        <v>163701.33349724999</v>
      </c>
      <c r="F45" s="303">
        <f>-D45+F44</f>
        <v>-4314997.3336510668</v>
      </c>
      <c r="G45" s="304">
        <f>+G44-E45</f>
        <v>-4821886.6076013763</v>
      </c>
      <c r="H45" s="303">
        <f>B45+F45</f>
        <v>76525167.356348932</v>
      </c>
      <c r="I45" s="303">
        <f>C45+G45</f>
        <v>76018278.082398623</v>
      </c>
      <c r="J45" s="303">
        <f>I45-H45</f>
        <v>-506889.27395030856</v>
      </c>
      <c r="K45" s="303">
        <f>-J45*$K$11</f>
        <v>106446.74752956479</v>
      </c>
      <c r="L45" s="303">
        <f>-K45+K44</f>
        <v>1895.7018619796727</v>
      </c>
      <c r="M45" s="312"/>
      <c r="N45" s="299"/>
      <c r="O45" s="299"/>
    </row>
    <row r="46" spans="1:15" ht="15" x14ac:dyDescent="0.25">
      <c r="A46" s="314">
        <v>45535</v>
      </c>
      <c r="B46" s="303">
        <f>C46</f>
        <v>80840164.689999998</v>
      </c>
      <c r="C46" s="313">
        <f>C45</f>
        <v>80840164.689999998</v>
      </c>
      <c r="D46" s="303">
        <f>(($B$14*$E$6/12)+(($B$26-$B$14)*$D$6/12)+(($B$38-$B$26)*$C$6/12)+(($B$50-$B$38)*$B$6/12))</f>
        <v>172728.48522096666</v>
      </c>
      <c r="E46" s="304">
        <f>+(C45*$E$10/12)+(((C46-C45)*$E$10/12)*0.5)</f>
        <v>163701.33349724999</v>
      </c>
      <c r="F46" s="303">
        <f>-D46+F45</f>
        <v>-4487725.8188720336</v>
      </c>
      <c r="G46" s="304">
        <f>+G45-E46</f>
        <v>-4985587.9410986267</v>
      </c>
      <c r="H46" s="303">
        <f>B46+F46</f>
        <v>76352438.871127963</v>
      </c>
      <c r="I46" s="303">
        <f>C46+G46</f>
        <v>75854576.748901367</v>
      </c>
      <c r="J46" s="303">
        <f>I46-H46</f>
        <v>-497862.12222659588</v>
      </c>
      <c r="K46" s="303">
        <f>-J46*$K$11</f>
        <v>104551.04566758513</v>
      </c>
      <c r="L46" s="303">
        <f>-K46+K45</f>
        <v>1895.7018619796581</v>
      </c>
      <c r="M46" s="312"/>
      <c r="N46" s="299"/>
      <c r="O46" s="299"/>
    </row>
    <row r="47" spans="1:15" ht="15" x14ac:dyDescent="0.25">
      <c r="A47" s="314">
        <v>45565</v>
      </c>
      <c r="B47" s="303">
        <f>C47</f>
        <v>80840164.689999998</v>
      </c>
      <c r="C47" s="313">
        <f>C46</f>
        <v>80840164.689999998</v>
      </c>
      <c r="D47" s="303">
        <f>(($B$14*$E$6/12)+(($B$26-$B$14)*$D$6/12)+(($B$38-$B$26)*$C$6/12)+(($B$50-$B$38)*$B$6/12))</f>
        <v>172728.48522096666</v>
      </c>
      <c r="E47" s="304">
        <f>+(C46*$E$10/12)+(((C47-C46)*$E$10/12)*0.5)</f>
        <v>163701.33349724999</v>
      </c>
      <c r="F47" s="303">
        <f>-D47+F46</f>
        <v>-4660454.3040930005</v>
      </c>
      <c r="G47" s="304">
        <f>+G46-E47</f>
        <v>-5149289.2745958772</v>
      </c>
      <c r="H47" s="303">
        <f>B47+F47</f>
        <v>76179710.385906994</v>
      </c>
      <c r="I47" s="303">
        <f>C47+G47</f>
        <v>75690875.415404126</v>
      </c>
      <c r="J47" s="303">
        <f>I47-H47</f>
        <v>-488834.97050286829</v>
      </c>
      <c r="K47" s="303">
        <f>-J47*$K$11</f>
        <v>102655.34380560234</v>
      </c>
      <c r="L47" s="303">
        <f>-K47+K46</f>
        <v>1895.7018619827868</v>
      </c>
      <c r="M47" s="312"/>
      <c r="N47" s="299"/>
      <c r="O47" s="299"/>
    </row>
    <row r="48" spans="1:15" ht="15" x14ac:dyDescent="0.25">
      <c r="A48" s="314">
        <v>45596</v>
      </c>
      <c r="B48" s="303">
        <f>C48</f>
        <v>80840164.689999998</v>
      </c>
      <c r="C48" s="313">
        <f>C47</f>
        <v>80840164.689999998</v>
      </c>
      <c r="D48" s="303">
        <f>(($B$14*$E$6/12)+(($B$26-$B$14)*$D$6/12)+(($B$38-$B$26)*$C$6/12)+(($B$50-$B$38)*$B$6/12))</f>
        <v>172728.48522096666</v>
      </c>
      <c r="E48" s="304">
        <f>+(C47*$E$10/12)+(((C48-C47)*$E$10/12)*0.5)</f>
        <v>163701.33349724999</v>
      </c>
      <c r="F48" s="303">
        <f>-D48+F47</f>
        <v>-4833182.7893139673</v>
      </c>
      <c r="G48" s="304">
        <f>+G47-E48</f>
        <v>-5312990.6080931276</v>
      </c>
      <c r="H48" s="303">
        <f>B48+F48</f>
        <v>76006981.900686026</v>
      </c>
      <c r="I48" s="303">
        <f>C48+G48</f>
        <v>75527174.08190687</v>
      </c>
      <c r="J48" s="303">
        <f>I48-H48</f>
        <v>-479807.81877915561</v>
      </c>
      <c r="K48" s="303">
        <f>-J48*$K$11</f>
        <v>100759.64194362267</v>
      </c>
      <c r="L48" s="303">
        <f>-K48+K47</f>
        <v>1895.7018619796727</v>
      </c>
      <c r="M48" s="312"/>
      <c r="N48" s="299"/>
      <c r="O48" s="299"/>
    </row>
    <row r="49" spans="1:15" ht="15" x14ac:dyDescent="0.25">
      <c r="A49" s="314">
        <v>45626</v>
      </c>
      <c r="B49" s="303">
        <f>C49</f>
        <v>80840164.689999998</v>
      </c>
      <c r="C49" s="313">
        <f>C48</f>
        <v>80840164.689999998</v>
      </c>
      <c r="D49" s="303">
        <f>(($B$14*$E$6/12)+(($B$26-$B$14)*$D$6/12)+(($B$38-$B$26)*$C$6/12)+(($B$50-$B$38)*$B$6/12))</f>
        <v>172728.48522096666</v>
      </c>
      <c r="E49" s="304">
        <f>+(C48*$E$10/12)+(((C49-C48)*$E$10/12)*0.5)</f>
        <v>163701.33349724999</v>
      </c>
      <c r="F49" s="303">
        <f>-D49+F48</f>
        <v>-5005911.2745349342</v>
      </c>
      <c r="G49" s="304">
        <f>+G48-E49</f>
        <v>-5476691.9415903781</v>
      </c>
      <c r="H49" s="303">
        <f>B49+F49</f>
        <v>75834253.415465057</v>
      </c>
      <c r="I49" s="303">
        <f>C49+G49</f>
        <v>75363472.748409614</v>
      </c>
      <c r="J49" s="303">
        <f>I49-H49</f>
        <v>-470780.66705544293</v>
      </c>
      <c r="K49" s="303">
        <f>-J49*$K$11</f>
        <v>98863.940081643013</v>
      </c>
      <c r="L49" s="303">
        <f>-K49+K48</f>
        <v>1895.7018619796581</v>
      </c>
      <c r="M49" s="312"/>
      <c r="N49" s="299"/>
      <c r="O49" s="299"/>
    </row>
    <row r="50" spans="1:15" ht="15" x14ac:dyDescent="0.25">
      <c r="A50" s="314">
        <v>45657</v>
      </c>
      <c r="B50" s="303">
        <f>C50</f>
        <v>80840164.689999998</v>
      </c>
      <c r="C50" s="313">
        <f>C49</f>
        <v>80840164.689999998</v>
      </c>
      <c r="D50" s="303">
        <f>(($B$14*$E$6/12)+(($B$26-$B$14)*$D$6/12)+(($B$38-$B$26)*$C$6/12)+(($B$50-$B$38)*$B$6/12))</f>
        <v>172728.48522096666</v>
      </c>
      <c r="E50" s="304">
        <f>+(C49*$E$10/12)+(((C50-C49)*$E$10/12)*0.5)</f>
        <v>163701.33349724999</v>
      </c>
      <c r="F50" s="303">
        <f>-D50+F49</f>
        <v>-5178639.7597559011</v>
      </c>
      <c r="G50" s="304">
        <f>+G49-E50</f>
        <v>-5640393.2750876285</v>
      </c>
      <c r="H50" s="303">
        <f>B50+F50</f>
        <v>75661524.930244103</v>
      </c>
      <c r="I50" s="303">
        <f>C50+G50</f>
        <v>75199771.414912373</v>
      </c>
      <c r="J50" s="303">
        <f>I50-H50</f>
        <v>-461753.51533173025</v>
      </c>
      <c r="K50" s="303">
        <f>-J50*$K$11</f>
        <v>96968.238219663355</v>
      </c>
      <c r="L50" s="303">
        <f>-K50+K49</f>
        <v>1895.7018619796581</v>
      </c>
      <c r="M50" s="312"/>
      <c r="N50" s="299"/>
      <c r="O50" s="299"/>
    </row>
    <row r="51" spans="1:15" ht="15" x14ac:dyDescent="0.25">
      <c r="A51" s="314">
        <v>45688</v>
      </c>
      <c r="B51" s="303">
        <f>C51</f>
        <v>80840164.689999998</v>
      </c>
      <c r="C51" s="313">
        <f>C50</f>
        <v>80840164.689999998</v>
      </c>
      <c r="D51" s="303">
        <f>(($B$14*$F$6/12)+(($B$26-$B$14)*$E$6/12)+(($B$38-$B$26)*$D$6/12)+(($B$50-$B$38)*$C$6/12)+(($B$62-$B$50)*$B$6/12))</f>
        <v>172728.48522096666</v>
      </c>
      <c r="E51" s="304">
        <f>+(C50*$E$10/12)+(((C51-C50)*$E$10/12)*0.5)</f>
        <v>163701.33349724999</v>
      </c>
      <c r="F51" s="303">
        <f>-D51+F50</f>
        <v>-5351368.2449768679</v>
      </c>
      <c r="G51" s="304">
        <f>+G50-E51</f>
        <v>-5804094.608584879</v>
      </c>
      <c r="H51" s="303">
        <f>B51+F51</f>
        <v>75488796.445023134</v>
      </c>
      <c r="I51" s="303">
        <f>C51+G51</f>
        <v>75036070.081415117</v>
      </c>
      <c r="J51" s="303">
        <f>I51-H51</f>
        <v>-452726.36360801756</v>
      </c>
      <c r="K51" s="303">
        <f>-J51*$K$11</f>
        <v>95072.536357683683</v>
      </c>
      <c r="L51" s="303">
        <f>-K51+K50</f>
        <v>1895.7018619796727</v>
      </c>
      <c r="M51" s="312"/>
      <c r="N51" s="299"/>
      <c r="O51" s="299"/>
    </row>
    <row r="52" spans="1:15" ht="15" x14ac:dyDescent="0.25">
      <c r="A52" s="314">
        <v>45716</v>
      </c>
      <c r="B52" s="303">
        <f>C52</f>
        <v>80840164.689999998</v>
      </c>
      <c r="C52" s="313">
        <f>C51</f>
        <v>80840164.689999998</v>
      </c>
      <c r="D52" s="303">
        <f>(($B$14*$F$6/12)+(($B$26-$B$14)*$E$6/12)+(($B$38-$B$26)*$D$6/12)+(($B$50-$B$38)*$C$6/12)+(($B$62-$B$50)*$B$6/12))</f>
        <v>172728.48522096666</v>
      </c>
      <c r="E52" s="304">
        <f>+(C51*$E$10/12)+(((C52-C51)*$E$10/12)*0.5)</f>
        <v>163701.33349724999</v>
      </c>
      <c r="F52" s="303">
        <f>-D52+F51</f>
        <v>-5524096.7301978348</v>
      </c>
      <c r="G52" s="304">
        <f>+G51-E52</f>
        <v>-5967795.9420821294</v>
      </c>
      <c r="H52" s="303">
        <f>B52+F52</f>
        <v>75316067.959802166</v>
      </c>
      <c r="I52" s="303">
        <f>C52+G52</f>
        <v>74872368.747917861</v>
      </c>
      <c r="J52" s="303">
        <f>I52-H52</f>
        <v>-443699.21188430488</v>
      </c>
      <c r="K52" s="303">
        <f>-J52*$K$11</f>
        <v>93176.834495704024</v>
      </c>
      <c r="L52" s="303">
        <f>-K52+K51</f>
        <v>1895.7018619796581</v>
      </c>
      <c r="M52" s="312"/>
      <c r="N52" s="299"/>
      <c r="O52" s="299"/>
    </row>
    <row r="53" spans="1:15" ht="15" x14ac:dyDescent="0.25">
      <c r="A53" s="314">
        <v>45747</v>
      </c>
      <c r="B53" s="303">
        <f>C53</f>
        <v>80840164.689999998</v>
      </c>
      <c r="C53" s="313">
        <f>C52</f>
        <v>80840164.689999998</v>
      </c>
      <c r="D53" s="303">
        <f>(($B$14*$F$6/12)+(($B$26-$B$14)*$E$6/12)+(($B$38-$B$26)*$D$6/12)+(($B$50-$B$38)*$C$6/12)+(($B$62-$B$50)*$B$6/12))</f>
        <v>172728.48522096666</v>
      </c>
      <c r="E53" s="304">
        <f>+(C52*$E$10/12)+(((C53-C52)*$E$10/12)*0.5)</f>
        <v>163701.33349724999</v>
      </c>
      <c r="F53" s="303">
        <f>-D53+F52</f>
        <v>-5696825.2154188016</v>
      </c>
      <c r="G53" s="304">
        <f>+G52-E53</f>
        <v>-6131497.2755793799</v>
      </c>
      <c r="H53" s="303">
        <f>B53+F53</f>
        <v>75143339.474581197</v>
      </c>
      <c r="I53" s="303">
        <f>C53+G53</f>
        <v>74708667.41442062</v>
      </c>
      <c r="J53" s="303">
        <f>I53-H53</f>
        <v>-434672.0601605773</v>
      </c>
      <c r="K53" s="303">
        <f>-J53*$K$11</f>
        <v>91281.132633721223</v>
      </c>
      <c r="L53" s="303">
        <f>-K53+K52</f>
        <v>1895.7018619828013</v>
      </c>
      <c r="M53" s="312"/>
      <c r="N53" s="299"/>
      <c r="O53" s="299"/>
    </row>
    <row r="54" spans="1:15" ht="15" x14ac:dyDescent="0.25">
      <c r="A54" s="314">
        <v>45777</v>
      </c>
      <c r="B54" s="303">
        <f>C54</f>
        <v>80840164.689999998</v>
      </c>
      <c r="C54" s="313">
        <f>C53</f>
        <v>80840164.689999998</v>
      </c>
      <c r="D54" s="303">
        <f>(($B$14*$F$6/12)+(($B$26-$B$14)*$E$6/12)+(($B$38-$B$26)*$D$6/12)+(($B$50-$B$38)*$C$6/12)+(($B$62-$B$50)*$B$6/12))</f>
        <v>172728.48522096666</v>
      </c>
      <c r="E54" s="304">
        <f>+(C53*$E$10/12)+(((C54-C53)*$E$10/12)*0.5)</f>
        <v>163701.33349724999</v>
      </c>
      <c r="F54" s="303">
        <f>-D54+F53</f>
        <v>-5869553.7006397685</v>
      </c>
      <c r="G54" s="304">
        <f>+G53-E54</f>
        <v>-6295198.6090766303</v>
      </c>
      <c r="H54" s="303">
        <f>B54+F54</f>
        <v>74970610.989360228</v>
      </c>
      <c r="I54" s="303">
        <f>C54+G54</f>
        <v>74544966.080923364</v>
      </c>
      <c r="J54" s="303">
        <f>I54-H54</f>
        <v>-425644.90843686461</v>
      </c>
      <c r="K54" s="303">
        <f>-J54*$K$11</f>
        <v>89385.430771741565</v>
      </c>
      <c r="L54" s="303">
        <f>-K54+K53</f>
        <v>1895.7018619796581</v>
      </c>
      <c r="M54" s="312"/>
      <c r="N54" s="299"/>
      <c r="O54" s="299"/>
    </row>
    <row r="55" spans="1:15" ht="15" x14ac:dyDescent="0.25">
      <c r="A55" s="314">
        <v>45808</v>
      </c>
      <c r="B55" s="303">
        <f>C55</f>
        <v>80840164.689999998</v>
      </c>
      <c r="C55" s="313">
        <f>C54</f>
        <v>80840164.689999998</v>
      </c>
      <c r="D55" s="303">
        <f>(($B$14*$F$6/12)+(($B$26-$B$14)*$E$6/12)+(($B$38-$B$26)*$D$6/12)+(($B$50-$B$38)*$C$6/12)+(($B$62-$B$50)*$B$6/12))</f>
        <v>172728.48522096666</v>
      </c>
      <c r="E55" s="304">
        <f>+(C54*$E$10/12)+(((C55-C54)*$E$10/12)*0.5)</f>
        <v>163701.33349724999</v>
      </c>
      <c r="F55" s="303">
        <f>-D55+F54</f>
        <v>-6042282.1858607354</v>
      </c>
      <c r="G55" s="304">
        <f>+G54-E55</f>
        <v>-6458899.9425738808</v>
      </c>
      <c r="H55" s="303">
        <f>B55+F55</f>
        <v>74797882.504139259</v>
      </c>
      <c r="I55" s="303">
        <f>C55+G55</f>
        <v>74381264.747426122</v>
      </c>
      <c r="J55" s="303">
        <f>I55-H55</f>
        <v>-416617.75671313703</v>
      </c>
      <c r="K55" s="303">
        <f>-J55*$K$11</f>
        <v>87489.728909758778</v>
      </c>
      <c r="L55" s="303">
        <f>-K55+K54</f>
        <v>1895.7018619827868</v>
      </c>
      <c r="M55" s="312"/>
      <c r="N55" s="299"/>
      <c r="O55" s="299"/>
    </row>
    <row r="56" spans="1:15" ht="15" x14ac:dyDescent="0.25">
      <c r="A56" s="314">
        <v>45838</v>
      </c>
      <c r="B56" s="303">
        <f>C56</f>
        <v>80840164.689999998</v>
      </c>
      <c r="C56" s="313">
        <f>C55</f>
        <v>80840164.689999998</v>
      </c>
      <c r="D56" s="303">
        <f>(($B$14*$F$6/12)+(($B$26-$B$14)*$E$6/12)+(($B$38-$B$26)*$D$6/12)+(($B$50-$B$38)*$C$6/12)+(($B$62-$B$50)*$B$6/12))</f>
        <v>172728.48522096666</v>
      </c>
      <c r="E56" s="304">
        <f>+(C55*$E$10/12)+(((C56-C55)*$E$10/12)*0.5)</f>
        <v>163701.33349724999</v>
      </c>
      <c r="F56" s="303">
        <f>-D56+F55</f>
        <v>-6215010.6710817022</v>
      </c>
      <c r="G56" s="304">
        <f>+G55-E56</f>
        <v>-6622601.2760711312</v>
      </c>
      <c r="H56" s="303">
        <f>B56+F56</f>
        <v>74625154.018918291</v>
      </c>
      <c r="I56" s="303">
        <f>C56+G56</f>
        <v>74217563.413928866</v>
      </c>
      <c r="J56" s="303">
        <f>I56-H56</f>
        <v>-407590.60498942435</v>
      </c>
      <c r="K56" s="303">
        <f>-J56*$K$11</f>
        <v>85594.027047779105</v>
      </c>
      <c r="L56" s="303">
        <f>-K56+K55</f>
        <v>1895.7018619796727</v>
      </c>
      <c r="M56" s="312"/>
      <c r="N56" s="299"/>
      <c r="O56" s="299"/>
    </row>
    <row r="57" spans="1:15" ht="15" x14ac:dyDescent="0.25">
      <c r="A57" s="314">
        <v>45869</v>
      </c>
      <c r="B57" s="303">
        <f>C57</f>
        <v>80840164.689999998</v>
      </c>
      <c r="C57" s="313">
        <f>C56</f>
        <v>80840164.689999998</v>
      </c>
      <c r="D57" s="303">
        <f>(($B$14*$F$6/12)+(($B$26-$B$14)*$E$6/12)+(($B$38-$B$26)*$D$6/12)+(($B$50-$B$38)*$C$6/12)+(($B$62-$B$50)*$B$6/12))</f>
        <v>172728.48522096666</v>
      </c>
      <c r="E57" s="304">
        <f>+(C56*$E$10/12)+(((C57-C56)*$E$10/12)*0.5)</f>
        <v>163701.33349724999</v>
      </c>
      <c r="F57" s="303">
        <f>-D57+F56</f>
        <v>-6387739.1563026691</v>
      </c>
      <c r="G57" s="304">
        <f>+G56-E57</f>
        <v>-6786302.6095683817</v>
      </c>
      <c r="H57" s="303">
        <f>B57+F57</f>
        <v>74452425.533697322</v>
      </c>
      <c r="I57" s="303">
        <f>C57+G57</f>
        <v>74053862.08043161</v>
      </c>
      <c r="J57" s="303">
        <f>I57-H57</f>
        <v>-398563.45326571167</v>
      </c>
      <c r="K57" s="303">
        <f>-J57*$K$11</f>
        <v>83698.325185799447</v>
      </c>
      <c r="L57" s="303">
        <f>-K57+K56</f>
        <v>1895.7018619796581</v>
      </c>
      <c r="M57" s="312"/>
      <c r="N57" s="299"/>
      <c r="O57" s="299"/>
    </row>
    <row r="58" spans="1:15" ht="15" customHeight="1" x14ac:dyDescent="0.25">
      <c r="A58" s="314">
        <v>45900</v>
      </c>
      <c r="B58" s="303">
        <f>C58</f>
        <v>80840164.689999998</v>
      </c>
      <c r="C58" s="313">
        <f>C57</f>
        <v>80840164.689999998</v>
      </c>
      <c r="D58" s="303">
        <f>(($B$14*$F$6/12)+(($B$26-$B$14)*$E$6/12)+(($B$38-$B$26)*$D$6/12)+(($B$50-$B$38)*$C$6/12)+(($B$62-$B$50)*$B$6/12))</f>
        <v>172728.48522096666</v>
      </c>
      <c r="E58" s="304">
        <f>+(C57*$E$10/12)+(((C58-C57)*$E$10/12)*0.5)</f>
        <v>163701.33349724999</v>
      </c>
      <c r="F58" s="303">
        <f>-D58+F57</f>
        <v>-6560467.6415236359</v>
      </c>
      <c r="G58" s="304">
        <f>+G57-E58</f>
        <v>-6950003.9430656321</v>
      </c>
      <c r="H58" s="303">
        <f>B58+F58</f>
        <v>74279697.048476368</v>
      </c>
      <c r="I58" s="303">
        <f>C58+G58</f>
        <v>73890160.746934369</v>
      </c>
      <c r="J58" s="303">
        <f>I58-H58</f>
        <v>-389536.30154199898</v>
      </c>
      <c r="K58" s="303">
        <f>-J58*$K$11</f>
        <v>81802.623323819789</v>
      </c>
      <c r="L58" s="303">
        <f>-K58+K57</f>
        <v>1895.7018619796581</v>
      </c>
      <c r="M58" s="312"/>
      <c r="N58" s="299"/>
      <c r="O58" s="299"/>
    </row>
    <row r="59" spans="1:15" ht="15" customHeight="1" x14ac:dyDescent="0.25">
      <c r="A59" s="314">
        <v>45930</v>
      </c>
      <c r="B59" s="303">
        <f>C59</f>
        <v>80840164.689999998</v>
      </c>
      <c r="C59" s="313">
        <f>C58</f>
        <v>80840164.689999998</v>
      </c>
      <c r="D59" s="303">
        <f>(($B$14*$F$6/12)+(($B$26-$B$14)*$E$6/12)+(($B$38-$B$26)*$D$6/12)+(($B$50-$B$38)*$C$6/12)+(($B$62-$B$50)*$B$6/12))</f>
        <v>172728.48522096666</v>
      </c>
      <c r="E59" s="304">
        <f>+(C58*$E$10/12)+(((C59-C58)*$E$10/12)*0.5)</f>
        <v>163701.33349724999</v>
      </c>
      <c r="F59" s="303">
        <f>-D59+F58</f>
        <v>-6733196.1267446028</v>
      </c>
      <c r="G59" s="304">
        <f>+G58-E59</f>
        <v>-7113705.2765628826</v>
      </c>
      <c r="H59" s="303">
        <f>B59+F59</f>
        <v>74106968.563255399</v>
      </c>
      <c r="I59" s="303">
        <f>C59+G59</f>
        <v>73726459.413437113</v>
      </c>
      <c r="J59" s="303">
        <f>I59-H59</f>
        <v>-380509.1498182863</v>
      </c>
      <c r="K59" s="303">
        <f>-J59*$K$11</f>
        <v>79906.921461840117</v>
      </c>
      <c r="L59" s="303">
        <f>-K59+K58</f>
        <v>1895.7018619796727</v>
      </c>
      <c r="M59" s="312"/>
      <c r="N59" s="299"/>
      <c r="O59" s="299"/>
    </row>
    <row r="60" spans="1:15" ht="15" customHeight="1" x14ac:dyDescent="0.25">
      <c r="A60" s="314">
        <v>45961</v>
      </c>
      <c r="B60" s="303">
        <f>C60</f>
        <v>80840164.689999998</v>
      </c>
      <c r="C60" s="313">
        <f>C59</f>
        <v>80840164.689999998</v>
      </c>
      <c r="D60" s="303">
        <f>(($B$14*$F$6/12)+(($B$26-$B$14)*$E$6/12)+(($B$38-$B$26)*$D$6/12)+(($B$50-$B$38)*$C$6/12)+(($B$62-$B$50)*$B$6/12))</f>
        <v>172728.48522096666</v>
      </c>
      <c r="E60" s="304">
        <f>+(C59*$E$10/12)+(((C60-C59)*$E$10/12)*0.5)</f>
        <v>163701.33349724999</v>
      </c>
      <c r="F60" s="303">
        <f>-D60+F59</f>
        <v>-6905924.6119655697</v>
      </c>
      <c r="G60" s="304">
        <f>+G59-E60</f>
        <v>-7277406.610060133</v>
      </c>
      <c r="H60" s="303">
        <f>B60+F60</f>
        <v>73934240.078034431</v>
      </c>
      <c r="I60" s="303">
        <f>C60+G60</f>
        <v>73562758.079939872</v>
      </c>
      <c r="J60" s="303">
        <f>I60-H60</f>
        <v>-371481.99809455872</v>
      </c>
      <c r="K60" s="303">
        <f>-J60*$K$11</f>
        <v>78011.21959985733</v>
      </c>
      <c r="L60" s="303">
        <f>-K60+K59</f>
        <v>1895.7018619827868</v>
      </c>
      <c r="M60" s="312"/>
      <c r="N60" s="299"/>
      <c r="O60" s="299"/>
    </row>
    <row r="61" spans="1:15" ht="15" x14ac:dyDescent="0.25">
      <c r="A61" s="314">
        <v>45991</v>
      </c>
      <c r="B61" s="303">
        <f>C61</f>
        <v>80840164.689999998</v>
      </c>
      <c r="C61" s="313">
        <f>C60</f>
        <v>80840164.689999998</v>
      </c>
      <c r="D61" s="303">
        <f>(($B$14*$F$6/12)+(($B$26-$B$14)*$E$6/12)+(($B$38-$B$26)*$D$6/12)+(($B$50-$B$38)*$C$6/12)+(($B$62-$B$50)*$B$6/12))</f>
        <v>172728.48522096666</v>
      </c>
      <c r="E61" s="304">
        <f>+(C60*$E$10/12)+(((C61-C60)*$E$10/12)*0.5)</f>
        <v>163701.33349724999</v>
      </c>
      <c r="F61" s="303">
        <f>-D61+F60</f>
        <v>-7078653.0971865365</v>
      </c>
      <c r="G61" s="304">
        <f>+G60-E61</f>
        <v>-7441107.9435573835</v>
      </c>
      <c r="H61" s="303">
        <f>B61+F61</f>
        <v>73761511.592813462</v>
      </c>
      <c r="I61" s="303">
        <f>C61+G61</f>
        <v>73399056.746442616</v>
      </c>
      <c r="J61" s="303">
        <f>I61-H61</f>
        <v>-362454.84637084603</v>
      </c>
      <c r="K61" s="303">
        <f>-J61*$K$11</f>
        <v>76115.517737877657</v>
      </c>
      <c r="L61" s="303">
        <f>-K61+K60</f>
        <v>1895.7018619796727</v>
      </c>
      <c r="M61" s="312"/>
      <c r="N61" s="299"/>
      <c r="O61" s="299"/>
    </row>
    <row r="62" spans="1:15" ht="15" x14ac:dyDescent="0.25">
      <c r="A62" s="314">
        <v>46022</v>
      </c>
      <c r="B62" s="303">
        <f>C62</f>
        <v>80840164.689999998</v>
      </c>
      <c r="C62" s="313">
        <f>C61</f>
        <v>80840164.689999998</v>
      </c>
      <c r="D62" s="303">
        <f>(($B$14*$F$6/12)+(($B$26-$B$14)*$E$6/12)+(($B$38-$B$26)*$D$6/12)+(($B$50-$B$38)*$C$6/12)+(($B$62-$B$50)*$B$6/12))</f>
        <v>172728.48522096666</v>
      </c>
      <c r="E62" s="304">
        <f>+(C61*$E$10/12)+(((C62-C61)*$E$10/12)*0.5)</f>
        <v>163701.33349724999</v>
      </c>
      <c r="F62" s="303">
        <f>-D62+F61</f>
        <v>-7251381.5824075034</v>
      </c>
      <c r="G62" s="304">
        <f>+G61-E62</f>
        <v>-7604809.2770546339</v>
      </c>
      <c r="H62" s="303">
        <f>B62+F62</f>
        <v>73588783.107592493</v>
      </c>
      <c r="I62" s="303">
        <f>C62+G62</f>
        <v>73235355.41294536</v>
      </c>
      <c r="J62" s="303">
        <f>I62-H62</f>
        <v>-353427.69464713335</v>
      </c>
      <c r="K62" s="303">
        <f>-J62*$K$11</f>
        <v>74219.815875897999</v>
      </c>
      <c r="L62" s="303">
        <f>-K62+K61</f>
        <v>1895.7018619796581</v>
      </c>
      <c r="M62" s="312"/>
      <c r="N62" s="299"/>
      <c r="O62" s="299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8"/>
      <c r="N63" s="299"/>
      <c r="O63" s="299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8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8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8"/>
      <c r="N66" s="299"/>
      <c r="O66" s="307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8"/>
      <c r="N67" s="299"/>
      <c r="O67" s="299"/>
    </row>
    <row r="68" spans="1:15" x14ac:dyDescent="0.2">
      <c r="A68" s="302" t="s">
        <v>249</v>
      </c>
      <c r="B68" s="285">
        <f>B26</f>
        <v>80821249.890000001</v>
      </c>
      <c r="C68" s="285">
        <f>C26</f>
        <v>80821249.890000001</v>
      </c>
      <c r="D68" s="285">
        <f>SUM(D15:D26)</f>
        <v>1033438.4554326</v>
      </c>
      <c r="E68" s="285">
        <f>SUM(E15:E26)</f>
        <v>1711656.5615178747</v>
      </c>
      <c r="F68" s="285">
        <f>F26</f>
        <v>-1033438.4554326</v>
      </c>
      <c r="G68" s="285">
        <f>G26</f>
        <v>-1711656.5615178747</v>
      </c>
      <c r="H68" s="285">
        <f>H26</f>
        <v>79787811.434567407</v>
      </c>
      <c r="I68" s="285">
        <f>I26</f>
        <v>79109593.328482121</v>
      </c>
      <c r="J68" s="285">
        <f>J26</f>
        <v>-678218.10608528554</v>
      </c>
      <c r="K68" s="285">
        <f>K26</f>
        <v>142425.80227790997</v>
      </c>
      <c r="L68" s="285">
        <f>SUM(L15:L26)</f>
        <v>-142425.80227790997</v>
      </c>
      <c r="M68" s="298"/>
      <c r="N68" s="299"/>
      <c r="O68" s="299"/>
    </row>
    <row r="69" spans="1:15" x14ac:dyDescent="0.2">
      <c r="A69" s="301" t="s">
        <v>248</v>
      </c>
      <c r="B69" s="285">
        <f>(B14+B26+SUM(B15:B25)*2)/24</f>
        <v>70438541.626250014</v>
      </c>
      <c r="C69" s="285">
        <f>(C14+C26+SUM(C15:C25)*2)/24</f>
        <v>70438541.626250014</v>
      </c>
      <c r="D69" s="285"/>
      <c r="E69" s="300"/>
      <c r="F69" s="285">
        <f>(F14+F26+SUM(F15:F25)*2)/24</f>
        <v>-515919.6139771</v>
      </c>
      <c r="G69" s="285">
        <f>(G14+G26+SUM(G15:G25)*2)/24</f>
        <v>-749515.81902004685</v>
      </c>
      <c r="H69" s="285">
        <f>(H14+H26+SUM(H15:H25)*2)/24</f>
        <v>69922622.012272894</v>
      </c>
      <c r="I69" s="285">
        <f>(I14+I26+SUM(I15:I25)*2)/24</f>
        <v>69689025.807229951</v>
      </c>
      <c r="J69" s="285">
        <f>(J14+J26+SUM(J15:J25)*2)/24</f>
        <v>-233596.20504294732</v>
      </c>
      <c r="K69" s="285">
        <f>(K14+K26+SUM(K15:K25)*2)/24</f>
        <v>49055.203059018939</v>
      </c>
      <c r="L69" s="300"/>
      <c r="M69" s="298"/>
      <c r="N69" s="299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8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8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8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8"/>
      <c r="N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</sheetData>
  <dataConsolidate/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9" sqref="D19"/>
    </sheetView>
  </sheetViews>
  <sheetFormatPr defaultColWidth="8.85546875" defaultRowHeight="12.75" x14ac:dyDescent="0.2"/>
  <cols>
    <col min="1" max="1" width="26" style="295" customWidth="1"/>
    <col min="2" max="2" width="13.28515625" style="295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3.7109375" style="295" customWidth="1"/>
    <col min="7" max="7" width="14.5703125" style="295" bestFit="1" customWidth="1"/>
    <col min="8" max="9" width="13.7109375" style="295" customWidth="1"/>
    <col min="10" max="10" width="12.140625" style="295" bestFit="1" customWidth="1"/>
    <col min="11" max="11" width="12.5703125" style="295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261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2.4299999999999999E-2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2.4299999999999999E-2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3">
        <v>0</v>
      </c>
      <c r="E14" s="304">
        <v>0</v>
      </c>
      <c r="F14" s="303">
        <v>0</v>
      </c>
      <c r="G14" s="304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460727.22100000008</v>
      </c>
      <c r="E15" s="304">
        <v>0</v>
      </c>
      <c r="F15" s="303">
        <f t="shared" ref="F15:F28" si="0">-D15+F14</f>
        <v>-460727.22100000008</v>
      </c>
      <c r="G15" s="304">
        <f t="shared" ref="G15:G28" si="1">+G14-E15</f>
        <v>0</v>
      </c>
      <c r="H15" s="303">
        <f t="shared" ref="H15:I28" si="2">B15+F15</f>
        <v>-460727.22100000008</v>
      </c>
      <c r="I15" s="303">
        <f t="shared" si="2"/>
        <v>0</v>
      </c>
      <c r="J15" s="303">
        <f t="shared" ref="J15:J28" si="3">I15-H15</f>
        <v>460727.22100000008</v>
      </c>
      <c r="K15" s="303">
        <f t="shared" ref="K15:K28" si="4">-J15*$K$11</f>
        <v>-96752.716410000008</v>
      </c>
      <c r="L15" s="303">
        <f t="shared" ref="L15:L28" si="5">-K15+K14</f>
        <v>96752.716410000008</v>
      </c>
      <c r="M15" s="362"/>
    </row>
    <row r="16" spans="1:23" x14ac:dyDescent="0.2">
      <c r="A16" s="314">
        <v>44620</v>
      </c>
      <c r="B16" s="303">
        <v>110574533.04000001</v>
      </c>
      <c r="C16" s="313">
        <v>110574533.04000001</v>
      </c>
      <c r="D16" s="303">
        <f>(($B$14*$C$6/12)+(($B$16-$B$14)*$B$6/12))+M16</f>
        <v>460727.22100000008</v>
      </c>
      <c r="E16" s="304">
        <f t="shared" ref="E16:E25" si="6">+(C15*$E$10/12)+(((C16-C15)*$E$10/12)*0.5)</f>
        <v>111956.71470299999</v>
      </c>
      <c r="F16" s="303">
        <f t="shared" si="0"/>
        <v>-921454.44200000016</v>
      </c>
      <c r="G16" s="304">
        <f t="shared" si="1"/>
        <v>-111956.71470299999</v>
      </c>
      <c r="H16" s="303">
        <f t="shared" si="2"/>
        <v>109653078.598</v>
      </c>
      <c r="I16" s="303">
        <f t="shared" si="2"/>
        <v>110462576.32529701</v>
      </c>
      <c r="J16" s="303">
        <f t="shared" si="3"/>
        <v>809497.72729700804</v>
      </c>
      <c r="K16" s="303">
        <f t="shared" si="4"/>
        <v>-169994.52273237167</v>
      </c>
      <c r="L16" s="303">
        <f t="shared" si="5"/>
        <v>73241.80632237166</v>
      </c>
      <c r="M16" s="362"/>
    </row>
    <row r="17" spans="1:15" ht="15" x14ac:dyDescent="0.25">
      <c r="A17" s="314">
        <v>44651</v>
      </c>
      <c r="B17" s="303">
        <v>110602343.01000001</v>
      </c>
      <c r="C17" s="313">
        <v>110602343.01000001</v>
      </c>
      <c r="D17" s="303">
        <f>(($B$14*$C$6/12)+((B17-$B$14)*$B$6/12))+M17</f>
        <v>460843.09587500006</v>
      </c>
      <c r="E17" s="304">
        <f t="shared" si="6"/>
        <v>223941.58700062498</v>
      </c>
      <c r="F17" s="303">
        <f t="shared" si="0"/>
        <v>-1382297.5378750002</v>
      </c>
      <c r="G17" s="304">
        <f t="shared" si="1"/>
        <v>-335898.30170362495</v>
      </c>
      <c r="H17" s="303">
        <f t="shared" si="2"/>
        <v>109220045.47212501</v>
      </c>
      <c r="I17" s="303">
        <f t="shared" si="2"/>
        <v>110266444.70829637</v>
      </c>
      <c r="J17" s="303">
        <f t="shared" si="3"/>
        <v>1046399.2361713648</v>
      </c>
      <c r="K17" s="303">
        <f t="shared" si="4"/>
        <v>-219743.83959598659</v>
      </c>
      <c r="L17" s="303">
        <f t="shared" si="5"/>
        <v>49749.31686361492</v>
      </c>
      <c r="M17" s="361"/>
      <c r="N17" s="320"/>
    </row>
    <row r="18" spans="1:15" ht="15" x14ac:dyDescent="0.25">
      <c r="A18" s="314">
        <v>44681</v>
      </c>
      <c r="B18" s="303">
        <v>110607241.43000001</v>
      </c>
      <c r="C18" s="313">
        <v>110607241.43000001</v>
      </c>
      <c r="D18" s="303">
        <f>(($B$14*$C$6/12)+((B18-$B$14)*$B$6/12))+M18</f>
        <v>460863.50595833338</v>
      </c>
      <c r="E18" s="304">
        <f t="shared" si="6"/>
        <v>223974.7042455</v>
      </c>
      <c r="F18" s="303">
        <f t="shared" si="0"/>
        <v>-1843161.0438333335</v>
      </c>
      <c r="G18" s="304">
        <f t="shared" si="1"/>
        <v>-559873.00594912493</v>
      </c>
      <c r="H18" s="303">
        <f t="shared" si="2"/>
        <v>108764080.38616668</v>
      </c>
      <c r="I18" s="303">
        <f t="shared" si="2"/>
        <v>110047368.42405088</v>
      </c>
      <c r="J18" s="303">
        <f t="shared" si="3"/>
        <v>1283288.0378842056</v>
      </c>
      <c r="K18" s="303">
        <f t="shared" si="4"/>
        <v>-269490.48795568314</v>
      </c>
      <c r="L18" s="303">
        <f t="shared" si="5"/>
        <v>49746.648359696555</v>
      </c>
      <c r="M18" s="361"/>
    </row>
    <row r="19" spans="1:15" ht="15" x14ac:dyDescent="0.25">
      <c r="A19" s="314">
        <v>44712</v>
      </c>
      <c r="B19" s="303">
        <v>110649495.93000001</v>
      </c>
      <c r="C19" s="313">
        <v>110649495.93000001</v>
      </c>
      <c r="D19" s="303">
        <f>(($B$14*$C$6/12)+((B19-$B$14)*$B$6/12))+M19</f>
        <v>461039.56637500011</v>
      </c>
      <c r="E19" s="304">
        <f t="shared" si="6"/>
        <v>224022.446577</v>
      </c>
      <c r="F19" s="303">
        <f t="shared" si="0"/>
        <v>-2304200.6102083335</v>
      </c>
      <c r="G19" s="304">
        <f t="shared" si="1"/>
        <v>-783895.45252612489</v>
      </c>
      <c r="H19" s="303">
        <f t="shared" si="2"/>
        <v>108345295.31979167</v>
      </c>
      <c r="I19" s="303">
        <f t="shared" si="2"/>
        <v>109865600.47747388</v>
      </c>
      <c r="J19" s="303">
        <f t="shared" si="3"/>
        <v>1520305.1576822102</v>
      </c>
      <c r="K19" s="303">
        <f t="shared" si="4"/>
        <v>-319264.08311326412</v>
      </c>
      <c r="L19" s="303">
        <f t="shared" si="5"/>
        <v>49773.595157580974</v>
      </c>
      <c r="M19" s="361"/>
    </row>
    <row r="20" spans="1:15" ht="15" x14ac:dyDescent="0.25">
      <c r="A20" s="314">
        <v>44742</v>
      </c>
      <c r="B20" s="303">
        <v>110661253.95999999</v>
      </c>
      <c r="C20" s="313">
        <v>110661253.95999999</v>
      </c>
      <c r="D20" s="303">
        <f>(($B$14*$C$6/12)+((B20-$B$14)*$B$6/12))+M20</f>
        <v>461088.55816666665</v>
      </c>
      <c r="E20" s="304">
        <f t="shared" si="6"/>
        <v>224077.13426362499</v>
      </c>
      <c r="F20" s="303">
        <f t="shared" si="0"/>
        <v>-2765289.1683750004</v>
      </c>
      <c r="G20" s="304">
        <f t="shared" si="1"/>
        <v>-1007972.5867897499</v>
      </c>
      <c r="H20" s="303">
        <f t="shared" si="2"/>
        <v>107895964.79162499</v>
      </c>
      <c r="I20" s="303">
        <f t="shared" si="2"/>
        <v>109653281.37321024</v>
      </c>
      <c r="J20" s="303">
        <f t="shared" si="3"/>
        <v>1757316.5815852433</v>
      </c>
      <c r="K20" s="303">
        <f t="shared" si="4"/>
        <v>-369036.48213290109</v>
      </c>
      <c r="L20" s="303">
        <f t="shared" si="5"/>
        <v>49772.39901963697</v>
      </c>
      <c r="M20" s="361"/>
    </row>
    <row r="21" spans="1:15" ht="15" x14ac:dyDescent="0.25">
      <c r="A21" s="314">
        <v>44773</v>
      </c>
      <c r="B21" s="303">
        <v>110665110.77</v>
      </c>
      <c r="C21" s="313">
        <v>110665110.77</v>
      </c>
      <c r="D21" s="303">
        <f>(($B$14*$C$6/12)+((B21-$B$14)*$B$6/12))+M21</f>
        <v>461104.62820833334</v>
      </c>
      <c r="E21" s="304">
        <f t="shared" si="6"/>
        <v>224092.94428912498</v>
      </c>
      <c r="F21" s="303">
        <f t="shared" si="0"/>
        <v>-3226393.7965833335</v>
      </c>
      <c r="G21" s="304">
        <f t="shared" si="1"/>
        <v>-1232065.5310788748</v>
      </c>
      <c r="H21" s="303">
        <f t="shared" si="2"/>
        <v>107438716.97341666</v>
      </c>
      <c r="I21" s="303">
        <f t="shared" si="2"/>
        <v>109433045.23892112</v>
      </c>
      <c r="J21" s="303">
        <f t="shared" si="3"/>
        <v>1994328.2655044645</v>
      </c>
      <c r="K21" s="303">
        <f t="shared" si="4"/>
        <v>-418808.93575593753</v>
      </c>
      <c r="L21" s="303">
        <f t="shared" si="5"/>
        <v>49772.453623036447</v>
      </c>
      <c r="M21" s="361"/>
    </row>
    <row r="22" spans="1:15" ht="15" x14ac:dyDescent="0.25">
      <c r="A22" s="314">
        <v>44804</v>
      </c>
      <c r="B22" s="303">
        <v>110665943.48999999</v>
      </c>
      <c r="C22" s="313">
        <v>110665943.48999999</v>
      </c>
      <c r="D22" s="303">
        <f>(($B$14*$C$6/12)+((B22-$B$14)*$B$6/12))+M22</f>
        <v>461108.09787499998</v>
      </c>
      <c r="E22" s="304">
        <f t="shared" si="6"/>
        <v>224097.69243824997</v>
      </c>
      <c r="F22" s="303">
        <f t="shared" si="0"/>
        <v>-3687501.8944583335</v>
      </c>
      <c r="G22" s="304">
        <f t="shared" si="1"/>
        <v>-1456163.2235171248</v>
      </c>
      <c r="H22" s="303">
        <f t="shared" si="2"/>
        <v>106978441.59554166</v>
      </c>
      <c r="I22" s="303">
        <f t="shared" si="2"/>
        <v>109209780.26648287</v>
      </c>
      <c r="J22" s="303">
        <f t="shared" si="3"/>
        <v>2231338.6709412187</v>
      </c>
      <c r="K22" s="303">
        <f t="shared" si="4"/>
        <v>-468581.1208976559</v>
      </c>
      <c r="L22" s="303">
        <f t="shared" si="5"/>
        <v>49772.185141718364</v>
      </c>
      <c r="M22" s="361"/>
    </row>
    <row r="23" spans="1:15" ht="15" x14ac:dyDescent="0.25">
      <c r="A23" s="314">
        <v>44834</v>
      </c>
      <c r="B23" s="303">
        <v>110666799.37</v>
      </c>
      <c r="C23" s="313">
        <v>110666799.37</v>
      </c>
      <c r="D23" s="303">
        <f>(($B$14*$C$6/12)+((B23-$B$14)*$B$6/12))+M23</f>
        <v>461111.66404166672</v>
      </c>
      <c r="E23" s="304">
        <f t="shared" si="6"/>
        <v>224099.40214575001</v>
      </c>
      <c r="F23" s="303">
        <f t="shared" si="0"/>
        <v>-4148613.5585000003</v>
      </c>
      <c r="G23" s="304">
        <f t="shared" si="1"/>
        <v>-1680262.6256628749</v>
      </c>
      <c r="H23" s="303">
        <f t="shared" si="2"/>
        <v>106518185.8115</v>
      </c>
      <c r="I23" s="303">
        <f t="shared" si="2"/>
        <v>108986536.74433713</v>
      </c>
      <c r="J23" s="303">
        <f t="shared" si="3"/>
        <v>2468350.9328371286</v>
      </c>
      <c r="K23" s="303">
        <f t="shared" si="4"/>
        <v>-518353.69589579699</v>
      </c>
      <c r="L23" s="303">
        <f t="shared" si="5"/>
        <v>49772.574998141092</v>
      </c>
      <c r="M23" s="361"/>
      <c r="O23" s="299"/>
    </row>
    <row r="24" spans="1:15" ht="15" x14ac:dyDescent="0.25">
      <c r="A24" s="314">
        <v>44865</v>
      </c>
      <c r="B24" s="303">
        <v>110679639.3</v>
      </c>
      <c r="C24" s="313">
        <v>110679639.3</v>
      </c>
      <c r="D24" s="303">
        <f>(($B$14*$C$6/12)+((B24-$B$14)*$B$6/12))+M24</f>
        <v>461165.16375000001</v>
      </c>
      <c r="E24" s="304">
        <f t="shared" si="6"/>
        <v>224113.26915337497</v>
      </c>
      <c r="F24" s="303">
        <f t="shared" si="0"/>
        <v>-4609778.7222500006</v>
      </c>
      <c r="G24" s="304">
        <f t="shared" si="1"/>
        <v>-1904375.8948162498</v>
      </c>
      <c r="H24" s="303">
        <f t="shared" si="2"/>
        <v>106069860.57775</v>
      </c>
      <c r="I24" s="303">
        <f t="shared" si="2"/>
        <v>108775263.40518375</v>
      </c>
      <c r="J24" s="303">
        <f t="shared" si="3"/>
        <v>2705402.82743375</v>
      </c>
      <c r="K24" s="303">
        <f t="shared" si="4"/>
        <v>-568134.59376108751</v>
      </c>
      <c r="L24" s="303">
        <f t="shared" si="5"/>
        <v>49780.897865290521</v>
      </c>
      <c r="M24" s="361"/>
      <c r="N24" s="299"/>
      <c r="O24" s="299"/>
    </row>
    <row r="25" spans="1:15" ht="15" x14ac:dyDescent="0.25">
      <c r="A25" s="314">
        <v>44895</v>
      </c>
      <c r="B25" s="303">
        <v>110704355.69</v>
      </c>
      <c r="C25" s="313">
        <v>110704355.69</v>
      </c>
      <c r="D25" s="303">
        <f>(($B$14*$C$6/12)+((B25-$B$14)*$B$6/12))+M25</f>
        <v>461268.14870833332</v>
      </c>
      <c r="E25" s="304">
        <f t="shared" si="6"/>
        <v>224151.29492737498</v>
      </c>
      <c r="F25" s="303">
        <f t="shared" si="0"/>
        <v>-5071046.8709583338</v>
      </c>
      <c r="G25" s="304">
        <f t="shared" si="1"/>
        <v>-2128527.189743625</v>
      </c>
      <c r="H25" s="303">
        <f t="shared" si="2"/>
        <v>105633308.81904167</v>
      </c>
      <c r="I25" s="303">
        <f t="shared" si="2"/>
        <v>108575828.50025637</v>
      </c>
      <c r="J25" s="303">
        <f t="shared" si="3"/>
        <v>2942519.6812147051</v>
      </c>
      <c r="K25" s="303">
        <f t="shared" si="4"/>
        <v>-617929.13305508799</v>
      </c>
      <c r="L25" s="303">
        <f t="shared" si="5"/>
        <v>49794.539294000482</v>
      </c>
      <c r="M25" s="361"/>
      <c r="N25" s="315"/>
      <c r="O25" s="299"/>
    </row>
    <row r="26" spans="1:15" ht="15" x14ac:dyDescent="0.25">
      <c r="A26" s="389">
        <v>44926</v>
      </c>
      <c r="B26" s="390">
        <v>110724940.01000001</v>
      </c>
      <c r="C26" s="391">
        <v>110724940.01000001</v>
      </c>
      <c r="D26" s="304">
        <f>(($B$14*$C$6/12)+((B26-$B$14)*$B$6/12))+M26</f>
        <v>461353.91670833342</v>
      </c>
      <c r="E26" s="304">
        <f>+(C25*$E$10/12)+(((C26-C25)*$E$10/12)*0.5)</f>
        <v>224197.16189624998</v>
      </c>
      <c r="F26" s="303">
        <f t="shared" si="0"/>
        <v>-5532400.7876666673</v>
      </c>
      <c r="G26" s="304">
        <f t="shared" si="1"/>
        <v>-2352724.3516398752</v>
      </c>
      <c r="H26" s="303">
        <f t="shared" si="2"/>
        <v>105192539.22233334</v>
      </c>
      <c r="I26" s="303">
        <f t="shared" si="2"/>
        <v>108372215.65836012</v>
      </c>
      <c r="J26" s="303">
        <f t="shared" si="3"/>
        <v>3179676.4360267818</v>
      </c>
      <c r="K26" s="303">
        <f t="shared" si="4"/>
        <v>-667732.05156562419</v>
      </c>
      <c r="L26" s="303">
        <f t="shared" si="5"/>
        <v>49802.918510536198</v>
      </c>
      <c r="M26" s="361"/>
      <c r="O26" s="299"/>
    </row>
    <row r="27" spans="1:15" ht="15" x14ac:dyDescent="0.25">
      <c r="A27" s="314">
        <v>44957</v>
      </c>
      <c r="B27" s="303">
        <v>110724940.01000001</v>
      </c>
      <c r="C27" s="313">
        <v>110724940.01000001</v>
      </c>
      <c r="D27" s="316">
        <f>(($B$14*$D$6/12)+(($B$26-$B$14)*$C$6/12)+((B27-$B$26)*$B$6/12))</f>
        <v>876572.44174583338</v>
      </c>
      <c r="E27" s="317">
        <f>+(C26*$E$10/12)+(((C27-C26)*$E$10/12)*0.5)</f>
        <v>224218.00352025</v>
      </c>
      <c r="F27" s="316">
        <f t="shared" si="0"/>
        <v>-6408973.2294125007</v>
      </c>
      <c r="G27" s="317">
        <f t="shared" si="1"/>
        <v>-2576942.3551601251</v>
      </c>
      <c r="H27" s="316">
        <f t="shared" si="2"/>
        <v>104315966.78058751</v>
      </c>
      <c r="I27" s="316">
        <f t="shared" si="2"/>
        <v>108147997.65483987</v>
      </c>
      <c r="J27" s="316">
        <f t="shared" si="3"/>
        <v>3832030.874252364</v>
      </c>
      <c r="K27" s="316">
        <f t="shared" si="4"/>
        <v>-804726.48359299637</v>
      </c>
      <c r="L27" s="316">
        <f t="shared" si="5"/>
        <v>136994.43202737218</v>
      </c>
      <c r="M27" s="361"/>
      <c r="O27" s="299"/>
    </row>
    <row r="28" spans="1:15" ht="15" x14ac:dyDescent="0.25">
      <c r="A28" s="314">
        <v>44985</v>
      </c>
      <c r="B28" s="303">
        <v>110724966.70999999</v>
      </c>
      <c r="C28" s="313">
        <v>110724966.70999999</v>
      </c>
      <c r="D28" s="303">
        <f>(($B$14*$D$6/12)+(($B$26-$B$14)*$C$6/12)+((B28-$B$26)*$B$6/12))</f>
        <v>876572.55299583334</v>
      </c>
      <c r="E28" s="304">
        <f>+(C27*$E$10/12)+(((C28-C27)*$E$10/12)*0.5)</f>
        <v>224218.030554</v>
      </c>
      <c r="F28" s="303">
        <f t="shared" si="0"/>
        <v>-7285545.7824083343</v>
      </c>
      <c r="G28" s="304">
        <f t="shared" si="1"/>
        <v>-2801160.3857141249</v>
      </c>
      <c r="H28" s="303">
        <f t="shared" si="2"/>
        <v>103439420.92759165</v>
      </c>
      <c r="I28" s="303">
        <f t="shared" si="2"/>
        <v>107923806.32428586</v>
      </c>
      <c r="J28" s="303">
        <f t="shared" si="3"/>
        <v>4484385.3966942132</v>
      </c>
      <c r="K28" s="303">
        <f t="shared" si="4"/>
        <v>-941720.93330578471</v>
      </c>
      <c r="L28" s="303">
        <f t="shared" si="5"/>
        <v>136994.44971278834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110724966.70999999</v>
      </c>
      <c r="C29" s="313">
        <v>110724966.70999999</v>
      </c>
      <c r="D29" s="303">
        <f>(($B$14*$D$6/12)+(($B$26-$B$14)*$C$6/12)+(($B$38-$B$26)*$B$6/12))</f>
        <v>876572.55299583334</v>
      </c>
      <c r="E29" s="304">
        <f>+(C28*$E$10/12)+(((C29-C28)*$E$10/12)*0.5)</f>
        <v>224218.05758774999</v>
      </c>
      <c r="F29" s="303">
        <f>-D29+F28</f>
        <v>-8162118.3354041679</v>
      </c>
      <c r="G29" s="304">
        <f>+G28-E29</f>
        <v>-3025378.4433018747</v>
      </c>
      <c r="H29" s="303">
        <f>B29+F29</f>
        <v>102562848.37459582</v>
      </c>
      <c r="I29" s="303">
        <f>C29+G29</f>
        <v>107699588.26669812</v>
      </c>
      <c r="J29" s="303">
        <f>I29-H29</f>
        <v>5136739.8921023011</v>
      </c>
      <c r="K29" s="303">
        <f>-J29*$K$11</f>
        <v>-1078715.3773414833</v>
      </c>
      <c r="L29" s="303">
        <f>-K29+K28</f>
        <v>136994.44403569854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110724966.70999999</v>
      </c>
      <c r="C30" s="313">
        <f>C29</f>
        <v>110724966.70999999</v>
      </c>
      <c r="D30" s="303">
        <f>(($B$14*$D$6/12)+(($B$26-$B$14)*$C$6/12)+(($B$38-$B$26)*$B$6/12))</f>
        <v>876572.55299583334</v>
      </c>
      <c r="E30" s="304">
        <f>+(C29*$E$10/12)+(((C30-C29)*$E$10/12)*0.5)</f>
        <v>224218.05758774999</v>
      </c>
      <c r="F30" s="303">
        <f>-D30+F29</f>
        <v>-9038690.8884000015</v>
      </c>
      <c r="G30" s="304">
        <f>+G29-E30</f>
        <v>-3249596.5008896245</v>
      </c>
      <c r="H30" s="303">
        <f>B30+F30</f>
        <v>101686275.82159999</v>
      </c>
      <c r="I30" s="303">
        <f>C30+G30</f>
        <v>107475370.20911036</v>
      </c>
      <c r="J30" s="303">
        <f>I30-H30</f>
        <v>5789094.3875103742</v>
      </c>
      <c r="K30" s="303">
        <f>-J30*$K$11</f>
        <v>-1215709.8213771784</v>
      </c>
      <c r="L30" s="303">
        <f>-K30+K29</f>
        <v>136994.44403569517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110724966.70999999</v>
      </c>
      <c r="C31" s="313">
        <f>C30</f>
        <v>110724966.70999999</v>
      </c>
      <c r="D31" s="303">
        <f>(($B$14*$D$6/12)+(($B$26-$B$14)*$C$6/12)+(($B$38-$B$26)*$B$6/12))</f>
        <v>876572.55299583334</v>
      </c>
      <c r="E31" s="304">
        <f>+(C30*$E$10/12)+(((C31-C30)*$E$10/12)*0.5)</f>
        <v>224218.05758774999</v>
      </c>
      <c r="F31" s="303">
        <f>-D31+F30</f>
        <v>-9915263.4413958341</v>
      </c>
      <c r="G31" s="304">
        <f>+G30-E31</f>
        <v>-3473814.5584773743</v>
      </c>
      <c r="H31" s="303">
        <f>B31+F31</f>
        <v>100809703.26860416</v>
      </c>
      <c r="I31" s="303">
        <f>C31+G31</f>
        <v>107251152.15152262</v>
      </c>
      <c r="J31" s="303">
        <f>I31-H31</f>
        <v>6441448.8829184622</v>
      </c>
      <c r="K31" s="303">
        <f>-J31*$K$11</f>
        <v>-1352704.2654128771</v>
      </c>
      <c r="L31" s="303">
        <f>-K31+K30</f>
        <v>136994.44403569866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110724966.70999999</v>
      </c>
      <c r="C32" s="313">
        <f>C31</f>
        <v>110724966.70999999</v>
      </c>
      <c r="D32" s="303">
        <f>(($B$14*$D$6/12)+(($B$26-$B$14)*$C$6/12)+(($B$38-$B$26)*$B$6/12))</f>
        <v>876572.55299583334</v>
      </c>
      <c r="E32" s="304">
        <f>+(C31*$E$10/12)+(((C32-C31)*$E$10/12)*0.5)</f>
        <v>224218.05758774999</v>
      </c>
      <c r="F32" s="303">
        <f>-D32+F31</f>
        <v>-10791835.994391667</v>
      </c>
      <c r="G32" s="304">
        <f>+G31-E32</f>
        <v>-3698032.616065124</v>
      </c>
      <c r="H32" s="303">
        <f>B32+F32</f>
        <v>99933130.715608329</v>
      </c>
      <c r="I32" s="303">
        <f>C32+G32</f>
        <v>107026934.09393486</v>
      </c>
      <c r="J32" s="303">
        <f>I32-H32</f>
        <v>7093803.3783265352</v>
      </c>
      <c r="K32" s="303">
        <f>-J32*$K$11</f>
        <v>-1489698.7094485722</v>
      </c>
      <c r="L32" s="303">
        <f>-K32+K31</f>
        <v>136994.44403569517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110724966.70999999</v>
      </c>
      <c r="C33" s="313">
        <f>C32</f>
        <v>110724966.70999999</v>
      </c>
      <c r="D33" s="303">
        <f>(($B$14*$D$6/12)+(($B$26-$B$14)*$C$6/12)+(($B$38-$B$26)*$B$6/12))</f>
        <v>876572.55299583334</v>
      </c>
      <c r="E33" s="304">
        <f>+(C32*$E$10/12)+(((C33-C32)*$E$10/12)*0.5)</f>
        <v>224218.05758774999</v>
      </c>
      <c r="F33" s="303">
        <f>-D33+F32</f>
        <v>-11668408.547387499</v>
      </c>
      <c r="G33" s="304">
        <f>+G32-E33</f>
        <v>-3922250.6736528738</v>
      </c>
      <c r="H33" s="303">
        <f>B33+F33</f>
        <v>99056558.162612498</v>
      </c>
      <c r="I33" s="303">
        <f>C33+G33</f>
        <v>106802716.03634712</v>
      </c>
      <c r="J33" s="303">
        <f>I33-H33</f>
        <v>7746157.8737346232</v>
      </c>
      <c r="K33" s="303">
        <f>-J33*$K$11</f>
        <v>-1626693.1534842709</v>
      </c>
      <c r="L33" s="303">
        <f>-K33+K32</f>
        <v>136994.44403569866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110724966.70999999</v>
      </c>
      <c r="C34" s="313">
        <f>C33</f>
        <v>110724966.70999999</v>
      </c>
      <c r="D34" s="303">
        <f>(($B$14*$D$6/12)+(($B$26-$B$14)*$C$6/12)+(($B$38-$B$26)*$B$6/12))</f>
        <v>876572.55299583334</v>
      </c>
      <c r="E34" s="304">
        <f>+(C33*$E$10/12)+(((C34-C33)*$E$10/12)*0.5)</f>
        <v>224218.05758774999</v>
      </c>
      <c r="F34" s="303">
        <f>-D34+F33</f>
        <v>-12544981.100383332</v>
      </c>
      <c r="G34" s="304">
        <f>+G33-E34</f>
        <v>-4146468.7312406236</v>
      </c>
      <c r="H34" s="303">
        <f>B34+F34</f>
        <v>98179985.609616667</v>
      </c>
      <c r="I34" s="303">
        <f>C34+G34</f>
        <v>106578497.97875936</v>
      </c>
      <c r="J34" s="303">
        <f>I34-H34</f>
        <v>8398512.3691426963</v>
      </c>
      <c r="K34" s="303">
        <f>-J34*$K$11</f>
        <v>-1763687.5975199661</v>
      </c>
      <c r="L34" s="303">
        <f>-K34+K33</f>
        <v>136994.44403569517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110724966.70999999</v>
      </c>
      <c r="C35" s="313">
        <f>C34</f>
        <v>110724966.70999999</v>
      </c>
      <c r="D35" s="303">
        <f>(($B$14*$D$6/12)+(($B$26-$B$14)*$C$6/12)+(($B$38-$B$26)*$B$6/12))</f>
        <v>876572.55299583334</v>
      </c>
      <c r="E35" s="304">
        <f>+(C34*$E$10/12)+(((C35-C34)*$E$10/12)*0.5)</f>
        <v>224218.05758774999</v>
      </c>
      <c r="F35" s="303">
        <f>-D35+F34</f>
        <v>-13421553.653379165</v>
      </c>
      <c r="G35" s="304">
        <f>+G34-E35</f>
        <v>-4370686.7888283739</v>
      </c>
      <c r="H35" s="303">
        <f>B35+F35</f>
        <v>97303413.056620836</v>
      </c>
      <c r="I35" s="303">
        <f>C35+G35</f>
        <v>106354279.92117162</v>
      </c>
      <c r="J35" s="303">
        <f>I35-H35</f>
        <v>9050866.8645507842</v>
      </c>
      <c r="K35" s="303">
        <f>-J35*$K$11</f>
        <v>-1900682.0415556645</v>
      </c>
      <c r="L35" s="303">
        <f>-K35+K34</f>
        <v>136994.44403569843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110724966.70999999</v>
      </c>
      <c r="C36" s="313">
        <f>C35</f>
        <v>110724966.70999999</v>
      </c>
      <c r="D36" s="303">
        <f>(($B$14*$D$6/12)+(($B$26-$B$14)*$C$6/12)+(($B$38-$B$26)*$B$6/12))</f>
        <v>876572.55299583334</v>
      </c>
      <c r="E36" s="304">
        <f>+(C35*$E$10/12)+(((C36-C35)*$E$10/12)*0.5)</f>
        <v>224218.05758774999</v>
      </c>
      <c r="F36" s="303">
        <f>-D36+F35</f>
        <v>-14298126.206374997</v>
      </c>
      <c r="G36" s="304">
        <f>+G35-E36</f>
        <v>-4594904.8464161241</v>
      </c>
      <c r="H36" s="303">
        <f>B36+F36</f>
        <v>96426840.503624991</v>
      </c>
      <c r="I36" s="303">
        <f>C36+G36</f>
        <v>106130061.86358386</v>
      </c>
      <c r="J36" s="303">
        <f>I36-H36</f>
        <v>9703221.3599588722</v>
      </c>
      <c r="K36" s="303">
        <f>-J36*$K$11</f>
        <v>-2037676.4855913632</v>
      </c>
      <c r="L36" s="303">
        <f>-K36+K35</f>
        <v>136994.44403569866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110724966.70999999</v>
      </c>
      <c r="C37" s="313">
        <f>C36</f>
        <v>110724966.70999999</v>
      </c>
      <c r="D37" s="303">
        <f>(($B$14*$D$6/12)+(($B$26-$B$14)*$C$6/12)+(($B$38-$B$26)*$B$6/12))</f>
        <v>876572.55299583334</v>
      </c>
      <c r="E37" s="304">
        <f>+(C36*$E$10/12)+(((C37-C36)*$E$10/12)*0.5)</f>
        <v>224218.05758774999</v>
      </c>
      <c r="F37" s="303">
        <f>-D37+F36</f>
        <v>-15174698.75937083</v>
      </c>
      <c r="G37" s="304">
        <f>+G36-E37</f>
        <v>-4819122.9040038744</v>
      </c>
      <c r="H37" s="303">
        <f>B37+F37</f>
        <v>95550267.95062916</v>
      </c>
      <c r="I37" s="303">
        <f>C37+G37</f>
        <v>105905843.80599612</v>
      </c>
      <c r="J37" s="303">
        <f>I37-H37</f>
        <v>10355575.85536696</v>
      </c>
      <c r="K37" s="303">
        <f>-J37*$K$11</f>
        <v>-2174670.9296270614</v>
      </c>
      <c r="L37" s="303">
        <f>-K37+K36</f>
        <v>136994.44403569819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110724966.70999999</v>
      </c>
      <c r="C38" s="313">
        <f>C37</f>
        <v>110724966.70999999</v>
      </c>
      <c r="D38" s="303">
        <f>(($B$14*$D$6/12)+(($B$26-$B$14)*$C$6/12)+(($B$38-$B$26)*$B$6/12))</f>
        <v>876572.55299583334</v>
      </c>
      <c r="E38" s="304">
        <f>+(C37*$E$10/12)+(((C38-C37)*$E$10/12)*0.5)</f>
        <v>224218.05758774999</v>
      </c>
      <c r="F38" s="303">
        <f>-D38+F37</f>
        <v>-16051271.312366663</v>
      </c>
      <c r="G38" s="304">
        <f>+G37-E38</f>
        <v>-5043340.9615916247</v>
      </c>
      <c r="H38" s="303">
        <f>B38+F38</f>
        <v>94673695.397633329</v>
      </c>
      <c r="I38" s="303">
        <f>C38+G38</f>
        <v>105681625.74840836</v>
      </c>
      <c r="J38" s="303">
        <f>I38-H38</f>
        <v>11007930.350775033</v>
      </c>
      <c r="K38" s="303">
        <f>-J38*$K$11</f>
        <v>-2311665.3736627568</v>
      </c>
      <c r="L38" s="303">
        <f>-K38+K37</f>
        <v>136994.4440356954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110724966.70999999</v>
      </c>
      <c r="C39" s="313">
        <f>C38</f>
        <v>110724966.70999999</v>
      </c>
      <c r="D39" s="303">
        <f>(($B$14*$E$6/12)+(($B$26-$B$14)*$D$6/12)+(($B$38-$B$26)*$C$6/12)+(($B$50-$B$38)*$B$6/12))</f>
        <v>788915.4089462501</v>
      </c>
      <c r="E39" s="304">
        <f>+(C38*$E$10/12)+(((C39-C38)*$E$10/12)*0.5)</f>
        <v>224218.05758774999</v>
      </c>
      <c r="F39" s="303">
        <f>-D39+F38</f>
        <v>-16840186.721312914</v>
      </c>
      <c r="G39" s="304">
        <f>+G38-E39</f>
        <v>-5267559.0191793749</v>
      </c>
      <c r="H39" s="303">
        <f>B39+F39</f>
        <v>93884779.988687083</v>
      </c>
      <c r="I39" s="303">
        <f>C39+G39</f>
        <v>105457407.69082062</v>
      </c>
      <c r="J39" s="303">
        <f>I39-H39</f>
        <v>11572627.702133536</v>
      </c>
      <c r="K39" s="303">
        <f>-J39*$K$11</f>
        <v>-2430251.8174480423</v>
      </c>
      <c r="L39" s="303">
        <f>-K39+K38</f>
        <v>118586.44378528558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110724966.70999999</v>
      </c>
      <c r="C40" s="313">
        <f>C39</f>
        <v>110724966.70999999</v>
      </c>
      <c r="D40" s="303">
        <f>(($B$14*$E$6/12)+(($B$26-$B$14)*$D$6/12)+(($B$38-$B$26)*$C$6/12)+(($B$50-$B$38)*$B$6/12))</f>
        <v>788915.4089462501</v>
      </c>
      <c r="E40" s="304">
        <f>+(C39*$E$10/12)+(((C40-C39)*$E$10/12)*0.5)</f>
        <v>224218.05758774999</v>
      </c>
      <c r="F40" s="303">
        <f>-D40+F39</f>
        <v>-17629102.130259164</v>
      </c>
      <c r="G40" s="304">
        <f>+G39-E40</f>
        <v>-5491777.0767671252</v>
      </c>
      <c r="H40" s="303">
        <f>B40+F40</f>
        <v>93095864.579740822</v>
      </c>
      <c r="I40" s="303">
        <f>C40+G40</f>
        <v>105233189.63323286</v>
      </c>
      <c r="J40" s="303">
        <f>I40-H40</f>
        <v>12137325.053492039</v>
      </c>
      <c r="K40" s="303">
        <f>-J40*$K$11</f>
        <v>-2548838.2612333284</v>
      </c>
      <c r="L40" s="303">
        <f>-K40+K39</f>
        <v>118586.44378528604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110724966.70999999</v>
      </c>
      <c r="C41" s="313">
        <f>C40</f>
        <v>110724966.70999999</v>
      </c>
      <c r="D41" s="303">
        <f>(($B$14*$E$6/12)+(($B$26-$B$14)*$D$6/12)+(($B$38-$B$26)*$C$6/12)+(($B$50-$B$38)*$B$6/12))</f>
        <v>788915.4089462501</v>
      </c>
      <c r="E41" s="304">
        <f>+(C40*$E$10/12)+(((C41-C40)*$E$10/12)*0.5)</f>
        <v>224218.05758774999</v>
      </c>
      <c r="F41" s="303">
        <f>-D41+F40</f>
        <v>-18418017.539205413</v>
      </c>
      <c r="G41" s="304">
        <f>+G40-E41</f>
        <v>-5715995.1343548754</v>
      </c>
      <c r="H41" s="303">
        <f>B41+F41</f>
        <v>92306949.170794576</v>
      </c>
      <c r="I41" s="303">
        <f>C41+G41</f>
        <v>105008971.57564512</v>
      </c>
      <c r="J41" s="303">
        <f>I41-H41</f>
        <v>12702022.404850543</v>
      </c>
      <c r="K41" s="303">
        <f>-J41*$K$11</f>
        <v>-2667424.705018614</v>
      </c>
      <c r="L41" s="303">
        <f>-K41+K40</f>
        <v>118586.44378528558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110724966.70999999</v>
      </c>
      <c r="C42" s="313">
        <f>C41</f>
        <v>110724966.70999999</v>
      </c>
      <c r="D42" s="303">
        <f>(($B$14*$E$6/12)+(($B$26-$B$14)*$D$6/12)+(($B$38-$B$26)*$C$6/12)+(($B$50-$B$38)*$B$6/12))</f>
        <v>788915.4089462501</v>
      </c>
      <c r="E42" s="304">
        <f>+(C41*$E$10/12)+(((C42-C41)*$E$10/12)*0.5)</f>
        <v>224218.05758774999</v>
      </c>
      <c r="F42" s="303">
        <f>-D42+F41</f>
        <v>-19206932.948151663</v>
      </c>
      <c r="G42" s="304">
        <f>+G41-E42</f>
        <v>-5940213.1919426257</v>
      </c>
      <c r="H42" s="303">
        <f>B42+F42</f>
        <v>91518033.76184833</v>
      </c>
      <c r="I42" s="303">
        <f>C42+G42</f>
        <v>104784753.51805736</v>
      </c>
      <c r="J42" s="303">
        <f>I42-H42</f>
        <v>13266719.756209031</v>
      </c>
      <c r="K42" s="303">
        <f>-J42*$K$11</f>
        <v>-2786011.1488038963</v>
      </c>
      <c r="L42" s="303">
        <f>-K42+K41</f>
        <v>118586.44378528232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110724966.70999999</v>
      </c>
      <c r="C43" s="313">
        <f>C42</f>
        <v>110724966.70999999</v>
      </c>
      <c r="D43" s="303">
        <f>(($B$14*$E$6/12)+(($B$26-$B$14)*$D$6/12)+(($B$38-$B$26)*$C$6/12)+(($B$50-$B$38)*$B$6/12))</f>
        <v>788915.4089462501</v>
      </c>
      <c r="E43" s="304">
        <f>+(C42*$E$10/12)+(((C43-C42)*$E$10/12)*0.5)</f>
        <v>224218.05758774999</v>
      </c>
      <c r="F43" s="303">
        <f>-D43+F42</f>
        <v>-19995848.357097913</v>
      </c>
      <c r="G43" s="304">
        <f>+G42-E43</f>
        <v>-6164431.2495303759</v>
      </c>
      <c r="H43" s="303">
        <f>B43+F43</f>
        <v>90729118.352902085</v>
      </c>
      <c r="I43" s="303">
        <f>C43+G43</f>
        <v>104560535.46046962</v>
      </c>
      <c r="J43" s="303">
        <f>I43-H43</f>
        <v>13831417.107567534</v>
      </c>
      <c r="K43" s="303">
        <f>-J43*$K$11</f>
        <v>-2904597.5925891818</v>
      </c>
      <c r="L43" s="303">
        <f>-K43+K42</f>
        <v>118586.44378528558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110724966.70999999</v>
      </c>
      <c r="C44" s="313">
        <f>C43</f>
        <v>110724966.70999999</v>
      </c>
      <c r="D44" s="303">
        <f>(($B$14*$E$6/12)+(($B$26-$B$14)*$D$6/12)+(($B$38-$B$26)*$C$6/12)+(($B$50-$B$38)*$B$6/12))</f>
        <v>788915.4089462501</v>
      </c>
      <c r="E44" s="304">
        <f>+(C43*$E$10/12)+(((C44-C43)*$E$10/12)*0.5)</f>
        <v>224218.05758774999</v>
      </c>
      <c r="F44" s="303">
        <f>-D44+F43</f>
        <v>-20784763.766044162</v>
      </c>
      <c r="G44" s="304">
        <f>+G43-E44</f>
        <v>-6388649.3071181262</v>
      </c>
      <c r="H44" s="303">
        <f>B44+F44</f>
        <v>89940202.943955839</v>
      </c>
      <c r="I44" s="303">
        <f>C44+G44</f>
        <v>104336317.40288186</v>
      </c>
      <c r="J44" s="303">
        <f>I44-H44</f>
        <v>14396114.458926022</v>
      </c>
      <c r="K44" s="303">
        <f>-J44*$K$11</f>
        <v>-3023184.0363744646</v>
      </c>
      <c r="L44" s="303">
        <f>-K44+K43</f>
        <v>118586.44378528278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110724966.70999999</v>
      </c>
      <c r="C45" s="313">
        <f>C44</f>
        <v>110724966.70999999</v>
      </c>
      <c r="D45" s="303">
        <f>(($B$14*$E$6/12)+(($B$26-$B$14)*$D$6/12)+(($B$38-$B$26)*$C$6/12)+(($B$50-$B$38)*$B$6/12))</f>
        <v>788915.4089462501</v>
      </c>
      <c r="E45" s="304">
        <f>+(C44*$E$10/12)+(((C45-C44)*$E$10/12)*0.5)</f>
        <v>224218.05758774999</v>
      </c>
      <c r="F45" s="303">
        <f>-D45+F44</f>
        <v>-21573679.174990412</v>
      </c>
      <c r="G45" s="304">
        <f>+G44-E45</f>
        <v>-6612867.3647058764</v>
      </c>
      <c r="H45" s="303">
        <f>B45+F45</f>
        <v>89151287.535009578</v>
      </c>
      <c r="I45" s="303">
        <f>C45+G45</f>
        <v>104112099.34529412</v>
      </c>
      <c r="J45" s="303">
        <f>I45-H45</f>
        <v>14960811.81028454</v>
      </c>
      <c r="K45" s="303">
        <f>-J45*$K$11</f>
        <v>-3141770.4801597535</v>
      </c>
      <c r="L45" s="303">
        <f>-K45+K44</f>
        <v>118586.44378528884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110724966.70999999</v>
      </c>
      <c r="C46" s="313">
        <f>C45</f>
        <v>110724966.70999999</v>
      </c>
      <c r="D46" s="303">
        <f>(($B$14*$E$6/12)+(($B$26-$B$14)*$D$6/12)+(($B$38-$B$26)*$C$6/12)+(($B$50-$B$38)*$B$6/12))</f>
        <v>788915.4089462501</v>
      </c>
      <c r="E46" s="304">
        <f>+(C45*$E$10/12)+(((C46-C45)*$E$10/12)*0.5)</f>
        <v>224218.05758774999</v>
      </c>
      <c r="F46" s="303">
        <f>-D46+F45</f>
        <v>-22362594.583936661</v>
      </c>
      <c r="G46" s="304">
        <f>+G45-E46</f>
        <v>-6837085.4222936267</v>
      </c>
      <c r="H46" s="303">
        <f>B46+F46</f>
        <v>88362372.126063332</v>
      </c>
      <c r="I46" s="303">
        <f>C46+G46</f>
        <v>103887881.28770636</v>
      </c>
      <c r="J46" s="303">
        <f>I46-H46</f>
        <v>15525509.161643028</v>
      </c>
      <c r="K46" s="303">
        <f>-J46*$K$11</f>
        <v>-3260356.9239450358</v>
      </c>
      <c r="L46" s="303">
        <f>-K46+K45</f>
        <v>118586.44378528232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110724966.70999999</v>
      </c>
      <c r="C47" s="313">
        <f>C46</f>
        <v>110724966.70999999</v>
      </c>
      <c r="D47" s="303">
        <f>(($B$14*$E$6/12)+(($B$26-$B$14)*$D$6/12)+(($B$38-$B$26)*$C$6/12)+(($B$50-$B$38)*$B$6/12))</f>
        <v>788915.4089462501</v>
      </c>
      <c r="E47" s="304">
        <f>+(C46*$E$10/12)+(((C47-C46)*$E$10/12)*0.5)</f>
        <v>224218.05758774999</v>
      </c>
      <c r="F47" s="303">
        <f>-D47+F46</f>
        <v>-23151509.992882911</v>
      </c>
      <c r="G47" s="304">
        <f>+G46-E47</f>
        <v>-7061303.479881377</v>
      </c>
      <c r="H47" s="303">
        <f>B47+F47</f>
        <v>87573456.717117086</v>
      </c>
      <c r="I47" s="303">
        <f>C47+G47</f>
        <v>103663663.23011862</v>
      </c>
      <c r="J47" s="303">
        <f>I47-H47</f>
        <v>16090206.513001531</v>
      </c>
      <c r="K47" s="303">
        <f>-J47*$K$11</f>
        <v>-3378943.3677303214</v>
      </c>
      <c r="L47" s="303">
        <f>-K47+K46</f>
        <v>118586.44378528558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110724966.70999999</v>
      </c>
      <c r="C48" s="313">
        <f>C47</f>
        <v>110724966.70999999</v>
      </c>
      <c r="D48" s="303">
        <f>(($B$14*$E$6/12)+(($B$26-$B$14)*$D$6/12)+(($B$38-$B$26)*$C$6/12)+(($B$50-$B$38)*$B$6/12))</f>
        <v>788915.4089462501</v>
      </c>
      <c r="E48" s="304">
        <f>+(C47*$E$10/12)+(((C48-C47)*$E$10/12)*0.5)</f>
        <v>224218.05758774999</v>
      </c>
      <c r="F48" s="303">
        <f>-D48+F47</f>
        <v>-23940425.401829161</v>
      </c>
      <c r="G48" s="304">
        <f>+G47-E48</f>
        <v>-7285521.5374691272</v>
      </c>
      <c r="H48" s="303">
        <f>B48+F48</f>
        <v>86784541.308170825</v>
      </c>
      <c r="I48" s="303">
        <f>C48+G48</f>
        <v>103439445.17253086</v>
      </c>
      <c r="J48" s="303">
        <f>I48-H48</f>
        <v>16654903.864360034</v>
      </c>
      <c r="K48" s="303">
        <f>-J48*$K$11</f>
        <v>-3497529.8115156069</v>
      </c>
      <c r="L48" s="303">
        <f>-K48+K47</f>
        <v>118586.44378528558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110724966.70999999</v>
      </c>
      <c r="C49" s="313">
        <f>C48</f>
        <v>110724966.70999999</v>
      </c>
      <c r="D49" s="303">
        <f>(($B$14*$E$6/12)+(($B$26-$B$14)*$D$6/12)+(($B$38-$B$26)*$C$6/12)+(($B$50-$B$38)*$B$6/12))</f>
        <v>788915.4089462501</v>
      </c>
      <c r="E49" s="304">
        <f>+(C48*$E$10/12)+(((C49-C48)*$E$10/12)*0.5)</f>
        <v>224218.05758774999</v>
      </c>
      <c r="F49" s="303">
        <f>-D49+F48</f>
        <v>-24729340.81077541</v>
      </c>
      <c r="G49" s="304">
        <f>+G48-E49</f>
        <v>-7509739.5950568775</v>
      </c>
      <c r="H49" s="303">
        <f>B49+F49</f>
        <v>85995625.899224579</v>
      </c>
      <c r="I49" s="303">
        <f>C49+G49</f>
        <v>103215227.11494312</v>
      </c>
      <c r="J49" s="303">
        <f>I49-H49</f>
        <v>17219601.215718538</v>
      </c>
      <c r="K49" s="303">
        <f>-J49*$K$11</f>
        <v>-3616116.255300893</v>
      </c>
      <c r="L49" s="303">
        <f>-K49+K48</f>
        <v>118586.44378528604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110724966.70999999</v>
      </c>
      <c r="C50" s="313">
        <f>C49</f>
        <v>110724966.70999999</v>
      </c>
      <c r="D50" s="303">
        <f>(($B$14*$E$6/12)+(($B$26-$B$14)*$D$6/12)+(($B$38-$B$26)*$C$6/12)+(($B$50-$B$38)*$B$6/12))</f>
        <v>788915.4089462501</v>
      </c>
      <c r="E50" s="304">
        <f>+(C49*$E$10/12)+(((C50-C49)*$E$10/12)*0.5)</f>
        <v>224218.05758774999</v>
      </c>
      <c r="F50" s="303">
        <f>-D50+F49</f>
        <v>-25518256.21972166</v>
      </c>
      <c r="G50" s="304">
        <f>+G49-E50</f>
        <v>-7733957.6526446277</v>
      </c>
      <c r="H50" s="303">
        <f>B50+F50</f>
        <v>85206710.490278333</v>
      </c>
      <c r="I50" s="303">
        <f>C50+G50</f>
        <v>102991009.05735536</v>
      </c>
      <c r="J50" s="303">
        <f>I50-H50</f>
        <v>17784298.567077026</v>
      </c>
      <c r="K50" s="303">
        <f>-J50*$K$11</f>
        <v>-3734702.6990861753</v>
      </c>
      <c r="L50" s="303">
        <f>-K50+K49</f>
        <v>118586.44378528232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110724966.70999999</v>
      </c>
      <c r="C51" s="313">
        <f>C50</f>
        <v>110724966.70999999</v>
      </c>
      <c r="D51" s="303">
        <f>(($B$14*$F$6/12)+(($B$26-$B$14)*$E$6/12)+(($B$38-$B$26)*$D$6/12)+(($B$50-$B$38)*$C$6/12)+(($B$62-$B$50)*$B$6/12))</f>
        <v>710485.22196833324</v>
      </c>
      <c r="E51" s="304">
        <f>+(C50*$E$10/12)+(((C51-C50)*$E$10/12)*0.5)</f>
        <v>224218.05758774999</v>
      </c>
      <c r="F51" s="303">
        <f>-D51+F50</f>
        <v>-26228741.441689994</v>
      </c>
      <c r="G51" s="304">
        <f>+G50-E51</f>
        <v>-7958175.710232378</v>
      </c>
      <c r="H51" s="303">
        <f>B51+F51</f>
        <v>84496225.268309996</v>
      </c>
      <c r="I51" s="303">
        <f>C51+G51</f>
        <v>102766790.99976762</v>
      </c>
      <c r="J51" s="303">
        <f>I51-H51</f>
        <v>18270565.731457621</v>
      </c>
      <c r="K51" s="303">
        <f>-J51*$K$11</f>
        <v>-3836818.8036061004</v>
      </c>
      <c r="L51" s="303">
        <f>-K51+K50</f>
        <v>102116.10451992508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110724966.70999999</v>
      </c>
      <c r="C52" s="313">
        <f>C51</f>
        <v>110724966.70999999</v>
      </c>
      <c r="D52" s="303">
        <f>(($B$14*$F$6/12)+(($B$26-$B$14)*$E$6/12)+(($B$38-$B$26)*$D$6/12)+(($B$50-$B$38)*$C$6/12)+(($B$62-$B$50)*$B$6/12))</f>
        <v>710485.22196833324</v>
      </c>
      <c r="E52" s="304">
        <f>+(C51*$E$10/12)+(((C52-C51)*$E$10/12)*0.5)</f>
        <v>224218.05758774999</v>
      </c>
      <c r="F52" s="303">
        <f>-D52+F51</f>
        <v>-26939226.663658328</v>
      </c>
      <c r="G52" s="304">
        <f>+G51-E52</f>
        <v>-8182393.7678201282</v>
      </c>
      <c r="H52" s="303">
        <f>B52+F52</f>
        <v>83785740.046341658</v>
      </c>
      <c r="I52" s="303">
        <f>C52+G52</f>
        <v>102542572.94217986</v>
      </c>
      <c r="J52" s="303">
        <f>I52-H52</f>
        <v>18756832.895838201</v>
      </c>
      <c r="K52" s="303">
        <f>-J52*$K$11</f>
        <v>-3938934.9081260222</v>
      </c>
      <c r="L52" s="303">
        <f>-K52+K51</f>
        <v>102116.10451992182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110724966.70999999</v>
      </c>
      <c r="C53" s="313">
        <f>C52</f>
        <v>110724966.70999999</v>
      </c>
      <c r="D53" s="303">
        <f>(($B$14*$F$6/12)+(($B$26-$B$14)*$E$6/12)+(($B$38-$B$26)*$D$6/12)+(($B$50-$B$38)*$C$6/12)+(($B$62-$B$50)*$B$6/12))</f>
        <v>710485.22196833324</v>
      </c>
      <c r="E53" s="304">
        <f>+(C52*$E$10/12)+(((C53-C52)*$E$10/12)*0.5)</f>
        <v>224218.05758774999</v>
      </c>
      <c r="F53" s="303">
        <f>-D53+F52</f>
        <v>-27649711.885626663</v>
      </c>
      <c r="G53" s="304">
        <f>+G52-E53</f>
        <v>-8406611.8254078776</v>
      </c>
      <c r="H53" s="303">
        <f>B53+F53</f>
        <v>83075254.824373335</v>
      </c>
      <c r="I53" s="303">
        <f>C53+G53</f>
        <v>102318354.88459212</v>
      </c>
      <c r="J53" s="303">
        <f>I53-H53</f>
        <v>19243100.060218781</v>
      </c>
      <c r="K53" s="303">
        <f>-J53*$K$11</f>
        <v>-4041051.012645944</v>
      </c>
      <c r="L53" s="303">
        <f>-K53+K52</f>
        <v>102116.10451992182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110724966.70999999</v>
      </c>
      <c r="C54" s="313">
        <f>C53</f>
        <v>110724966.70999999</v>
      </c>
      <c r="D54" s="303">
        <f>(($B$14*$F$6/12)+(($B$26-$B$14)*$E$6/12)+(($B$38-$B$26)*$D$6/12)+(($B$50-$B$38)*$C$6/12)+(($B$62-$B$50)*$B$6/12))</f>
        <v>710485.22196833324</v>
      </c>
      <c r="E54" s="304">
        <f>+(C53*$E$10/12)+(((C54-C53)*$E$10/12)*0.5)</f>
        <v>224218.05758774999</v>
      </c>
      <c r="F54" s="303">
        <f>-D54+F53</f>
        <v>-28360197.107594997</v>
      </c>
      <c r="G54" s="304">
        <f>+G53-E54</f>
        <v>-8630829.8829956278</v>
      </c>
      <c r="H54" s="303">
        <f>B54+F54</f>
        <v>82364769.602404997</v>
      </c>
      <c r="I54" s="303">
        <f>C54+G54</f>
        <v>102094136.82700437</v>
      </c>
      <c r="J54" s="303">
        <f>I54-H54</f>
        <v>19729367.224599376</v>
      </c>
      <c r="K54" s="303">
        <f>-J54*$K$11</f>
        <v>-4143167.1171658691</v>
      </c>
      <c r="L54" s="303">
        <f>-K54+K53</f>
        <v>102116.10451992508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110724966.70999999</v>
      </c>
      <c r="C55" s="313">
        <f>C54</f>
        <v>110724966.70999999</v>
      </c>
      <c r="D55" s="303">
        <f>(($B$14*$F$6/12)+(($B$26-$B$14)*$E$6/12)+(($B$38-$B$26)*$D$6/12)+(($B$50-$B$38)*$C$6/12)+(($B$62-$B$50)*$B$6/12))</f>
        <v>710485.22196833324</v>
      </c>
      <c r="E55" s="304">
        <f>+(C54*$E$10/12)+(((C55-C54)*$E$10/12)*0.5)</f>
        <v>224218.05758774999</v>
      </c>
      <c r="F55" s="303">
        <f>-D55+F54</f>
        <v>-29070682.329563331</v>
      </c>
      <c r="G55" s="304">
        <f>+G54-E55</f>
        <v>-8855047.9405833781</v>
      </c>
      <c r="H55" s="303">
        <f>B55+F55</f>
        <v>81654284.380436659</v>
      </c>
      <c r="I55" s="303">
        <f>C55+G55</f>
        <v>101869918.76941662</v>
      </c>
      <c r="J55" s="303">
        <f>I55-H55</f>
        <v>20215634.388979957</v>
      </c>
      <c r="K55" s="303">
        <f>-J55*$K$11</f>
        <v>-4245283.2216857905</v>
      </c>
      <c r="L55" s="303">
        <f>-K55+K54</f>
        <v>102116.10451992135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110724966.70999999</v>
      </c>
      <c r="C56" s="313">
        <f>C55</f>
        <v>110724966.70999999</v>
      </c>
      <c r="D56" s="303">
        <f>(($B$14*$F$6/12)+(($B$26-$B$14)*$E$6/12)+(($B$38-$B$26)*$D$6/12)+(($B$50-$B$38)*$C$6/12)+(($B$62-$B$50)*$B$6/12))</f>
        <v>710485.22196833324</v>
      </c>
      <c r="E56" s="304">
        <f>+(C55*$E$10/12)+(((C56-C55)*$E$10/12)*0.5)</f>
        <v>224218.05758774999</v>
      </c>
      <c r="F56" s="303">
        <f>-D56+F55</f>
        <v>-29781167.551531665</v>
      </c>
      <c r="G56" s="304">
        <f>+G55-E56</f>
        <v>-9079265.9981711283</v>
      </c>
      <c r="H56" s="303">
        <f>B56+F56</f>
        <v>80943799.158468336</v>
      </c>
      <c r="I56" s="303">
        <f>C56+G56</f>
        <v>101645700.71182886</v>
      </c>
      <c r="J56" s="303">
        <f>I56-H56</f>
        <v>20701901.553360522</v>
      </c>
      <c r="K56" s="303">
        <f>-J56*$K$11</f>
        <v>-4347399.326205709</v>
      </c>
      <c r="L56" s="303">
        <f>-K56+K55</f>
        <v>102116.10451991856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110724966.70999999</v>
      </c>
      <c r="C57" s="313">
        <f>C56</f>
        <v>110724966.70999999</v>
      </c>
      <c r="D57" s="303">
        <f>(($B$14*$F$6/12)+(($B$26-$B$14)*$E$6/12)+(($B$38-$B$26)*$D$6/12)+(($B$50-$B$38)*$C$6/12)+(($B$62-$B$50)*$B$6/12))</f>
        <v>710485.22196833324</v>
      </c>
      <c r="E57" s="304">
        <f>+(C56*$E$10/12)+(((C57-C56)*$E$10/12)*0.5)</f>
        <v>224218.05758774999</v>
      </c>
      <c r="F57" s="303">
        <f>-D57+F56</f>
        <v>-30491652.773499999</v>
      </c>
      <c r="G57" s="304">
        <f>+G56-E57</f>
        <v>-9303484.0557588786</v>
      </c>
      <c r="H57" s="303">
        <f>B57+F57</f>
        <v>80233313.936499998</v>
      </c>
      <c r="I57" s="303">
        <f>C57+G57</f>
        <v>101421482.65424111</v>
      </c>
      <c r="J57" s="303">
        <f>I57-H57</f>
        <v>21188168.717741117</v>
      </c>
      <c r="K57" s="303">
        <f>-J57*$K$11</f>
        <v>-4449515.4307256341</v>
      </c>
      <c r="L57" s="303">
        <f>-K57+K56</f>
        <v>102116.10451992508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110724966.70999999</v>
      </c>
      <c r="C58" s="313">
        <f>C57</f>
        <v>110724966.70999999</v>
      </c>
      <c r="D58" s="303">
        <f>(($B$14*$F$6/12)+(($B$26-$B$14)*$E$6/12)+(($B$38-$B$26)*$D$6/12)+(($B$50-$B$38)*$C$6/12)+(($B$62-$B$50)*$B$6/12))</f>
        <v>710485.22196833324</v>
      </c>
      <c r="E58" s="304">
        <f>+(C57*$E$10/12)+(((C58-C57)*$E$10/12)*0.5)</f>
        <v>224218.05758774999</v>
      </c>
      <c r="F58" s="303">
        <f>-D58+F57</f>
        <v>-31202137.995468333</v>
      </c>
      <c r="G58" s="304">
        <f>+G57-E58</f>
        <v>-9527702.1133466288</v>
      </c>
      <c r="H58" s="303">
        <f>B58+F58</f>
        <v>79522828.71453166</v>
      </c>
      <c r="I58" s="303">
        <f>C58+G58</f>
        <v>101197264.59665337</v>
      </c>
      <c r="J58" s="303">
        <f>I58-H58</f>
        <v>21674435.882121712</v>
      </c>
      <c r="K58" s="303">
        <f>-J58*$K$11</f>
        <v>-4551631.5352455592</v>
      </c>
      <c r="L58" s="303">
        <f>-K58+K57</f>
        <v>102116.10451992508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110724966.70999999</v>
      </c>
      <c r="C59" s="313">
        <f>C58</f>
        <v>110724966.70999999</v>
      </c>
      <c r="D59" s="303">
        <f>(($B$14*$F$6/12)+(($B$26-$B$14)*$E$6/12)+(($B$38-$B$26)*$D$6/12)+(($B$50-$B$38)*$C$6/12)+(($B$62-$B$50)*$B$6/12))</f>
        <v>710485.22196833324</v>
      </c>
      <c r="E59" s="304">
        <f>+(C58*$E$10/12)+(((C59-C58)*$E$10/12)*0.5)</f>
        <v>224218.05758774999</v>
      </c>
      <c r="F59" s="303">
        <f>-D59+F58</f>
        <v>-31912623.217436668</v>
      </c>
      <c r="G59" s="304">
        <f>+G58-E59</f>
        <v>-9751920.1709343791</v>
      </c>
      <c r="H59" s="303">
        <f>B59+F59</f>
        <v>78812343.492563322</v>
      </c>
      <c r="I59" s="303">
        <f>C59+G59</f>
        <v>100973046.53906561</v>
      </c>
      <c r="J59" s="303">
        <f>I59-H59</f>
        <v>22160703.046502292</v>
      </c>
      <c r="K59" s="303">
        <f>-J59*$K$11</f>
        <v>-4653747.6397654815</v>
      </c>
      <c r="L59" s="303">
        <f>-K59+K58</f>
        <v>102116.10451992229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110724966.70999999</v>
      </c>
      <c r="C60" s="313">
        <f>C59</f>
        <v>110724966.70999999</v>
      </c>
      <c r="D60" s="303">
        <f>(($B$14*$F$6/12)+(($B$26-$B$14)*$E$6/12)+(($B$38-$B$26)*$D$6/12)+(($B$50-$B$38)*$C$6/12)+(($B$62-$B$50)*$B$6/12))</f>
        <v>710485.22196833324</v>
      </c>
      <c r="E60" s="304">
        <f>+(C59*$E$10/12)+(((C60-C59)*$E$10/12)*0.5)</f>
        <v>224218.05758774999</v>
      </c>
      <c r="F60" s="303">
        <f>-D60+F59</f>
        <v>-32623108.439405002</v>
      </c>
      <c r="G60" s="304">
        <f>+G59-E60</f>
        <v>-9976138.2285221294</v>
      </c>
      <c r="H60" s="303">
        <f>B60+F60</f>
        <v>78101858.270594984</v>
      </c>
      <c r="I60" s="303">
        <f>C60+G60</f>
        <v>100748828.48147786</v>
      </c>
      <c r="J60" s="303">
        <f>I60-H60</f>
        <v>22646970.210882872</v>
      </c>
      <c r="K60" s="303">
        <f>-J60*$K$11</f>
        <v>-4755863.7442854028</v>
      </c>
      <c r="L60" s="303">
        <f>-K60+K59</f>
        <v>102116.10451992135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110724966.70999999</v>
      </c>
      <c r="C61" s="313">
        <f>C60</f>
        <v>110724966.70999999</v>
      </c>
      <c r="D61" s="303">
        <f>(($B$14*$F$6/12)+(($B$26-$B$14)*$E$6/12)+(($B$38-$B$26)*$D$6/12)+(($B$50-$B$38)*$C$6/12)+(($B$62-$B$50)*$B$6/12))</f>
        <v>710485.22196833324</v>
      </c>
      <c r="E61" s="304">
        <f>+(C60*$E$10/12)+(((C61-C60)*$E$10/12)*0.5)</f>
        <v>224218.05758774999</v>
      </c>
      <c r="F61" s="303">
        <f>-D61+F60</f>
        <v>-33333593.661373336</v>
      </c>
      <c r="G61" s="304">
        <f>+G60-E61</f>
        <v>-10200356.28610988</v>
      </c>
      <c r="H61" s="303">
        <f>B61+F61</f>
        <v>77391373.048626661</v>
      </c>
      <c r="I61" s="303">
        <f>C61+G61</f>
        <v>100524610.42389011</v>
      </c>
      <c r="J61" s="303">
        <f>I61-H61</f>
        <v>23133237.375263453</v>
      </c>
      <c r="K61" s="303">
        <f>-J61*$K$11</f>
        <v>-4857979.8488053251</v>
      </c>
      <c r="L61" s="303">
        <f>-K61+K60</f>
        <v>102116.10451992229</v>
      </c>
      <c r="M61" s="361"/>
      <c r="N61" s="299"/>
    </row>
    <row r="62" spans="1:15" ht="15" x14ac:dyDescent="0.25">
      <c r="A62" s="314">
        <v>46022</v>
      </c>
      <c r="B62" s="303">
        <f>C62</f>
        <v>110724966.70999999</v>
      </c>
      <c r="C62" s="313">
        <f>C61</f>
        <v>110724966.70999999</v>
      </c>
      <c r="D62" s="303">
        <f>(($B$14*$F$6/12)+(($B$26-$B$14)*$E$6/12)+(($B$38-$B$26)*$D$6/12)+(($B$50-$B$38)*$C$6/12)+(($B$62-$B$50)*$B$6/12))</f>
        <v>710485.22196833324</v>
      </c>
      <c r="E62" s="304">
        <f>+(C61*$E$10/12)+(((C62-C61)*$E$10/12)*0.5)</f>
        <v>224218.05758774999</v>
      </c>
      <c r="F62" s="303">
        <f>-D62+F61</f>
        <v>-34044078.88334167</v>
      </c>
      <c r="G62" s="304">
        <f>+G61-E62</f>
        <v>-10424574.34369763</v>
      </c>
      <c r="H62" s="303">
        <f>B62+F62</f>
        <v>76680887.826658323</v>
      </c>
      <c r="I62" s="303">
        <f>C62+G62</f>
        <v>100300392.36630237</v>
      </c>
      <c r="J62" s="303">
        <f>I62-H62</f>
        <v>23619504.539644048</v>
      </c>
      <c r="K62" s="303">
        <f>-J62*$K$11</f>
        <v>-4960095.9533252502</v>
      </c>
      <c r="L62" s="303">
        <f>-K62+K61</f>
        <v>102116.10451992508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307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110724940.01000001</v>
      </c>
      <c r="C68" s="285">
        <f>C26</f>
        <v>110724940.01000001</v>
      </c>
      <c r="D68" s="285">
        <f>SUM(D15:D26)</f>
        <v>5532400.7876666673</v>
      </c>
      <c r="E68" s="285">
        <f>SUM(E15:E26)</f>
        <v>2352724.3516398752</v>
      </c>
      <c r="F68" s="285">
        <f>F26</f>
        <v>-5532400.7876666673</v>
      </c>
      <c r="G68" s="285">
        <f>G26</f>
        <v>-2352724.3516398752</v>
      </c>
      <c r="H68" s="285">
        <f>H26</f>
        <v>105192539.22233334</v>
      </c>
      <c r="I68" s="285">
        <f>I26</f>
        <v>108372215.65836012</v>
      </c>
      <c r="J68" s="285">
        <f>J26</f>
        <v>3179676.4360267818</v>
      </c>
      <c r="K68" s="285">
        <f>K26</f>
        <v>-667732.05156562419</v>
      </c>
      <c r="L68" s="285">
        <f>SUM(L15:L26)</f>
        <v>667732.05156562419</v>
      </c>
      <c r="M68" s="297"/>
      <c r="N68" s="297"/>
    </row>
    <row r="69" spans="1:15" x14ac:dyDescent="0.2">
      <c r="A69" s="301" t="s">
        <v>248</v>
      </c>
      <c r="B69" s="285">
        <f>(B14+B26+SUM(B15:B25)*2)/24</f>
        <v>96819932.166250005</v>
      </c>
      <c r="C69" s="285">
        <f>(C14+C26+SUM(C15:C25)*2)/24</f>
        <v>96819932.166250005</v>
      </c>
      <c r="D69" s="285"/>
      <c r="E69" s="300"/>
      <c r="F69" s="285">
        <f>(F14+F26+SUM(F15:F25)*2)/24</f>
        <v>-2765555.4383229166</v>
      </c>
      <c r="G69" s="285">
        <f>(G14+G26+SUM(G15:G25)*2)/24</f>
        <v>-1031446.0585258593</v>
      </c>
      <c r="H69" s="285">
        <f>(H14+H26+SUM(H15:H25)*2)/24</f>
        <v>94054376.727927089</v>
      </c>
      <c r="I69" s="285">
        <f>(I14+I26+SUM(I15:I25)*2)/24</f>
        <v>95788486.10772413</v>
      </c>
      <c r="J69" s="285">
        <f>(J14+J26+SUM(J15:J25)*2)/24</f>
        <v>1734109.3797970575</v>
      </c>
      <c r="K69" s="285">
        <f>(K14+K26+SUM(K15:K25)*2)/24</f>
        <v>-364162.96975738206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97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297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297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297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1:12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1:12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1:12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1:12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1:12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6" sqref="D16"/>
    </sheetView>
  </sheetViews>
  <sheetFormatPr defaultColWidth="8.85546875" defaultRowHeight="12.75" x14ac:dyDescent="0.2"/>
  <cols>
    <col min="1" max="1" width="25.710937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263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2.76E-2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2.76E-2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3">
        <v>0</v>
      </c>
      <c r="E14" s="304">
        <v>0</v>
      </c>
      <c r="F14" s="303">
        <v>0</v>
      </c>
      <c r="G14" s="304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24265.871333333333</v>
      </c>
      <c r="E15" s="304">
        <v>0</v>
      </c>
      <c r="F15" s="303">
        <f t="shared" ref="F15:F28" si="0">-D15+F14</f>
        <v>-24265.871333333333</v>
      </c>
      <c r="G15" s="304">
        <f t="shared" ref="G15:G28" si="1">+G14-E15</f>
        <v>0</v>
      </c>
      <c r="H15" s="303">
        <f t="shared" ref="H15:I28" si="2">B15+F15</f>
        <v>-24265.871333333333</v>
      </c>
      <c r="I15" s="303">
        <f t="shared" si="2"/>
        <v>0</v>
      </c>
      <c r="J15" s="303">
        <f t="shared" ref="J15:J28" si="3">I15-H15</f>
        <v>24265.871333333333</v>
      </c>
      <c r="K15" s="303">
        <f t="shared" ref="K15:K28" si="4">-J15*$K$11</f>
        <v>-5095.8329799999992</v>
      </c>
      <c r="L15" s="303">
        <f t="shared" ref="L15:L28" si="5">-K15+K14</f>
        <v>5095.8329799999992</v>
      </c>
      <c r="M15" s="363"/>
    </row>
    <row r="16" spans="1:23" x14ac:dyDescent="0.2">
      <c r="A16" s="314">
        <v>44620</v>
      </c>
      <c r="B16" s="303">
        <v>5823809.1200000001</v>
      </c>
      <c r="C16" s="313">
        <v>5823809.1200000001</v>
      </c>
      <c r="D16" s="303">
        <f>(($B$14*$C$6/12)+(($B$16-$B$14)*$B$6/12))+M16</f>
        <v>24265.871333333333</v>
      </c>
      <c r="E16" s="304">
        <f t="shared" ref="E16:E25" si="6">+(C15*$E$10/12)+(((C16-C15)*$E$10/12)*0.5)</f>
        <v>6697.3804879999998</v>
      </c>
      <c r="F16" s="303">
        <f t="shared" si="0"/>
        <v>-48531.742666666665</v>
      </c>
      <c r="G16" s="304">
        <f t="shared" si="1"/>
        <v>-6697.3804879999998</v>
      </c>
      <c r="H16" s="303">
        <f t="shared" si="2"/>
        <v>5775277.3773333337</v>
      </c>
      <c r="I16" s="303">
        <f t="shared" si="2"/>
        <v>5817111.7395120002</v>
      </c>
      <c r="J16" s="303">
        <f t="shared" si="3"/>
        <v>41834.362178666517</v>
      </c>
      <c r="K16" s="303">
        <f t="shared" si="4"/>
        <v>-8785.2160575199687</v>
      </c>
      <c r="L16" s="303">
        <f t="shared" si="5"/>
        <v>3689.3830775199694</v>
      </c>
      <c r="M16" s="363"/>
    </row>
    <row r="17" spans="1:15" ht="15" x14ac:dyDescent="0.25">
      <c r="A17" s="314">
        <v>44651</v>
      </c>
      <c r="B17" s="303">
        <v>5825018.2400000002</v>
      </c>
      <c r="C17" s="313">
        <v>5825018.2400000002</v>
      </c>
      <c r="D17" s="303">
        <f>(($B$14*$C$6/12)+((B17-$B$14)*$B$6/12))+M17</f>
        <v>24270.909333333333</v>
      </c>
      <c r="E17" s="304">
        <f t="shared" si="6"/>
        <v>13396.151464</v>
      </c>
      <c r="F17" s="303">
        <f t="shared" si="0"/>
        <v>-72802.652000000002</v>
      </c>
      <c r="G17" s="304">
        <f t="shared" si="1"/>
        <v>-20093.531952000001</v>
      </c>
      <c r="H17" s="303">
        <f t="shared" si="2"/>
        <v>5752215.5880000005</v>
      </c>
      <c r="I17" s="303">
        <f t="shared" si="2"/>
        <v>5804924.708048</v>
      </c>
      <c r="J17" s="303">
        <f t="shared" si="3"/>
        <v>52709.120047999546</v>
      </c>
      <c r="K17" s="303">
        <f t="shared" si="4"/>
        <v>-11068.915210079904</v>
      </c>
      <c r="L17" s="303">
        <f t="shared" si="5"/>
        <v>2283.6991525599351</v>
      </c>
      <c r="M17" s="361"/>
      <c r="N17" s="320"/>
    </row>
    <row r="18" spans="1:15" ht="15" x14ac:dyDescent="0.25">
      <c r="A18" s="314">
        <v>44681</v>
      </c>
      <c r="B18" s="303">
        <v>5825240.1500000004</v>
      </c>
      <c r="C18" s="313">
        <v>5825240.1500000004</v>
      </c>
      <c r="D18" s="303">
        <f>(($B$14*$C$6/12)+((B18-$B$14)*$B$6/12))+M18</f>
        <v>24271.833958333333</v>
      </c>
      <c r="E18" s="304">
        <f t="shared" si="6"/>
        <v>13397.7971485</v>
      </c>
      <c r="F18" s="303">
        <f t="shared" si="0"/>
        <v>-97074.485958333331</v>
      </c>
      <c r="G18" s="304">
        <f t="shared" si="1"/>
        <v>-33491.329100499999</v>
      </c>
      <c r="H18" s="303">
        <f t="shared" si="2"/>
        <v>5728165.6640416672</v>
      </c>
      <c r="I18" s="303">
        <f t="shared" si="2"/>
        <v>5791748.8208995005</v>
      </c>
      <c r="J18" s="303">
        <f t="shared" si="3"/>
        <v>63583.156857833266</v>
      </c>
      <c r="K18" s="303">
        <f t="shared" si="4"/>
        <v>-13352.462940144986</v>
      </c>
      <c r="L18" s="303">
        <f t="shared" si="5"/>
        <v>2283.5477300650819</v>
      </c>
      <c r="M18" s="361"/>
    </row>
    <row r="19" spans="1:15" ht="15" x14ac:dyDescent="0.25">
      <c r="A19" s="314">
        <v>44712</v>
      </c>
      <c r="B19" s="303">
        <v>5827077.2999999998</v>
      </c>
      <c r="C19" s="313">
        <v>5827077.2999999998</v>
      </c>
      <c r="D19" s="303">
        <f>(($B$14*$C$6/12)+((B19-$B$14)*$B$6/12))+M19</f>
        <v>24279.48875</v>
      </c>
      <c r="E19" s="304">
        <f t="shared" si="6"/>
        <v>13400.165067500002</v>
      </c>
      <c r="F19" s="303">
        <f t="shared" si="0"/>
        <v>-121353.97470833334</v>
      </c>
      <c r="G19" s="304">
        <f t="shared" si="1"/>
        <v>-46891.494168000005</v>
      </c>
      <c r="H19" s="303">
        <f t="shared" si="2"/>
        <v>5705723.3252916662</v>
      </c>
      <c r="I19" s="303">
        <f t="shared" si="2"/>
        <v>5780185.8058319995</v>
      </c>
      <c r="J19" s="303">
        <f t="shared" si="3"/>
        <v>74462.480540333316</v>
      </c>
      <c r="K19" s="303">
        <f t="shared" si="4"/>
        <v>-15637.120913469997</v>
      </c>
      <c r="L19" s="303">
        <f t="shared" si="5"/>
        <v>2284.657973325011</v>
      </c>
      <c r="M19" s="361"/>
    </row>
    <row r="20" spans="1:15" ht="15" x14ac:dyDescent="0.25">
      <c r="A20" s="314">
        <v>44742</v>
      </c>
      <c r="B20" s="303">
        <v>5827588.5099999998</v>
      </c>
      <c r="C20" s="313">
        <v>5827588.5099999998</v>
      </c>
      <c r="D20" s="303">
        <f>(($B$14*$C$6/12)+((B20-$B$14)*$B$6/12))+M20</f>
        <v>24281.618791666668</v>
      </c>
      <c r="E20" s="304">
        <f t="shared" si="6"/>
        <v>13402.865681499999</v>
      </c>
      <c r="F20" s="303">
        <f t="shared" si="0"/>
        <v>-145635.59350000002</v>
      </c>
      <c r="G20" s="304">
        <f t="shared" si="1"/>
        <v>-60294.359849500004</v>
      </c>
      <c r="H20" s="303">
        <f t="shared" si="2"/>
        <v>5681952.9164999994</v>
      </c>
      <c r="I20" s="303">
        <f t="shared" si="2"/>
        <v>5767294.1501505002</v>
      </c>
      <c r="J20" s="303">
        <f t="shared" si="3"/>
        <v>85341.233650500886</v>
      </c>
      <c r="K20" s="303">
        <f t="shared" si="4"/>
        <v>-17921.659066605185</v>
      </c>
      <c r="L20" s="303">
        <f t="shared" si="5"/>
        <v>2284.5381531351886</v>
      </c>
      <c r="M20" s="361"/>
    </row>
    <row r="21" spans="1:15" ht="15" x14ac:dyDescent="0.25">
      <c r="A21" s="314">
        <v>44773</v>
      </c>
      <c r="B21" s="303">
        <v>5827756.21</v>
      </c>
      <c r="C21" s="313">
        <v>5827756.21</v>
      </c>
      <c r="D21" s="303">
        <f>(($B$14*$C$6/12)+((B21-$B$14)*$B$6/12))+M21</f>
        <v>24282.317541666667</v>
      </c>
      <c r="E21" s="304">
        <f t="shared" si="6"/>
        <v>13403.646427999998</v>
      </c>
      <c r="F21" s="303">
        <f t="shared" si="0"/>
        <v>-169917.9110416667</v>
      </c>
      <c r="G21" s="304">
        <f t="shared" si="1"/>
        <v>-73698.006277499997</v>
      </c>
      <c r="H21" s="303">
        <f t="shared" si="2"/>
        <v>5657838.2989583332</v>
      </c>
      <c r="I21" s="303">
        <f t="shared" si="2"/>
        <v>5754058.2037225002</v>
      </c>
      <c r="J21" s="303">
        <f t="shared" si="3"/>
        <v>96219.904764167033</v>
      </c>
      <c r="K21" s="303">
        <f t="shared" si="4"/>
        <v>-20206.180000475077</v>
      </c>
      <c r="L21" s="303">
        <f t="shared" si="5"/>
        <v>2284.5209338698915</v>
      </c>
      <c r="M21" s="361"/>
    </row>
    <row r="22" spans="1:15" ht="15" x14ac:dyDescent="0.25">
      <c r="A22" s="314">
        <v>44804</v>
      </c>
      <c r="B22" s="303">
        <v>5827792.4100000001</v>
      </c>
      <c r="C22" s="313">
        <v>5827792.4100000001</v>
      </c>
      <c r="D22" s="303">
        <f>(($B$14*$C$6/12)+((B22-$B$14)*$B$6/12))+M22</f>
        <v>24282.468375</v>
      </c>
      <c r="E22" s="304">
        <f t="shared" si="6"/>
        <v>13403.880912999999</v>
      </c>
      <c r="F22" s="303">
        <f t="shared" si="0"/>
        <v>-194200.37941666669</v>
      </c>
      <c r="G22" s="304">
        <f t="shared" si="1"/>
        <v>-87101.887190499998</v>
      </c>
      <c r="H22" s="303">
        <f t="shared" si="2"/>
        <v>5633592.0305833332</v>
      </c>
      <c r="I22" s="303">
        <f t="shared" si="2"/>
        <v>5740690.5228094999</v>
      </c>
      <c r="J22" s="303">
        <f t="shared" si="3"/>
        <v>107098.49222616665</v>
      </c>
      <c r="K22" s="303">
        <f t="shared" si="4"/>
        <v>-22490.683367494996</v>
      </c>
      <c r="L22" s="303">
        <f t="shared" si="5"/>
        <v>2284.5033670199191</v>
      </c>
      <c r="M22" s="361"/>
    </row>
    <row r="23" spans="1:15" ht="15" x14ac:dyDescent="0.25">
      <c r="A23" s="314">
        <v>44834</v>
      </c>
      <c r="B23" s="303">
        <v>5827829.6100000003</v>
      </c>
      <c r="C23" s="313">
        <v>5827829.6100000003</v>
      </c>
      <c r="D23" s="303">
        <f>(($B$14*$C$6/12)+((B23-$B$14)*$B$6/12))+M23</f>
        <v>24282.623374999999</v>
      </c>
      <c r="E23" s="304">
        <f t="shared" si="6"/>
        <v>13403.965323</v>
      </c>
      <c r="F23" s="303">
        <f t="shared" si="0"/>
        <v>-218483.00279166669</v>
      </c>
      <c r="G23" s="304">
        <f t="shared" si="1"/>
        <v>-100505.85251349999</v>
      </c>
      <c r="H23" s="303">
        <f t="shared" si="2"/>
        <v>5609346.6072083339</v>
      </c>
      <c r="I23" s="303">
        <f t="shared" si="2"/>
        <v>5727323.7574865008</v>
      </c>
      <c r="J23" s="303">
        <f t="shared" si="3"/>
        <v>117977.15027816687</v>
      </c>
      <c r="K23" s="303">
        <f t="shared" si="4"/>
        <v>-24775.201558415043</v>
      </c>
      <c r="L23" s="303">
        <f t="shared" si="5"/>
        <v>2284.5181909200473</v>
      </c>
      <c r="M23" s="361"/>
      <c r="O23" s="299"/>
    </row>
    <row r="24" spans="1:15" ht="15" x14ac:dyDescent="0.25">
      <c r="A24" s="314">
        <v>44865</v>
      </c>
      <c r="B24" s="303">
        <v>5828387.8799999999</v>
      </c>
      <c r="C24" s="313">
        <v>5828387.8799999999</v>
      </c>
      <c r="D24" s="303">
        <f>(($B$14*$C$6/12)+((B24-$B$14)*$B$6/12))+M24</f>
        <v>24284.949500000002</v>
      </c>
      <c r="E24" s="304">
        <f t="shared" si="6"/>
        <v>13404.6501135</v>
      </c>
      <c r="F24" s="303">
        <f t="shared" si="0"/>
        <v>-242767.9522916667</v>
      </c>
      <c r="G24" s="304">
        <f t="shared" si="1"/>
        <v>-113910.50262699999</v>
      </c>
      <c r="H24" s="303">
        <f t="shared" si="2"/>
        <v>5585619.9277083334</v>
      </c>
      <c r="I24" s="303">
        <f t="shared" si="2"/>
        <v>5714477.3773729997</v>
      </c>
      <c r="J24" s="303">
        <f t="shared" si="3"/>
        <v>128857.44966466632</v>
      </c>
      <c r="K24" s="303">
        <f t="shared" si="4"/>
        <v>-27060.064429579925</v>
      </c>
      <c r="L24" s="303">
        <f t="shared" si="5"/>
        <v>2284.8628711648817</v>
      </c>
      <c r="M24" s="361"/>
      <c r="N24" s="299"/>
      <c r="O24" s="299"/>
    </row>
    <row r="25" spans="1:15" ht="15" x14ac:dyDescent="0.25">
      <c r="A25" s="314">
        <v>44895</v>
      </c>
      <c r="B25" s="303">
        <v>5829462.5099999998</v>
      </c>
      <c r="C25" s="313">
        <v>5829462.5099999998</v>
      </c>
      <c r="D25" s="303">
        <f>(($B$14*$C$6/12)+((B25-$B$14)*$B$6/12))+M25</f>
        <v>24289.427125000002</v>
      </c>
      <c r="E25" s="304">
        <f t="shared" si="6"/>
        <v>13406.527948499999</v>
      </c>
      <c r="F25" s="303">
        <f t="shared" si="0"/>
        <v>-267057.37941666669</v>
      </c>
      <c r="G25" s="304">
        <f t="shared" si="1"/>
        <v>-127317.03057549999</v>
      </c>
      <c r="H25" s="303">
        <f t="shared" si="2"/>
        <v>5562405.1305833329</v>
      </c>
      <c r="I25" s="303">
        <f t="shared" si="2"/>
        <v>5702145.4794244999</v>
      </c>
      <c r="J25" s="303">
        <f t="shared" si="3"/>
        <v>139740.34884116706</v>
      </c>
      <c r="K25" s="303">
        <f t="shared" si="4"/>
        <v>-29345.47325664508</v>
      </c>
      <c r="L25" s="303">
        <f t="shared" si="5"/>
        <v>2285.4088270651555</v>
      </c>
      <c r="M25" s="361"/>
      <c r="N25" s="315"/>
      <c r="O25" s="299"/>
    </row>
    <row r="26" spans="1:15" ht="15" x14ac:dyDescent="0.25">
      <c r="A26" s="389">
        <v>44926</v>
      </c>
      <c r="B26" s="390">
        <v>5830357.4800000004</v>
      </c>
      <c r="C26" s="391">
        <v>5830357.4800000004</v>
      </c>
      <c r="D26" s="304">
        <f>(($B$14*$C$6/12)+((B26-$B$14)*$B$6/12))+M26</f>
        <v>24293.156166666668</v>
      </c>
      <c r="E26" s="304">
        <f>+(C25*$E$10/12)+(((C26-C25)*$E$10/12)*0.5)</f>
        <v>13408.792988499999</v>
      </c>
      <c r="F26" s="303">
        <f t="shared" si="0"/>
        <v>-291350.53558333335</v>
      </c>
      <c r="G26" s="304">
        <f t="shared" si="1"/>
        <v>-140725.82356399999</v>
      </c>
      <c r="H26" s="303">
        <f t="shared" si="2"/>
        <v>5539006.9444166673</v>
      </c>
      <c r="I26" s="303">
        <f t="shared" si="2"/>
        <v>5689631.656436</v>
      </c>
      <c r="J26" s="303">
        <f t="shared" si="3"/>
        <v>150624.71201933268</v>
      </c>
      <c r="K26" s="303">
        <f t="shared" si="4"/>
        <v>-31631.189524059864</v>
      </c>
      <c r="L26" s="303">
        <f t="shared" si="5"/>
        <v>2285.7162674147839</v>
      </c>
      <c r="M26" s="361"/>
      <c r="O26" s="299"/>
    </row>
    <row r="27" spans="1:15" ht="15" x14ac:dyDescent="0.25">
      <c r="A27" s="314">
        <v>44957</v>
      </c>
      <c r="B27" s="303">
        <v>5830357.4800000004</v>
      </c>
      <c r="C27" s="313">
        <v>5830357.4800000004</v>
      </c>
      <c r="D27" s="316">
        <f>(($B$14*$D$6/12)+(($B$26-$B$14)*$C$6/12)+((B27-$B$26)*$B$6/12))</f>
        <v>46156.996716666668</v>
      </c>
      <c r="E27" s="317">
        <f>+(C26*$E$10/12)+(((C27-C26)*$E$10/12)*0.5)</f>
        <v>13409.822204000002</v>
      </c>
      <c r="F27" s="316">
        <f t="shared" si="0"/>
        <v>-337507.53230000002</v>
      </c>
      <c r="G27" s="317">
        <f t="shared" si="1"/>
        <v>-154135.64576799999</v>
      </c>
      <c r="H27" s="316">
        <f t="shared" si="2"/>
        <v>5492849.9477000004</v>
      </c>
      <c r="I27" s="316">
        <f t="shared" si="2"/>
        <v>5676221.8342320006</v>
      </c>
      <c r="J27" s="316">
        <f t="shared" si="3"/>
        <v>183371.88653200027</v>
      </c>
      <c r="K27" s="316">
        <f t="shared" si="4"/>
        <v>-38508.096171720055</v>
      </c>
      <c r="L27" s="316">
        <f t="shared" si="5"/>
        <v>6876.9066476601911</v>
      </c>
      <c r="M27" s="361"/>
      <c r="O27" s="299"/>
    </row>
    <row r="28" spans="1:15" ht="15" x14ac:dyDescent="0.25">
      <c r="A28" s="314">
        <v>44985</v>
      </c>
      <c r="B28" s="303">
        <v>5830358.6399999997</v>
      </c>
      <c r="C28" s="313">
        <v>5830358.6399999997</v>
      </c>
      <c r="D28" s="303">
        <f>(($B$14*$D$6/12)+(($B$26-$B$14)*$C$6/12)+((B28-$B$26)*$B$6/12))</f>
        <v>46157.001550000001</v>
      </c>
      <c r="E28" s="304">
        <f>+(C27*$E$10/12)+(((C28-C27)*$E$10/12)*0.5)</f>
        <v>13409.823538000001</v>
      </c>
      <c r="F28" s="303">
        <f t="shared" si="0"/>
        <v>-383664.53385000001</v>
      </c>
      <c r="G28" s="304">
        <f t="shared" si="1"/>
        <v>-167545.46930599998</v>
      </c>
      <c r="H28" s="303">
        <f t="shared" si="2"/>
        <v>5446694.1061499994</v>
      </c>
      <c r="I28" s="303">
        <f t="shared" si="2"/>
        <v>5662813.1706940001</v>
      </c>
      <c r="J28" s="303">
        <f t="shared" si="3"/>
        <v>216119.06454400066</v>
      </c>
      <c r="K28" s="303">
        <f t="shared" si="4"/>
        <v>-45385.003554240138</v>
      </c>
      <c r="L28" s="303">
        <f t="shared" si="5"/>
        <v>6876.907382520083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5830358.6399999997</v>
      </c>
      <c r="C29" s="313">
        <v>5830358.6399999997</v>
      </c>
      <c r="D29" s="303">
        <f>(($B$14*$D$6/12)+(($B$26-$B$14)*$C$6/12)+(($B$38-$B$26)*$B$6/12))</f>
        <v>46157.001550000001</v>
      </c>
      <c r="E29" s="304">
        <f>+(C28*$E$10/12)+(((C29-C28)*$E$10/12)*0.5)</f>
        <v>13409.824871999999</v>
      </c>
      <c r="F29" s="303">
        <f>-D29+F28</f>
        <v>-429821.53539999999</v>
      </c>
      <c r="G29" s="304">
        <f>+G28-E29</f>
        <v>-180955.29417799998</v>
      </c>
      <c r="H29" s="303">
        <f>B29+F29</f>
        <v>5400537.1045999993</v>
      </c>
      <c r="I29" s="303">
        <f>C29+G29</f>
        <v>5649403.3458219999</v>
      </c>
      <c r="J29" s="303">
        <f>I29-H29</f>
        <v>248866.24122200068</v>
      </c>
      <c r="K29" s="303">
        <f>-J29*$K$11</f>
        <v>-52261.910656620144</v>
      </c>
      <c r="L29" s="303">
        <f>-K29+K28</f>
        <v>6876.9071023800061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5830358.6399999997</v>
      </c>
      <c r="C30" s="313">
        <f>C29</f>
        <v>5830358.6399999997</v>
      </c>
      <c r="D30" s="303">
        <f>(($B$14*$D$6/12)+(($B$26-$B$14)*$C$6/12)+(($B$38-$B$26)*$B$6/12))</f>
        <v>46157.001550000001</v>
      </c>
      <c r="E30" s="304">
        <f>+(C29*$E$10/12)+(((C30-C29)*$E$10/12)*0.5)</f>
        <v>13409.824871999999</v>
      </c>
      <c r="F30" s="303">
        <f>-D30+F29</f>
        <v>-475978.53694999998</v>
      </c>
      <c r="G30" s="304">
        <f>+G29-E30</f>
        <v>-194365.11904999998</v>
      </c>
      <c r="H30" s="303">
        <f>B30+F30</f>
        <v>5354380.10305</v>
      </c>
      <c r="I30" s="303">
        <f>C30+G30</f>
        <v>5635993.5209499998</v>
      </c>
      <c r="J30" s="303">
        <f>I30-H30</f>
        <v>281613.41789999977</v>
      </c>
      <c r="K30" s="303">
        <f>-J30*$K$11</f>
        <v>-59138.817758999947</v>
      </c>
      <c r="L30" s="303">
        <f>-K30+K29</f>
        <v>6876.9071023798024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5830358.6399999997</v>
      </c>
      <c r="C31" s="313">
        <f>C30</f>
        <v>5830358.6399999997</v>
      </c>
      <c r="D31" s="303">
        <f>(($B$14*$D$6/12)+(($B$26-$B$14)*$C$6/12)+(($B$38-$B$26)*$B$6/12))</f>
        <v>46157.001550000001</v>
      </c>
      <c r="E31" s="304">
        <f>+(C30*$E$10/12)+(((C31-C30)*$E$10/12)*0.5)</f>
        <v>13409.824871999999</v>
      </c>
      <c r="F31" s="303">
        <f>-D31+F30</f>
        <v>-522135.53849999997</v>
      </c>
      <c r="G31" s="304">
        <f>+G30-E31</f>
        <v>-207774.94392199998</v>
      </c>
      <c r="H31" s="303">
        <f>B31+F31</f>
        <v>5308223.1014999999</v>
      </c>
      <c r="I31" s="303">
        <f>C31+G31</f>
        <v>5622583.6960779997</v>
      </c>
      <c r="J31" s="303">
        <f>I31-H31</f>
        <v>314360.59457799979</v>
      </c>
      <c r="K31" s="303">
        <f>-J31*$K$11</f>
        <v>-66015.724861379946</v>
      </c>
      <c r="L31" s="303">
        <f>-K31+K30</f>
        <v>6876.9071023799988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5830358.6399999997</v>
      </c>
      <c r="C32" s="313">
        <f>C31</f>
        <v>5830358.6399999997</v>
      </c>
      <c r="D32" s="303">
        <f>(($B$14*$D$6/12)+(($B$26-$B$14)*$C$6/12)+(($B$38-$B$26)*$B$6/12))</f>
        <v>46157.001550000001</v>
      </c>
      <c r="E32" s="304">
        <f>+(C31*$E$10/12)+(((C32-C31)*$E$10/12)*0.5)</f>
        <v>13409.824871999999</v>
      </c>
      <c r="F32" s="303">
        <f>-D32+F31</f>
        <v>-568292.54004999995</v>
      </c>
      <c r="G32" s="304">
        <f>+G31-E32</f>
        <v>-221184.76879399997</v>
      </c>
      <c r="H32" s="303">
        <f>B32+F32</f>
        <v>5262066.0999499997</v>
      </c>
      <c r="I32" s="303">
        <f>C32+G32</f>
        <v>5609173.8712059995</v>
      </c>
      <c r="J32" s="303">
        <f>I32-H32</f>
        <v>347107.7712559998</v>
      </c>
      <c r="K32" s="303">
        <f>-J32*$K$11</f>
        <v>-72892.631963759952</v>
      </c>
      <c r="L32" s="303">
        <f>-K32+K31</f>
        <v>6876.9071023800061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5830358.6399999997</v>
      </c>
      <c r="C33" s="313">
        <f>C32</f>
        <v>5830358.6399999997</v>
      </c>
      <c r="D33" s="303">
        <f>(($B$14*$D$6/12)+(($B$26-$B$14)*$C$6/12)+(($B$38-$B$26)*$B$6/12))</f>
        <v>46157.001550000001</v>
      </c>
      <c r="E33" s="304">
        <f>+(C32*$E$10/12)+(((C33-C32)*$E$10/12)*0.5)</f>
        <v>13409.824871999999</v>
      </c>
      <c r="F33" s="303">
        <f>-D33+F32</f>
        <v>-614449.5416</v>
      </c>
      <c r="G33" s="304">
        <f>+G32-E33</f>
        <v>-234594.59366599997</v>
      </c>
      <c r="H33" s="303">
        <f>B33+F33</f>
        <v>5215909.0983999996</v>
      </c>
      <c r="I33" s="303">
        <f>C33+G33</f>
        <v>5595764.0463339994</v>
      </c>
      <c r="J33" s="303">
        <f>I33-H33</f>
        <v>379854.94793399982</v>
      </c>
      <c r="K33" s="303">
        <f>-J33*$K$11</f>
        <v>-79769.539066139958</v>
      </c>
      <c r="L33" s="303">
        <f>-K33+K32</f>
        <v>6876.9071023800061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5830358.6399999997</v>
      </c>
      <c r="C34" s="313">
        <f>C33</f>
        <v>5830358.6399999997</v>
      </c>
      <c r="D34" s="303">
        <f>(($B$14*$D$6/12)+(($B$26-$B$14)*$C$6/12)+(($B$38-$B$26)*$B$6/12))</f>
        <v>46157.001550000001</v>
      </c>
      <c r="E34" s="304">
        <f>+(C33*$E$10/12)+(((C34-C33)*$E$10/12)*0.5)</f>
        <v>13409.824871999999</v>
      </c>
      <c r="F34" s="303">
        <f>-D34+F33</f>
        <v>-660606.54315000004</v>
      </c>
      <c r="G34" s="304">
        <f>+G33-E34</f>
        <v>-248004.41853799997</v>
      </c>
      <c r="H34" s="303">
        <f>B34+F34</f>
        <v>5169752.0968499994</v>
      </c>
      <c r="I34" s="303">
        <f>C34+G34</f>
        <v>5582354.2214620002</v>
      </c>
      <c r="J34" s="303">
        <f>I34-H34</f>
        <v>412602.12461200077</v>
      </c>
      <c r="K34" s="303">
        <f>-J34*$K$11</f>
        <v>-86646.446168520153</v>
      </c>
      <c r="L34" s="303">
        <f>-K34+K33</f>
        <v>6876.9071023801953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5830358.6399999997</v>
      </c>
      <c r="C35" s="313">
        <f>C34</f>
        <v>5830358.6399999997</v>
      </c>
      <c r="D35" s="303">
        <f>(($B$14*$D$6/12)+(($B$26-$B$14)*$C$6/12)+(($B$38-$B$26)*$B$6/12))</f>
        <v>46157.001550000001</v>
      </c>
      <c r="E35" s="304">
        <f>+(C34*$E$10/12)+(((C35-C34)*$E$10/12)*0.5)</f>
        <v>13409.824871999999</v>
      </c>
      <c r="F35" s="303">
        <f>-D35+F34</f>
        <v>-706763.54470000009</v>
      </c>
      <c r="G35" s="304">
        <f>+G34-E35</f>
        <v>-261414.24340999997</v>
      </c>
      <c r="H35" s="303">
        <f>B35+F35</f>
        <v>5123595.0952999992</v>
      </c>
      <c r="I35" s="303">
        <f>C35+G35</f>
        <v>5568944.39659</v>
      </c>
      <c r="J35" s="303">
        <f>I35-H35</f>
        <v>445349.30129000079</v>
      </c>
      <c r="K35" s="303">
        <f>-J35*$K$11</f>
        <v>-93523.353270900159</v>
      </c>
      <c r="L35" s="303">
        <f>-K35+K34</f>
        <v>6876.9071023800061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5830358.6399999997</v>
      </c>
      <c r="C36" s="313">
        <f>C35</f>
        <v>5830358.6399999997</v>
      </c>
      <c r="D36" s="303">
        <f>(($B$14*$D$6/12)+(($B$26-$B$14)*$C$6/12)+(($B$38-$B$26)*$B$6/12))</f>
        <v>46157.001550000001</v>
      </c>
      <c r="E36" s="304">
        <f>+(C35*$E$10/12)+(((C36-C35)*$E$10/12)*0.5)</f>
        <v>13409.824871999999</v>
      </c>
      <c r="F36" s="303">
        <f>-D36+F35</f>
        <v>-752920.54625000013</v>
      </c>
      <c r="G36" s="304">
        <f>+G35-E36</f>
        <v>-274824.06828199996</v>
      </c>
      <c r="H36" s="303">
        <f>B36+F36</f>
        <v>5077438.09375</v>
      </c>
      <c r="I36" s="303">
        <f>C36+G36</f>
        <v>5555534.5717179999</v>
      </c>
      <c r="J36" s="303">
        <f>I36-H36</f>
        <v>478096.47796799988</v>
      </c>
      <c r="K36" s="303">
        <f>-J36*$K$11</f>
        <v>-100400.26037327998</v>
      </c>
      <c r="L36" s="303">
        <f>-K36+K35</f>
        <v>6876.9071023798169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5830358.6399999997</v>
      </c>
      <c r="C37" s="313">
        <f>C36</f>
        <v>5830358.6399999997</v>
      </c>
      <c r="D37" s="303">
        <f>(($B$14*$D$6/12)+(($B$26-$B$14)*$C$6/12)+(($B$38-$B$26)*$B$6/12))</f>
        <v>46157.001550000001</v>
      </c>
      <c r="E37" s="304">
        <f>+(C36*$E$10/12)+(((C37-C36)*$E$10/12)*0.5)</f>
        <v>13409.824871999999</v>
      </c>
      <c r="F37" s="303">
        <f>-D37+F36</f>
        <v>-799077.54780000017</v>
      </c>
      <c r="G37" s="304">
        <f>+G36-E37</f>
        <v>-288233.89315399999</v>
      </c>
      <c r="H37" s="303">
        <f>B37+F37</f>
        <v>5031281.0921999998</v>
      </c>
      <c r="I37" s="303">
        <f>C37+G37</f>
        <v>5542124.7468459997</v>
      </c>
      <c r="J37" s="303">
        <f>I37-H37</f>
        <v>510843.65464599989</v>
      </c>
      <c r="K37" s="303">
        <f>-J37*$K$11</f>
        <v>-107277.16747565997</v>
      </c>
      <c r="L37" s="303">
        <f>-K37+K36</f>
        <v>6876.9071023799916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5830358.6399999997</v>
      </c>
      <c r="C38" s="313">
        <f>C37</f>
        <v>5830358.6399999997</v>
      </c>
      <c r="D38" s="303">
        <f>(($B$14*$D$6/12)+(($B$26-$B$14)*$C$6/12)+(($B$38-$B$26)*$B$6/12))</f>
        <v>46157.001550000001</v>
      </c>
      <c r="E38" s="304">
        <f>+(C37*$E$10/12)+(((C38-C37)*$E$10/12)*0.5)</f>
        <v>13409.824871999999</v>
      </c>
      <c r="F38" s="303">
        <f>-D38+F37</f>
        <v>-845234.54935000022</v>
      </c>
      <c r="G38" s="304">
        <f>+G37-E38</f>
        <v>-301643.71802600002</v>
      </c>
      <c r="H38" s="303">
        <f>B38+F38</f>
        <v>4985124.0906499997</v>
      </c>
      <c r="I38" s="303">
        <f>C38+G38</f>
        <v>5528714.9219739996</v>
      </c>
      <c r="J38" s="303">
        <f>I38-H38</f>
        <v>543590.83132399991</v>
      </c>
      <c r="K38" s="303">
        <f>-J38*$K$11</f>
        <v>-114154.07457803997</v>
      </c>
      <c r="L38" s="303">
        <f>-K38+K37</f>
        <v>6876.9071023800061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5830358.6399999997</v>
      </c>
      <c r="C39" s="313">
        <f>C38</f>
        <v>5830358.6399999997</v>
      </c>
      <c r="D39" s="303">
        <f>(($B$14*$E$6/12)+(($B$26-$B$14)*$D$6/12)+(($B$38-$B$26)*$C$6/12)+(($B$50-$B$38)*$B$6/12))</f>
        <v>41541.306228333335</v>
      </c>
      <c r="E39" s="304">
        <f>+(C38*$E$10/12)+(((C39-C38)*$E$10/12)*0.5)</f>
        <v>13409.824871999999</v>
      </c>
      <c r="F39" s="303">
        <f>-D39+F38</f>
        <v>-886775.85557833361</v>
      </c>
      <c r="G39" s="304">
        <f>+G38-E39</f>
        <v>-315053.54289800004</v>
      </c>
      <c r="H39" s="303">
        <f>B39+F39</f>
        <v>4943582.7844216656</v>
      </c>
      <c r="I39" s="303">
        <f>C39+G39</f>
        <v>5515305.0971019994</v>
      </c>
      <c r="J39" s="303">
        <f>I39-H39</f>
        <v>571722.31268033385</v>
      </c>
      <c r="K39" s="303">
        <f>-J39*$K$11</f>
        <v>-120061.68566287011</v>
      </c>
      <c r="L39" s="303">
        <f>-K39+K38</f>
        <v>5907.6110848301323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5830358.6399999997</v>
      </c>
      <c r="C40" s="313">
        <f>C39</f>
        <v>5830358.6399999997</v>
      </c>
      <c r="D40" s="303">
        <f>(($B$14*$E$6/12)+(($B$26-$B$14)*$D$6/12)+(($B$38-$B$26)*$C$6/12)+(($B$50-$B$38)*$B$6/12))</f>
        <v>41541.306228333335</v>
      </c>
      <c r="E40" s="304">
        <f>+(C39*$E$10/12)+(((C40-C39)*$E$10/12)*0.5)</f>
        <v>13409.824871999999</v>
      </c>
      <c r="F40" s="303">
        <f>-D40+F39</f>
        <v>-928317.16180666699</v>
      </c>
      <c r="G40" s="304">
        <f>+G39-E40</f>
        <v>-328463.36777000007</v>
      </c>
      <c r="H40" s="303">
        <f>B40+F40</f>
        <v>4902041.4781933324</v>
      </c>
      <c r="I40" s="303">
        <f>C40+G40</f>
        <v>5501895.2722299993</v>
      </c>
      <c r="J40" s="303">
        <f>I40-H40</f>
        <v>599853.79403666686</v>
      </c>
      <c r="K40" s="303">
        <f>-J40*$K$11</f>
        <v>-125969.29674770003</v>
      </c>
      <c r="L40" s="303">
        <f>-K40+K39</f>
        <v>5907.6110848299286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5830358.6399999997</v>
      </c>
      <c r="C41" s="313">
        <f>C40</f>
        <v>5830358.6399999997</v>
      </c>
      <c r="D41" s="303">
        <f>(($B$14*$E$6/12)+(($B$26-$B$14)*$D$6/12)+(($B$38-$B$26)*$C$6/12)+(($B$50-$B$38)*$B$6/12))</f>
        <v>41541.306228333335</v>
      </c>
      <c r="E41" s="304">
        <f>+(C40*$E$10/12)+(((C41-C40)*$E$10/12)*0.5)</f>
        <v>13409.824871999999</v>
      </c>
      <c r="F41" s="303">
        <f>-D41+F40</f>
        <v>-969858.46803500038</v>
      </c>
      <c r="G41" s="304">
        <f>+G40-E41</f>
        <v>-341873.1926420001</v>
      </c>
      <c r="H41" s="303">
        <f>B41+F41</f>
        <v>4860500.1719649993</v>
      </c>
      <c r="I41" s="303">
        <f>C41+G41</f>
        <v>5488485.4473579992</v>
      </c>
      <c r="J41" s="303">
        <f>I41-H41</f>
        <v>627985.27539299987</v>
      </c>
      <c r="K41" s="303">
        <f>-J41*$K$11</f>
        <v>-131876.90783252998</v>
      </c>
      <c r="L41" s="303">
        <f>-K41+K40</f>
        <v>5907.6110848299431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5830358.6399999997</v>
      </c>
      <c r="C42" s="313">
        <f>C41</f>
        <v>5830358.6399999997</v>
      </c>
      <c r="D42" s="303">
        <f>(($B$14*$E$6/12)+(($B$26-$B$14)*$D$6/12)+(($B$38-$B$26)*$C$6/12)+(($B$50-$B$38)*$B$6/12))</f>
        <v>41541.306228333335</v>
      </c>
      <c r="E42" s="304">
        <f>+(C41*$E$10/12)+(((C42-C41)*$E$10/12)*0.5)</f>
        <v>13409.824871999999</v>
      </c>
      <c r="F42" s="303">
        <f>-D42+F41</f>
        <v>-1011399.7742633338</v>
      </c>
      <c r="G42" s="304">
        <f>+G41-E42</f>
        <v>-355283.01751400012</v>
      </c>
      <c r="H42" s="303">
        <f>B42+F42</f>
        <v>4818958.8657366661</v>
      </c>
      <c r="I42" s="303">
        <f>C42+G42</f>
        <v>5475075.6224859999</v>
      </c>
      <c r="J42" s="303">
        <f>I42-H42</f>
        <v>656116.75674933381</v>
      </c>
      <c r="K42" s="303">
        <f>-J42*$K$11</f>
        <v>-137784.51891736011</v>
      </c>
      <c r="L42" s="303">
        <f>-K42+K41</f>
        <v>5907.6110848301323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5830358.6399999997</v>
      </c>
      <c r="C43" s="313">
        <f>C42</f>
        <v>5830358.6399999997</v>
      </c>
      <c r="D43" s="303">
        <f>(($B$14*$E$6/12)+(($B$26-$B$14)*$D$6/12)+(($B$38-$B$26)*$C$6/12)+(($B$50-$B$38)*$B$6/12))</f>
        <v>41541.306228333335</v>
      </c>
      <c r="E43" s="304">
        <f>+(C42*$E$10/12)+(((C43-C42)*$E$10/12)*0.5)</f>
        <v>13409.824871999999</v>
      </c>
      <c r="F43" s="303">
        <f>-D43+F42</f>
        <v>-1052941.0804916671</v>
      </c>
      <c r="G43" s="304">
        <f>+G42-E43</f>
        <v>-368692.84238600015</v>
      </c>
      <c r="H43" s="303">
        <f>B43+F43</f>
        <v>4777417.559508333</v>
      </c>
      <c r="I43" s="303">
        <f>C43+G43</f>
        <v>5461665.7976139998</v>
      </c>
      <c r="J43" s="303">
        <f>I43-H43</f>
        <v>684248.23810566682</v>
      </c>
      <c r="K43" s="303">
        <f>-J43*$K$11</f>
        <v>-143692.13000219004</v>
      </c>
      <c r="L43" s="303">
        <f>-K43+K42</f>
        <v>5907.6110848299286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5830358.6399999997</v>
      </c>
      <c r="C44" s="313">
        <f>C43</f>
        <v>5830358.6399999997</v>
      </c>
      <c r="D44" s="303">
        <f>(($B$14*$E$6/12)+(($B$26-$B$14)*$D$6/12)+(($B$38-$B$26)*$C$6/12)+(($B$50-$B$38)*$B$6/12))</f>
        <v>41541.306228333335</v>
      </c>
      <c r="E44" s="304">
        <f>+(C43*$E$10/12)+(((C44-C43)*$E$10/12)*0.5)</f>
        <v>13409.824871999999</v>
      </c>
      <c r="F44" s="303">
        <f>-D44+F43</f>
        <v>-1094482.3867200005</v>
      </c>
      <c r="G44" s="304">
        <f>+G43-E44</f>
        <v>-382102.66725800018</v>
      </c>
      <c r="H44" s="303">
        <f>B44+F44</f>
        <v>4735876.2532799989</v>
      </c>
      <c r="I44" s="303">
        <f>C44+G44</f>
        <v>5448255.9727419997</v>
      </c>
      <c r="J44" s="303">
        <f>I44-H44</f>
        <v>712379.71946200076</v>
      </c>
      <c r="K44" s="303">
        <f>-J44*$K$11</f>
        <v>-149599.74108702014</v>
      </c>
      <c r="L44" s="303">
        <f>-K44+K43</f>
        <v>5907.6110848301032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5830358.6399999997</v>
      </c>
      <c r="C45" s="313">
        <f>C44</f>
        <v>5830358.6399999997</v>
      </c>
      <c r="D45" s="303">
        <f>(($B$14*$E$6/12)+(($B$26-$B$14)*$D$6/12)+(($B$38-$B$26)*$C$6/12)+(($B$50-$B$38)*$B$6/12))</f>
        <v>41541.306228333335</v>
      </c>
      <c r="E45" s="304">
        <f>+(C44*$E$10/12)+(((C45-C44)*$E$10/12)*0.5)</f>
        <v>13409.824871999999</v>
      </c>
      <c r="F45" s="303">
        <f>-D45+F44</f>
        <v>-1136023.6929483339</v>
      </c>
      <c r="G45" s="304">
        <f>+G44-E45</f>
        <v>-395512.4921300002</v>
      </c>
      <c r="H45" s="303">
        <f>B45+F45</f>
        <v>4694334.9470516657</v>
      </c>
      <c r="I45" s="303">
        <f>C45+G45</f>
        <v>5434846.1478699995</v>
      </c>
      <c r="J45" s="303">
        <f>I45-H45</f>
        <v>740511.20081833377</v>
      </c>
      <c r="K45" s="303">
        <f>-J45*$K$11</f>
        <v>-155507.3521718501</v>
      </c>
      <c r="L45" s="303">
        <f>-K45+K44</f>
        <v>5907.6110848299577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5830358.6399999997</v>
      </c>
      <c r="C46" s="313">
        <f>C45</f>
        <v>5830358.6399999997</v>
      </c>
      <c r="D46" s="303">
        <f>(($B$14*$E$6/12)+(($B$26-$B$14)*$D$6/12)+(($B$38-$B$26)*$C$6/12)+(($B$50-$B$38)*$B$6/12))</f>
        <v>41541.306228333335</v>
      </c>
      <c r="E46" s="304">
        <f>+(C45*$E$10/12)+(((C46-C45)*$E$10/12)*0.5)</f>
        <v>13409.824871999999</v>
      </c>
      <c r="F46" s="303">
        <f>-D46+F45</f>
        <v>-1177564.9991766673</v>
      </c>
      <c r="G46" s="304">
        <f>+G45-E46</f>
        <v>-408922.31700200023</v>
      </c>
      <c r="H46" s="303">
        <f>B46+F46</f>
        <v>4652793.6408233326</v>
      </c>
      <c r="I46" s="303">
        <f>C46+G46</f>
        <v>5421436.3229979994</v>
      </c>
      <c r="J46" s="303">
        <f>I46-H46</f>
        <v>768642.68217466678</v>
      </c>
      <c r="K46" s="303">
        <f>-J46*$K$11</f>
        <v>-161414.96325668003</v>
      </c>
      <c r="L46" s="303">
        <f>-K46+K45</f>
        <v>5907.6110848299286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5830358.6399999997</v>
      </c>
      <c r="C47" s="313">
        <f>C46</f>
        <v>5830358.6399999997</v>
      </c>
      <c r="D47" s="303">
        <f>(($B$14*$E$6/12)+(($B$26-$B$14)*$D$6/12)+(($B$38-$B$26)*$C$6/12)+(($B$50-$B$38)*$B$6/12))</f>
        <v>41541.306228333335</v>
      </c>
      <c r="E47" s="304">
        <f>+(C46*$E$10/12)+(((C47-C46)*$E$10/12)*0.5)</f>
        <v>13409.824871999999</v>
      </c>
      <c r="F47" s="303">
        <f>-D47+F46</f>
        <v>-1219106.3054050007</v>
      </c>
      <c r="G47" s="304">
        <f>+G46-E47</f>
        <v>-422332.14187400026</v>
      </c>
      <c r="H47" s="303">
        <f>B47+F47</f>
        <v>4611252.3345949985</v>
      </c>
      <c r="I47" s="303">
        <f>C47+G47</f>
        <v>5408026.4981259992</v>
      </c>
      <c r="J47" s="303">
        <f>I47-H47</f>
        <v>796774.16353100073</v>
      </c>
      <c r="K47" s="303">
        <f>-J47*$K$11</f>
        <v>-167322.57434151016</v>
      </c>
      <c r="L47" s="303">
        <f>-K47+K46</f>
        <v>5907.6110848301323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5830358.6399999997</v>
      </c>
      <c r="C48" s="313">
        <f>C47</f>
        <v>5830358.6399999997</v>
      </c>
      <c r="D48" s="303">
        <f>(($B$14*$E$6/12)+(($B$26-$B$14)*$D$6/12)+(($B$38-$B$26)*$C$6/12)+(($B$50-$B$38)*$B$6/12))</f>
        <v>41541.306228333335</v>
      </c>
      <c r="E48" s="304">
        <f>+(C47*$E$10/12)+(((C48-C47)*$E$10/12)*0.5)</f>
        <v>13409.824871999999</v>
      </c>
      <c r="F48" s="303">
        <f>-D48+F47</f>
        <v>-1260647.6116333341</v>
      </c>
      <c r="G48" s="304">
        <f>+G47-E48</f>
        <v>-435741.96674600028</v>
      </c>
      <c r="H48" s="303">
        <f>B48+F48</f>
        <v>4569711.0283666654</v>
      </c>
      <c r="I48" s="303">
        <f>C48+G48</f>
        <v>5394616.6732539991</v>
      </c>
      <c r="J48" s="303">
        <f>I48-H48</f>
        <v>824905.64488733374</v>
      </c>
      <c r="K48" s="303">
        <f>-J48*$K$11</f>
        <v>-173230.18542634009</v>
      </c>
      <c r="L48" s="303">
        <f>-K48+K47</f>
        <v>5907.6110848299286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5830358.6399999997</v>
      </c>
      <c r="C49" s="313">
        <f>C48</f>
        <v>5830358.6399999997</v>
      </c>
      <c r="D49" s="303">
        <f>(($B$14*$E$6/12)+(($B$26-$B$14)*$D$6/12)+(($B$38-$B$26)*$C$6/12)+(($B$50-$B$38)*$B$6/12))</f>
        <v>41541.306228333335</v>
      </c>
      <c r="E49" s="304">
        <f>+(C48*$E$10/12)+(((C49-C48)*$E$10/12)*0.5)</f>
        <v>13409.824871999999</v>
      </c>
      <c r="F49" s="303">
        <f>-D49+F48</f>
        <v>-1302188.9178616675</v>
      </c>
      <c r="G49" s="304">
        <f>+G48-E49</f>
        <v>-449151.79161800031</v>
      </c>
      <c r="H49" s="303">
        <f>B49+F49</f>
        <v>4528169.7221383322</v>
      </c>
      <c r="I49" s="303">
        <f>C49+G49</f>
        <v>5381206.8483819989</v>
      </c>
      <c r="J49" s="303">
        <f>I49-H49</f>
        <v>853037.12624366675</v>
      </c>
      <c r="K49" s="303">
        <f>-J49*$K$11</f>
        <v>-179137.79651117002</v>
      </c>
      <c r="L49" s="303">
        <f>-K49+K48</f>
        <v>5907.6110848299286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5830358.6399999997</v>
      </c>
      <c r="C50" s="313">
        <f>C49</f>
        <v>5830358.6399999997</v>
      </c>
      <c r="D50" s="303">
        <f>(($B$14*$E$6/12)+(($B$26-$B$14)*$D$6/12)+(($B$38-$B$26)*$C$6/12)+(($B$50-$B$38)*$B$6/12))</f>
        <v>41541.306228333335</v>
      </c>
      <c r="E50" s="304">
        <f>+(C49*$E$10/12)+(((C50-C49)*$E$10/12)*0.5)</f>
        <v>13409.824871999999</v>
      </c>
      <c r="F50" s="303">
        <f>-D50+F49</f>
        <v>-1343730.2240900008</v>
      </c>
      <c r="G50" s="304">
        <f>+G49-E50</f>
        <v>-462561.61649000034</v>
      </c>
      <c r="H50" s="303">
        <f>B50+F50</f>
        <v>4486628.4159099991</v>
      </c>
      <c r="I50" s="303">
        <f>C50+G50</f>
        <v>5367797.0235099997</v>
      </c>
      <c r="J50" s="303">
        <f>I50-H50</f>
        <v>881168.60760000069</v>
      </c>
      <c r="K50" s="303">
        <f>-J50*$K$11</f>
        <v>-185045.40759600015</v>
      </c>
      <c r="L50" s="303">
        <f>-K50+K49</f>
        <v>5907.6110848301323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5830358.6399999997</v>
      </c>
      <c r="C51" s="313">
        <f>C50</f>
        <v>5830358.6399999997</v>
      </c>
      <c r="D51" s="303">
        <f>(($B$14*$F$6/12)+(($B$26-$B$14)*$E$6/12)+(($B$38-$B$26)*$D$6/12)+(($B$50-$B$38)*$C$6/12)+(($B$62-$B$50)*$B$6/12))</f>
        <v>37411.468761666671</v>
      </c>
      <c r="E51" s="304">
        <f>+(C50*$E$10/12)+(((C51-C50)*$E$10/12)*0.5)</f>
        <v>13409.824871999999</v>
      </c>
      <c r="F51" s="303">
        <f>-D51+F50</f>
        <v>-1381141.6928516675</v>
      </c>
      <c r="G51" s="304">
        <f>+G50-E51</f>
        <v>-475971.44136200036</v>
      </c>
      <c r="H51" s="303">
        <f>B51+F51</f>
        <v>4449216.9471483324</v>
      </c>
      <c r="I51" s="303">
        <f>C51+G51</f>
        <v>5354387.1986379996</v>
      </c>
      <c r="J51" s="303">
        <f>I51-H51</f>
        <v>905170.25148966722</v>
      </c>
      <c r="K51" s="303">
        <f>-J51*$K$11</f>
        <v>-190085.75281283012</v>
      </c>
      <c r="L51" s="303">
        <f>-K51+K50</f>
        <v>5040.34521682997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5830358.6399999997</v>
      </c>
      <c r="C52" s="313">
        <f>C51</f>
        <v>5830358.6399999997</v>
      </c>
      <c r="D52" s="303">
        <f>(($B$14*$F$6/12)+(($B$26-$B$14)*$E$6/12)+(($B$38-$B$26)*$D$6/12)+(($B$50-$B$38)*$C$6/12)+(($B$62-$B$50)*$B$6/12))</f>
        <v>37411.468761666671</v>
      </c>
      <c r="E52" s="304">
        <f>+(C51*$E$10/12)+(((C52-C51)*$E$10/12)*0.5)</f>
        <v>13409.824871999999</v>
      </c>
      <c r="F52" s="303">
        <f>-D52+F51</f>
        <v>-1418553.1616133342</v>
      </c>
      <c r="G52" s="304">
        <f>+G51-E52</f>
        <v>-489381.26623400039</v>
      </c>
      <c r="H52" s="303">
        <f>B52+F52</f>
        <v>4411805.4783866657</v>
      </c>
      <c r="I52" s="303">
        <f>C52+G52</f>
        <v>5340977.3737659995</v>
      </c>
      <c r="J52" s="303">
        <f>I52-H52</f>
        <v>929171.89537933376</v>
      </c>
      <c r="K52" s="303">
        <f>-J52*$K$11</f>
        <v>-195126.09802966009</v>
      </c>
      <c r="L52" s="303">
        <f>-K52+K51</f>
        <v>5040.34521682997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5830358.6399999997</v>
      </c>
      <c r="C53" s="313">
        <f>C52</f>
        <v>5830358.6399999997</v>
      </c>
      <c r="D53" s="303">
        <f>(($B$14*$F$6/12)+(($B$26-$B$14)*$E$6/12)+(($B$38-$B$26)*$D$6/12)+(($B$50-$B$38)*$C$6/12)+(($B$62-$B$50)*$B$6/12))</f>
        <v>37411.468761666671</v>
      </c>
      <c r="E53" s="304">
        <f>+(C52*$E$10/12)+(((C53-C52)*$E$10/12)*0.5)</f>
        <v>13409.824871999999</v>
      </c>
      <c r="F53" s="303">
        <f>-D53+F52</f>
        <v>-1455964.6303750009</v>
      </c>
      <c r="G53" s="304">
        <f>+G52-E53</f>
        <v>-502791.09110600041</v>
      </c>
      <c r="H53" s="303">
        <f>B53+F53</f>
        <v>4374394.009624999</v>
      </c>
      <c r="I53" s="303">
        <f>C53+G53</f>
        <v>5327567.5488939993</v>
      </c>
      <c r="J53" s="303">
        <f>I53-H53</f>
        <v>953173.53926900029</v>
      </c>
      <c r="K53" s="303">
        <f>-J53*$K$11</f>
        <v>-200166.44324649006</v>
      </c>
      <c r="L53" s="303">
        <f>-K53+K52</f>
        <v>5040.34521682997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5830358.6399999997</v>
      </c>
      <c r="C54" s="313">
        <f>C53</f>
        <v>5830358.6399999997</v>
      </c>
      <c r="D54" s="303">
        <f>(($B$14*$F$6/12)+(($B$26-$B$14)*$E$6/12)+(($B$38-$B$26)*$D$6/12)+(($B$50-$B$38)*$C$6/12)+(($B$62-$B$50)*$B$6/12))</f>
        <v>37411.468761666671</v>
      </c>
      <c r="E54" s="304">
        <f>+(C53*$E$10/12)+(((C54-C53)*$E$10/12)*0.5)</f>
        <v>13409.824871999999</v>
      </c>
      <c r="F54" s="303">
        <f>-D54+F53</f>
        <v>-1493376.0991366676</v>
      </c>
      <c r="G54" s="304">
        <f>+G53-E54</f>
        <v>-516200.91597800044</v>
      </c>
      <c r="H54" s="303">
        <f>B54+F54</f>
        <v>4336982.5408633323</v>
      </c>
      <c r="I54" s="303">
        <f>C54+G54</f>
        <v>5314157.7240219992</v>
      </c>
      <c r="J54" s="303">
        <f>I54-H54</f>
        <v>977175.18315866683</v>
      </c>
      <c r="K54" s="303">
        <f>-J54*$K$11</f>
        <v>-205206.78846332003</v>
      </c>
      <c r="L54" s="303">
        <f>-K54+K53</f>
        <v>5040.34521682997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5830358.6399999997</v>
      </c>
      <c r="C55" s="313">
        <f>C54</f>
        <v>5830358.6399999997</v>
      </c>
      <c r="D55" s="303">
        <f>(($B$14*$F$6/12)+(($B$26-$B$14)*$E$6/12)+(($B$38-$B$26)*$D$6/12)+(($B$50-$B$38)*$C$6/12)+(($B$62-$B$50)*$B$6/12))</f>
        <v>37411.468761666671</v>
      </c>
      <c r="E55" s="304">
        <f>+(C54*$E$10/12)+(((C55-C54)*$E$10/12)*0.5)</f>
        <v>13409.824871999999</v>
      </c>
      <c r="F55" s="303">
        <f>-D55+F54</f>
        <v>-1530787.5678983342</v>
      </c>
      <c r="G55" s="304">
        <f>+G54-E55</f>
        <v>-529610.74085000041</v>
      </c>
      <c r="H55" s="303">
        <f>B55+F55</f>
        <v>4299571.0721016657</v>
      </c>
      <c r="I55" s="303">
        <f>C55+G55</f>
        <v>5300747.899149999</v>
      </c>
      <c r="J55" s="303">
        <f>I55-H55</f>
        <v>1001176.8270483334</v>
      </c>
      <c r="K55" s="303">
        <f>-J55*$K$11</f>
        <v>-210247.13368015</v>
      </c>
      <c r="L55" s="303">
        <f>-K55+K54</f>
        <v>5040.34521682997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5830358.6399999997</v>
      </c>
      <c r="C56" s="313">
        <f>C55</f>
        <v>5830358.6399999997</v>
      </c>
      <c r="D56" s="303">
        <f>(($B$14*$F$6/12)+(($B$26-$B$14)*$E$6/12)+(($B$38-$B$26)*$D$6/12)+(($B$50-$B$38)*$C$6/12)+(($B$62-$B$50)*$B$6/12))</f>
        <v>37411.468761666671</v>
      </c>
      <c r="E56" s="304">
        <f>+(C55*$E$10/12)+(((C56-C55)*$E$10/12)*0.5)</f>
        <v>13409.824871999999</v>
      </c>
      <c r="F56" s="303">
        <f>-D56+F55</f>
        <v>-1568199.0366600009</v>
      </c>
      <c r="G56" s="304">
        <f>+G55-E56</f>
        <v>-543020.56572200044</v>
      </c>
      <c r="H56" s="303">
        <f>B56+F56</f>
        <v>4262159.603339999</v>
      </c>
      <c r="I56" s="303">
        <f>C56+G56</f>
        <v>5287338.0742779989</v>
      </c>
      <c r="J56" s="303">
        <f>I56-H56</f>
        <v>1025178.4709379999</v>
      </c>
      <c r="K56" s="303">
        <f>-J56*$K$11</f>
        <v>-215287.47889697997</v>
      </c>
      <c r="L56" s="303">
        <f>-K56+K55</f>
        <v>5040.34521682997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5830358.6399999997</v>
      </c>
      <c r="C57" s="313">
        <f>C56</f>
        <v>5830358.6399999997</v>
      </c>
      <c r="D57" s="303">
        <f>(($B$14*$F$6/12)+(($B$26-$B$14)*$E$6/12)+(($B$38-$B$26)*$D$6/12)+(($B$50-$B$38)*$C$6/12)+(($B$62-$B$50)*$B$6/12))</f>
        <v>37411.468761666671</v>
      </c>
      <c r="E57" s="304">
        <f>+(C56*$E$10/12)+(((C57-C56)*$E$10/12)*0.5)</f>
        <v>13409.824871999999</v>
      </c>
      <c r="F57" s="303">
        <f>-D57+F56</f>
        <v>-1605610.5054216676</v>
      </c>
      <c r="G57" s="304">
        <f>+G56-E57</f>
        <v>-556430.39059400046</v>
      </c>
      <c r="H57" s="303">
        <f>B57+F57</f>
        <v>4224748.1345783323</v>
      </c>
      <c r="I57" s="303">
        <f>C57+G57</f>
        <v>5273928.2494059987</v>
      </c>
      <c r="J57" s="303">
        <f>I57-H57</f>
        <v>1049180.1148276664</v>
      </c>
      <c r="K57" s="303">
        <f>-J57*$K$11</f>
        <v>-220327.82411380994</v>
      </c>
      <c r="L57" s="303">
        <f>-K57+K56</f>
        <v>5040.34521682997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5830358.6399999997</v>
      </c>
      <c r="C58" s="313">
        <f>C57</f>
        <v>5830358.6399999997</v>
      </c>
      <c r="D58" s="303">
        <f>(($B$14*$F$6/12)+(($B$26-$B$14)*$E$6/12)+(($B$38-$B$26)*$D$6/12)+(($B$50-$B$38)*$C$6/12)+(($B$62-$B$50)*$B$6/12))</f>
        <v>37411.468761666671</v>
      </c>
      <c r="E58" s="304">
        <f>+(C57*$E$10/12)+(((C58-C57)*$E$10/12)*0.5)</f>
        <v>13409.824871999999</v>
      </c>
      <c r="F58" s="303">
        <f>-D58+F57</f>
        <v>-1643021.9741833343</v>
      </c>
      <c r="G58" s="304">
        <f>+G57-E58</f>
        <v>-569840.21546600049</v>
      </c>
      <c r="H58" s="303">
        <f>B58+F58</f>
        <v>4187336.6658166656</v>
      </c>
      <c r="I58" s="303">
        <f>C58+G58</f>
        <v>5260518.4245339995</v>
      </c>
      <c r="J58" s="303">
        <f>I58-H58</f>
        <v>1073181.7587173339</v>
      </c>
      <c r="K58" s="303">
        <f>-J58*$K$11</f>
        <v>-225368.16933064011</v>
      </c>
      <c r="L58" s="303">
        <f>-K58+K57</f>
        <v>5040.3452168301737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5830358.6399999997</v>
      </c>
      <c r="C59" s="313">
        <f>C58</f>
        <v>5830358.6399999997</v>
      </c>
      <c r="D59" s="303">
        <f>(($B$14*$F$6/12)+(($B$26-$B$14)*$E$6/12)+(($B$38-$B$26)*$D$6/12)+(($B$50-$B$38)*$C$6/12)+(($B$62-$B$50)*$B$6/12))</f>
        <v>37411.468761666671</v>
      </c>
      <c r="E59" s="304">
        <f>+(C58*$E$10/12)+(((C59-C58)*$E$10/12)*0.5)</f>
        <v>13409.824871999999</v>
      </c>
      <c r="F59" s="303">
        <f>-D59+F58</f>
        <v>-1680433.4429450009</v>
      </c>
      <c r="G59" s="304">
        <f>+G58-E59</f>
        <v>-583250.04033800052</v>
      </c>
      <c r="H59" s="303">
        <f>B59+F59</f>
        <v>4149925.1970549989</v>
      </c>
      <c r="I59" s="303">
        <f>C59+G59</f>
        <v>5247108.5996619994</v>
      </c>
      <c r="J59" s="303">
        <f>I59-H59</f>
        <v>1097183.4026070004</v>
      </c>
      <c r="K59" s="303">
        <f>-J59*$K$11</f>
        <v>-230408.51454747008</v>
      </c>
      <c r="L59" s="303">
        <f>-K59+K58</f>
        <v>5040.34521682997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5830358.6399999997</v>
      </c>
      <c r="C60" s="313">
        <f>C59</f>
        <v>5830358.6399999997</v>
      </c>
      <c r="D60" s="303">
        <f>(($B$14*$F$6/12)+(($B$26-$B$14)*$E$6/12)+(($B$38-$B$26)*$D$6/12)+(($B$50-$B$38)*$C$6/12)+(($B$62-$B$50)*$B$6/12))</f>
        <v>37411.468761666671</v>
      </c>
      <c r="E60" s="304">
        <f>+(C59*$E$10/12)+(((C60-C59)*$E$10/12)*0.5)</f>
        <v>13409.824871999999</v>
      </c>
      <c r="F60" s="303">
        <f>-D60+F59</f>
        <v>-1717844.9117066676</v>
      </c>
      <c r="G60" s="304">
        <f>+G59-E60</f>
        <v>-596659.86521000054</v>
      </c>
      <c r="H60" s="303">
        <f>B60+F60</f>
        <v>4112513.7282933323</v>
      </c>
      <c r="I60" s="303">
        <f>C60+G60</f>
        <v>5233698.7747899992</v>
      </c>
      <c r="J60" s="303">
        <f>I60-H60</f>
        <v>1121185.046496667</v>
      </c>
      <c r="K60" s="303">
        <f>-J60*$K$11</f>
        <v>-235448.85976430005</v>
      </c>
      <c r="L60" s="303">
        <f>-K60+K59</f>
        <v>5040.34521682997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5830358.6399999997</v>
      </c>
      <c r="C61" s="313">
        <f>C60</f>
        <v>5830358.6399999997</v>
      </c>
      <c r="D61" s="303">
        <f>(($B$14*$F$6/12)+(($B$26-$B$14)*$E$6/12)+(($B$38-$B$26)*$D$6/12)+(($B$50-$B$38)*$C$6/12)+(($B$62-$B$50)*$B$6/12))</f>
        <v>37411.468761666671</v>
      </c>
      <c r="E61" s="304">
        <f>+(C60*$E$10/12)+(((C61-C60)*$E$10/12)*0.5)</f>
        <v>13409.824871999999</v>
      </c>
      <c r="F61" s="303">
        <f>-D61+F60</f>
        <v>-1755256.3804683343</v>
      </c>
      <c r="G61" s="304">
        <f>+G60-E61</f>
        <v>-610069.69008200057</v>
      </c>
      <c r="H61" s="303">
        <f>B61+F61</f>
        <v>4075102.2595316656</v>
      </c>
      <c r="I61" s="303">
        <f>C61+G61</f>
        <v>5220288.9499179991</v>
      </c>
      <c r="J61" s="303">
        <f>I61-H61</f>
        <v>1145186.6903863335</v>
      </c>
      <c r="K61" s="303">
        <f>-J61*$K$11</f>
        <v>-240489.20498113002</v>
      </c>
      <c r="L61" s="303">
        <f>-K61+K60</f>
        <v>5040.34521682997</v>
      </c>
      <c r="M61" s="361"/>
      <c r="N61" s="299"/>
    </row>
    <row r="62" spans="1:15" ht="15" x14ac:dyDescent="0.25">
      <c r="A62" s="314">
        <v>46022</v>
      </c>
      <c r="B62" s="303">
        <f>C62</f>
        <v>5830358.6399999997</v>
      </c>
      <c r="C62" s="313">
        <f>C61</f>
        <v>5830358.6399999997</v>
      </c>
      <c r="D62" s="303">
        <f>(($B$14*$F$6/12)+(($B$26-$B$14)*$E$6/12)+(($B$38-$B$26)*$D$6/12)+(($B$50-$B$38)*$C$6/12)+(($B$62-$B$50)*$B$6/12))</f>
        <v>37411.468761666671</v>
      </c>
      <c r="E62" s="304">
        <f>+(C61*$E$10/12)+(((C62-C61)*$E$10/12)*0.5)</f>
        <v>13409.824871999999</v>
      </c>
      <c r="F62" s="303">
        <f>-D62+F61</f>
        <v>-1792667.849230001</v>
      </c>
      <c r="G62" s="304">
        <f>+G61-E62</f>
        <v>-623479.5149540006</v>
      </c>
      <c r="H62" s="303">
        <f>B62+F62</f>
        <v>4037690.7907699989</v>
      </c>
      <c r="I62" s="303">
        <f>C62+G62</f>
        <v>5206879.125045999</v>
      </c>
      <c r="J62" s="303">
        <f>I62-H62</f>
        <v>1169188.334276</v>
      </c>
      <c r="K62" s="303">
        <f>-J62*$K$11</f>
        <v>-245529.55019795999</v>
      </c>
      <c r="L62" s="303">
        <f>-K62+K61</f>
        <v>5040.34521682997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5830357.4800000004</v>
      </c>
      <c r="C68" s="285">
        <f>C26</f>
        <v>5830357.4800000004</v>
      </c>
      <c r="D68" s="285">
        <f>SUM(D15:D26)</f>
        <v>291350.53558333335</v>
      </c>
      <c r="E68" s="285">
        <f>SUM(E15:E26)</f>
        <v>140725.82356399999</v>
      </c>
      <c r="F68" s="285">
        <f>F26</f>
        <v>-291350.53558333335</v>
      </c>
      <c r="G68" s="285">
        <f>G26</f>
        <v>-140725.82356399999</v>
      </c>
      <c r="H68" s="285">
        <f>H26</f>
        <v>5539006.9444166673</v>
      </c>
      <c r="I68" s="285">
        <f>I26</f>
        <v>5689631.656436</v>
      </c>
      <c r="J68" s="285">
        <f>J26</f>
        <v>150624.71201933268</v>
      </c>
      <c r="K68" s="285">
        <f>K26</f>
        <v>-31631.189524059864</v>
      </c>
      <c r="L68" s="285">
        <f>SUM(L15:L26)</f>
        <v>31631.189524059864</v>
      </c>
      <c r="M68" s="297"/>
      <c r="N68" s="297"/>
    </row>
    <row r="69" spans="1:15" x14ac:dyDescent="0.2">
      <c r="A69" s="301" t="s">
        <v>248</v>
      </c>
      <c r="B69" s="285">
        <f>(B14+B26+SUM(B15:B25)*2)/24</f>
        <v>5098761.7233333336</v>
      </c>
      <c r="C69" s="285">
        <f>(C14+C26+SUM(C15:C25)*2)/24</f>
        <v>5098761.7233333336</v>
      </c>
      <c r="D69" s="285"/>
      <c r="E69" s="300"/>
      <c r="F69" s="285">
        <f>(F14+F26+SUM(F15:F25)*2)/24</f>
        <v>-145647.18440972225</v>
      </c>
      <c r="G69" s="285">
        <f>(G14+G26+SUM(G15:G25)*2)/24</f>
        <v>-61697.023876999992</v>
      </c>
      <c r="H69" s="285">
        <f>(H14+H26+SUM(H15:H25)*2)/24</f>
        <v>4953114.5389236109</v>
      </c>
      <c r="I69" s="285">
        <f>(I14+I26+SUM(I15:I25)*2)/24</f>
        <v>5037064.6994563332</v>
      </c>
      <c r="J69" s="285">
        <f>(J14+J26+SUM(J15:J25)*2)/24</f>
        <v>83950.160532722264</v>
      </c>
      <c r="K69" s="285">
        <f>(K14+K26+SUM(K15:K25)*2)/24</f>
        <v>-17629.533711871674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710937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263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3.0700000000000002E-2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3.0700000000000002E-2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3">
        <v>0</v>
      </c>
      <c r="E14" s="304">
        <v>0</v>
      </c>
      <c r="F14" s="303">
        <v>0</v>
      </c>
      <c r="G14" s="304">
        <v>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28244.92466666667</v>
      </c>
      <c r="E15" s="304">
        <v>0</v>
      </c>
      <c r="F15" s="303">
        <f t="shared" ref="F15:F28" si="0">-D15+F14</f>
        <v>-28244.92466666667</v>
      </c>
      <c r="G15" s="304">
        <f t="shared" ref="G15:G28" si="1">+G14-E15</f>
        <v>0</v>
      </c>
      <c r="H15" s="303">
        <f t="shared" ref="H15:I28" si="2">B15+F15</f>
        <v>-28244.92466666667</v>
      </c>
      <c r="I15" s="303">
        <f t="shared" si="2"/>
        <v>0</v>
      </c>
      <c r="J15" s="303">
        <f t="shared" ref="J15:J28" si="3">I15-H15</f>
        <v>28244.92466666667</v>
      </c>
      <c r="K15" s="303">
        <f t="shared" ref="K15:K28" si="4">-J15*$K$11</f>
        <v>-5931.4341800000002</v>
      </c>
      <c r="L15" s="303">
        <f t="shared" ref="L15:L28" si="5">-K15+K14</f>
        <v>5931.4341800000002</v>
      </c>
      <c r="M15" s="363"/>
    </row>
    <row r="16" spans="1:23" x14ac:dyDescent="0.2">
      <c r="A16" s="314">
        <v>44620</v>
      </c>
      <c r="B16" s="303">
        <v>6778781.9199999999</v>
      </c>
      <c r="C16" s="313">
        <v>6778781.9199999999</v>
      </c>
      <c r="D16" s="303">
        <f>(($B$14*$C$6/12)+(($B$16-$B$14)*$B$6/12))+M16</f>
        <v>28244.92466666667</v>
      </c>
      <c r="E16" s="304">
        <f t="shared" ref="E16:E25" si="6">+(C15*$E$10/12)+(((C16-C15)*$E$10/12)*0.5)</f>
        <v>8671.1918726666681</v>
      </c>
      <c r="F16" s="303">
        <f t="shared" si="0"/>
        <v>-56489.849333333339</v>
      </c>
      <c r="G16" s="304">
        <f t="shared" si="1"/>
        <v>-8671.1918726666681</v>
      </c>
      <c r="H16" s="303">
        <f t="shared" si="2"/>
        <v>6722292.0706666661</v>
      </c>
      <c r="I16" s="303">
        <f t="shared" si="2"/>
        <v>6770110.7281273333</v>
      </c>
      <c r="J16" s="303">
        <f t="shared" si="3"/>
        <v>47818.657460667193</v>
      </c>
      <c r="K16" s="303">
        <f t="shared" si="4"/>
        <v>-10041.918066740111</v>
      </c>
      <c r="L16" s="303">
        <f t="shared" si="5"/>
        <v>4110.4838867401104</v>
      </c>
      <c r="M16" s="363"/>
    </row>
    <row r="17" spans="1:15" ht="15" x14ac:dyDescent="0.25">
      <c r="A17" s="314">
        <v>44651</v>
      </c>
      <c r="B17" s="303">
        <v>6780595.6399999997</v>
      </c>
      <c r="C17" s="313">
        <v>6780595.6399999997</v>
      </c>
      <c r="D17" s="303">
        <f>(($B$14*$C$6/12)+((B17-$B$14)*$B$6/12))+M17</f>
        <v>28252.481833333335</v>
      </c>
      <c r="E17" s="304">
        <f t="shared" si="6"/>
        <v>17344.703795500001</v>
      </c>
      <c r="F17" s="303">
        <f t="shared" si="0"/>
        <v>-84742.33116666667</v>
      </c>
      <c r="G17" s="304">
        <f t="shared" si="1"/>
        <v>-26015.895668166668</v>
      </c>
      <c r="H17" s="303">
        <f t="shared" si="2"/>
        <v>6695853.3088333327</v>
      </c>
      <c r="I17" s="303">
        <f t="shared" si="2"/>
        <v>6754579.744331833</v>
      </c>
      <c r="J17" s="303">
        <f t="shared" si="3"/>
        <v>58726.435498500243</v>
      </c>
      <c r="K17" s="303">
        <f t="shared" si="4"/>
        <v>-12332.55145468505</v>
      </c>
      <c r="L17" s="303">
        <f t="shared" si="5"/>
        <v>2290.6333879449394</v>
      </c>
      <c r="M17" s="361"/>
      <c r="N17" s="320"/>
    </row>
    <row r="18" spans="1:15" ht="15" x14ac:dyDescent="0.25">
      <c r="A18" s="314">
        <v>44681</v>
      </c>
      <c r="B18" s="303">
        <v>6780886.5199999996</v>
      </c>
      <c r="C18" s="313">
        <v>6780886.5199999996</v>
      </c>
      <c r="D18" s="303">
        <f>(($B$14*$C$6/12)+((B18-$B$14)*$B$6/12))+M18</f>
        <v>28253.693833333335</v>
      </c>
      <c r="E18" s="304">
        <f t="shared" si="6"/>
        <v>17347.395929666665</v>
      </c>
      <c r="F18" s="303">
        <f t="shared" si="0"/>
        <v>-112996.02500000001</v>
      </c>
      <c r="G18" s="304">
        <f t="shared" si="1"/>
        <v>-43363.291597833333</v>
      </c>
      <c r="H18" s="303">
        <f t="shared" si="2"/>
        <v>6667890.4949999992</v>
      </c>
      <c r="I18" s="303">
        <f t="shared" si="2"/>
        <v>6737523.2284021666</v>
      </c>
      <c r="J18" s="303">
        <f t="shared" si="3"/>
        <v>69632.733402167447</v>
      </c>
      <c r="K18" s="303">
        <f t="shared" si="4"/>
        <v>-14622.874014455163</v>
      </c>
      <c r="L18" s="303">
        <f t="shared" si="5"/>
        <v>2290.322559770113</v>
      </c>
      <c r="M18" s="361"/>
    </row>
    <row r="19" spans="1:15" ht="15" x14ac:dyDescent="0.25">
      <c r="A19" s="314">
        <v>44712</v>
      </c>
      <c r="B19" s="303">
        <v>6783642.2400000002</v>
      </c>
      <c r="C19" s="313">
        <v>6783642.2400000002</v>
      </c>
      <c r="D19" s="303">
        <f>(($B$14*$C$6/12)+((B19-$B$14)*$B$6/12))+M19</f>
        <v>28265.176000000003</v>
      </c>
      <c r="E19" s="304">
        <f t="shared" si="6"/>
        <v>17351.29303883333</v>
      </c>
      <c r="F19" s="303">
        <f t="shared" si="0"/>
        <v>-141261.201</v>
      </c>
      <c r="G19" s="304">
        <f t="shared" si="1"/>
        <v>-60714.584636666666</v>
      </c>
      <c r="H19" s="303">
        <f t="shared" si="2"/>
        <v>6642381.0389999999</v>
      </c>
      <c r="I19" s="303">
        <f t="shared" si="2"/>
        <v>6722927.6553633334</v>
      </c>
      <c r="J19" s="303">
        <f t="shared" si="3"/>
        <v>80546.616363333538</v>
      </c>
      <c r="K19" s="303">
        <f t="shared" si="4"/>
        <v>-16914.789436300041</v>
      </c>
      <c r="L19" s="303">
        <f t="shared" si="5"/>
        <v>2291.9154218448784</v>
      </c>
      <c r="M19" s="361"/>
    </row>
    <row r="20" spans="1:15" ht="15" x14ac:dyDescent="0.25">
      <c r="A20" s="314">
        <v>44742</v>
      </c>
      <c r="B20" s="303">
        <v>6784409.0599999996</v>
      </c>
      <c r="C20" s="313">
        <v>6784409.0599999996</v>
      </c>
      <c r="D20" s="303">
        <f>(($B$14*$C$6/12)+((B20-$B$14)*$B$6/12))+M20</f>
        <v>28268.371083333332</v>
      </c>
      <c r="E20" s="304">
        <f t="shared" si="6"/>
        <v>17355.798954583337</v>
      </c>
      <c r="F20" s="303">
        <f t="shared" si="0"/>
        <v>-169529.57208333333</v>
      </c>
      <c r="G20" s="304">
        <f t="shared" si="1"/>
        <v>-78070.383591250007</v>
      </c>
      <c r="H20" s="303">
        <f t="shared" si="2"/>
        <v>6614879.4879166661</v>
      </c>
      <c r="I20" s="303">
        <f t="shared" si="2"/>
        <v>6706338.67640875</v>
      </c>
      <c r="J20" s="303">
        <f t="shared" si="3"/>
        <v>91459.188492083922</v>
      </c>
      <c r="K20" s="303">
        <f t="shared" si="4"/>
        <v>-19206.429583337624</v>
      </c>
      <c r="L20" s="303">
        <f t="shared" si="5"/>
        <v>2291.6401470375822</v>
      </c>
      <c r="M20" s="361"/>
    </row>
    <row r="21" spans="1:15" ht="15" x14ac:dyDescent="0.25">
      <c r="A21" s="314">
        <v>44773</v>
      </c>
      <c r="B21" s="303">
        <v>6784660.5999999996</v>
      </c>
      <c r="C21" s="313">
        <v>6784660.5999999996</v>
      </c>
      <c r="D21" s="303">
        <f>(($B$14*$C$6/12)+((B21-$B$14)*$B$6/12))+M21</f>
        <v>28269.41916666667</v>
      </c>
      <c r="E21" s="304">
        <f t="shared" si="6"/>
        <v>17357.101606750002</v>
      </c>
      <c r="F21" s="303">
        <f t="shared" si="0"/>
        <v>-197798.99124999999</v>
      </c>
      <c r="G21" s="304">
        <f t="shared" si="1"/>
        <v>-95427.485198000009</v>
      </c>
      <c r="H21" s="303">
        <f t="shared" si="2"/>
        <v>6586861.6087499997</v>
      </c>
      <c r="I21" s="303">
        <f t="shared" si="2"/>
        <v>6689233.1148019992</v>
      </c>
      <c r="J21" s="303">
        <f t="shared" si="3"/>
        <v>102371.50605199952</v>
      </c>
      <c r="K21" s="303">
        <f t="shared" si="4"/>
        <v>-21498.016270919899</v>
      </c>
      <c r="L21" s="303">
        <f t="shared" si="5"/>
        <v>2291.5866875822758</v>
      </c>
      <c r="M21" s="361"/>
    </row>
    <row r="22" spans="1:15" ht="15" x14ac:dyDescent="0.25">
      <c r="A22" s="314">
        <v>44804</v>
      </c>
      <c r="B22" s="303">
        <v>6784714.9000000004</v>
      </c>
      <c r="C22" s="313">
        <v>6784714.9000000004</v>
      </c>
      <c r="D22" s="303">
        <f>(($B$14*$C$6/12)+((B22-$B$14)*$B$6/12))+M22</f>
        <v>28269.64541666667</v>
      </c>
      <c r="E22" s="304">
        <f t="shared" si="6"/>
        <v>17357.492827083333</v>
      </c>
      <c r="F22" s="303">
        <f t="shared" si="0"/>
        <v>-226068.63666666666</v>
      </c>
      <c r="G22" s="304">
        <f t="shared" si="1"/>
        <v>-112784.97802508334</v>
      </c>
      <c r="H22" s="303">
        <f t="shared" si="2"/>
        <v>6558646.2633333337</v>
      </c>
      <c r="I22" s="303">
        <f t="shared" si="2"/>
        <v>6671929.9219749169</v>
      </c>
      <c r="J22" s="303">
        <f t="shared" si="3"/>
        <v>113283.65864158329</v>
      </c>
      <c r="K22" s="303">
        <f t="shared" si="4"/>
        <v>-23789.568314732489</v>
      </c>
      <c r="L22" s="303">
        <f t="shared" si="5"/>
        <v>2291.5520438125895</v>
      </c>
      <c r="M22" s="361"/>
    </row>
    <row r="23" spans="1:15" ht="15" x14ac:dyDescent="0.25">
      <c r="A23" s="314">
        <v>44834</v>
      </c>
      <c r="B23" s="303">
        <v>6784770.7300000004</v>
      </c>
      <c r="C23" s="313">
        <v>6784770.7300000004</v>
      </c>
      <c r="D23" s="303">
        <f>(($B$14*$C$6/12)+((B23-$B$14)*$B$6/12))+M23</f>
        <v>28269.87804166667</v>
      </c>
      <c r="E23" s="304">
        <f t="shared" si="6"/>
        <v>17357.633701708335</v>
      </c>
      <c r="F23" s="303">
        <f t="shared" si="0"/>
        <v>-254338.51470833333</v>
      </c>
      <c r="G23" s="304">
        <f t="shared" si="1"/>
        <v>-130142.61172679169</v>
      </c>
      <c r="H23" s="303">
        <f t="shared" si="2"/>
        <v>6530432.2152916668</v>
      </c>
      <c r="I23" s="303">
        <f t="shared" si="2"/>
        <v>6654628.1182732088</v>
      </c>
      <c r="J23" s="303">
        <f t="shared" si="3"/>
        <v>124195.90298154205</v>
      </c>
      <c r="K23" s="303">
        <f t="shared" si="4"/>
        <v>-26081.13962612383</v>
      </c>
      <c r="L23" s="303">
        <f t="shared" si="5"/>
        <v>2291.5713113913407</v>
      </c>
      <c r="M23" s="361"/>
      <c r="O23" s="299"/>
    </row>
    <row r="24" spans="1:15" ht="15" x14ac:dyDescent="0.25">
      <c r="A24" s="314">
        <v>44865</v>
      </c>
      <c r="B24" s="303">
        <v>6785608.1200000001</v>
      </c>
      <c r="C24" s="313">
        <v>6785608.1200000001</v>
      </c>
      <c r="D24" s="303">
        <f>(($B$14*$C$6/12)+((B24-$B$14)*$B$6/12))+M24</f>
        <v>28273.367166666667</v>
      </c>
      <c r="E24" s="304">
        <f t="shared" si="6"/>
        <v>17358.776278958336</v>
      </c>
      <c r="F24" s="303">
        <f t="shared" si="0"/>
        <v>-282611.88187500002</v>
      </c>
      <c r="G24" s="304">
        <f t="shared" si="1"/>
        <v>-147501.38800575002</v>
      </c>
      <c r="H24" s="303">
        <f t="shared" si="2"/>
        <v>6502996.2381250001</v>
      </c>
      <c r="I24" s="303">
        <f t="shared" si="2"/>
        <v>6638106.7319942499</v>
      </c>
      <c r="J24" s="303">
        <f t="shared" si="3"/>
        <v>135110.49386924971</v>
      </c>
      <c r="K24" s="303">
        <f t="shared" si="4"/>
        <v>-28373.203712542439</v>
      </c>
      <c r="L24" s="303">
        <f t="shared" si="5"/>
        <v>2292.0640864186098</v>
      </c>
      <c r="M24" s="361"/>
      <c r="N24" s="299"/>
      <c r="O24" s="299"/>
    </row>
    <row r="25" spans="1:15" ht="15" x14ac:dyDescent="0.25">
      <c r="A25" s="314">
        <v>44895</v>
      </c>
      <c r="B25" s="303">
        <v>6787220.0499999998</v>
      </c>
      <c r="C25" s="313">
        <v>6787220.0499999998</v>
      </c>
      <c r="D25" s="303">
        <f>(($B$14*$C$6/12)+((B25-$B$14)*$B$6/12))+M25</f>
        <v>28280.083541666667</v>
      </c>
      <c r="E25" s="304">
        <f t="shared" si="6"/>
        <v>17361.909367458335</v>
      </c>
      <c r="F25" s="303">
        <f t="shared" si="0"/>
        <v>-310891.9654166667</v>
      </c>
      <c r="G25" s="304">
        <f t="shared" si="1"/>
        <v>-164863.29737320836</v>
      </c>
      <c r="H25" s="303">
        <f t="shared" si="2"/>
        <v>6476328.0845833328</v>
      </c>
      <c r="I25" s="303">
        <f t="shared" si="2"/>
        <v>6622356.7526267916</v>
      </c>
      <c r="J25" s="303">
        <f t="shared" si="3"/>
        <v>146028.66804345883</v>
      </c>
      <c r="K25" s="303">
        <f t="shared" si="4"/>
        <v>-30666.020289126354</v>
      </c>
      <c r="L25" s="303">
        <f t="shared" si="5"/>
        <v>2292.8165765839149</v>
      </c>
      <c r="M25" s="361"/>
      <c r="N25" s="315"/>
      <c r="O25" s="299"/>
    </row>
    <row r="26" spans="1:15" ht="15" x14ac:dyDescent="0.25">
      <c r="A26" s="389">
        <v>44926</v>
      </c>
      <c r="B26" s="390">
        <v>6788562.5099999998</v>
      </c>
      <c r="C26" s="391">
        <v>6788562.5099999998</v>
      </c>
      <c r="D26" s="304">
        <f>(($B$14*$C$6/12)+((B26-$B$14)*$B$6/12))+M26</f>
        <v>28285.677125000002</v>
      </c>
      <c r="E26" s="304">
        <f>+(C25*$E$10/12)+(((C26-C25)*$E$10/12)*0.5)</f>
        <v>17365.688524666668</v>
      </c>
      <c r="F26" s="303">
        <f t="shared" si="0"/>
        <v>-339177.64254166669</v>
      </c>
      <c r="G26" s="304">
        <f t="shared" si="1"/>
        <v>-182228.98589787504</v>
      </c>
      <c r="H26" s="303">
        <f t="shared" si="2"/>
        <v>6449384.8674583333</v>
      </c>
      <c r="I26" s="303">
        <f t="shared" si="2"/>
        <v>6606333.5241021244</v>
      </c>
      <c r="J26" s="303">
        <f t="shared" si="3"/>
        <v>156948.65664379112</v>
      </c>
      <c r="K26" s="303">
        <f t="shared" si="4"/>
        <v>-32959.217895196132</v>
      </c>
      <c r="L26" s="303">
        <f t="shared" si="5"/>
        <v>2293.197606069778</v>
      </c>
      <c r="M26" s="361"/>
      <c r="O26" s="299"/>
    </row>
    <row r="27" spans="1:15" ht="15" x14ac:dyDescent="0.25">
      <c r="A27" s="314">
        <v>44957</v>
      </c>
      <c r="B27" s="303">
        <v>6788562.5099999998</v>
      </c>
      <c r="C27" s="313">
        <v>6788562.5099999998</v>
      </c>
      <c r="D27" s="316">
        <f>(($B$14*$D$6/12)+(($B$26-$B$14)*$C$6/12)+((B27-$B$26)*$B$6/12))</f>
        <v>53742.786537500004</v>
      </c>
      <c r="E27" s="317">
        <f>+(C26*$E$10/12)+(((C27-C26)*$E$10/12)*0.5)</f>
        <v>17367.405754750002</v>
      </c>
      <c r="F27" s="316">
        <f t="shared" si="0"/>
        <v>-392920.42907916667</v>
      </c>
      <c r="G27" s="317">
        <f t="shared" si="1"/>
        <v>-199596.39165262505</v>
      </c>
      <c r="H27" s="316">
        <f t="shared" si="2"/>
        <v>6395642.0809208332</v>
      </c>
      <c r="I27" s="316">
        <f t="shared" si="2"/>
        <v>6588966.1183473747</v>
      </c>
      <c r="J27" s="316">
        <f t="shared" si="3"/>
        <v>193324.03742654156</v>
      </c>
      <c r="K27" s="316">
        <f t="shared" si="4"/>
        <v>-40598.04785957373</v>
      </c>
      <c r="L27" s="316">
        <f t="shared" si="5"/>
        <v>7638.8299643775972</v>
      </c>
      <c r="M27" s="361"/>
      <c r="O27" s="299"/>
    </row>
    <row r="28" spans="1:15" ht="15" x14ac:dyDescent="0.25">
      <c r="A28" s="314">
        <v>44985</v>
      </c>
      <c r="B28" s="303">
        <v>6788564.25</v>
      </c>
      <c r="C28" s="313">
        <v>6788564.25</v>
      </c>
      <c r="D28" s="303">
        <f>(($B$14*$D$6/12)+(($B$26-$B$14)*$C$6/12)+((B28-$B$26)*$B$6/12))</f>
        <v>53742.793787500006</v>
      </c>
      <c r="E28" s="304">
        <f>+(C27*$E$10/12)+(((C28-C27)*$E$10/12)*0.5)</f>
        <v>17367.4079805</v>
      </c>
      <c r="F28" s="303">
        <f t="shared" si="0"/>
        <v>-446663.22286666668</v>
      </c>
      <c r="G28" s="304">
        <f t="shared" si="1"/>
        <v>-216963.79963312505</v>
      </c>
      <c r="H28" s="303">
        <f t="shared" si="2"/>
        <v>6341901.0271333335</v>
      </c>
      <c r="I28" s="303">
        <f t="shared" si="2"/>
        <v>6571600.4503668752</v>
      </c>
      <c r="J28" s="303">
        <f t="shared" si="3"/>
        <v>229699.42323354166</v>
      </c>
      <c r="K28" s="303">
        <f t="shared" si="4"/>
        <v>-48236.878879043747</v>
      </c>
      <c r="L28" s="303">
        <f t="shared" si="5"/>
        <v>7638.8310194700171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6788564.25</v>
      </c>
      <c r="C29" s="313">
        <v>6788564.25</v>
      </c>
      <c r="D29" s="303">
        <f>(($B$14*$D$6/12)+(($B$26-$B$14)*$C$6/12)+(($B$38-$B$26)*$B$6/12))</f>
        <v>53742.793787500006</v>
      </c>
      <c r="E29" s="304">
        <f>+(C28*$E$10/12)+(((C29-C28)*$E$10/12)*0.5)</f>
        <v>17367.410206249999</v>
      </c>
      <c r="F29" s="303">
        <f>-D29+F28</f>
        <v>-500406.01665416668</v>
      </c>
      <c r="G29" s="304">
        <f>+G28-E29</f>
        <v>-234331.20983937505</v>
      </c>
      <c r="H29" s="303">
        <f>B29+F29</f>
        <v>6288158.2333458336</v>
      </c>
      <c r="I29" s="303">
        <f>C29+G29</f>
        <v>6554233.0401606252</v>
      </c>
      <c r="J29" s="303">
        <f>I29-H29</f>
        <v>266074.80681479163</v>
      </c>
      <c r="K29" s="303">
        <f>-J29*$K$11</f>
        <v>-55875.709431106239</v>
      </c>
      <c r="L29" s="303">
        <f>-K29+K28</f>
        <v>7638.8305520624926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6788564.25</v>
      </c>
      <c r="C30" s="313">
        <f>C29</f>
        <v>6788564.25</v>
      </c>
      <c r="D30" s="303">
        <f>(($B$14*$D$6/12)+(($B$26-$B$14)*$C$6/12)+(($B$38-$B$26)*$B$6/12))</f>
        <v>53742.793787500006</v>
      </c>
      <c r="E30" s="304">
        <f>+(C29*$E$10/12)+(((C30-C29)*$E$10/12)*0.5)</f>
        <v>17367.410206249999</v>
      </c>
      <c r="F30" s="303">
        <f>-D30+F29</f>
        <v>-554148.81044166675</v>
      </c>
      <c r="G30" s="304">
        <f>+G29-E30</f>
        <v>-251698.62004562505</v>
      </c>
      <c r="H30" s="303">
        <f>B30+F30</f>
        <v>6234415.4395583328</v>
      </c>
      <c r="I30" s="303">
        <f>C30+G30</f>
        <v>6536865.6299543753</v>
      </c>
      <c r="J30" s="303">
        <f>I30-H30</f>
        <v>302450.19039604254</v>
      </c>
      <c r="K30" s="303">
        <f>-J30*$K$11</f>
        <v>-63514.539983168928</v>
      </c>
      <c r="L30" s="303">
        <f>-K30+K29</f>
        <v>7638.8305520626891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6788564.25</v>
      </c>
      <c r="C31" s="313">
        <f>C30</f>
        <v>6788564.25</v>
      </c>
      <c r="D31" s="303">
        <f>(($B$14*$D$6/12)+(($B$26-$B$14)*$C$6/12)+(($B$38-$B$26)*$B$6/12))</f>
        <v>53742.793787500006</v>
      </c>
      <c r="E31" s="304">
        <f>+(C30*$E$10/12)+(((C31-C30)*$E$10/12)*0.5)</f>
        <v>17367.410206249999</v>
      </c>
      <c r="F31" s="303">
        <f>-D31+F30</f>
        <v>-607891.60422916675</v>
      </c>
      <c r="G31" s="304">
        <f>+G30-E31</f>
        <v>-269066.03025187505</v>
      </c>
      <c r="H31" s="303">
        <f>B31+F31</f>
        <v>6180672.6457708329</v>
      </c>
      <c r="I31" s="303">
        <f>C31+G31</f>
        <v>6519498.2197481245</v>
      </c>
      <c r="J31" s="303">
        <f>I31-H31</f>
        <v>338825.57397729158</v>
      </c>
      <c r="K31" s="303">
        <f>-J31*$K$11</f>
        <v>-71153.370535231224</v>
      </c>
      <c r="L31" s="303">
        <f>-K31+K30</f>
        <v>7638.8305520622962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6788564.25</v>
      </c>
      <c r="C32" s="313">
        <f>C31</f>
        <v>6788564.25</v>
      </c>
      <c r="D32" s="303">
        <f>(($B$14*$D$6/12)+(($B$26-$B$14)*$C$6/12)+(($B$38-$B$26)*$B$6/12))</f>
        <v>53742.793787500006</v>
      </c>
      <c r="E32" s="304">
        <f>+(C31*$E$10/12)+(((C32-C31)*$E$10/12)*0.5)</f>
        <v>17367.410206249999</v>
      </c>
      <c r="F32" s="303">
        <f>-D32+F31</f>
        <v>-661634.39801666676</v>
      </c>
      <c r="G32" s="304">
        <f>+G31-E32</f>
        <v>-286433.44045812503</v>
      </c>
      <c r="H32" s="303">
        <f>B32+F32</f>
        <v>6126929.851983333</v>
      </c>
      <c r="I32" s="303">
        <f>C32+G32</f>
        <v>6502130.8095418746</v>
      </c>
      <c r="J32" s="303">
        <f>I32-H32</f>
        <v>375200.95755854156</v>
      </c>
      <c r="K32" s="303">
        <f>-J32*$K$11</f>
        <v>-78792.201087293724</v>
      </c>
      <c r="L32" s="303">
        <f>-K32+K31</f>
        <v>7638.8305520624999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6788564.25</v>
      </c>
      <c r="C33" s="313">
        <f>C32</f>
        <v>6788564.25</v>
      </c>
      <c r="D33" s="303">
        <f>(($B$14*$D$6/12)+(($B$26-$B$14)*$C$6/12)+(($B$38-$B$26)*$B$6/12))</f>
        <v>53742.793787500006</v>
      </c>
      <c r="E33" s="304">
        <f>+(C32*$E$10/12)+(((C33-C32)*$E$10/12)*0.5)</f>
        <v>17367.410206249999</v>
      </c>
      <c r="F33" s="303">
        <f>-D33+F32</f>
        <v>-715377.19180416677</v>
      </c>
      <c r="G33" s="304">
        <f>+G32-E33</f>
        <v>-303800.850664375</v>
      </c>
      <c r="H33" s="303">
        <f>B33+F33</f>
        <v>6073187.0581958331</v>
      </c>
      <c r="I33" s="303">
        <f>C33+G33</f>
        <v>6484763.3993356247</v>
      </c>
      <c r="J33" s="303">
        <f>I33-H33</f>
        <v>411576.34113979153</v>
      </c>
      <c r="K33" s="303">
        <f>-J33*$K$11</f>
        <v>-86431.031639356224</v>
      </c>
      <c r="L33" s="303">
        <f>-K33+K32</f>
        <v>7638.8305520624999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6788564.25</v>
      </c>
      <c r="C34" s="313">
        <f>C33</f>
        <v>6788564.25</v>
      </c>
      <c r="D34" s="303">
        <f>(($B$14*$D$6/12)+(($B$26-$B$14)*$C$6/12)+(($B$38-$B$26)*$B$6/12))</f>
        <v>53742.793787500006</v>
      </c>
      <c r="E34" s="304">
        <f>+(C33*$E$10/12)+(((C34-C33)*$E$10/12)*0.5)</f>
        <v>17367.410206249999</v>
      </c>
      <c r="F34" s="303">
        <f>-D34+F33</f>
        <v>-769119.98559166677</v>
      </c>
      <c r="G34" s="304">
        <f>+G33-E34</f>
        <v>-321168.26087062497</v>
      </c>
      <c r="H34" s="303">
        <f>B34+F34</f>
        <v>6019444.2644083332</v>
      </c>
      <c r="I34" s="303">
        <f>C34+G34</f>
        <v>6467395.9891293747</v>
      </c>
      <c r="J34" s="303">
        <f>I34-H34</f>
        <v>447951.72472104151</v>
      </c>
      <c r="K34" s="303">
        <f>-J34*$K$11</f>
        <v>-94069.86219141871</v>
      </c>
      <c r="L34" s="303">
        <f>-K34+K33</f>
        <v>7638.8305520624854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6788564.25</v>
      </c>
      <c r="C35" s="313">
        <f>C34</f>
        <v>6788564.25</v>
      </c>
      <c r="D35" s="303">
        <f>(($B$14*$D$6/12)+(($B$26-$B$14)*$C$6/12)+(($B$38-$B$26)*$B$6/12))</f>
        <v>53742.793787500006</v>
      </c>
      <c r="E35" s="304">
        <f>+(C34*$E$10/12)+(((C35-C34)*$E$10/12)*0.5)</f>
        <v>17367.410206249999</v>
      </c>
      <c r="F35" s="303">
        <f>-D35+F34</f>
        <v>-822862.77937916678</v>
      </c>
      <c r="G35" s="304">
        <f>+G34-E35</f>
        <v>-338535.67107687495</v>
      </c>
      <c r="H35" s="303">
        <f>B35+F35</f>
        <v>5965701.4706208333</v>
      </c>
      <c r="I35" s="303">
        <f>C35+G35</f>
        <v>6450028.5789231248</v>
      </c>
      <c r="J35" s="303">
        <f>I35-H35</f>
        <v>484327.10830229148</v>
      </c>
      <c r="K35" s="303">
        <f>-J35*$K$11</f>
        <v>-101708.69274348121</v>
      </c>
      <c r="L35" s="303">
        <f>-K35+K34</f>
        <v>7638.8305520624999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6788564.25</v>
      </c>
      <c r="C36" s="313">
        <f>C35</f>
        <v>6788564.25</v>
      </c>
      <c r="D36" s="303">
        <f>(($B$14*$D$6/12)+(($B$26-$B$14)*$C$6/12)+(($B$38-$B$26)*$B$6/12))</f>
        <v>53742.793787500006</v>
      </c>
      <c r="E36" s="304">
        <f>+(C35*$E$10/12)+(((C36-C35)*$E$10/12)*0.5)</f>
        <v>17367.410206249999</v>
      </c>
      <c r="F36" s="303">
        <f>-D36+F35</f>
        <v>-876605.57316666679</v>
      </c>
      <c r="G36" s="304">
        <f>+G35-E36</f>
        <v>-355903.08128312492</v>
      </c>
      <c r="H36" s="303">
        <f>B36+F36</f>
        <v>5911958.6768333334</v>
      </c>
      <c r="I36" s="303">
        <f>C36+G36</f>
        <v>6432661.1687168749</v>
      </c>
      <c r="J36" s="303">
        <f>I36-H36</f>
        <v>520702.49188354146</v>
      </c>
      <c r="K36" s="303">
        <f>-J36*$K$11</f>
        <v>-109347.52329554369</v>
      </c>
      <c r="L36" s="303">
        <f>-K36+K35</f>
        <v>7638.8305520624854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6788564.25</v>
      </c>
      <c r="C37" s="313">
        <f>C36</f>
        <v>6788564.25</v>
      </c>
      <c r="D37" s="303">
        <f>(($B$14*$D$6/12)+(($B$26-$B$14)*$C$6/12)+(($B$38-$B$26)*$B$6/12))</f>
        <v>53742.793787500006</v>
      </c>
      <c r="E37" s="304">
        <f>+(C36*$E$10/12)+(((C37-C36)*$E$10/12)*0.5)</f>
        <v>17367.410206249999</v>
      </c>
      <c r="F37" s="303">
        <f>-D37+F36</f>
        <v>-930348.36695416679</v>
      </c>
      <c r="G37" s="304">
        <f>+G36-E37</f>
        <v>-373270.49148937489</v>
      </c>
      <c r="H37" s="303">
        <f>B37+F37</f>
        <v>5858215.8830458336</v>
      </c>
      <c r="I37" s="303">
        <f>C37+G37</f>
        <v>6415293.758510625</v>
      </c>
      <c r="J37" s="303">
        <f>I37-H37</f>
        <v>557077.87546479143</v>
      </c>
      <c r="K37" s="303">
        <f>-J37*$K$11</f>
        <v>-116986.35384760619</v>
      </c>
      <c r="L37" s="303">
        <f>-K37+K36</f>
        <v>7638.8305520624999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6788564.25</v>
      </c>
      <c r="C38" s="313">
        <f>C37</f>
        <v>6788564.25</v>
      </c>
      <c r="D38" s="303">
        <f>(($B$14*$D$6/12)+(($B$26-$B$14)*$C$6/12)+(($B$38-$B$26)*$B$6/12))</f>
        <v>53742.793787500006</v>
      </c>
      <c r="E38" s="304">
        <f>+(C37*$E$10/12)+(((C38-C37)*$E$10/12)*0.5)</f>
        <v>17367.410206249999</v>
      </c>
      <c r="F38" s="303">
        <f>-D38+F37</f>
        <v>-984091.1607416668</v>
      </c>
      <c r="G38" s="304">
        <f>+G37-E38</f>
        <v>-390637.90169562487</v>
      </c>
      <c r="H38" s="303">
        <f>B38+F38</f>
        <v>5804473.0892583337</v>
      </c>
      <c r="I38" s="303">
        <f>C38+G38</f>
        <v>6397926.3483043751</v>
      </c>
      <c r="J38" s="303">
        <f>I38-H38</f>
        <v>593453.25904604141</v>
      </c>
      <c r="K38" s="303">
        <f>-J38*$K$11</f>
        <v>-124625.18439966869</v>
      </c>
      <c r="L38" s="303">
        <f>-K38+K37</f>
        <v>7638.8305520624999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6788564.25</v>
      </c>
      <c r="C39" s="313">
        <f>C38</f>
        <v>6788564.25</v>
      </c>
      <c r="D39" s="303">
        <f>(($B$14*$E$6/12)+(($B$26-$B$14)*$D$6/12)+(($B$38-$B$26)*$C$6/12)+(($B$50-$B$38)*$B$6/12))</f>
        <v>48368.521658749996</v>
      </c>
      <c r="E39" s="304">
        <f>+(C38*$E$10/12)+(((C39-C38)*$E$10/12)*0.5)</f>
        <v>17367.410206249999</v>
      </c>
      <c r="F39" s="303">
        <f>-D39+F38</f>
        <v>-1032459.6824004168</v>
      </c>
      <c r="G39" s="304">
        <f>+G38-E39</f>
        <v>-408005.31190187484</v>
      </c>
      <c r="H39" s="303">
        <f>B39+F39</f>
        <v>5756104.5675995834</v>
      </c>
      <c r="I39" s="303">
        <f>C39+G39</f>
        <v>6380558.9380981252</v>
      </c>
      <c r="J39" s="303">
        <f>I39-H39</f>
        <v>624454.37049854174</v>
      </c>
      <c r="K39" s="303">
        <f>-J39*$K$11</f>
        <v>-131135.41780469377</v>
      </c>
      <c r="L39" s="303">
        <f>-K39+K38</f>
        <v>6510.2334050250793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6788564.25</v>
      </c>
      <c r="C40" s="313">
        <f>C39</f>
        <v>6788564.25</v>
      </c>
      <c r="D40" s="303">
        <f>(($B$14*$E$6/12)+(($B$26-$B$14)*$D$6/12)+(($B$38-$B$26)*$C$6/12)+(($B$50-$B$38)*$B$6/12))</f>
        <v>48368.521658749996</v>
      </c>
      <c r="E40" s="304">
        <f>+(C39*$E$10/12)+(((C40-C39)*$E$10/12)*0.5)</f>
        <v>17367.410206249999</v>
      </c>
      <c r="F40" s="303">
        <f>-D40+F39</f>
        <v>-1080828.2040591668</v>
      </c>
      <c r="G40" s="304">
        <f>+G39-E40</f>
        <v>-425372.72210812481</v>
      </c>
      <c r="H40" s="303">
        <f>B40+F40</f>
        <v>5707736.0459408332</v>
      </c>
      <c r="I40" s="303">
        <f>C40+G40</f>
        <v>6363191.5278918752</v>
      </c>
      <c r="J40" s="303">
        <f>I40-H40</f>
        <v>655455.48195104208</v>
      </c>
      <c r="K40" s="303">
        <f>-J40*$K$11</f>
        <v>-137645.65120971884</v>
      </c>
      <c r="L40" s="303">
        <f>-K40+K39</f>
        <v>6510.2334050250647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6788564.25</v>
      </c>
      <c r="C41" s="313">
        <f>C40</f>
        <v>6788564.25</v>
      </c>
      <c r="D41" s="303">
        <f>(($B$14*$E$6/12)+(($B$26-$B$14)*$D$6/12)+(($B$38-$B$26)*$C$6/12)+(($B$50-$B$38)*$B$6/12))</f>
        <v>48368.521658749996</v>
      </c>
      <c r="E41" s="304">
        <f>+(C40*$E$10/12)+(((C41-C40)*$E$10/12)*0.5)</f>
        <v>17367.410206249999</v>
      </c>
      <c r="F41" s="303">
        <f>-D41+F40</f>
        <v>-1129196.7257179169</v>
      </c>
      <c r="G41" s="304">
        <f>+G40-E41</f>
        <v>-442740.13231437479</v>
      </c>
      <c r="H41" s="303">
        <f>B41+F41</f>
        <v>5659367.5242820829</v>
      </c>
      <c r="I41" s="303">
        <f>C41+G41</f>
        <v>6345824.1176856253</v>
      </c>
      <c r="J41" s="303">
        <f>I41-H41</f>
        <v>686456.59340354241</v>
      </c>
      <c r="K41" s="303">
        <f>-J41*$K$11</f>
        <v>-144155.8846147439</v>
      </c>
      <c r="L41" s="303">
        <f>-K41+K40</f>
        <v>6510.2334050250647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6788564.25</v>
      </c>
      <c r="C42" s="313">
        <f>C41</f>
        <v>6788564.25</v>
      </c>
      <c r="D42" s="303">
        <f>(($B$14*$E$6/12)+(($B$26-$B$14)*$D$6/12)+(($B$38-$B$26)*$C$6/12)+(($B$50-$B$38)*$B$6/12))</f>
        <v>48368.521658749996</v>
      </c>
      <c r="E42" s="304">
        <f>+(C41*$E$10/12)+(((C42-C41)*$E$10/12)*0.5)</f>
        <v>17367.410206249999</v>
      </c>
      <c r="F42" s="303">
        <f>-D42+F41</f>
        <v>-1177565.2473766669</v>
      </c>
      <c r="G42" s="304">
        <f>+G41-E42</f>
        <v>-460107.54252062476</v>
      </c>
      <c r="H42" s="303">
        <f>B42+F42</f>
        <v>5610999.0026233327</v>
      </c>
      <c r="I42" s="303">
        <f>C42+G42</f>
        <v>6328456.7074793754</v>
      </c>
      <c r="J42" s="303">
        <f>I42-H42</f>
        <v>717457.70485604275</v>
      </c>
      <c r="K42" s="303">
        <f>-J42*$K$11</f>
        <v>-150666.11801976897</v>
      </c>
      <c r="L42" s="303">
        <f>-K42+K41</f>
        <v>6510.2334050250647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6788564.25</v>
      </c>
      <c r="C43" s="313">
        <f>C42</f>
        <v>6788564.25</v>
      </c>
      <c r="D43" s="303">
        <f>(($B$14*$E$6/12)+(($B$26-$B$14)*$D$6/12)+(($B$38-$B$26)*$C$6/12)+(($B$50-$B$38)*$B$6/12))</f>
        <v>48368.521658749996</v>
      </c>
      <c r="E43" s="304">
        <f>+(C42*$E$10/12)+(((C43-C42)*$E$10/12)*0.5)</f>
        <v>17367.410206249999</v>
      </c>
      <c r="F43" s="303">
        <f>-D43+F42</f>
        <v>-1225933.7690354169</v>
      </c>
      <c r="G43" s="304">
        <f>+G42-E43</f>
        <v>-477474.95272687473</v>
      </c>
      <c r="H43" s="303">
        <f>B43+F43</f>
        <v>5562630.4809645833</v>
      </c>
      <c r="I43" s="303">
        <f>C43+G43</f>
        <v>6311089.2972731255</v>
      </c>
      <c r="J43" s="303">
        <f>I43-H43</f>
        <v>748458.81630854215</v>
      </c>
      <c r="K43" s="303">
        <f>-J43*$K$11</f>
        <v>-157176.35142479386</v>
      </c>
      <c r="L43" s="303">
        <f>-K43+K42</f>
        <v>6510.2334050248901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6788564.25</v>
      </c>
      <c r="C44" s="313">
        <f>C43</f>
        <v>6788564.25</v>
      </c>
      <c r="D44" s="303">
        <f>(($B$14*$E$6/12)+(($B$26-$B$14)*$D$6/12)+(($B$38-$B$26)*$C$6/12)+(($B$50-$B$38)*$B$6/12))</f>
        <v>48368.521658749996</v>
      </c>
      <c r="E44" s="304">
        <f>+(C43*$E$10/12)+(((C44-C43)*$E$10/12)*0.5)</f>
        <v>17367.410206249999</v>
      </c>
      <c r="F44" s="303">
        <f>-D44+F43</f>
        <v>-1274302.2906941669</v>
      </c>
      <c r="G44" s="304">
        <f>+G43-E44</f>
        <v>-494842.36293312471</v>
      </c>
      <c r="H44" s="303">
        <f>B44+F44</f>
        <v>5514261.9593058331</v>
      </c>
      <c r="I44" s="303">
        <f>C44+G44</f>
        <v>6293721.8870668756</v>
      </c>
      <c r="J44" s="303">
        <f>I44-H44</f>
        <v>779459.92776104249</v>
      </c>
      <c r="K44" s="303">
        <f>-J44*$K$11</f>
        <v>-163686.58482981892</v>
      </c>
      <c r="L44" s="303">
        <f>-K44+K43</f>
        <v>6510.2334050250647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6788564.25</v>
      </c>
      <c r="C45" s="313">
        <f>C44</f>
        <v>6788564.25</v>
      </c>
      <c r="D45" s="303">
        <f>(($B$14*$E$6/12)+(($B$26-$B$14)*$D$6/12)+(($B$38-$B$26)*$C$6/12)+(($B$50-$B$38)*$B$6/12))</f>
        <v>48368.521658749996</v>
      </c>
      <c r="E45" s="304">
        <f>+(C44*$E$10/12)+(((C45-C44)*$E$10/12)*0.5)</f>
        <v>17367.410206249999</v>
      </c>
      <c r="F45" s="303">
        <f>-D45+F44</f>
        <v>-1322670.8123529169</v>
      </c>
      <c r="G45" s="304">
        <f>+G44-E45</f>
        <v>-512209.77313937468</v>
      </c>
      <c r="H45" s="303">
        <f>B45+F45</f>
        <v>5465893.4376470828</v>
      </c>
      <c r="I45" s="303">
        <f>C45+G45</f>
        <v>6276354.4768606257</v>
      </c>
      <c r="J45" s="303">
        <f>I45-H45</f>
        <v>810461.03921354283</v>
      </c>
      <c r="K45" s="303">
        <f>-J45*$K$11</f>
        <v>-170196.81823484399</v>
      </c>
      <c r="L45" s="303">
        <f>-K45+K44</f>
        <v>6510.2334050250647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6788564.25</v>
      </c>
      <c r="C46" s="313">
        <f>C45</f>
        <v>6788564.25</v>
      </c>
      <c r="D46" s="303">
        <f>(($B$14*$E$6/12)+(($B$26-$B$14)*$D$6/12)+(($B$38-$B$26)*$C$6/12)+(($B$50-$B$38)*$B$6/12))</f>
        <v>48368.521658749996</v>
      </c>
      <c r="E46" s="304">
        <f>+(C45*$E$10/12)+(((C46-C45)*$E$10/12)*0.5)</f>
        <v>17367.410206249999</v>
      </c>
      <c r="F46" s="303">
        <f>-D46+F45</f>
        <v>-1371039.3340116669</v>
      </c>
      <c r="G46" s="304">
        <f>+G45-E46</f>
        <v>-529577.18334562471</v>
      </c>
      <c r="H46" s="303">
        <f>B46+F46</f>
        <v>5417524.9159883335</v>
      </c>
      <c r="I46" s="303">
        <f>C46+G46</f>
        <v>6258987.0666543748</v>
      </c>
      <c r="J46" s="303">
        <f>I46-H46</f>
        <v>841462.1506660413</v>
      </c>
      <c r="K46" s="303">
        <f>-J46*$K$11</f>
        <v>-176707.05163986867</v>
      </c>
      <c r="L46" s="303">
        <f>-K46+K45</f>
        <v>6510.2334050246864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6788564.25</v>
      </c>
      <c r="C47" s="313">
        <f>C46</f>
        <v>6788564.25</v>
      </c>
      <c r="D47" s="303">
        <f>(($B$14*$E$6/12)+(($B$26-$B$14)*$D$6/12)+(($B$38-$B$26)*$C$6/12)+(($B$50-$B$38)*$B$6/12))</f>
        <v>48368.521658749996</v>
      </c>
      <c r="E47" s="304">
        <f>+(C46*$E$10/12)+(((C47-C46)*$E$10/12)*0.5)</f>
        <v>17367.410206249999</v>
      </c>
      <c r="F47" s="303">
        <f>-D47+F46</f>
        <v>-1419407.855670417</v>
      </c>
      <c r="G47" s="304">
        <f>+G46-E47</f>
        <v>-546944.59355187474</v>
      </c>
      <c r="H47" s="303">
        <f>B47+F47</f>
        <v>5369156.3943295833</v>
      </c>
      <c r="I47" s="303">
        <f>C47+G47</f>
        <v>6241619.6564481249</v>
      </c>
      <c r="J47" s="303">
        <f>I47-H47</f>
        <v>872463.26211854164</v>
      </c>
      <c r="K47" s="303">
        <f>-J47*$K$11</f>
        <v>-183217.28504489374</v>
      </c>
      <c r="L47" s="303">
        <f>-K47+K46</f>
        <v>6510.2334050250647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6788564.25</v>
      </c>
      <c r="C48" s="313">
        <f>C47</f>
        <v>6788564.25</v>
      </c>
      <c r="D48" s="303">
        <f>(($B$14*$E$6/12)+(($B$26-$B$14)*$D$6/12)+(($B$38-$B$26)*$C$6/12)+(($B$50-$B$38)*$B$6/12))</f>
        <v>48368.521658749996</v>
      </c>
      <c r="E48" s="304">
        <f>+(C47*$E$10/12)+(((C48-C47)*$E$10/12)*0.5)</f>
        <v>17367.410206249999</v>
      </c>
      <c r="F48" s="303">
        <f>-D48+F47</f>
        <v>-1467776.377329167</v>
      </c>
      <c r="G48" s="304">
        <f>+G47-E48</f>
        <v>-564312.00375812477</v>
      </c>
      <c r="H48" s="303">
        <f>B48+F48</f>
        <v>5320787.872670833</v>
      </c>
      <c r="I48" s="303">
        <f>C48+G48</f>
        <v>6224252.246241875</v>
      </c>
      <c r="J48" s="303">
        <f>I48-H48</f>
        <v>903464.37357104197</v>
      </c>
      <c r="K48" s="303">
        <f>-J48*$K$11</f>
        <v>-189727.5184499188</v>
      </c>
      <c r="L48" s="303">
        <f>-K48+K47</f>
        <v>6510.2334050250647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6788564.25</v>
      </c>
      <c r="C49" s="313">
        <f>C48</f>
        <v>6788564.25</v>
      </c>
      <c r="D49" s="303">
        <f>(($B$14*$E$6/12)+(($B$26-$B$14)*$D$6/12)+(($B$38-$B$26)*$C$6/12)+(($B$50-$B$38)*$B$6/12))</f>
        <v>48368.521658749996</v>
      </c>
      <c r="E49" s="304">
        <f>+(C48*$E$10/12)+(((C49-C48)*$E$10/12)*0.5)</f>
        <v>17367.410206249999</v>
      </c>
      <c r="F49" s="303">
        <f>-D49+F48</f>
        <v>-1516144.898987917</v>
      </c>
      <c r="G49" s="304">
        <f>+G48-E49</f>
        <v>-581679.41396437481</v>
      </c>
      <c r="H49" s="303">
        <f>B49+F49</f>
        <v>5272419.3510120828</v>
      </c>
      <c r="I49" s="303">
        <f>C49+G49</f>
        <v>6206884.8360356251</v>
      </c>
      <c r="J49" s="303">
        <f>I49-H49</f>
        <v>934465.48502354231</v>
      </c>
      <c r="K49" s="303">
        <f>-J49*$K$11</f>
        <v>-196237.75185494387</v>
      </c>
      <c r="L49" s="303">
        <f>-K49+K48</f>
        <v>6510.2334050250647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6788564.25</v>
      </c>
      <c r="C50" s="313">
        <f>C49</f>
        <v>6788564.25</v>
      </c>
      <c r="D50" s="303">
        <f>(($B$14*$E$6/12)+(($B$26-$B$14)*$D$6/12)+(($B$38-$B$26)*$C$6/12)+(($B$50-$B$38)*$B$6/12))</f>
        <v>48368.521658749996</v>
      </c>
      <c r="E50" s="304">
        <f>+(C49*$E$10/12)+(((C50-C49)*$E$10/12)*0.5)</f>
        <v>17367.410206249999</v>
      </c>
      <c r="F50" s="303">
        <f>-D50+F49</f>
        <v>-1564513.420646667</v>
      </c>
      <c r="G50" s="304">
        <f>+G49-E50</f>
        <v>-599046.82417062484</v>
      </c>
      <c r="H50" s="303">
        <f>B50+F50</f>
        <v>5224050.8293533325</v>
      </c>
      <c r="I50" s="303">
        <f>C50+G50</f>
        <v>6189517.4258293752</v>
      </c>
      <c r="J50" s="303">
        <f>I50-H50</f>
        <v>965466.59647604264</v>
      </c>
      <c r="K50" s="303">
        <f>-J50*$K$11</f>
        <v>-202747.98525996896</v>
      </c>
      <c r="L50" s="303">
        <f>-K50+K49</f>
        <v>6510.2334050250938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6788564.25</v>
      </c>
      <c r="C51" s="313">
        <f>C50</f>
        <v>6788564.25</v>
      </c>
      <c r="D51" s="303">
        <f>(($B$14*$F$6/12)+(($B$26-$B$14)*$E$6/12)+(($B$38-$B$26)*$D$6/12)+(($B$50-$B$38)*$C$6/12)+(($B$62-$B$50)*$B$6/12))</f>
        <v>43559.955170000001</v>
      </c>
      <c r="E51" s="304">
        <f>+(C50*$E$10/12)+(((C51-C50)*$E$10/12)*0.5)</f>
        <v>17367.410206249999</v>
      </c>
      <c r="F51" s="303">
        <f>-D51+F50</f>
        <v>-1608073.375816667</v>
      </c>
      <c r="G51" s="304">
        <f>+G50-E51</f>
        <v>-616414.23437687487</v>
      </c>
      <c r="H51" s="303">
        <f>B51+F51</f>
        <v>5180490.8741833325</v>
      </c>
      <c r="I51" s="303">
        <f>C51+G51</f>
        <v>6172150.0156231252</v>
      </c>
      <c r="J51" s="303">
        <f>I51-H51</f>
        <v>991659.1414397927</v>
      </c>
      <c r="K51" s="303">
        <f>-J51*$K$11</f>
        <v>-208248.41970235645</v>
      </c>
      <c r="L51" s="303">
        <f>-K51+K50</f>
        <v>5500.4344423874863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6788564.25</v>
      </c>
      <c r="C52" s="313">
        <f>C51</f>
        <v>6788564.25</v>
      </c>
      <c r="D52" s="303">
        <f>(($B$14*$F$6/12)+(($B$26-$B$14)*$E$6/12)+(($B$38-$B$26)*$D$6/12)+(($B$50-$B$38)*$C$6/12)+(($B$62-$B$50)*$B$6/12))</f>
        <v>43559.955170000001</v>
      </c>
      <c r="E52" s="304">
        <f>+(C51*$E$10/12)+(((C52-C51)*$E$10/12)*0.5)</f>
        <v>17367.410206249999</v>
      </c>
      <c r="F52" s="303">
        <f>-D52+F51</f>
        <v>-1651633.330986667</v>
      </c>
      <c r="G52" s="304">
        <f>+G51-E52</f>
        <v>-633781.6445831249</v>
      </c>
      <c r="H52" s="303">
        <f>B52+F52</f>
        <v>5136930.9190133326</v>
      </c>
      <c r="I52" s="303">
        <f>C52+G52</f>
        <v>6154782.6054168753</v>
      </c>
      <c r="J52" s="303">
        <f>I52-H52</f>
        <v>1017851.6864035428</v>
      </c>
      <c r="K52" s="303">
        <f>-J52*$K$11</f>
        <v>-213748.85414474396</v>
      </c>
      <c r="L52" s="303">
        <f>-K52+K51</f>
        <v>5500.4344423875154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6788564.25</v>
      </c>
      <c r="C53" s="313">
        <f>C52</f>
        <v>6788564.25</v>
      </c>
      <c r="D53" s="303">
        <f>(($B$14*$F$6/12)+(($B$26-$B$14)*$E$6/12)+(($B$38-$B$26)*$D$6/12)+(($B$50-$B$38)*$C$6/12)+(($B$62-$B$50)*$B$6/12))</f>
        <v>43559.955170000001</v>
      </c>
      <c r="E53" s="304">
        <f>+(C52*$E$10/12)+(((C53-C52)*$E$10/12)*0.5)</f>
        <v>17367.410206249999</v>
      </c>
      <c r="F53" s="303">
        <f>-D53+F52</f>
        <v>-1695193.2861566669</v>
      </c>
      <c r="G53" s="304">
        <f>+G52-E53</f>
        <v>-651149.05478937493</v>
      </c>
      <c r="H53" s="303">
        <f>B53+F53</f>
        <v>5093370.9638433326</v>
      </c>
      <c r="I53" s="303">
        <f>C53+G53</f>
        <v>6137415.1952106254</v>
      </c>
      <c r="J53" s="303">
        <f>I53-H53</f>
        <v>1044044.2313672928</v>
      </c>
      <c r="K53" s="303">
        <f>-J53*$K$11</f>
        <v>-219249.28858713148</v>
      </c>
      <c r="L53" s="303">
        <f>-K53+K52</f>
        <v>5500.4344423875154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6788564.25</v>
      </c>
      <c r="C54" s="313">
        <f>C53</f>
        <v>6788564.25</v>
      </c>
      <c r="D54" s="303">
        <f>(($B$14*$F$6/12)+(($B$26-$B$14)*$E$6/12)+(($B$38-$B$26)*$D$6/12)+(($B$50-$B$38)*$C$6/12)+(($B$62-$B$50)*$B$6/12))</f>
        <v>43559.955170000001</v>
      </c>
      <c r="E54" s="304">
        <f>+(C53*$E$10/12)+(((C54-C53)*$E$10/12)*0.5)</f>
        <v>17367.410206249999</v>
      </c>
      <c r="F54" s="303">
        <f>-D54+F53</f>
        <v>-1738753.2413266669</v>
      </c>
      <c r="G54" s="304">
        <f>+G53-E54</f>
        <v>-668516.46499562496</v>
      </c>
      <c r="H54" s="303">
        <f>B54+F54</f>
        <v>5049811.0086733326</v>
      </c>
      <c r="I54" s="303">
        <f>C54+G54</f>
        <v>6120047.7850043755</v>
      </c>
      <c r="J54" s="303">
        <f>I54-H54</f>
        <v>1070236.7763310429</v>
      </c>
      <c r="K54" s="303">
        <f>-J54*$K$11</f>
        <v>-224749.72302951899</v>
      </c>
      <c r="L54" s="303">
        <f>-K54+K53</f>
        <v>5500.4344423875154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6788564.25</v>
      </c>
      <c r="C55" s="313">
        <f>C54</f>
        <v>6788564.25</v>
      </c>
      <c r="D55" s="303">
        <f>(($B$14*$F$6/12)+(($B$26-$B$14)*$E$6/12)+(($B$38-$B$26)*$D$6/12)+(($B$50-$B$38)*$C$6/12)+(($B$62-$B$50)*$B$6/12))</f>
        <v>43559.955170000001</v>
      </c>
      <c r="E55" s="304">
        <f>+(C54*$E$10/12)+(((C55-C54)*$E$10/12)*0.5)</f>
        <v>17367.410206249999</v>
      </c>
      <c r="F55" s="303">
        <f>-D55+F54</f>
        <v>-1782313.1964966669</v>
      </c>
      <c r="G55" s="304">
        <f>+G54-E55</f>
        <v>-685883.87520187499</v>
      </c>
      <c r="H55" s="303">
        <f>B55+F55</f>
        <v>5006251.0535033327</v>
      </c>
      <c r="I55" s="303">
        <f>C55+G55</f>
        <v>6102680.3747981247</v>
      </c>
      <c r="J55" s="303">
        <f>I55-H55</f>
        <v>1096429.321294792</v>
      </c>
      <c r="K55" s="303">
        <f>-J55*$K$11</f>
        <v>-230250.15747190631</v>
      </c>
      <c r="L55" s="303">
        <f>-K55+K54</f>
        <v>5500.4344423873117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6788564.25</v>
      </c>
      <c r="C56" s="313">
        <f>C55</f>
        <v>6788564.25</v>
      </c>
      <c r="D56" s="303">
        <f>(($B$14*$F$6/12)+(($B$26-$B$14)*$E$6/12)+(($B$38-$B$26)*$D$6/12)+(($B$50-$B$38)*$C$6/12)+(($B$62-$B$50)*$B$6/12))</f>
        <v>43559.955170000001</v>
      </c>
      <c r="E56" s="304">
        <f>+(C55*$E$10/12)+(((C56-C55)*$E$10/12)*0.5)</f>
        <v>17367.410206249999</v>
      </c>
      <c r="F56" s="303">
        <f>-D56+F55</f>
        <v>-1825873.1516666668</v>
      </c>
      <c r="G56" s="304">
        <f>+G55-E56</f>
        <v>-703251.28540812503</v>
      </c>
      <c r="H56" s="303">
        <f>B56+F56</f>
        <v>4962691.0983333327</v>
      </c>
      <c r="I56" s="303">
        <f>C56+G56</f>
        <v>6085312.9645918747</v>
      </c>
      <c r="J56" s="303">
        <f>I56-H56</f>
        <v>1122621.8662585421</v>
      </c>
      <c r="K56" s="303">
        <f>-J56*$K$11</f>
        <v>-235750.59191429382</v>
      </c>
      <c r="L56" s="303">
        <f>-K56+K55</f>
        <v>5500.4344423875154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6788564.25</v>
      </c>
      <c r="C57" s="313">
        <f>C56</f>
        <v>6788564.25</v>
      </c>
      <c r="D57" s="303">
        <f>(($B$14*$F$6/12)+(($B$26-$B$14)*$E$6/12)+(($B$38-$B$26)*$D$6/12)+(($B$50-$B$38)*$C$6/12)+(($B$62-$B$50)*$B$6/12))</f>
        <v>43559.955170000001</v>
      </c>
      <c r="E57" s="304">
        <f>+(C56*$E$10/12)+(((C57-C56)*$E$10/12)*0.5)</f>
        <v>17367.410206249999</v>
      </c>
      <c r="F57" s="303">
        <f>-D57+F56</f>
        <v>-1869433.1068366668</v>
      </c>
      <c r="G57" s="304">
        <f>+G56-E57</f>
        <v>-720618.69561437506</v>
      </c>
      <c r="H57" s="303">
        <f>B57+F57</f>
        <v>4919131.1431633327</v>
      </c>
      <c r="I57" s="303">
        <f>C57+G57</f>
        <v>6067945.5543856248</v>
      </c>
      <c r="J57" s="303">
        <f>I57-H57</f>
        <v>1148814.4112222921</v>
      </c>
      <c r="K57" s="303">
        <f>-J57*$K$11</f>
        <v>-241251.02635668134</v>
      </c>
      <c r="L57" s="303">
        <f>-K57+K56</f>
        <v>5500.4344423875154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6788564.25</v>
      </c>
      <c r="C58" s="313">
        <f>C57</f>
        <v>6788564.25</v>
      </c>
      <c r="D58" s="303">
        <f>(($B$14*$F$6/12)+(($B$26-$B$14)*$E$6/12)+(($B$38-$B$26)*$D$6/12)+(($B$50-$B$38)*$C$6/12)+(($B$62-$B$50)*$B$6/12))</f>
        <v>43559.955170000001</v>
      </c>
      <c r="E58" s="304">
        <f>+(C57*$E$10/12)+(((C58-C57)*$E$10/12)*0.5)</f>
        <v>17367.410206249999</v>
      </c>
      <c r="F58" s="303">
        <f>-D58+F57</f>
        <v>-1912993.0620066668</v>
      </c>
      <c r="G58" s="304">
        <f>+G57-E58</f>
        <v>-737986.10582062509</v>
      </c>
      <c r="H58" s="303">
        <f>B58+F58</f>
        <v>4875571.1879933327</v>
      </c>
      <c r="I58" s="303">
        <f>C58+G58</f>
        <v>6050578.1441793749</v>
      </c>
      <c r="J58" s="303">
        <f>I58-H58</f>
        <v>1175006.9561860422</v>
      </c>
      <c r="K58" s="303">
        <f>-J58*$K$11</f>
        <v>-246751.46079906885</v>
      </c>
      <c r="L58" s="303">
        <f>-K58+K57</f>
        <v>5500.4344423875154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6788564.25</v>
      </c>
      <c r="C59" s="313">
        <f>C58</f>
        <v>6788564.25</v>
      </c>
      <c r="D59" s="303">
        <f>(($B$14*$F$6/12)+(($B$26-$B$14)*$E$6/12)+(($B$38-$B$26)*$D$6/12)+(($B$50-$B$38)*$C$6/12)+(($B$62-$B$50)*$B$6/12))</f>
        <v>43559.955170000001</v>
      </c>
      <c r="E59" s="304">
        <f>+(C58*$E$10/12)+(((C59-C58)*$E$10/12)*0.5)</f>
        <v>17367.410206249999</v>
      </c>
      <c r="F59" s="303">
        <f>-D59+F58</f>
        <v>-1956553.0171766668</v>
      </c>
      <c r="G59" s="304">
        <f>+G58-E59</f>
        <v>-755353.51602687512</v>
      </c>
      <c r="H59" s="303">
        <f>B59+F59</f>
        <v>4832011.2328233328</v>
      </c>
      <c r="I59" s="303">
        <f>C59+G59</f>
        <v>6033210.733973125</v>
      </c>
      <c r="J59" s="303">
        <f>I59-H59</f>
        <v>1201199.5011497922</v>
      </c>
      <c r="K59" s="303">
        <f>-J59*$K$11</f>
        <v>-252251.89524145637</v>
      </c>
      <c r="L59" s="303">
        <f>-K59+K58</f>
        <v>5500.4344423875154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6788564.25</v>
      </c>
      <c r="C60" s="313">
        <f>C59</f>
        <v>6788564.25</v>
      </c>
      <c r="D60" s="303">
        <f>(($B$14*$F$6/12)+(($B$26-$B$14)*$E$6/12)+(($B$38-$B$26)*$D$6/12)+(($B$50-$B$38)*$C$6/12)+(($B$62-$B$50)*$B$6/12))</f>
        <v>43559.955170000001</v>
      </c>
      <c r="E60" s="304">
        <f>+(C59*$E$10/12)+(((C60-C59)*$E$10/12)*0.5)</f>
        <v>17367.410206249999</v>
      </c>
      <c r="F60" s="303">
        <f>-D60+F59</f>
        <v>-2000112.9723466667</v>
      </c>
      <c r="G60" s="304">
        <f>+G59-E60</f>
        <v>-772720.92623312515</v>
      </c>
      <c r="H60" s="303">
        <f>B60+F60</f>
        <v>4788451.2776533328</v>
      </c>
      <c r="I60" s="303">
        <f>C60+G60</f>
        <v>6015843.3237668751</v>
      </c>
      <c r="J60" s="303">
        <f>I60-H60</f>
        <v>1227392.0461135423</v>
      </c>
      <c r="K60" s="303">
        <f>-J60*$K$11</f>
        <v>-257752.32968384388</v>
      </c>
      <c r="L60" s="303">
        <f>-K60+K59</f>
        <v>5500.4344423875154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6788564.25</v>
      </c>
      <c r="C61" s="313">
        <f>C60</f>
        <v>6788564.25</v>
      </c>
      <c r="D61" s="303">
        <f>(($B$14*$F$6/12)+(($B$26-$B$14)*$E$6/12)+(($B$38-$B$26)*$D$6/12)+(($B$50-$B$38)*$C$6/12)+(($B$62-$B$50)*$B$6/12))</f>
        <v>43559.955170000001</v>
      </c>
      <c r="E61" s="304">
        <f>+(C60*$E$10/12)+(((C61-C60)*$E$10/12)*0.5)</f>
        <v>17367.410206249999</v>
      </c>
      <c r="F61" s="303">
        <f>-D61+F60</f>
        <v>-2043672.9275166667</v>
      </c>
      <c r="G61" s="304">
        <f>+G60-E61</f>
        <v>-790088.33643937518</v>
      </c>
      <c r="H61" s="303">
        <f>B61+F61</f>
        <v>4744891.3224833328</v>
      </c>
      <c r="I61" s="303">
        <f>C61+G61</f>
        <v>5998475.9135606252</v>
      </c>
      <c r="J61" s="303">
        <f>I61-H61</f>
        <v>1253584.5910772923</v>
      </c>
      <c r="K61" s="303">
        <f>-J61*$K$11</f>
        <v>-263252.76412623137</v>
      </c>
      <c r="L61" s="303">
        <f>-K61+K60</f>
        <v>5500.4344423874863</v>
      </c>
      <c r="M61" s="361"/>
      <c r="N61" s="299"/>
    </row>
    <row r="62" spans="1:15" ht="15" x14ac:dyDescent="0.25">
      <c r="A62" s="314">
        <v>46022</v>
      </c>
      <c r="B62" s="303">
        <f>C62</f>
        <v>6788564.25</v>
      </c>
      <c r="C62" s="313">
        <f>C61</f>
        <v>6788564.25</v>
      </c>
      <c r="D62" s="303">
        <f>(($B$14*$F$6/12)+(($B$26-$B$14)*$E$6/12)+(($B$38-$B$26)*$D$6/12)+(($B$50-$B$38)*$C$6/12)+(($B$62-$B$50)*$B$6/12))</f>
        <v>43559.955170000001</v>
      </c>
      <c r="E62" s="304">
        <f>+(C61*$E$10/12)+(((C62-C61)*$E$10/12)*0.5)</f>
        <v>17367.410206249999</v>
      </c>
      <c r="F62" s="303">
        <f>-D62+F61</f>
        <v>-2087232.8826866667</v>
      </c>
      <c r="G62" s="304">
        <f>+G61-E62</f>
        <v>-807455.74664562522</v>
      </c>
      <c r="H62" s="303">
        <f>B62+F62</f>
        <v>4701331.3673133329</v>
      </c>
      <c r="I62" s="303">
        <f>C62+G62</f>
        <v>5981108.5033543743</v>
      </c>
      <c r="J62" s="303">
        <f>I62-H62</f>
        <v>1279777.1360410415</v>
      </c>
      <c r="K62" s="303">
        <f>-J62*$K$11</f>
        <v>-268753.19856861868</v>
      </c>
      <c r="L62" s="303">
        <f>-K62+K61</f>
        <v>5500.4344423873117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6788562.5099999998</v>
      </c>
      <c r="C68" s="285">
        <f>C26</f>
        <v>6788562.5099999998</v>
      </c>
      <c r="D68" s="285">
        <f>SUM(D15:D26)</f>
        <v>339177.64254166669</v>
      </c>
      <c r="E68" s="285">
        <f>SUM(E15:E26)</f>
        <v>182228.98589787504</v>
      </c>
      <c r="F68" s="285">
        <f>F26</f>
        <v>-339177.64254166669</v>
      </c>
      <c r="G68" s="285">
        <f>G26</f>
        <v>-182228.98589787504</v>
      </c>
      <c r="H68" s="285">
        <f>H26</f>
        <v>6449384.8674583333</v>
      </c>
      <c r="I68" s="285">
        <f>I26</f>
        <v>6606333.5241021244</v>
      </c>
      <c r="J68" s="285">
        <f>J26</f>
        <v>156948.65664379112</v>
      </c>
      <c r="K68" s="285">
        <f>K26</f>
        <v>-32959.217895196132</v>
      </c>
      <c r="L68" s="285">
        <f>SUM(L15:L26)</f>
        <v>32959.217895196132</v>
      </c>
      <c r="M68" s="297"/>
      <c r="N68" s="297"/>
    </row>
    <row r="69" spans="1:15" x14ac:dyDescent="0.2">
      <c r="A69" s="301" t="s">
        <v>248</v>
      </c>
      <c r="B69" s="285">
        <f>(B14+B26+SUM(B15:B25)*2)/24</f>
        <v>5935797.5862499997</v>
      </c>
      <c r="C69" s="285">
        <f>(C14+C26+SUM(C15:C25)*2)/24</f>
        <v>5935797.5862499997</v>
      </c>
      <c r="D69" s="285"/>
      <c r="E69" s="300"/>
      <c r="F69" s="285">
        <f>(F14+F26+SUM(F15:F25)*2)/24</f>
        <v>-169546.89286979169</v>
      </c>
      <c r="G69" s="285">
        <f>(G14+G26+SUM(G15:G25)*2)/24</f>
        <v>-79889.13338702952</v>
      </c>
      <c r="H69" s="285">
        <f>(H14+H26+SUM(H15:H25)*2)/24</f>
        <v>5766250.6933802078</v>
      </c>
      <c r="I69" s="285">
        <f>(I14+I26+SUM(I15:I25)*2)/24</f>
        <v>5855908.4528629705</v>
      </c>
      <c r="J69" s="285">
        <f>(J14+J26+SUM(J15:J25)*2)/24</f>
        <v>89657.759482762325</v>
      </c>
      <c r="K69" s="285">
        <f>(K14+K26+SUM(K15:K25)*2)/24</f>
        <v>-18828.129491380085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710937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263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2.76E-2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2.76E-2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88745.305333333337</v>
      </c>
      <c r="E15" s="304">
        <v>0</v>
      </c>
      <c r="F15" s="303">
        <f t="shared" ref="F15:F28" si="0">-D15+F14</f>
        <v>-88745.305333333337</v>
      </c>
      <c r="G15" s="304">
        <f t="shared" ref="G15:G28" si="1">+G14-E15</f>
        <v>0</v>
      </c>
      <c r="H15" s="303">
        <f t="shared" ref="H15:I28" si="2">B15+F15</f>
        <v>-88745.305333333337</v>
      </c>
      <c r="I15" s="303">
        <f t="shared" si="2"/>
        <v>0</v>
      </c>
      <c r="J15" s="303">
        <f t="shared" ref="J15:J28" si="3">I15-H15</f>
        <v>88745.305333333337</v>
      </c>
      <c r="K15" s="303">
        <f t="shared" ref="K15:K28" si="4">-J15*$K$11</f>
        <v>-18636.51412</v>
      </c>
      <c r="L15" s="303">
        <f t="shared" ref="L15:L28" si="5">-K15+K14</f>
        <v>18636.51412</v>
      </c>
      <c r="M15" s="363"/>
    </row>
    <row r="16" spans="1:23" x14ac:dyDescent="0.2">
      <c r="A16" s="314">
        <v>44620</v>
      </c>
      <c r="B16" s="303">
        <v>21298873.280000001</v>
      </c>
      <c r="C16" s="313">
        <v>21298873.280000001</v>
      </c>
      <c r="D16" s="303">
        <f>(($B$14*$C$6/12)+(($B$16-$B$14)*$B$6/12))+M16</f>
        <v>88745.305333333337</v>
      </c>
      <c r="E16" s="304">
        <f t="shared" ref="E16:E25" si="6">+(C15*$E$10/12)+(((C16-C15)*$E$10/12)*0.5)</f>
        <v>24493.704272000003</v>
      </c>
      <c r="F16" s="303">
        <f t="shared" si="0"/>
        <v>-177490.61066666667</v>
      </c>
      <c r="G16" s="304">
        <f t="shared" si="1"/>
        <v>-24493.704272000003</v>
      </c>
      <c r="H16" s="303">
        <f t="shared" si="2"/>
        <v>21121382.669333335</v>
      </c>
      <c r="I16" s="303">
        <f t="shared" si="2"/>
        <v>21274379.575728003</v>
      </c>
      <c r="J16" s="303">
        <f t="shared" si="3"/>
        <v>152996.90639466792</v>
      </c>
      <c r="K16" s="303">
        <f t="shared" si="4"/>
        <v>-32129.350342880261</v>
      </c>
      <c r="L16" s="303">
        <f t="shared" si="5"/>
        <v>13492.836222880262</v>
      </c>
      <c r="M16" s="363"/>
    </row>
    <row r="17" spans="1:15" ht="15" x14ac:dyDescent="0.25">
      <c r="A17" s="314">
        <v>44651</v>
      </c>
      <c r="B17" s="303">
        <v>21304314.390000001</v>
      </c>
      <c r="C17" s="313">
        <v>21304314.390000001</v>
      </c>
      <c r="D17" s="303">
        <f>(($B$14*$C$6/12)+((B17-$B$14)*$B$6/12))+M17</f>
        <v>88767.97662500001</v>
      </c>
      <c r="E17" s="304">
        <f t="shared" si="6"/>
        <v>48993.665820500006</v>
      </c>
      <c r="F17" s="303">
        <f t="shared" si="0"/>
        <v>-266258.58729166666</v>
      </c>
      <c r="G17" s="304">
        <f t="shared" si="1"/>
        <v>-73487.370092500001</v>
      </c>
      <c r="H17" s="303">
        <f t="shared" si="2"/>
        <v>21038055.802708335</v>
      </c>
      <c r="I17" s="303">
        <f t="shared" si="2"/>
        <v>21230827.019907501</v>
      </c>
      <c r="J17" s="303">
        <f t="shared" si="3"/>
        <v>192771.21719916537</v>
      </c>
      <c r="K17" s="303">
        <f t="shared" si="4"/>
        <v>-40481.955611824727</v>
      </c>
      <c r="L17" s="303">
        <f t="shared" si="5"/>
        <v>8352.6052689444659</v>
      </c>
      <c r="M17" s="361"/>
      <c r="N17" s="320"/>
    </row>
    <row r="18" spans="1:15" ht="15" x14ac:dyDescent="0.25">
      <c r="A18" s="314">
        <v>44681</v>
      </c>
      <c r="B18" s="303">
        <v>21305269.300000001</v>
      </c>
      <c r="C18" s="313">
        <v>21305269.300000001</v>
      </c>
      <c r="D18" s="303">
        <f>(($B$14*$C$6/12)+((B18-$B$14)*$B$6/12))+M18</f>
        <v>88771.955416666679</v>
      </c>
      <c r="E18" s="304">
        <f t="shared" si="6"/>
        <v>49001.021243499999</v>
      </c>
      <c r="F18" s="303">
        <f t="shared" si="0"/>
        <v>-355030.54270833335</v>
      </c>
      <c r="G18" s="304">
        <f t="shared" si="1"/>
        <v>-122488.391336</v>
      </c>
      <c r="H18" s="303">
        <f t="shared" si="2"/>
        <v>20950238.757291667</v>
      </c>
      <c r="I18" s="303">
        <f t="shared" si="2"/>
        <v>21182780.908663999</v>
      </c>
      <c r="J18" s="303">
        <f t="shared" si="3"/>
        <v>232542.15137233213</v>
      </c>
      <c r="K18" s="303">
        <f t="shared" si="4"/>
        <v>-48833.851788189742</v>
      </c>
      <c r="L18" s="303">
        <f t="shared" si="5"/>
        <v>8351.896176365015</v>
      </c>
      <c r="M18" s="361"/>
    </row>
    <row r="19" spans="1:15" ht="15" x14ac:dyDescent="0.25">
      <c r="A19" s="314">
        <v>44712</v>
      </c>
      <c r="B19" s="303">
        <v>21313536.48</v>
      </c>
      <c r="C19" s="313">
        <v>21313536.48</v>
      </c>
      <c r="D19" s="303">
        <f>(($B$14*$C$6/12)+((B19-$B$14)*$B$6/12))+M19</f>
        <v>88806.402000000002</v>
      </c>
      <c r="E19" s="304">
        <f t="shared" si="6"/>
        <v>49011.626646999997</v>
      </c>
      <c r="F19" s="303">
        <f t="shared" si="0"/>
        <v>-443836.94470833335</v>
      </c>
      <c r="G19" s="304">
        <f t="shared" si="1"/>
        <v>-171500.017983</v>
      </c>
      <c r="H19" s="303">
        <f t="shared" si="2"/>
        <v>20869699.535291668</v>
      </c>
      <c r="I19" s="303">
        <f t="shared" si="2"/>
        <v>21142036.462017</v>
      </c>
      <c r="J19" s="303">
        <f t="shared" si="3"/>
        <v>272336.92672533169</v>
      </c>
      <c r="K19" s="303">
        <f t="shared" si="4"/>
        <v>-57190.754612319652</v>
      </c>
      <c r="L19" s="303">
        <f t="shared" si="5"/>
        <v>8356.9028241299093</v>
      </c>
      <c r="M19" s="361"/>
    </row>
    <row r="20" spans="1:15" ht="15" x14ac:dyDescent="0.25">
      <c r="A20" s="314">
        <v>44742</v>
      </c>
      <c r="B20" s="303">
        <v>21315836.940000001</v>
      </c>
      <c r="C20" s="313">
        <v>21315836.940000001</v>
      </c>
      <c r="D20" s="303">
        <f>(($B$14*$C$6/12)+((B20-$B$14)*$B$6/12))+M20</f>
        <v>88815.987250000006</v>
      </c>
      <c r="E20" s="304">
        <f t="shared" si="6"/>
        <v>49023.779432999996</v>
      </c>
      <c r="F20" s="303">
        <f t="shared" si="0"/>
        <v>-532652.93195833336</v>
      </c>
      <c r="G20" s="304">
        <f t="shared" si="1"/>
        <v>-220523.79741599999</v>
      </c>
      <c r="H20" s="303">
        <f t="shared" si="2"/>
        <v>20783184.008041669</v>
      </c>
      <c r="I20" s="303">
        <f t="shared" si="2"/>
        <v>21095313.142584</v>
      </c>
      <c r="J20" s="303">
        <f t="shared" si="3"/>
        <v>312129.1345423311</v>
      </c>
      <c r="K20" s="303">
        <f t="shared" si="4"/>
        <v>-65547.118253889523</v>
      </c>
      <c r="L20" s="303">
        <f t="shared" si="5"/>
        <v>8356.3636415698711</v>
      </c>
      <c r="M20" s="361"/>
    </row>
    <row r="21" spans="1:15" ht="15" x14ac:dyDescent="0.25">
      <c r="A21" s="314">
        <v>44773</v>
      </c>
      <c r="B21" s="303">
        <v>21316591.539999999</v>
      </c>
      <c r="C21" s="313">
        <v>21316591.539999999</v>
      </c>
      <c r="D21" s="303">
        <f>(($B$14*$C$6/12)+((B21-$B$14)*$B$6/12))+M21</f>
        <v>88819.131416666671</v>
      </c>
      <c r="E21" s="304">
        <f t="shared" si="6"/>
        <v>49027.292751999994</v>
      </c>
      <c r="F21" s="303">
        <f t="shared" si="0"/>
        <v>-621472.06337500003</v>
      </c>
      <c r="G21" s="304">
        <f t="shared" si="1"/>
        <v>-269551.09016799997</v>
      </c>
      <c r="H21" s="303">
        <f t="shared" si="2"/>
        <v>20695119.476624999</v>
      </c>
      <c r="I21" s="303">
        <f t="shared" si="2"/>
        <v>21047040.449832</v>
      </c>
      <c r="J21" s="303">
        <f t="shared" si="3"/>
        <v>351920.97320700064</v>
      </c>
      <c r="K21" s="303">
        <f t="shared" si="4"/>
        <v>-73903.404373470126</v>
      </c>
      <c r="L21" s="303">
        <f t="shared" si="5"/>
        <v>8356.2861195806036</v>
      </c>
      <c r="M21" s="361"/>
    </row>
    <row r="22" spans="1:15" ht="15" x14ac:dyDescent="0.25">
      <c r="A22" s="314">
        <v>44804</v>
      </c>
      <c r="B22" s="303">
        <v>21316754.449999999</v>
      </c>
      <c r="C22" s="313">
        <v>21316754.449999999</v>
      </c>
      <c r="D22" s="303">
        <f>(($B$14*$C$6/12)+((B22-$B$14)*$B$6/12))+M22</f>
        <v>88819.810208333321</v>
      </c>
      <c r="E22" s="304">
        <f t="shared" si="6"/>
        <v>49028.3478885</v>
      </c>
      <c r="F22" s="303">
        <f t="shared" si="0"/>
        <v>-710291.87358333333</v>
      </c>
      <c r="G22" s="304">
        <f t="shared" si="1"/>
        <v>-318579.43805649999</v>
      </c>
      <c r="H22" s="303">
        <f t="shared" si="2"/>
        <v>20606462.576416668</v>
      </c>
      <c r="I22" s="303">
        <f t="shared" si="2"/>
        <v>20998175.0119435</v>
      </c>
      <c r="J22" s="303">
        <f t="shared" si="3"/>
        <v>391712.43552683294</v>
      </c>
      <c r="K22" s="303">
        <f t="shared" si="4"/>
        <v>-82259.611460634915</v>
      </c>
      <c r="L22" s="303">
        <f t="shared" si="5"/>
        <v>8356.2070871647884</v>
      </c>
      <c r="M22" s="361"/>
    </row>
    <row r="23" spans="1:15" ht="15" x14ac:dyDescent="0.25">
      <c r="A23" s="314">
        <v>44834</v>
      </c>
      <c r="B23" s="303">
        <v>21316921.920000002</v>
      </c>
      <c r="C23" s="313">
        <v>21316921.920000002</v>
      </c>
      <c r="D23" s="303">
        <f>(($B$14*$C$6/12)+((B23-$B$14)*$B$6/12))+M23</f>
        <v>88820.508000000016</v>
      </c>
      <c r="E23" s="304">
        <f t="shared" si="6"/>
        <v>49028.727825499998</v>
      </c>
      <c r="F23" s="303">
        <f t="shared" si="0"/>
        <v>-799112.38158333336</v>
      </c>
      <c r="G23" s="304">
        <f t="shared" si="1"/>
        <v>-367608.165882</v>
      </c>
      <c r="H23" s="303">
        <f t="shared" si="2"/>
        <v>20517809.538416669</v>
      </c>
      <c r="I23" s="303">
        <f t="shared" si="2"/>
        <v>20949313.754118003</v>
      </c>
      <c r="J23" s="303">
        <f t="shared" si="3"/>
        <v>431504.21570133418</v>
      </c>
      <c r="K23" s="303">
        <f t="shared" si="4"/>
        <v>-90615.885297280169</v>
      </c>
      <c r="L23" s="303">
        <f t="shared" si="5"/>
        <v>8356.2738366452541</v>
      </c>
      <c r="M23" s="361"/>
      <c r="O23" s="299"/>
    </row>
    <row r="24" spans="1:15" ht="15" x14ac:dyDescent="0.25">
      <c r="A24" s="314">
        <v>44865</v>
      </c>
      <c r="B24" s="303">
        <v>21319434.09</v>
      </c>
      <c r="C24" s="313">
        <v>21319434.09</v>
      </c>
      <c r="D24" s="303">
        <f>(($B$14*$C$6/12)+((B24-$B$14)*$B$6/12))+M24</f>
        <v>88830.975374999995</v>
      </c>
      <c r="E24" s="304">
        <f t="shared" si="6"/>
        <v>49031.809411500006</v>
      </c>
      <c r="F24" s="303">
        <f t="shared" si="0"/>
        <v>-887943.3569583334</v>
      </c>
      <c r="G24" s="304">
        <f t="shared" si="1"/>
        <v>-416639.9752935</v>
      </c>
      <c r="H24" s="303">
        <f t="shared" si="2"/>
        <v>20431490.733041666</v>
      </c>
      <c r="I24" s="303">
        <f t="shared" si="2"/>
        <v>20902794.114706501</v>
      </c>
      <c r="J24" s="303">
        <f t="shared" si="3"/>
        <v>471303.38166483492</v>
      </c>
      <c r="K24" s="303">
        <f t="shared" si="4"/>
        <v>-98973.710149615334</v>
      </c>
      <c r="L24" s="303">
        <f t="shared" si="5"/>
        <v>8357.8248523351649</v>
      </c>
      <c r="M24" s="361"/>
      <c r="N24" s="299"/>
      <c r="O24" s="299"/>
    </row>
    <row r="25" spans="1:15" ht="15" x14ac:dyDescent="0.25">
      <c r="A25" s="314">
        <v>44895</v>
      </c>
      <c r="B25" s="303">
        <v>21324269.899999999</v>
      </c>
      <c r="C25" s="313">
        <v>21324269.899999999</v>
      </c>
      <c r="D25" s="303">
        <f>(($B$14*$C$6/12)+((B25-$B$14)*$B$6/12))+M25</f>
        <v>88851.124583333323</v>
      </c>
      <c r="E25" s="304">
        <f t="shared" si="6"/>
        <v>49040.259588499997</v>
      </c>
      <c r="F25" s="303">
        <f t="shared" si="0"/>
        <v>-976794.48154166667</v>
      </c>
      <c r="G25" s="304">
        <f t="shared" si="1"/>
        <v>-465680.23488200002</v>
      </c>
      <c r="H25" s="303">
        <f t="shared" si="2"/>
        <v>20347475.418458331</v>
      </c>
      <c r="I25" s="303">
        <f t="shared" si="2"/>
        <v>20858589.665117998</v>
      </c>
      <c r="J25" s="303">
        <f t="shared" si="3"/>
        <v>511114.2466596663</v>
      </c>
      <c r="K25" s="303">
        <f t="shared" si="4"/>
        <v>-107333.99179852993</v>
      </c>
      <c r="L25" s="303">
        <f t="shared" si="5"/>
        <v>8360.2816489145916</v>
      </c>
      <c r="M25" s="361"/>
      <c r="N25" s="315"/>
      <c r="O25" s="299"/>
    </row>
    <row r="26" spans="1:15" ht="15" x14ac:dyDescent="0.25">
      <c r="A26" s="314">
        <v>44926</v>
      </c>
      <c r="B26" s="303">
        <v>21328297.27</v>
      </c>
      <c r="C26" s="313">
        <v>21328297.27</v>
      </c>
      <c r="D26" s="303">
        <f>(($B$14*$C$6/12)+((B26-$B$14)*$B$6/12))+M26</f>
        <v>88867.90529166667</v>
      </c>
      <c r="E26" s="304">
        <f>+(C25*$E$10/12)+(((C26-C25)*$E$10/12)*0.5)</f>
        <v>49050.45224549999</v>
      </c>
      <c r="F26" s="303">
        <f t="shared" si="0"/>
        <v>-1065662.3868333334</v>
      </c>
      <c r="G26" s="304">
        <f t="shared" si="1"/>
        <v>-514730.68712750002</v>
      </c>
      <c r="H26" s="303">
        <f t="shared" si="2"/>
        <v>20262634.883166667</v>
      </c>
      <c r="I26" s="303">
        <f t="shared" si="2"/>
        <v>20813566.582872499</v>
      </c>
      <c r="J26" s="303">
        <f t="shared" si="3"/>
        <v>550931.69970583171</v>
      </c>
      <c r="K26" s="303">
        <f t="shared" si="4"/>
        <v>-115695.65693822465</v>
      </c>
      <c r="L26" s="303">
        <f t="shared" si="5"/>
        <v>8361.6651396947273</v>
      </c>
      <c r="M26" s="361"/>
      <c r="O26" s="299"/>
    </row>
    <row r="27" spans="1:15" ht="15" x14ac:dyDescent="0.25">
      <c r="A27" s="314">
        <v>44957</v>
      </c>
      <c r="B27" s="303">
        <v>21328297.27</v>
      </c>
      <c r="C27" s="313">
        <v>21328297.27</v>
      </c>
      <c r="D27" s="303">
        <f>(($B$14*$D$6/12)+(($B$26-$B$14)*$C$6/12)+((B27-$B$26)*$B$6/12))</f>
        <v>168849.02005416667</v>
      </c>
      <c r="E27" s="304">
        <f>+(C26*$E$10/12)+(((C27-C26)*$E$10/12)*0.5)</f>
        <v>49055.083721000003</v>
      </c>
      <c r="F27" s="303">
        <f t="shared" si="0"/>
        <v>-1234511.4068875001</v>
      </c>
      <c r="G27" s="304">
        <f t="shared" si="1"/>
        <v>-563785.77084850008</v>
      </c>
      <c r="H27" s="303">
        <f t="shared" si="2"/>
        <v>20093785.863112498</v>
      </c>
      <c r="I27" s="303">
        <f t="shared" si="2"/>
        <v>20764511.499151498</v>
      </c>
      <c r="J27" s="303">
        <f t="shared" si="3"/>
        <v>670725.636039</v>
      </c>
      <c r="K27" s="303">
        <f t="shared" si="4"/>
        <v>-140852.38356819001</v>
      </c>
      <c r="L27" s="303">
        <f t="shared" si="5"/>
        <v>25156.726629965357</v>
      </c>
      <c r="M27" s="361"/>
      <c r="O27" s="299"/>
    </row>
    <row r="28" spans="1:15" ht="15" x14ac:dyDescent="0.25">
      <c r="A28" s="314">
        <v>44985</v>
      </c>
      <c r="B28" s="303">
        <v>21328302.489999998</v>
      </c>
      <c r="C28" s="313">
        <v>21328302.489999998</v>
      </c>
      <c r="D28" s="303">
        <f>(($B$14*$D$6/12)+(($B$26-$B$14)*$C$6/12)+((B28-$B$26)*$B$6/12))</f>
        <v>168849.04180416666</v>
      </c>
      <c r="E28" s="304">
        <f>+(C27*$E$10/12)+(((C28-C27)*$E$10/12)*0.5)</f>
        <v>49055.089724000005</v>
      </c>
      <c r="F28" s="303">
        <f t="shared" si="0"/>
        <v>-1403360.4486916668</v>
      </c>
      <c r="G28" s="304">
        <f t="shared" si="1"/>
        <v>-612840.86057250004</v>
      </c>
      <c r="H28" s="303">
        <f t="shared" si="2"/>
        <v>19924942.041308332</v>
      </c>
      <c r="I28" s="303">
        <f t="shared" si="2"/>
        <v>20715461.6294275</v>
      </c>
      <c r="J28" s="303">
        <f t="shared" si="3"/>
        <v>790519.58811916783</v>
      </c>
      <c r="K28" s="303">
        <f t="shared" si="4"/>
        <v>-166009.11350502525</v>
      </c>
      <c r="L28" s="303">
        <f t="shared" si="5"/>
        <v>25156.72993683524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21328302.489999998</v>
      </c>
      <c r="C29" s="313">
        <v>21328302.489999998</v>
      </c>
      <c r="D29" s="303">
        <f>(($B$14*$D$6/12)+(($B$26-$B$14)*$C$6/12)+(($B$38-$B$26)*$B$6/12))</f>
        <v>168849.04180416666</v>
      </c>
      <c r="E29" s="304">
        <f>+(C28*$E$10/12)+(((C29-C28)*$E$10/12)*0.5)</f>
        <v>49055.095727</v>
      </c>
      <c r="F29" s="303">
        <f>-D29+F28</f>
        <v>-1572209.4904958336</v>
      </c>
      <c r="G29" s="304">
        <f>+G28-E29</f>
        <v>-661895.95629950007</v>
      </c>
      <c r="H29" s="303">
        <f>B29+F29</f>
        <v>19756092.999504164</v>
      </c>
      <c r="I29" s="303">
        <f>C29+G29</f>
        <v>20666406.5337005</v>
      </c>
      <c r="J29" s="303">
        <f>I29-H29</f>
        <v>910313.53419633582</v>
      </c>
      <c r="K29" s="303">
        <f>-J29*$K$11</f>
        <v>-191165.84218123052</v>
      </c>
      <c r="L29" s="303">
        <f>-K29+K28</f>
        <v>25156.728676205268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21328302.489999998</v>
      </c>
      <c r="C30" s="313">
        <f>C29</f>
        <v>21328302.489999998</v>
      </c>
      <c r="D30" s="303">
        <f>(($B$14*$D$6/12)+(($B$26-$B$14)*$C$6/12)+(($B$38-$B$26)*$B$6/12))</f>
        <v>168849.04180416666</v>
      </c>
      <c r="E30" s="304">
        <f>+(C29*$E$10/12)+(((C30-C29)*$E$10/12)*0.5)</f>
        <v>49055.095727</v>
      </c>
      <c r="F30" s="303">
        <f>-D30+F29</f>
        <v>-1741058.5323000003</v>
      </c>
      <c r="G30" s="304">
        <f>+G29-E30</f>
        <v>-710951.05202650011</v>
      </c>
      <c r="H30" s="303">
        <f>B30+F30</f>
        <v>19587243.957699999</v>
      </c>
      <c r="I30" s="303">
        <f>C30+G30</f>
        <v>20617351.437973499</v>
      </c>
      <c r="J30" s="303">
        <f>I30-H30</f>
        <v>1030107.4802735001</v>
      </c>
      <c r="K30" s="303">
        <f>-J30*$K$11</f>
        <v>-216322.570857435</v>
      </c>
      <c r="L30" s="303">
        <f>-K30+K29</f>
        <v>25156.728676204482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21328302.489999998</v>
      </c>
      <c r="C31" s="313">
        <f>C30</f>
        <v>21328302.489999998</v>
      </c>
      <c r="D31" s="303">
        <f>(($B$14*$D$6/12)+(($B$26-$B$14)*$C$6/12)+(($B$38-$B$26)*$B$6/12))</f>
        <v>168849.04180416666</v>
      </c>
      <c r="E31" s="304">
        <f>+(C30*$E$10/12)+(((C31-C30)*$E$10/12)*0.5)</f>
        <v>49055.095727</v>
      </c>
      <c r="F31" s="303">
        <f>-D31+F30</f>
        <v>-1909907.5741041671</v>
      </c>
      <c r="G31" s="304">
        <f>+G30-E31</f>
        <v>-760006.14775350015</v>
      </c>
      <c r="H31" s="303">
        <f>B31+F31</f>
        <v>19418394.915895831</v>
      </c>
      <c r="I31" s="303">
        <f>C31+G31</f>
        <v>20568296.342246499</v>
      </c>
      <c r="J31" s="303">
        <f>I31-H31</f>
        <v>1149901.4263506681</v>
      </c>
      <c r="K31" s="303">
        <f>-J31*$K$11</f>
        <v>-241479.2995336403</v>
      </c>
      <c r="L31" s="303">
        <f>-K31+K30</f>
        <v>25156.728676205297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21328302.489999998</v>
      </c>
      <c r="C32" s="313">
        <f>C31</f>
        <v>21328302.489999998</v>
      </c>
      <c r="D32" s="303">
        <f>(($B$14*$D$6/12)+(($B$26-$B$14)*$C$6/12)+(($B$38-$B$26)*$B$6/12))</f>
        <v>168849.04180416666</v>
      </c>
      <c r="E32" s="304">
        <f>+(C31*$E$10/12)+(((C32-C31)*$E$10/12)*0.5)</f>
        <v>49055.095727</v>
      </c>
      <c r="F32" s="303">
        <f>-D32+F31</f>
        <v>-2078756.6159083338</v>
      </c>
      <c r="G32" s="304">
        <f>+G31-E32</f>
        <v>-809061.24348050018</v>
      </c>
      <c r="H32" s="303">
        <f>B32+F32</f>
        <v>19249545.874091666</v>
      </c>
      <c r="I32" s="303">
        <f>C32+G32</f>
        <v>20519241.246519499</v>
      </c>
      <c r="J32" s="303">
        <f>I32-H32</f>
        <v>1269695.3724278323</v>
      </c>
      <c r="K32" s="303">
        <f>-J32*$K$11</f>
        <v>-266636.02820984478</v>
      </c>
      <c r="L32" s="303">
        <f>-K32+K31</f>
        <v>25156.728676204482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21328302.489999998</v>
      </c>
      <c r="C33" s="313">
        <f>C32</f>
        <v>21328302.489999998</v>
      </c>
      <c r="D33" s="303">
        <f>(($B$14*$D$6/12)+(($B$26-$B$14)*$C$6/12)+(($B$38-$B$26)*$B$6/12))</f>
        <v>168849.04180416666</v>
      </c>
      <c r="E33" s="304">
        <f>+(C32*$E$10/12)+(((C33-C32)*$E$10/12)*0.5)</f>
        <v>49055.095727</v>
      </c>
      <c r="F33" s="303">
        <f>-D33+F32</f>
        <v>-2247605.6577125005</v>
      </c>
      <c r="G33" s="304">
        <f>+G32-E33</f>
        <v>-858116.33920750022</v>
      </c>
      <c r="H33" s="303">
        <f>B33+F33</f>
        <v>19080696.832287498</v>
      </c>
      <c r="I33" s="303">
        <f>C33+G33</f>
        <v>20470186.150792498</v>
      </c>
      <c r="J33" s="303">
        <f>I33-H33</f>
        <v>1389489.3185050003</v>
      </c>
      <c r="K33" s="303">
        <f>-J33*$K$11</f>
        <v>-291792.75688605005</v>
      </c>
      <c r="L33" s="303">
        <f>-K33+K32</f>
        <v>25156.728676205268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21328302.489999998</v>
      </c>
      <c r="C34" s="313">
        <f>C33</f>
        <v>21328302.489999998</v>
      </c>
      <c r="D34" s="303">
        <f>(($B$14*$D$6/12)+(($B$26-$B$14)*$C$6/12)+(($B$38-$B$26)*$B$6/12))</f>
        <v>168849.04180416666</v>
      </c>
      <c r="E34" s="304">
        <f>+(C33*$E$10/12)+(((C34-C33)*$E$10/12)*0.5)</f>
        <v>49055.095727</v>
      </c>
      <c r="F34" s="303">
        <f>-D34+F33</f>
        <v>-2416454.6995166671</v>
      </c>
      <c r="G34" s="304">
        <f>+G33-E34</f>
        <v>-907171.43493450026</v>
      </c>
      <c r="H34" s="303">
        <f>B34+F34</f>
        <v>18911847.790483333</v>
      </c>
      <c r="I34" s="303">
        <f>C34+G34</f>
        <v>20421131.055065498</v>
      </c>
      <c r="J34" s="303">
        <f>I34-H34</f>
        <v>1509283.2645821646</v>
      </c>
      <c r="K34" s="303">
        <f>-J34*$K$11</f>
        <v>-316949.48556225456</v>
      </c>
      <c r="L34" s="303">
        <f>-K34+K33</f>
        <v>25156.728676204511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21328302.489999998</v>
      </c>
      <c r="C35" s="313">
        <f>C34</f>
        <v>21328302.489999998</v>
      </c>
      <c r="D35" s="303">
        <f>(($B$14*$D$6/12)+(($B$26-$B$14)*$C$6/12)+(($B$38-$B$26)*$B$6/12))</f>
        <v>168849.04180416666</v>
      </c>
      <c r="E35" s="304">
        <f>+(C34*$E$10/12)+(((C35-C34)*$E$10/12)*0.5)</f>
        <v>49055.095727</v>
      </c>
      <c r="F35" s="303">
        <f>-D35+F34</f>
        <v>-2585303.7413208336</v>
      </c>
      <c r="G35" s="304">
        <f>+G34-E35</f>
        <v>-956226.53066150029</v>
      </c>
      <c r="H35" s="303">
        <f>B35+F35</f>
        <v>18742998.748679165</v>
      </c>
      <c r="I35" s="303">
        <f>C35+G35</f>
        <v>20372075.959338497</v>
      </c>
      <c r="J35" s="303">
        <f>I35-H35</f>
        <v>1629077.2106593326</v>
      </c>
      <c r="K35" s="303">
        <f>-J35*$K$11</f>
        <v>-342106.21423845983</v>
      </c>
      <c r="L35" s="303">
        <f>-K35+K34</f>
        <v>25156.728676205268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21328302.489999998</v>
      </c>
      <c r="C36" s="313">
        <f>C35</f>
        <v>21328302.489999998</v>
      </c>
      <c r="D36" s="303">
        <f>(($B$14*$D$6/12)+(($B$26-$B$14)*$C$6/12)+(($B$38-$B$26)*$B$6/12))</f>
        <v>168849.04180416666</v>
      </c>
      <c r="E36" s="304">
        <f>+(C35*$E$10/12)+(((C36-C35)*$E$10/12)*0.5)</f>
        <v>49055.095727</v>
      </c>
      <c r="F36" s="303">
        <f>-D36+F35</f>
        <v>-2754152.7831250001</v>
      </c>
      <c r="G36" s="304">
        <f>+G35-E36</f>
        <v>-1005281.6263885003</v>
      </c>
      <c r="H36" s="303">
        <f>B36+F36</f>
        <v>18574149.706874996</v>
      </c>
      <c r="I36" s="303">
        <f>C36+G36</f>
        <v>20323020.863611497</v>
      </c>
      <c r="J36" s="303">
        <f>I36-H36</f>
        <v>1748871.1567365006</v>
      </c>
      <c r="K36" s="303">
        <f>-J36*$K$11</f>
        <v>-367262.94291466509</v>
      </c>
      <c r="L36" s="303">
        <f>-K36+K35</f>
        <v>25156.728676205268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21328302.489999998</v>
      </c>
      <c r="C37" s="313">
        <f>C36</f>
        <v>21328302.489999998</v>
      </c>
      <c r="D37" s="303">
        <f>(($B$14*$D$6/12)+(($B$26-$B$14)*$C$6/12)+(($B$38-$B$26)*$B$6/12))</f>
        <v>168849.04180416666</v>
      </c>
      <c r="E37" s="304">
        <f>+(C36*$E$10/12)+(((C37-C36)*$E$10/12)*0.5)</f>
        <v>49055.095727</v>
      </c>
      <c r="F37" s="303">
        <f>-D37+F36</f>
        <v>-2923001.8249291666</v>
      </c>
      <c r="G37" s="304">
        <f>+G36-E37</f>
        <v>-1054336.7221155004</v>
      </c>
      <c r="H37" s="303">
        <f>B37+F37</f>
        <v>18405300.665070832</v>
      </c>
      <c r="I37" s="303">
        <f>C37+G37</f>
        <v>20273965.767884497</v>
      </c>
      <c r="J37" s="303">
        <f>I37-H37</f>
        <v>1868665.1028136648</v>
      </c>
      <c r="K37" s="303">
        <f>-J37*$K$11</f>
        <v>-392419.67159086961</v>
      </c>
      <c r="L37" s="303">
        <f>-K37+K36</f>
        <v>25156.728676204511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21328302.489999998</v>
      </c>
      <c r="C38" s="313">
        <f>C37</f>
        <v>21328302.489999998</v>
      </c>
      <c r="D38" s="303">
        <f>(($B$14*$D$6/12)+(($B$26-$B$14)*$C$6/12)+(($B$38-$B$26)*$B$6/12))</f>
        <v>168849.04180416666</v>
      </c>
      <c r="E38" s="304">
        <f>+(C37*$E$10/12)+(((C38-C37)*$E$10/12)*0.5)</f>
        <v>49055.095727</v>
      </c>
      <c r="F38" s="303">
        <f>-D38+F37</f>
        <v>-3091850.8667333331</v>
      </c>
      <c r="G38" s="304">
        <f>+G37-E38</f>
        <v>-1103391.8178425003</v>
      </c>
      <c r="H38" s="303">
        <f>B38+F38</f>
        <v>18236451.623266667</v>
      </c>
      <c r="I38" s="303">
        <f>C38+G38</f>
        <v>20224910.672157496</v>
      </c>
      <c r="J38" s="303">
        <f>I38-H38</f>
        <v>1988459.0488908291</v>
      </c>
      <c r="K38" s="303">
        <f>-J38*$K$11</f>
        <v>-417576.40026707412</v>
      </c>
      <c r="L38" s="303">
        <f>-K38+K37</f>
        <v>25156.728676204511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21328302.489999998</v>
      </c>
      <c r="C39" s="313">
        <f>C38</f>
        <v>21328302.489999998</v>
      </c>
      <c r="D39" s="303">
        <f>(($B$14*$E$6/12)+(($B$26-$B$14)*$D$6/12)+(($B$38-$B$26)*$C$6/12)+(($B$50-$B$38)*$B$6/12))</f>
        <v>151964.15937375001</v>
      </c>
      <c r="E39" s="304">
        <f>+(C38*$E$10/12)+(((C39-C38)*$E$10/12)*0.5)</f>
        <v>49055.095727</v>
      </c>
      <c r="F39" s="303">
        <f>-D39+F38</f>
        <v>-3243815.0261070831</v>
      </c>
      <c r="G39" s="304">
        <f>+G38-E39</f>
        <v>-1152446.9135695002</v>
      </c>
      <c r="H39" s="303">
        <f>B39+F39</f>
        <v>18084487.463892914</v>
      </c>
      <c r="I39" s="303">
        <f>C39+G39</f>
        <v>20175855.5764305</v>
      </c>
      <c r="J39" s="303">
        <f>I39-H39</f>
        <v>2091368.1125375852</v>
      </c>
      <c r="K39" s="303">
        <f>-J39*$K$11</f>
        <v>-439187.3036328929</v>
      </c>
      <c r="L39" s="303">
        <f>-K39+K38</f>
        <v>21610.903365818784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21328302.489999998</v>
      </c>
      <c r="C40" s="313">
        <f>C39</f>
        <v>21328302.489999998</v>
      </c>
      <c r="D40" s="303">
        <f>(($B$14*$E$6/12)+(($B$26-$B$14)*$D$6/12)+(($B$38-$B$26)*$C$6/12)+(($B$50-$B$38)*$B$6/12))</f>
        <v>151964.15937375001</v>
      </c>
      <c r="E40" s="304">
        <f>+(C39*$E$10/12)+(((C40-C39)*$E$10/12)*0.5)</f>
        <v>49055.095727</v>
      </c>
      <c r="F40" s="303">
        <f>-D40+F39</f>
        <v>-3395779.1854808331</v>
      </c>
      <c r="G40" s="304">
        <f>+G39-E40</f>
        <v>-1201502.0092965001</v>
      </c>
      <c r="H40" s="303">
        <f>B40+F40</f>
        <v>17932523.304519165</v>
      </c>
      <c r="I40" s="303">
        <f>C40+G40</f>
        <v>20126800.480703499</v>
      </c>
      <c r="J40" s="303">
        <f>I40-H40</f>
        <v>2194277.1761843339</v>
      </c>
      <c r="K40" s="303">
        <f>-J40*$K$11</f>
        <v>-460798.20699871011</v>
      </c>
      <c r="L40" s="303">
        <f>-K40+K39</f>
        <v>21610.903365817212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21328302.489999998</v>
      </c>
      <c r="C41" s="313">
        <f>C40</f>
        <v>21328302.489999998</v>
      </c>
      <c r="D41" s="303">
        <f>(($B$14*$E$6/12)+(($B$26-$B$14)*$D$6/12)+(($B$38-$B$26)*$C$6/12)+(($B$50-$B$38)*$B$6/12))</f>
        <v>151964.15937375001</v>
      </c>
      <c r="E41" s="304">
        <f>+(C40*$E$10/12)+(((C41-C40)*$E$10/12)*0.5)</f>
        <v>49055.095727</v>
      </c>
      <c r="F41" s="303">
        <f>-D41+F40</f>
        <v>-3547743.344854583</v>
      </c>
      <c r="G41" s="304">
        <f>+G40-E41</f>
        <v>-1250557.1050235</v>
      </c>
      <c r="H41" s="303">
        <f>B41+F41</f>
        <v>17780559.145145416</v>
      </c>
      <c r="I41" s="303">
        <f>C41+G41</f>
        <v>20077745.384976499</v>
      </c>
      <c r="J41" s="303">
        <f>I41-H41</f>
        <v>2297186.2398310825</v>
      </c>
      <c r="K41" s="303">
        <f>-J41*$K$11</f>
        <v>-482409.11036452733</v>
      </c>
      <c r="L41" s="303">
        <f>-K41+K40</f>
        <v>21610.903365817212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21328302.489999998</v>
      </c>
      <c r="C42" s="313">
        <f>C41</f>
        <v>21328302.489999998</v>
      </c>
      <c r="D42" s="303">
        <f>(($B$14*$E$6/12)+(($B$26-$B$14)*$D$6/12)+(($B$38-$B$26)*$C$6/12)+(($B$50-$B$38)*$B$6/12))</f>
        <v>151964.15937375001</v>
      </c>
      <c r="E42" s="304">
        <f>+(C41*$E$10/12)+(((C42-C41)*$E$10/12)*0.5)</f>
        <v>49055.095727</v>
      </c>
      <c r="F42" s="303">
        <f>-D42+F41</f>
        <v>-3699707.504228333</v>
      </c>
      <c r="G42" s="304">
        <f>+G41-E42</f>
        <v>-1299612.2007505</v>
      </c>
      <c r="H42" s="303">
        <f>B42+F42</f>
        <v>17628594.985771663</v>
      </c>
      <c r="I42" s="303">
        <f>C42+G42</f>
        <v>20028690.289249498</v>
      </c>
      <c r="J42" s="303">
        <f>I42-H42</f>
        <v>2400095.3034778349</v>
      </c>
      <c r="K42" s="303">
        <f>-J42*$K$11</f>
        <v>-504020.01373034529</v>
      </c>
      <c r="L42" s="303">
        <f>-K42+K41</f>
        <v>21610.903365817969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21328302.489999998</v>
      </c>
      <c r="C43" s="313">
        <f>C42</f>
        <v>21328302.489999998</v>
      </c>
      <c r="D43" s="303">
        <f>(($B$14*$E$6/12)+(($B$26-$B$14)*$D$6/12)+(($B$38-$B$26)*$C$6/12)+(($B$50-$B$38)*$B$6/12))</f>
        <v>151964.15937375001</v>
      </c>
      <c r="E43" s="304">
        <f>+(C42*$E$10/12)+(((C43-C42)*$E$10/12)*0.5)</f>
        <v>49055.095727</v>
      </c>
      <c r="F43" s="303">
        <f>-D43+F42</f>
        <v>-3851671.663602083</v>
      </c>
      <c r="G43" s="304">
        <f>+G42-E43</f>
        <v>-1348667.2964774999</v>
      </c>
      <c r="H43" s="303">
        <f>B43+F43</f>
        <v>17476630.826397914</v>
      </c>
      <c r="I43" s="303">
        <f>C43+G43</f>
        <v>19979635.193522498</v>
      </c>
      <c r="J43" s="303">
        <f>I43-H43</f>
        <v>2503004.3671245836</v>
      </c>
      <c r="K43" s="303">
        <f>-J43*$K$11</f>
        <v>-525630.91709616256</v>
      </c>
      <c r="L43" s="303">
        <f>-K43+K42</f>
        <v>21610.90336581727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21328302.489999998</v>
      </c>
      <c r="C44" s="313">
        <f>C43</f>
        <v>21328302.489999998</v>
      </c>
      <c r="D44" s="303">
        <f>(($B$14*$E$6/12)+(($B$26-$B$14)*$D$6/12)+(($B$38-$B$26)*$C$6/12)+(($B$50-$B$38)*$B$6/12))</f>
        <v>151964.15937375001</v>
      </c>
      <c r="E44" s="304">
        <f>+(C43*$E$10/12)+(((C44-C43)*$E$10/12)*0.5)</f>
        <v>49055.095727</v>
      </c>
      <c r="F44" s="303">
        <f>-D44+F43</f>
        <v>-4003635.822975833</v>
      </c>
      <c r="G44" s="304">
        <f>+G43-E44</f>
        <v>-1397722.3922044998</v>
      </c>
      <c r="H44" s="303">
        <f>B44+F44</f>
        <v>17324666.667024165</v>
      </c>
      <c r="I44" s="303">
        <f>C44+G44</f>
        <v>19930580.097795498</v>
      </c>
      <c r="J44" s="303">
        <f>I44-H44</f>
        <v>2605913.4307713322</v>
      </c>
      <c r="K44" s="303">
        <f>-J44*$K$11</f>
        <v>-547241.82046197972</v>
      </c>
      <c r="L44" s="303">
        <f>-K44+K43</f>
        <v>21610.903365817154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21328302.489999998</v>
      </c>
      <c r="C45" s="313">
        <f>C44</f>
        <v>21328302.489999998</v>
      </c>
      <c r="D45" s="303">
        <f>(($B$14*$E$6/12)+(($B$26-$B$14)*$D$6/12)+(($B$38-$B$26)*$C$6/12)+(($B$50-$B$38)*$B$6/12))</f>
        <v>151964.15937375001</v>
      </c>
      <c r="E45" s="304">
        <f>+(C44*$E$10/12)+(((C45-C44)*$E$10/12)*0.5)</f>
        <v>49055.095727</v>
      </c>
      <c r="F45" s="303">
        <f>-D45+F44</f>
        <v>-4155599.9823495829</v>
      </c>
      <c r="G45" s="304">
        <f>+G44-E45</f>
        <v>-1446777.4879314997</v>
      </c>
      <c r="H45" s="303">
        <f>B45+F45</f>
        <v>17172702.507650416</v>
      </c>
      <c r="I45" s="303">
        <f>C45+G45</f>
        <v>19881525.002068497</v>
      </c>
      <c r="J45" s="303">
        <f>I45-H45</f>
        <v>2708822.4944180809</v>
      </c>
      <c r="K45" s="303">
        <f>-J45*$K$11</f>
        <v>-568852.72382779699</v>
      </c>
      <c r="L45" s="303">
        <f>-K45+K44</f>
        <v>21610.90336581727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21328302.489999998</v>
      </c>
      <c r="C46" s="313">
        <f>C45</f>
        <v>21328302.489999998</v>
      </c>
      <c r="D46" s="303">
        <f>(($B$14*$E$6/12)+(($B$26-$B$14)*$D$6/12)+(($B$38-$B$26)*$C$6/12)+(($B$50-$B$38)*$B$6/12))</f>
        <v>151964.15937375001</v>
      </c>
      <c r="E46" s="304">
        <f>+(C45*$E$10/12)+(((C46-C45)*$E$10/12)*0.5)</f>
        <v>49055.095727</v>
      </c>
      <c r="F46" s="303">
        <f>-D46+F45</f>
        <v>-4307564.1417233329</v>
      </c>
      <c r="G46" s="304">
        <f>+G45-E46</f>
        <v>-1495832.5836584996</v>
      </c>
      <c r="H46" s="303">
        <f>B46+F46</f>
        <v>17020738.348276667</v>
      </c>
      <c r="I46" s="303">
        <f>C46+G46</f>
        <v>19832469.906341501</v>
      </c>
      <c r="J46" s="303">
        <f>I46-H46</f>
        <v>2811731.5580648333</v>
      </c>
      <c r="K46" s="303">
        <f>-J46*$K$11</f>
        <v>-590463.62719361496</v>
      </c>
      <c r="L46" s="303">
        <f>-K46+K45</f>
        <v>21610.903365817969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21328302.489999998</v>
      </c>
      <c r="C47" s="313">
        <f>C46</f>
        <v>21328302.489999998</v>
      </c>
      <c r="D47" s="303">
        <f>(($B$14*$E$6/12)+(($B$26-$B$14)*$D$6/12)+(($B$38-$B$26)*$C$6/12)+(($B$50-$B$38)*$B$6/12))</f>
        <v>151964.15937375001</v>
      </c>
      <c r="E47" s="304">
        <f>+(C46*$E$10/12)+(((C47-C46)*$E$10/12)*0.5)</f>
        <v>49055.095727</v>
      </c>
      <c r="F47" s="303">
        <f>-D47+F46</f>
        <v>-4459528.3010970829</v>
      </c>
      <c r="G47" s="304">
        <f>+G46-E47</f>
        <v>-1544887.6793854996</v>
      </c>
      <c r="H47" s="303">
        <f>B47+F47</f>
        <v>16868774.188902915</v>
      </c>
      <c r="I47" s="303">
        <f>C47+G47</f>
        <v>19783414.8106145</v>
      </c>
      <c r="J47" s="303">
        <f>I47-H47</f>
        <v>2914640.6217115857</v>
      </c>
      <c r="K47" s="303">
        <f>-J47*$K$11</f>
        <v>-612074.53055943293</v>
      </c>
      <c r="L47" s="303">
        <f>-K47+K46</f>
        <v>21610.903365817969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21328302.489999998</v>
      </c>
      <c r="C48" s="313">
        <f>C47</f>
        <v>21328302.489999998</v>
      </c>
      <c r="D48" s="303">
        <f>(($B$14*$E$6/12)+(($B$26-$B$14)*$D$6/12)+(($B$38-$B$26)*$C$6/12)+(($B$50-$B$38)*$B$6/12))</f>
        <v>151964.15937375001</v>
      </c>
      <c r="E48" s="304">
        <f>+(C47*$E$10/12)+(((C48-C47)*$E$10/12)*0.5)</f>
        <v>49055.095727</v>
      </c>
      <c r="F48" s="303">
        <f>-D48+F47</f>
        <v>-4611492.4604708329</v>
      </c>
      <c r="G48" s="304">
        <f>+G47-E48</f>
        <v>-1593942.7751124995</v>
      </c>
      <c r="H48" s="303">
        <f>B48+F48</f>
        <v>16716810.029529165</v>
      </c>
      <c r="I48" s="303">
        <f>C48+G48</f>
        <v>19734359.7148875</v>
      </c>
      <c r="J48" s="303">
        <f>I48-H48</f>
        <v>3017549.6853583343</v>
      </c>
      <c r="K48" s="303">
        <f>-J48*$K$11</f>
        <v>-633685.4339252502</v>
      </c>
      <c r="L48" s="303">
        <f>-K48+K47</f>
        <v>21610.90336581727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21328302.489999998</v>
      </c>
      <c r="C49" s="313">
        <f>C48</f>
        <v>21328302.489999998</v>
      </c>
      <c r="D49" s="303">
        <f>(($B$14*$E$6/12)+(($B$26-$B$14)*$D$6/12)+(($B$38-$B$26)*$C$6/12)+(($B$50-$B$38)*$B$6/12))</f>
        <v>151964.15937375001</v>
      </c>
      <c r="E49" s="304">
        <f>+(C48*$E$10/12)+(((C49-C48)*$E$10/12)*0.5)</f>
        <v>49055.095727</v>
      </c>
      <c r="F49" s="303">
        <f>-D49+F48</f>
        <v>-4763456.6198445829</v>
      </c>
      <c r="G49" s="304">
        <f>+G48-E49</f>
        <v>-1642997.8708394994</v>
      </c>
      <c r="H49" s="303">
        <f>B49+F49</f>
        <v>16564845.870155416</v>
      </c>
      <c r="I49" s="303">
        <f>C49+G49</f>
        <v>19685304.619160499</v>
      </c>
      <c r="J49" s="303">
        <f>I49-H49</f>
        <v>3120458.749005083</v>
      </c>
      <c r="K49" s="303">
        <f>-J49*$K$11</f>
        <v>-655296.33729106735</v>
      </c>
      <c r="L49" s="303">
        <f>-K49+K48</f>
        <v>21610.903365817154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21328302.489999998</v>
      </c>
      <c r="C50" s="313">
        <f>C49</f>
        <v>21328302.489999998</v>
      </c>
      <c r="D50" s="303">
        <f>(($B$14*$E$6/12)+(($B$26-$B$14)*$D$6/12)+(($B$38-$B$26)*$C$6/12)+(($B$50-$B$38)*$B$6/12))</f>
        <v>151964.15937375001</v>
      </c>
      <c r="E50" s="304">
        <f>+(C49*$E$10/12)+(((C50-C49)*$E$10/12)*0.5)</f>
        <v>49055.095727</v>
      </c>
      <c r="F50" s="303">
        <f>-D50+F49</f>
        <v>-4915420.7792183328</v>
      </c>
      <c r="G50" s="304">
        <f>+G49-E50</f>
        <v>-1692052.9665664993</v>
      </c>
      <c r="H50" s="303">
        <f>B50+F50</f>
        <v>16412881.710781666</v>
      </c>
      <c r="I50" s="303">
        <f>C50+G50</f>
        <v>19636249.523433499</v>
      </c>
      <c r="J50" s="303">
        <f>I50-H50</f>
        <v>3223367.8126518335</v>
      </c>
      <c r="K50" s="303">
        <f>-J50*$K$11</f>
        <v>-676907.24065688497</v>
      </c>
      <c r="L50" s="303">
        <f>-K50+K49</f>
        <v>21610.903365817619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21328302.489999998</v>
      </c>
      <c r="C51" s="313">
        <f>C50</f>
        <v>21328302.489999998</v>
      </c>
      <c r="D51" s="303">
        <f>(($B$14*$F$6/12)+(($B$26-$B$14)*$E$6/12)+(($B$38-$B$26)*$D$6/12)+(($B$50-$B$38)*$C$6/12)+(($B$62-$B$50)*$B$6/12))</f>
        <v>136856.61134166666</v>
      </c>
      <c r="E51" s="304">
        <f>+(C50*$E$10/12)+(((C51-C50)*$E$10/12)*0.5)</f>
        <v>49055.095727</v>
      </c>
      <c r="F51" s="303">
        <f>-D51+F50</f>
        <v>-5052277.3905599993</v>
      </c>
      <c r="G51" s="304">
        <f>+G50-E51</f>
        <v>-1741108.0622934992</v>
      </c>
      <c r="H51" s="303">
        <f>B51+F51</f>
        <v>16276025.099439999</v>
      </c>
      <c r="I51" s="303">
        <f>C51+G51</f>
        <v>19587194.427706499</v>
      </c>
      <c r="J51" s="303">
        <f>I51-H51</f>
        <v>3311169.3282664996</v>
      </c>
      <c r="K51" s="303">
        <f>-J51*$K$11</f>
        <v>-695345.55893596483</v>
      </c>
      <c r="L51" s="303">
        <f>-K51+K50</f>
        <v>18438.31827907986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21328302.489999998</v>
      </c>
      <c r="C52" s="313">
        <f>C51</f>
        <v>21328302.489999998</v>
      </c>
      <c r="D52" s="303">
        <f>(($B$14*$F$6/12)+(($B$26-$B$14)*$E$6/12)+(($B$38-$B$26)*$D$6/12)+(($B$50-$B$38)*$C$6/12)+(($B$62-$B$50)*$B$6/12))</f>
        <v>136856.61134166666</v>
      </c>
      <c r="E52" s="304">
        <f>+(C51*$E$10/12)+(((C52-C51)*$E$10/12)*0.5)</f>
        <v>49055.095727</v>
      </c>
      <c r="F52" s="303">
        <f>-D52+F51</f>
        <v>-5189134.0019016657</v>
      </c>
      <c r="G52" s="304">
        <f>+G51-E52</f>
        <v>-1790163.1580204992</v>
      </c>
      <c r="H52" s="303">
        <f>B52+F52</f>
        <v>16139168.488098333</v>
      </c>
      <c r="I52" s="303">
        <f>C52+G52</f>
        <v>19538139.331979498</v>
      </c>
      <c r="J52" s="303">
        <f>I52-H52</f>
        <v>3398970.8438811656</v>
      </c>
      <c r="K52" s="303">
        <f>-J52*$K$11</f>
        <v>-713783.87721504481</v>
      </c>
      <c r="L52" s="303">
        <f>-K52+K51</f>
        <v>18438.318279079976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21328302.489999998</v>
      </c>
      <c r="C53" s="313">
        <f>C52</f>
        <v>21328302.489999998</v>
      </c>
      <c r="D53" s="303">
        <f>(($B$14*$F$6/12)+(($B$26-$B$14)*$E$6/12)+(($B$38-$B$26)*$D$6/12)+(($B$50-$B$38)*$C$6/12)+(($B$62-$B$50)*$B$6/12))</f>
        <v>136856.61134166666</v>
      </c>
      <c r="E53" s="304">
        <f>+(C52*$E$10/12)+(((C53-C52)*$E$10/12)*0.5)</f>
        <v>49055.095727</v>
      </c>
      <c r="F53" s="303">
        <f>-D53+F52</f>
        <v>-5325990.6132433321</v>
      </c>
      <c r="G53" s="304">
        <f>+G52-E53</f>
        <v>-1839218.2537474991</v>
      </c>
      <c r="H53" s="303">
        <f>B53+F53</f>
        <v>16002311.876756666</v>
      </c>
      <c r="I53" s="303">
        <f>C53+G53</f>
        <v>19489084.236252498</v>
      </c>
      <c r="J53" s="303">
        <f>I53-H53</f>
        <v>3486772.3594958317</v>
      </c>
      <c r="K53" s="303">
        <f>-J53*$K$11</f>
        <v>-732222.19549412467</v>
      </c>
      <c r="L53" s="303">
        <f>-K53+K52</f>
        <v>18438.31827907986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21328302.489999998</v>
      </c>
      <c r="C54" s="313">
        <f>C53</f>
        <v>21328302.489999998</v>
      </c>
      <c r="D54" s="303">
        <f>(($B$14*$F$6/12)+(($B$26-$B$14)*$E$6/12)+(($B$38-$B$26)*$D$6/12)+(($B$50-$B$38)*$C$6/12)+(($B$62-$B$50)*$B$6/12))</f>
        <v>136856.61134166666</v>
      </c>
      <c r="E54" s="304">
        <f>+(C53*$E$10/12)+(((C54-C53)*$E$10/12)*0.5)</f>
        <v>49055.095727</v>
      </c>
      <c r="F54" s="303">
        <f>-D54+F53</f>
        <v>-5462847.2245849986</v>
      </c>
      <c r="G54" s="304">
        <f>+G53-E54</f>
        <v>-1888273.349474499</v>
      </c>
      <c r="H54" s="303">
        <f>B54+F54</f>
        <v>15865455.265415</v>
      </c>
      <c r="I54" s="303">
        <f>C54+G54</f>
        <v>19440029.140525497</v>
      </c>
      <c r="J54" s="303">
        <f>I54-H54</f>
        <v>3574573.8751104977</v>
      </c>
      <c r="K54" s="303">
        <f>-J54*$K$11</f>
        <v>-750660.51377320453</v>
      </c>
      <c r="L54" s="303">
        <f>-K54+K53</f>
        <v>18438.31827907986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21328302.489999998</v>
      </c>
      <c r="C55" s="313">
        <f>C54</f>
        <v>21328302.489999998</v>
      </c>
      <c r="D55" s="303">
        <f>(($B$14*$F$6/12)+(($B$26-$B$14)*$E$6/12)+(($B$38-$B$26)*$D$6/12)+(($B$50-$B$38)*$C$6/12)+(($B$62-$B$50)*$B$6/12))</f>
        <v>136856.61134166666</v>
      </c>
      <c r="E55" s="304">
        <f>+(C54*$E$10/12)+(((C55-C54)*$E$10/12)*0.5)</f>
        <v>49055.095727</v>
      </c>
      <c r="F55" s="303">
        <f>-D55+F54</f>
        <v>-5599703.835926665</v>
      </c>
      <c r="G55" s="304">
        <f>+G54-E55</f>
        <v>-1937328.4452014989</v>
      </c>
      <c r="H55" s="303">
        <f>B55+F55</f>
        <v>15728598.654073333</v>
      </c>
      <c r="I55" s="303">
        <f>C55+G55</f>
        <v>19390974.044798501</v>
      </c>
      <c r="J55" s="303">
        <f>I55-H55</f>
        <v>3662375.3907251675</v>
      </c>
      <c r="K55" s="303">
        <f>-J55*$K$11</f>
        <v>-769098.83205228508</v>
      </c>
      <c r="L55" s="303">
        <f>-K55+K54</f>
        <v>18438.318279080559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21328302.489999998</v>
      </c>
      <c r="C56" s="313">
        <f>C55</f>
        <v>21328302.489999998</v>
      </c>
      <c r="D56" s="303">
        <f>(($B$14*$F$6/12)+(($B$26-$B$14)*$E$6/12)+(($B$38-$B$26)*$D$6/12)+(($B$50-$B$38)*$C$6/12)+(($B$62-$B$50)*$B$6/12))</f>
        <v>136856.61134166666</v>
      </c>
      <c r="E56" s="304">
        <f>+(C55*$E$10/12)+(((C56-C55)*$E$10/12)*0.5)</f>
        <v>49055.095727</v>
      </c>
      <c r="F56" s="303">
        <f>-D56+F55</f>
        <v>-5736560.4472683314</v>
      </c>
      <c r="G56" s="304">
        <f>+G55-E56</f>
        <v>-1986383.5409284988</v>
      </c>
      <c r="H56" s="303">
        <f>B56+F56</f>
        <v>15591742.042731667</v>
      </c>
      <c r="I56" s="303">
        <f>C56+G56</f>
        <v>19341918.9490715</v>
      </c>
      <c r="J56" s="303">
        <f>I56-H56</f>
        <v>3750176.9063398335</v>
      </c>
      <c r="K56" s="303">
        <f>-J56*$K$11</f>
        <v>-787537.15033136506</v>
      </c>
      <c r="L56" s="303">
        <f>-K56+K55</f>
        <v>18438.318279079976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21328302.489999998</v>
      </c>
      <c r="C57" s="313">
        <f>C56</f>
        <v>21328302.489999998</v>
      </c>
      <c r="D57" s="303">
        <f>(($B$14*$F$6/12)+(($B$26-$B$14)*$E$6/12)+(($B$38-$B$26)*$D$6/12)+(($B$50-$B$38)*$C$6/12)+(($B$62-$B$50)*$B$6/12))</f>
        <v>136856.61134166666</v>
      </c>
      <c r="E57" s="304">
        <f>+(C56*$E$10/12)+(((C57-C56)*$E$10/12)*0.5)</f>
        <v>49055.095727</v>
      </c>
      <c r="F57" s="303">
        <f>-D57+F56</f>
        <v>-5873417.0586099979</v>
      </c>
      <c r="G57" s="304">
        <f>+G56-E57</f>
        <v>-2035438.6366554988</v>
      </c>
      <c r="H57" s="303">
        <f>B57+F57</f>
        <v>15454885.431390001</v>
      </c>
      <c r="I57" s="303">
        <f>C57+G57</f>
        <v>19292863.8533445</v>
      </c>
      <c r="J57" s="303">
        <f>I57-H57</f>
        <v>3837978.4219544996</v>
      </c>
      <c r="K57" s="303">
        <f>-J57*$K$11</f>
        <v>-805975.46861044492</v>
      </c>
      <c r="L57" s="303">
        <f>-K57+K56</f>
        <v>18438.31827907986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21328302.489999998</v>
      </c>
      <c r="C58" s="313">
        <f>C57</f>
        <v>21328302.489999998</v>
      </c>
      <c r="D58" s="303">
        <f>(($B$14*$F$6/12)+(($B$26-$B$14)*$E$6/12)+(($B$38-$B$26)*$D$6/12)+(($B$50-$B$38)*$C$6/12)+(($B$62-$B$50)*$B$6/12))</f>
        <v>136856.61134166666</v>
      </c>
      <c r="E58" s="304">
        <f>+(C57*$E$10/12)+(((C58-C57)*$E$10/12)*0.5)</f>
        <v>49055.095727</v>
      </c>
      <c r="F58" s="303">
        <f>-D58+F57</f>
        <v>-6010273.6699516643</v>
      </c>
      <c r="G58" s="304">
        <f>+G57-E58</f>
        <v>-2084493.7323824987</v>
      </c>
      <c r="H58" s="303">
        <f>B58+F58</f>
        <v>15318028.820048334</v>
      </c>
      <c r="I58" s="303">
        <f>C58+G58</f>
        <v>19243808.7576175</v>
      </c>
      <c r="J58" s="303">
        <f>I58-H58</f>
        <v>3925779.9375691656</v>
      </c>
      <c r="K58" s="303">
        <f>-J58*$K$11</f>
        <v>-824413.78688952478</v>
      </c>
      <c r="L58" s="303">
        <f>-K58+K57</f>
        <v>18438.31827907986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21328302.489999998</v>
      </c>
      <c r="C59" s="313">
        <f>C58</f>
        <v>21328302.489999998</v>
      </c>
      <c r="D59" s="303">
        <f>(($B$14*$F$6/12)+(($B$26-$B$14)*$E$6/12)+(($B$38-$B$26)*$D$6/12)+(($B$50-$B$38)*$C$6/12)+(($B$62-$B$50)*$B$6/12))</f>
        <v>136856.61134166666</v>
      </c>
      <c r="E59" s="304">
        <f>+(C58*$E$10/12)+(((C59-C58)*$E$10/12)*0.5)</f>
        <v>49055.095727</v>
      </c>
      <c r="F59" s="303">
        <f>-D59+F58</f>
        <v>-6147130.2812933307</v>
      </c>
      <c r="G59" s="304">
        <f>+G58-E59</f>
        <v>-2133548.8281094986</v>
      </c>
      <c r="H59" s="303">
        <f>B59+F59</f>
        <v>15181172.208706668</v>
      </c>
      <c r="I59" s="303">
        <f>C59+G59</f>
        <v>19194753.661890499</v>
      </c>
      <c r="J59" s="303">
        <f>I59-H59</f>
        <v>4013581.4531838316</v>
      </c>
      <c r="K59" s="303">
        <f>-J59*$K$11</f>
        <v>-842852.10516860464</v>
      </c>
      <c r="L59" s="303">
        <f>-K59+K58</f>
        <v>18438.31827907986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21328302.489999998</v>
      </c>
      <c r="C60" s="313">
        <f>C59</f>
        <v>21328302.489999998</v>
      </c>
      <c r="D60" s="303">
        <f>(($B$14*$F$6/12)+(($B$26-$B$14)*$E$6/12)+(($B$38-$B$26)*$D$6/12)+(($B$50-$B$38)*$C$6/12)+(($B$62-$B$50)*$B$6/12))</f>
        <v>136856.61134166666</v>
      </c>
      <c r="E60" s="304">
        <f>+(C59*$E$10/12)+(((C60-C59)*$E$10/12)*0.5)</f>
        <v>49055.095727</v>
      </c>
      <c r="F60" s="303">
        <f>-D60+F59</f>
        <v>-6283986.8926349971</v>
      </c>
      <c r="G60" s="304">
        <f>+G59-E60</f>
        <v>-2182603.9238364985</v>
      </c>
      <c r="H60" s="303">
        <f>B60+F60</f>
        <v>15044315.597365001</v>
      </c>
      <c r="I60" s="303">
        <f>C60+G60</f>
        <v>19145698.566163499</v>
      </c>
      <c r="J60" s="303">
        <f>I60-H60</f>
        <v>4101382.9687984977</v>
      </c>
      <c r="K60" s="303">
        <f>-J60*$K$11</f>
        <v>-861290.4234476845</v>
      </c>
      <c r="L60" s="303">
        <f>-K60+K59</f>
        <v>18438.31827907986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21328302.489999998</v>
      </c>
      <c r="C61" s="313">
        <f>C60</f>
        <v>21328302.489999998</v>
      </c>
      <c r="D61" s="303">
        <f>(($B$14*$F$6/12)+(($B$26-$B$14)*$E$6/12)+(($B$38-$B$26)*$D$6/12)+(($B$50-$B$38)*$C$6/12)+(($B$62-$B$50)*$B$6/12))</f>
        <v>136856.61134166666</v>
      </c>
      <c r="E61" s="304">
        <f>+(C60*$E$10/12)+(((C61-C60)*$E$10/12)*0.5)</f>
        <v>49055.095727</v>
      </c>
      <c r="F61" s="303">
        <f>-D61+F60</f>
        <v>-6420843.5039766636</v>
      </c>
      <c r="G61" s="304">
        <f>+G60-E61</f>
        <v>-2231659.0195634984</v>
      </c>
      <c r="H61" s="303">
        <f>B61+F61</f>
        <v>14907458.986023335</v>
      </c>
      <c r="I61" s="303">
        <f>C61+G61</f>
        <v>19096643.470436499</v>
      </c>
      <c r="J61" s="303">
        <f>I61-H61</f>
        <v>4189184.4844131637</v>
      </c>
      <c r="K61" s="303">
        <f>-J61*$K$11</f>
        <v>-879728.74172676436</v>
      </c>
      <c r="L61" s="303">
        <f>-K61+K60</f>
        <v>18438.31827907986</v>
      </c>
      <c r="M61" s="361"/>
      <c r="N61" s="299"/>
    </row>
    <row r="62" spans="1:15" ht="15" x14ac:dyDescent="0.25">
      <c r="A62" s="314">
        <v>46022</v>
      </c>
      <c r="B62" s="303">
        <f>C62</f>
        <v>21328302.489999998</v>
      </c>
      <c r="C62" s="313">
        <f>C61</f>
        <v>21328302.489999998</v>
      </c>
      <c r="D62" s="303">
        <f>(($B$14*$F$6/12)+(($B$26-$B$14)*$E$6/12)+(($B$38-$B$26)*$D$6/12)+(($B$50-$B$38)*$C$6/12)+(($B$62-$B$50)*$B$6/12))</f>
        <v>136856.61134166666</v>
      </c>
      <c r="E62" s="304">
        <f>+(C61*$E$10/12)+(((C62-C61)*$E$10/12)*0.5)</f>
        <v>49055.095727</v>
      </c>
      <c r="F62" s="303">
        <f>-D62+F61</f>
        <v>-6557700.11531833</v>
      </c>
      <c r="G62" s="304">
        <f>+G61-E62</f>
        <v>-2280714.1152904984</v>
      </c>
      <c r="H62" s="303">
        <f>B62+F62</f>
        <v>14770602.374681668</v>
      </c>
      <c r="I62" s="303">
        <f>C62+G62</f>
        <v>19047588.374709502</v>
      </c>
      <c r="J62" s="303">
        <f>I62-H62</f>
        <v>4276986.0000278335</v>
      </c>
      <c r="K62" s="303">
        <f>-J62*$K$11</f>
        <v>-898167.06000584504</v>
      </c>
      <c r="L62" s="303">
        <f>-K62+K61</f>
        <v>18438.318279080675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21328297.27</v>
      </c>
      <c r="C68" s="285">
        <f>C26</f>
        <v>21328297.27</v>
      </c>
      <c r="D68" s="285">
        <f>SUM(D15:D26)</f>
        <v>1065662.3868333334</v>
      </c>
      <c r="E68" s="285">
        <f>SUM(E15:E26)</f>
        <v>514730.68712750002</v>
      </c>
      <c r="F68" s="285">
        <f>F26</f>
        <v>-1065662.3868333334</v>
      </c>
      <c r="G68" s="285">
        <f>G26</f>
        <v>-514730.68712750002</v>
      </c>
      <c r="H68" s="285">
        <f>H26</f>
        <v>20262634.883166667</v>
      </c>
      <c r="I68" s="285">
        <f>I26</f>
        <v>20813566.582872499</v>
      </c>
      <c r="J68" s="285">
        <f>J26</f>
        <v>550931.69970583171</v>
      </c>
      <c r="K68" s="285">
        <f>K26</f>
        <v>-115695.65693822465</v>
      </c>
      <c r="L68" s="285">
        <f>SUM(L15:L26)</f>
        <v>115695.65693822465</v>
      </c>
      <c r="M68" s="297"/>
      <c r="N68" s="297"/>
    </row>
    <row r="69" spans="1:15" x14ac:dyDescent="0.2">
      <c r="A69" s="301" t="s">
        <v>248</v>
      </c>
      <c r="B69" s="285">
        <f>(B14+B26+SUM(B15:B25)*2)/24</f>
        <v>18649662.577083334</v>
      </c>
      <c r="C69" s="285">
        <f>(C14+C26+SUM(C15:C25)*2)/24</f>
        <v>18649662.577083334</v>
      </c>
      <c r="D69" s="285"/>
      <c r="E69" s="300"/>
      <c r="F69" s="285">
        <f>(F14+F26+SUM(F15:F25)*2)/24</f>
        <v>-532705.02276041673</v>
      </c>
      <c r="G69" s="285">
        <f>(G14+G26+SUM(G15:G25)*2)/24</f>
        <v>-225659.79407877079</v>
      </c>
      <c r="H69" s="285">
        <f>(H14+H26+SUM(H15:H25)*2)/24</f>
        <v>18116957.554322917</v>
      </c>
      <c r="I69" s="285">
        <f>(I14+I26+SUM(I15:I25)*2)/24</f>
        <v>18424002.783004563</v>
      </c>
      <c r="J69" s="285">
        <f>(J14+J26+SUM(J15:J25)*2)/24</f>
        <v>307045.22868164553</v>
      </c>
      <c r="K69" s="285">
        <f>(K14+K26+SUM(K15:K25)*2)/24</f>
        <v>-64479.498023145563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8"/>
  <sheetViews>
    <sheetView workbookViewId="0">
      <pane xSplit="1" ySplit="13" topLeftCell="B14" activePane="bottomRight" state="frozen"/>
      <selection activeCell="E24" sqref="E24"/>
      <selection pane="topRight" activeCell="E24" sqref="E24"/>
      <selection pane="bottomLeft" activeCell="E24" sqref="E24"/>
      <selection pane="bottomRight" activeCell="D14" sqref="D14:L28"/>
    </sheetView>
  </sheetViews>
  <sheetFormatPr defaultColWidth="8.85546875" defaultRowHeight="12.75" x14ac:dyDescent="0.2"/>
  <cols>
    <col min="1" max="1" width="25.7109375" style="295" customWidth="1"/>
    <col min="2" max="2" width="12.42578125" style="295" bestFit="1" customWidth="1"/>
    <col min="3" max="3" width="15.140625" style="295" bestFit="1" customWidth="1"/>
    <col min="4" max="4" width="11.7109375" style="295" bestFit="1" customWidth="1"/>
    <col min="5" max="5" width="13.28515625" style="295" bestFit="1" customWidth="1"/>
    <col min="6" max="6" width="12.140625" style="295" bestFit="1" customWidth="1"/>
    <col min="7" max="7" width="14.5703125" style="295" bestFit="1" customWidth="1"/>
    <col min="8" max="8" width="12.5703125" style="295" bestFit="1" customWidth="1"/>
    <col min="9" max="9" width="12.28515625" style="295" bestFit="1" customWidth="1"/>
    <col min="10" max="10" width="12.140625" style="295" bestFit="1" customWidth="1"/>
    <col min="11" max="11" width="11.140625" style="295" bestFit="1" customWidth="1"/>
    <col min="12" max="12" width="13.140625" style="295" bestFit="1" customWidth="1"/>
    <col min="13" max="13" width="9.7109375" style="295" bestFit="1" customWidth="1"/>
    <col min="14" max="22" width="7.28515625" style="295" bestFit="1" customWidth="1"/>
    <col min="23" max="23" width="9.28515625" style="295" bestFit="1" customWidth="1"/>
    <col min="24" max="16384" width="8.85546875" style="295"/>
  </cols>
  <sheetData>
    <row r="1" spans="1:23" s="297" customFormat="1" x14ac:dyDescent="0.2">
      <c r="A1" s="360" t="s">
        <v>262</v>
      </c>
      <c r="B1" s="360" t="s">
        <v>263</v>
      </c>
      <c r="C1" s="351"/>
      <c r="D1" s="351"/>
      <c r="E1" s="351"/>
      <c r="J1" s="351"/>
      <c r="K1" s="351"/>
      <c r="L1" s="356"/>
      <c r="M1" s="348"/>
      <c r="N1" s="356"/>
    </row>
    <row r="2" spans="1:23" s="297" customFormat="1" ht="9" customHeight="1" x14ac:dyDescent="0.2">
      <c r="A2" s="360"/>
      <c r="B2" s="358"/>
      <c r="C2" s="359"/>
      <c r="D2" s="358"/>
      <c r="F2" s="351"/>
      <c r="G2" s="347"/>
      <c r="H2" s="357"/>
      <c r="I2" s="351"/>
      <c r="J2" s="351"/>
      <c r="K2" s="351"/>
      <c r="L2" s="349"/>
      <c r="M2" s="348"/>
      <c r="N2" s="356"/>
    </row>
    <row r="3" spans="1:23" s="297" customFormat="1" x14ac:dyDescent="0.2">
      <c r="A3" s="355"/>
      <c r="B3" s="353"/>
      <c r="C3" s="354"/>
      <c r="D3" s="353"/>
      <c r="E3" s="352"/>
      <c r="F3" s="351"/>
      <c r="G3" s="350"/>
      <c r="J3" s="298"/>
      <c r="K3" s="298"/>
      <c r="L3" s="349"/>
      <c r="M3" s="348"/>
      <c r="N3" s="347"/>
    </row>
    <row r="4" spans="1:23" s="297" customFormat="1" ht="6.6" customHeight="1" x14ac:dyDescent="0.2">
      <c r="A4" s="295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23" s="297" customFormat="1" x14ac:dyDescent="0.2">
      <c r="A5" s="346" t="s">
        <v>258</v>
      </c>
      <c r="B5" s="345">
        <v>2022</v>
      </c>
      <c r="C5" s="345">
        <v>2023</v>
      </c>
      <c r="D5" s="345">
        <v>2024</v>
      </c>
      <c r="E5" s="345">
        <v>2025</v>
      </c>
      <c r="F5" s="345">
        <v>2026</v>
      </c>
      <c r="G5" s="345">
        <v>2027</v>
      </c>
      <c r="H5" s="345">
        <v>2028</v>
      </c>
      <c r="I5" s="345">
        <v>2029</v>
      </c>
      <c r="J5" s="345">
        <v>2030</v>
      </c>
      <c r="K5" s="345">
        <v>2031</v>
      </c>
      <c r="L5" s="345">
        <v>2032</v>
      </c>
      <c r="M5" s="345">
        <v>2033</v>
      </c>
      <c r="N5" s="345">
        <v>2034</v>
      </c>
      <c r="O5" s="345">
        <v>2035</v>
      </c>
      <c r="P5" s="345">
        <v>2036</v>
      </c>
      <c r="Q5" s="345">
        <v>2037</v>
      </c>
      <c r="R5" s="345">
        <v>2038</v>
      </c>
      <c r="S5" s="345">
        <v>2039</v>
      </c>
      <c r="T5" s="345">
        <v>2040</v>
      </c>
      <c r="U5" s="345">
        <v>2041</v>
      </c>
      <c r="V5" s="345">
        <v>2042</v>
      </c>
      <c r="W5" s="345" t="s">
        <v>21</v>
      </c>
    </row>
    <row r="6" spans="1:23" s="297" customFormat="1" x14ac:dyDescent="0.2">
      <c r="A6" s="291" t="s">
        <v>246</v>
      </c>
      <c r="B6" s="344">
        <v>0.05</v>
      </c>
      <c r="C6" s="344">
        <v>9.5000000000000001E-2</v>
      </c>
      <c r="D6" s="344">
        <v>8.5500000000000007E-2</v>
      </c>
      <c r="E6" s="344">
        <v>7.6999999999999999E-2</v>
      </c>
      <c r="F6" s="344">
        <v>6.93E-2</v>
      </c>
      <c r="G6" s="344">
        <v>6.2300000000000001E-2</v>
      </c>
      <c r="H6" s="344">
        <v>5.8999999999999997E-2</v>
      </c>
      <c r="I6" s="344">
        <v>5.8999999999999997E-2</v>
      </c>
      <c r="J6" s="344">
        <v>5.91E-2</v>
      </c>
      <c r="K6" s="344">
        <v>5.8999999999999997E-2</v>
      </c>
      <c r="L6" s="344">
        <v>5.91E-2</v>
      </c>
      <c r="M6" s="344">
        <v>5.8999999999999997E-2</v>
      </c>
      <c r="N6" s="344">
        <v>5.91E-2</v>
      </c>
      <c r="O6" s="344">
        <v>5.8999999999999997E-2</v>
      </c>
      <c r="P6" s="344">
        <v>5.91E-2</v>
      </c>
      <c r="Q6" s="344">
        <v>2.9499999999999998E-2</v>
      </c>
      <c r="R6" s="344"/>
      <c r="S6" s="344"/>
      <c r="T6" s="344"/>
      <c r="U6" s="344"/>
      <c r="V6" s="344"/>
      <c r="W6" s="344">
        <f>SUM(B6:V6)</f>
        <v>1.0000000000000002</v>
      </c>
    </row>
    <row r="7" spans="1:23" s="297" customFormat="1" ht="7.15" customHeight="1" x14ac:dyDescent="0.2">
      <c r="A7" s="343"/>
      <c r="B7" s="342"/>
      <c r="C7" s="342"/>
      <c r="D7" s="342"/>
      <c r="E7" s="342"/>
      <c r="F7" s="342"/>
      <c r="G7" s="342"/>
      <c r="H7" s="341"/>
      <c r="I7" s="341"/>
      <c r="J7" s="341"/>
    </row>
    <row r="8" spans="1:23" ht="13.5" thickBot="1" x14ac:dyDescent="0.25">
      <c r="A8" s="340" t="s">
        <v>94</v>
      </c>
      <c r="B8" s="338" t="s">
        <v>95</v>
      </c>
      <c r="C8" s="337"/>
      <c r="D8" s="338" t="s">
        <v>96</v>
      </c>
      <c r="E8" s="339"/>
      <c r="F8" s="338" t="s">
        <v>85</v>
      </c>
      <c r="G8" s="337"/>
      <c r="H8" s="338" t="s">
        <v>97</v>
      </c>
      <c r="I8" s="337"/>
      <c r="J8" s="336" t="s">
        <v>98</v>
      </c>
      <c r="K8" s="336" t="s">
        <v>99</v>
      </c>
      <c r="L8" s="335" t="s">
        <v>61</v>
      </c>
    </row>
    <row r="9" spans="1:23" ht="13.5" thickBot="1" x14ac:dyDescent="0.25">
      <c r="A9" s="334"/>
      <c r="B9" s="333"/>
      <c r="C9" s="330"/>
      <c r="D9" s="333" t="s">
        <v>257</v>
      </c>
      <c r="E9" s="332">
        <v>3.1100000000000003E-2</v>
      </c>
      <c r="F9" s="331"/>
      <c r="G9" s="330"/>
      <c r="H9" s="326"/>
      <c r="I9" s="325"/>
      <c r="J9" s="324"/>
      <c r="K9" s="324"/>
      <c r="L9" s="328" t="s">
        <v>208</v>
      </c>
    </row>
    <row r="10" spans="1:23" ht="13.5" thickBot="1" x14ac:dyDescent="0.25">
      <c r="A10" s="334"/>
      <c r="B10" s="333"/>
      <c r="C10" s="330"/>
      <c r="D10" s="333" t="s">
        <v>256</v>
      </c>
      <c r="E10" s="332">
        <v>3.1100000000000003E-2</v>
      </c>
      <c r="F10" s="331"/>
      <c r="G10" s="330"/>
      <c r="H10" s="326"/>
      <c r="I10" s="325"/>
      <c r="J10" s="324"/>
      <c r="K10" s="323" t="s">
        <v>255</v>
      </c>
      <c r="L10" s="328"/>
    </row>
    <row r="11" spans="1:23" x14ac:dyDescent="0.2">
      <c r="A11" s="329"/>
      <c r="B11" s="326" t="s">
        <v>100</v>
      </c>
      <c r="C11" s="325" t="s">
        <v>101</v>
      </c>
      <c r="D11" s="326" t="s">
        <v>102</v>
      </c>
      <c r="E11" s="325" t="s">
        <v>101</v>
      </c>
      <c r="F11" s="326" t="s">
        <v>100</v>
      </c>
      <c r="G11" s="325" t="s">
        <v>101</v>
      </c>
      <c r="H11" s="326" t="s">
        <v>100</v>
      </c>
      <c r="I11" s="325" t="s">
        <v>103</v>
      </c>
      <c r="J11" s="324" t="s">
        <v>104</v>
      </c>
      <c r="K11" s="323">
        <v>0.21</v>
      </c>
      <c r="L11" s="328" t="s">
        <v>105</v>
      </c>
    </row>
    <row r="12" spans="1:23" x14ac:dyDescent="0.2">
      <c r="A12" s="329"/>
      <c r="B12" s="326"/>
      <c r="C12" s="325"/>
      <c r="D12" s="326" t="s">
        <v>106</v>
      </c>
      <c r="E12" s="325" t="s">
        <v>144</v>
      </c>
      <c r="F12" s="326" t="s">
        <v>107</v>
      </c>
      <c r="G12" s="325" t="s">
        <v>108</v>
      </c>
      <c r="H12" s="326"/>
      <c r="I12" s="325"/>
      <c r="J12" s="324"/>
      <c r="K12" s="323" t="s">
        <v>254</v>
      </c>
      <c r="L12" s="328" t="s">
        <v>109</v>
      </c>
    </row>
    <row r="13" spans="1:23" x14ac:dyDescent="0.2">
      <c r="A13" s="327"/>
      <c r="B13" s="326" t="s">
        <v>110</v>
      </c>
      <c r="C13" s="325" t="s">
        <v>65</v>
      </c>
      <c r="D13" s="326"/>
      <c r="E13" s="325"/>
      <c r="F13" s="326" t="s">
        <v>111</v>
      </c>
      <c r="G13" s="325" t="s">
        <v>112</v>
      </c>
      <c r="H13" s="326" t="s">
        <v>113</v>
      </c>
      <c r="I13" s="325" t="s">
        <v>114</v>
      </c>
      <c r="J13" s="324" t="s">
        <v>115</v>
      </c>
      <c r="K13" s="323">
        <v>0.21</v>
      </c>
      <c r="L13" s="322" t="s">
        <v>116</v>
      </c>
    </row>
    <row r="14" spans="1:23" ht="15" x14ac:dyDescent="0.25">
      <c r="A14" s="84">
        <v>44561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61"/>
    </row>
    <row r="15" spans="1:23" x14ac:dyDescent="0.2">
      <c r="A15" s="314">
        <v>44592</v>
      </c>
      <c r="B15" s="303">
        <v>0</v>
      </c>
      <c r="C15" s="313">
        <v>0</v>
      </c>
      <c r="D15" s="303">
        <f>(($B$14*$C$6/12)+(($B$16-$B$14)*$B$6/12))+M15</f>
        <v>12535.933666666666</v>
      </c>
      <c r="E15" s="304">
        <v>0</v>
      </c>
      <c r="F15" s="303">
        <f t="shared" ref="F15:F28" si="0">-D15+F14</f>
        <v>-12535.933666666666</v>
      </c>
      <c r="G15" s="304">
        <f t="shared" ref="G15:G28" si="1">+G14-E15</f>
        <v>0</v>
      </c>
      <c r="H15" s="303">
        <f t="shared" ref="H15:I28" si="2">B15+F15</f>
        <v>-12535.933666666666</v>
      </c>
      <c r="I15" s="303">
        <f t="shared" si="2"/>
        <v>0</v>
      </c>
      <c r="J15" s="303">
        <f t="shared" ref="J15:J28" si="3">I15-H15</f>
        <v>12535.933666666666</v>
      </c>
      <c r="K15" s="303">
        <f t="shared" ref="K15:K28" si="4">-J15*$K$11</f>
        <v>-2632.5460699999999</v>
      </c>
      <c r="L15" s="303">
        <f t="shared" ref="L15:L28" si="5">-K15+K14</f>
        <v>2632.5460699999999</v>
      </c>
      <c r="M15" s="363"/>
    </row>
    <row r="16" spans="1:23" x14ac:dyDescent="0.2">
      <c r="A16" s="314">
        <v>44620</v>
      </c>
      <c r="B16" s="303">
        <v>3008624.08</v>
      </c>
      <c r="C16" s="313">
        <v>3008624.08</v>
      </c>
      <c r="D16" s="303">
        <f>(($B$14*$C$6/12)+(($B$16-$B$14)*$B$6/12))+M16</f>
        <v>12535.933666666666</v>
      </c>
      <c r="E16" s="304">
        <f t="shared" ref="E16:E25" si="6">+(C15*$E$10/12)+(((C16-C15)*$E$10/12)*0.5)</f>
        <v>3898.6753703333338</v>
      </c>
      <c r="F16" s="303">
        <f t="shared" si="0"/>
        <v>-25071.867333333332</v>
      </c>
      <c r="G16" s="304">
        <f t="shared" si="1"/>
        <v>-3898.6753703333338</v>
      </c>
      <c r="H16" s="303">
        <f t="shared" si="2"/>
        <v>2983552.2126666666</v>
      </c>
      <c r="I16" s="303">
        <f t="shared" si="2"/>
        <v>3004725.4046296668</v>
      </c>
      <c r="J16" s="303">
        <f t="shared" si="3"/>
        <v>21173.191963000223</v>
      </c>
      <c r="K16" s="303">
        <f t="shared" si="4"/>
        <v>-4446.3703122300467</v>
      </c>
      <c r="L16" s="303">
        <f t="shared" si="5"/>
        <v>1813.8242422300468</v>
      </c>
      <c r="M16" s="363"/>
    </row>
    <row r="17" spans="1:15" ht="15" x14ac:dyDescent="0.25">
      <c r="A17" s="314">
        <v>44651</v>
      </c>
      <c r="B17" s="303">
        <v>3009228.66</v>
      </c>
      <c r="C17" s="313">
        <v>3009228.66</v>
      </c>
      <c r="D17" s="303">
        <f>(($B$14*$C$6/12)+((B17-$B$14)*$B$6/12))+M17</f>
        <v>12538.452750000002</v>
      </c>
      <c r="E17" s="304">
        <f t="shared" si="6"/>
        <v>7798.1341755833346</v>
      </c>
      <c r="F17" s="303">
        <f t="shared" si="0"/>
        <v>-37610.320083333332</v>
      </c>
      <c r="G17" s="304">
        <f t="shared" si="1"/>
        <v>-11696.809545916669</v>
      </c>
      <c r="H17" s="303">
        <f t="shared" si="2"/>
        <v>2971618.339916667</v>
      </c>
      <c r="I17" s="303">
        <f t="shared" si="2"/>
        <v>2997531.8504540836</v>
      </c>
      <c r="J17" s="303">
        <f t="shared" si="3"/>
        <v>25913.510537416674</v>
      </c>
      <c r="K17" s="303">
        <f t="shared" si="4"/>
        <v>-5441.8372128575011</v>
      </c>
      <c r="L17" s="303">
        <f t="shared" si="5"/>
        <v>995.46690062745438</v>
      </c>
      <c r="M17" s="361"/>
      <c r="N17" s="320"/>
    </row>
    <row r="18" spans="1:15" ht="15" x14ac:dyDescent="0.25">
      <c r="A18" s="314">
        <v>44681</v>
      </c>
      <c r="B18" s="303">
        <v>3009347.98</v>
      </c>
      <c r="C18" s="313">
        <v>3009347.98</v>
      </c>
      <c r="D18" s="303">
        <f>(($B$14*$C$6/12)+((B18-$B$14)*$B$6/12))+M18</f>
        <v>12538.949916666666</v>
      </c>
      <c r="E18" s="304">
        <f t="shared" si="6"/>
        <v>7799.0722293333338</v>
      </c>
      <c r="F18" s="303">
        <f t="shared" si="0"/>
        <v>-50149.27</v>
      </c>
      <c r="G18" s="304">
        <f t="shared" si="1"/>
        <v>-19495.881775250004</v>
      </c>
      <c r="H18" s="303">
        <f t="shared" si="2"/>
        <v>2959198.71</v>
      </c>
      <c r="I18" s="303">
        <f t="shared" si="2"/>
        <v>2989852.0982247498</v>
      </c>
      <c r="J18" s="303">
        <f t="shared" si="3"/>
        <v>30653.388224749826</v>
      </c>
      <c r="K18" s="303">
        <f t="shared" si="4"/>
        <v>-6437.2115271974635</v>
      </c>
      <c r="L18" s="303">
        <f t="shared" si="5"/>
        <v>995.37431433996244</v>
      </c>
      <c r="M18" s="361"/>
    </row>
    <row r="19" spans="1:15" ht="15" x14ac:dyDescent="0.25">
      <c r="A19" s="314">
        <v>44712</v>
      </c>
      <c r="B19" s="303">
        <v>3010266.56</v>
      </c>
      <c r="C19" s="313">
        <v>3010266.56</v>
      </c>
      <c r="D19" s="303">
        <f>(($B$14*$C$6/12)+((B19-$B$14)*$B$6/12))+M19</f>
        <v>12542.777333333333</v>
      </c>
      <c r="E19" s="304">
        <f t="shared" si="6"/>
        <v>7800.4171747500013</v>
      </c>
      <c r="F19" s="303">
        <f t="shared" si="0"/>
        <v>-62692.047333333328</v>
      </c>
      <c r="G19" s="304">
        <f t="shared" si="1"/>
        <v>-27296.298950000004</v>
      </c>
      <c r="H19" s="303">
        <f t="shared" si="2"/>
        <v>2947574.5126666669</v>
      </c>
      <c r="I19" s="303">
        <f t="shared" si="2"/>
        <v>2982970.2610499999</v>
      </c>
      <c r="J19" s="303">
        <f t="shared" si="3"/>
        <v>35395.748383332975</v>
      </c>
      <c r="K19" s="303">
        <f t="shared" si="4"/>
        <v>-7433.1071604999242</v>
      </c>
      <c r="L19" s="303">
        <f t="shared" si="5"/>
        <v>995.89563330246074</v>
      </c>
      <c r="M19" s="361"/>
    </row>
    <row r="20" spans="1:15" ht="15" x14ac:dyDescent="0.25">
      <c r="A20" s="314">
        <v>44742</v>
      </c>
      <c r="B20" s="303">
        <v>3010522.16</v>
      </c>
      <c r="C20" s="313">
        <v>3010522.16</v>
      </c>
      <c r="D20" s="303">
        <f>(($B$14*$C$6/12)+((B20-$B$14)*$B$6/12))+M20</f>
        <v>12543.842333333334</v>
      </c>
      <c r="E20" s="304">
        <f t="shared" si="6"/>
        <v>7801.9387163333349</v>
      </c>
      <c r="F20" s="303">
        <f t="shared" si="0"/>
        <v>-75235.889666666655</v>
      </c>
      <c r="G20" s="304">
        <f t="shared" si="1"/>
        <v>-35098.237666333342</v>
      </c>
      <c r="H20" s="303">
        <f t="shared" si="2"/>
        <v>2935286.2703333334</v>
      </c>
      <c r="I20" s="303">
        <f t="shared" si="2"/>
        <v>2975423.9223336666</v>
      </c>
      <c r="J20" s="303">
        <f t="shared" si="3"/>
        <v>40137.652000333183</v>
      </c>
      <c r="K20" s="303">
        <f t="shared" si="4"/>
        <v>-8428.9069200699687</v>
      </c>
      <c r="L20" s="303">
        <f t="shared" si="5"/>
        <v>995.79975957004444</v>
      </c>
      <c r="M20" s="361"/>
    </row>
    <row r="21" spans="1:15" ht="15" x14ac:dyDescent="0.25">
      <c r="A21" s="314">
        <v>44773</v>
      </c>
      <c r="B21" s="303">
        <v>3010606.01</v>
      </c>
      <c r="C21" s="313">
        <v>3010606.01</v>
      </c>
      <c r="D21" s="303">
        <f>(($B$14*$C$6/12)+((B21-$B$14)*$B$6/12))+M21</f>
        <v>12544.191708333332</v>
      </c>
      <c r="E21" s="304">
        <f t="shared" si="6"/>
        <v>7802.3785869583344</v>
      </c>
      <c r="F21" s="303">
        <f t="shared" si="0"/>
        <v>-87780.08137499998</v>
      </c>
      <c r="G21" s="304">
        <f t="shared" si="1"/>
        <v>-42900.616253291679</v>
      </c>
      <c r="H21" s="303">
        <f t="shared" si="2"/>
        <v>2922825.9286249997</v>
      </c>
      <c r="I21" s="303">
        <f t="shared" si="2"/>
        <v>2967705.3937467081</v>
      </c>
      <c r="J21" s="303">
        <f t="shared" si="3"/>
        <v>44879.465121708345</v>
      </c>
      <c r="K21" s="303">
        <f t="shared" si="4"/>
        <v>-9424.6876755587527</v>
      </c>
      <c r="L21" s="303">
        <f t="shared" si="5"/>
        <v>995.78075548878405</v>
      </c>
      <c r="M21" s="361"/>
    </row>
    <row r="22" spans="1:15" ht="15" x14ac:dyDescent="0.25">
      <c r="A22" s="314">
        <v>44804</v>
      </c>
      <c r="B22" s="303">
        <v>3010624.1</v>
      </c>
      <c r="C22" s="313">
        <v>3010624.1</v>
      </c>
      <c r="D22" s="303">
        <f>(($B$14*$C$6/12)+((B22-$B$14)*$B$6/12))+M22</f>
        <v>12544.267083333334</v>
      </c>
      <c r="E22" s="304">
        <f t="shared" si="6"/>
        <v>7802.5106842083342</v>
      </c>
      <c r="F22" s="303">
        <f t="shared" si="0"/>
        <v>-100324.34845833332</v>
      </c>
      <c r="G22" s="304">
        <f t="shared" si="1"/>
        <v>-50703.126937500012</v>
      </c>
      <c r="H22" s="303">
        <f t="shared" si="2"/>
        <v>2910299.7515416667</v>
      </c>
      <c r="I22" s="303">
        <f t="shared" si="2"/>
        <v>2959920.9730624999</v>
      </c>
      <c r="J22" s="303">
        <f t="shared" si="3"/>
        <v>49621.221520833205</v>
      </c>
      <c r="K22" s="303">
        <f t="shared" si="4"/>
        <v>-10420.456519374973</v>
      </c>
      <c r="L22" s="303">
        <f t="shared" si="5"/>
        <v>995.7688438162204</v>
      </c>
      <c r="M22" s="361"/>
    </row>
    <row r="23" spans="1:15" ht="15" x14ac:dyDescent="0.25">
      <c r="A23" s="314">
        <v>44834</v>
      </c>
      <c r="B23" s="303">
        <v>3010642.71</v>
      </c>
      <c r="C23" s="313">
        <v>3010642.71</v>
      </c>
      <c r="D23" s="303">
        <f>(($B$14*$C$6/12)+((B23-$B$14)*$B$6/12))+M23</f>
        <v>12544.344625</v>
      </c>
      <c r="E23" s="304">
        <f t="shared" si="6"/>
        <v>7802.5582412916674</v>
      </c>
      <c r="F23" s="303">
        <f t="shared" si="0"/>
        <v>-112868.69308333332</v>
      </c>
      <c r="G23" s="304">
        <f t="shared" si="1"/>
        <v>-58505.685178791682</v>
      </c>
      <c r="H23" s="303">
        <f t="shared" si="2"/>
        <v>2897774.0169166666</v>
      </c>
      <c r="I23" s="303">
        <f t="shared" si="2"/>
        <v>2952137.0248212083</v>
      </c>
      <c r="J23" s="303">
        <f t="shared" si="3"/>
        <v>54363.007904541679</v>
      </c>
      <c r="K23" s="303">
        <f t="shared" si="4"/>
        <v>-11416.231659953752</v>
      </c>
      <c r="L23" s="303">
        <f t="shared" si="5"/>
        <v>995.77514057877852</v>
      </c>
      <c r="M23" s="361"/>
      <c r="O23" s="299"/>
    </row>
    <row r="24" spans="1:15" ht="15" x14ac:dyDescent="0.25">
      <c r="A24" s="314">
        <v>44865</v>
      </c>
      <c r="B24" s="303">
        <v>3010921.85</v>
      </c>
      <c r="C24" s="313">
        <v>3010921.85</v>
      </c>
      <c r="D24" s="303">
        <f>(($B$14*$C$6/12)+((B24-$B$14)*$B$6/12))+M24</f>
        <v>12545.507708333333</v>
      </c>
      <c r="E24" s="304">
        <f t="shared" si="6"/>
        <v>7802.9440756666681</v>
      </c>
      <c r="F24" s="303">
        <f t="shared" si="0"/>
        <v>-125414.20079166665</v>
      </c>
      <c r="G24" s="304">
        <f t="shared" si="1"/>
        <v>-66308.629254458356</v>
      </c>
      <c r="H24" s="303">
        <f t="shared" si="2"/>
        <v>2885507.6492083333</v>
      </c>
      <c r="I24" s="303">
        <f t="shared" si="2"/>
        <v>2944613.2207455416</v>
      </c>
      <c r="J24" s="303">
        <f t="shared" si="3"/>
        <v>59105.571537208278</v>
      </c>
      <c r="K24" s="303">
        <f t="shared" si="4"/>
        <v>-12412.170022813738</v>
      </c>
      <c r="L24" s="303">
        <f t="shared" si="5"/>
        <v>995.93836285998623</v>
      </c>
      <c r="M24" s="361"/>
      <c r="N24" s="299"/>
      <c r="O24" s="299"/>
    </row>
    <row r="25" spans="1:15" ht="15" x14ac:dyDescent="0.25">
      <c r="A25" s="314">
        <v>44895</v>
      </c>
      <c r="B25" s="303">
        <v>3011459.16</v>
      </c>
      <c r="C25" s="313">
        <v>3011459.16</v>
      </c>
      <c r="D25" s="303">
        <f>(($B$14*$C$6/12)+((B25-$B$14)*$B$6/12))+M25</f>
        <v>12547.746500000001</v>
      </c>
      <c r="E25" s="304">
        <f t="shared" si="6"/>
        <v>7804.0020587916679</v>
      </c>
      <c r="F25" s="303">
        <f t="shared" si="0"/>
        <v>-137961.94729166664</v>
      </c>
      <c r="G25" s="304">
        <f t="shared" si="1"/>
        <v>-74112.631313250022</v>
      </c>
      <c r="H25" s="303">
        <f t="shared" si="2"/>
        <v>2873497.2127083335</v>
      </c>
      <c r="I25" s="303">
        <f t="shared" si="2"/>
        <v>2937346.5286867502</v>
      </c>
      <c r="J25" s="303">
        <f t="shared" si="3"/>
        <v>63849.315978416707</v>
      </c>
      <c r="K25" s="303">
        <f t="shared" si="4"/>
        <v>-13408.356355467507</v>
      </c>
      <c r="L25" s="303">
        <f t="shared" si="5"/>
        <v>996.18633265376957</v>
      </c>
      <c r="M25" s="361"/>
      <c r="N25" s="315"/>
      <c r="O25" s="299"/>
    </row>
    <row r="26" spans="1:15" ht="15" x14ac:dyDescent="0.25">
      <c r="A26" s="314">
        <v>44926</v>
      </c>
      <c r="B26" s="303">
        <v>3011906.65</v>
      </c>
      <c r="C26" s="313">
        <v>3011906.65</v>
      </c>
      <c r="D26" s="303">
        <f>(($B$14*$C$6/12)+((B26-$B$14)*$B$6/12))+M26</f>
        <v>12549.611041666665</v>
      </c>
      <c r="E26" s="304">
        <f>+(C25*$E$10/12)+(((C26-C25)*$E$10/12)*0.5)</f>
        <v>7805.2781954583334</v>
      </c>
      <c r="F26" s="303">
        <f t="shared" si="0"/>
        <v>-150511.55833333332</v>
      </c>
      <c r="G26" s="304">
        <f t="shared" si="1"/>
        <v>-81917.909508708355</v>
      </c>
      <c r="H26" s="303">
        <f t="shared" si="2"/>
        <v>2861395.0916666668</v>
      </c>
      <c r="I26" s="303">
        <f t="shared" si="2"/>
        <v>2929988.7404912915</v>
      </c>
      <c r="J26" s="303">
        <f t="shared" si="3"/>
        <v>68593.648824624717</v>
      </c>
      <c r="K26" s="303">
        <f t="shared" si="4"/>
        <v>-14404.66625317119</v>
      </c>
      <c r="L26" s="303">
        <f t="shared" si="5"/>
        <v>996.30989770368251</v>
      </c>
      <c r="M26" s="361"/>
      <c r="O26" s="299"/>
    </row>
    <row r="27" spans="1:15" ht="15" x14ac:dyDescent="0.25">
      <c r="A27" s="314">
        <v>44957</v>
      </c>
      <c r="B27" s="303">
        <v>3011906.65</v>
      </c>
      <c r="C27" s="313">
        <v>3011906.65</v>
      </c>
      <c r="D27" s="303">
        <f>(($B$14*$D$6/12)+(($B$26-$B$14)*$C$6/12)+((B27-$B$26)*$B$6/12))</f>
        <v>23844.260979166665</v>
      </c>
      <c r="E27" s="304">
        <f>+(C26*$E$10/12)+(((C27-C26)*$E$10/12)*0.5)</f>
        <v>7805.8580679166671</v>
      </c>
      <c r="F27" s="303">
        <f t="shared" si="0"/>
        <v>-174355.81931249998</v>
      </c>
      <c r="G27" s="304">
        <f t="shared" si="1"/>
        <v>-89723.767576625018</v>
      </c>
      <c r="H27" s="303">
        <f t="shared" si="2"/>
        <v>2837550.8306875001</v>
      </c>
      <c r="I27" s="303">
        <f t="shared" si="2"/>
        <v>2922182.8824233748</v>
      </c>
      <c r="J27" s="303">
        <f t="shared" si="3"/>
        <v>84632.051735874731</v>
      </c>
      <c r="K27" s="303">
        <f t="shared" si="4"/>
        <v>-17772.730864533693</v>
      </c>
      <c r="L27" s="303">
        <f t="shared" si="5"/>
        <v>3368.0646113625025</v>
      </c>
      <c r="M27" s="361"/>
      <c r="O27" s="299"/>
    </row>
    <row r="28" spans="1:15" ht="15" x14ac:dyDescent="0.25">
      <c r="A28" s="314">
        <v>44985</v>
      </c>
      <c r="B28" s="303">
        <v>3011907.23</v>
      </c>
      <c r="C28" s="313">
        <v>3011907.23</v>
      </c>
      <c r="D28" s="303">
        <f>(($B$14*$D$6/12)+(($B$26-$B$14)*$C$6/12)+((B28-$B$26)*$B$6/12))</f>
        <v>23844.263395833332</v>
      </c>
      <c r="E28" s="304">
        <f>+(C27*$E$10/12)+(((C28-C27)*$E$10/12)*0.5)</f>
        <v>7805.8588195000002</v>
      </c>
      <c r="F28" s="303">
        <f t="shared" si="0"/>
        <v>-198200.08270833333</v>
      </c>
      <c r="G28" s="304">
        <f t="shared" si="1"/>
        <v>-97529.626396125022</v>
      </c>
      <c r="H28" s="303">
        <f t="shared" si="2"/>
        <v>2813707.1472916668</v>
      </c>
      <c r="I28" s="303">
        <f t="shared" si="2"/>
        <v>2914377.6036038748</v>
      </c>
      <c r="J28" s="303">
        <f t="shared" si="3"/>
        <v>100670.45631220797</v>
      </c>
      <c r="K28" s="303">
        <f t="shared" si="4"/>
        <v>-21140.795825563673</v>
      </c>
      <c r="L28" s="303">
        <f t="shared" si="5"/>
        <v>3368.0649610299806</v>
      </c>
      <c r="M28" s="361"/>
      <c r="N28" s="299"/>
      <c r="O28" s="299"/>
    </row>
    <row r="29" spans="1:15" ht="15" x14ac:dyDescent="0.25">
      <c r="A29" s="314">
        <v>45016</v>
      </c>
      <c r="B29" s="303">
        <f>C29</f>
        <v>3011907.23</v>
      </c>
      <c r="C29" s="313">
        <v>3011907.23</v>
      </c>
      <c r="D29" s="303">
        <f>(($B$14*$D$6/12)+(($B$26-$B$14)*$C$6/12)+(($B$38-$B$26)*$B$6/12))</f>
        <v>23844.263395833332</v>
      </c>
      <c r="E29" s="304">
        <f>+(C28*$E$10/12)+(((C29-C28)*$E$10/12)*0.5)</f>
        <v>7805.8595710833333</v>
      </c>
      <c r="F29" s="303">
        <f>-D29+F28</f>
        <v>-222044.34610416665</v>
      </c>
      <c r="G29" s="304">
        <f>+G28-E29</f>
        <v>-105335.48596720835</v>
      </c>
      <c r="H29" s="303">
        <f>B29+F29</f>
        <v>2789862.8838958335</v>
      </c>
      <c r="I29" s="303">
        <f>C29+G29</f>
        <v>2906571.7440327918</v>
      </c>
      <c r="J29" s="303">
        <f>I29-H29</f>
        <v>116708.8601369583</v>
      </c>
      <c r="K29" s="303">
        <f>-J29*$K$11</f>
        <v>-24508.860628761242</v>
      </c>
      <c r="L29" s="303">
        <f>-K29+K28</f>
        <v>3368.0648031975688</v>
      </c>
      <c r="M29" s="361"/>
      <c r="N29" s="299"/>
      <c r="O29" s="299"/>
    </row>
    <row r="30" spans="1:15" ht="15" x14ac:dyDescent="0.25">
      <c r="A30" s="314">
        <v>45046</v>
      </c>
      <c r="B30" s="303">
        <f>C30</f>
        <v>3011907.23</v>
      </c>
      <c r="C30" s="313">
        <f>C29</f>
        <v>3011907.23</v>
      </c>
      <c r="D30" s="303">
        <f>(($B$14*$D$6/12)+(($B$26-$B$14)*$C$6/12)+(($B$38-$B$26)*$B$6/12))</f>
        <v>23844.263395833332</v>
      </c>
      <c r="E30" s="304">
        <f>+(C29*$E$10/12)+(((C30-C29)*$E$10/12)*0.5)</f>
        <v>7805.8595710833333</v>
      </c>
      <c r="F30" s="303">
        <f>-D30+F29</f>
        <v>-245888.60949999996</v>
      </c>
      <c r="G30" s="304">
        <f>+G29-E30</f>
        <v>-113141.34553829169</v>
      </c>
      <c r="H30" s="303">
        <f>B30+F30</f>
        <v>2766018.6205000002</v>
      </c>
      <c r="I30" s="303">
        <f>C30+G30</f>
        <v>2898765.8844617084</v>
      </c>
      <c r="J30" s="303">
        <f>I30-H30</f>
        <v>132747.26396170817</v>
      </c>
      <c r="K30" s="303">
        <f>-J30*$K$11</f>
        <v>-27876.925431958716</v>
      </c>
      <c r="L30" s="303">
        <f>-K30+K29</f>
        <v>3368.0648031974742</v>
      </c>
      <c r="M30" s="361"/>
      <c r="N30" s="299"/>
      <c r="O30" s="299"/>
    </row>
    <row r="31" spans="1:15" ht="15" x14ac:dyDescent="0.25">
      <c r="A31" s="314">
        <v>45077</v>
      </c>
      <c r="B31" s="303">
        <f>C31</f>
        <v>3011907.23</v>
      </c>
      <c r="C31" s="313">
        <f>C30</f>
        <v>3011907.23</v>
      </c>
      <c r="D31" s="303">
        <f>(($B$14*$D$6/12)+(($B$26-$B$14)*$C$6/12)+(($B$38-$B$26)*$B$6/12))</f>
        <v>23844.263395833332</v>
      </c>
      <c r="E31" s="304">
        <f>+(C30*$E$10/12)+(((C31-C30)*$E$10/12)*0.5)</f>
        <v>7805.8595710833333</v>
      </c>
      <c r="F31" s="303">
        <f>-D31+F30</f>
        <v>-269732.87289583328</v>
      </c>
      <c r="G31" s="304">
        <f>+G30-E31</f>
        <v>-120947.20510937502</v>
      </c>
      <c r="H31" s="303">
        <f>B31+F31</f>
        <v>2742174.3571041669</v>
      </c>
      <c r="I31" s="303">
        <f>C31+G31</f>
        <v>2890960.0248906249</v>
      </c>
      <c r="J31" s="303">
        <f>I31-H31</f>
        <v>148785.66778645804</v>
      </c>
      <c r="K31" s="303">
        <f>-J31*$K$11</f>
        <v>-31244.990235156187</v>
      </c>
      <c r="L31" s="303">
        <f>-K31+K30</f>
        <v>3368.0648031974706</v>
      </c>
      <c r="M31" s="361"/>
      <c r="N31" s="299"/>
      <c r="O31" s="299"/>
    </row>
    <row r="32" spans="1:15" ht="15" x14ac:dyDescent="0.25">
      <c r="A32" s="314">
        <v>45107</v>
      </c>
      <c r="B32" s="303">
        <f>C32</f>
        <v>3011907.23</v>
      </c>
      <c r="C32" s="313">
        <f>C31</f>
        <v>3011907.23</v>
      </c>
      <c r="D32" s="303">
        <f>(($B$14*$D$6/12)+(($B$26-$B$14)*$C$6/12)+(($B$38-$B$26)*$B$6/12))</f>
        <v>23844.263395833332</v>
      </c>
      <c r="E32" s="304">
        <f>+(C31*$E$10/12)+(((C32-C31)*$E$10/12)*0.5)</f>
        <v>7805.8595710833333</v>
      </c>
      <c r="F32" s="303">
        <f>-D32+F31</f>
        <v>-293577.1362916666</v>
      </c>
      <c r="G32" s="304">
        <f>+G31-E32</f>
        <v>-128753.06468045835</v>
      </c>
      <c r="H32" s="303">
        <f>B32+F32</f>
        <v>2718330.0937083336</v>
      </c>
      <c r="I32" s="303">
        <f>C32+G32</f>
        <v>2883154.1653195415</v>
      </c>
      <c r="J32" s="303">
        <f>I32-H32</f>
        <v>164824.07161120791</v>
      </c>
      <c r="K32" s="303">
        <f>-J32*$K$11</f>
        <v>-34613.055038353661</v>
      </c>
      <c r="L32" s="303">
        <f>-K32+K31</f>
        <v>3368.0648031974742</v>
      </c>
      <c r="M32" s="361"/>
      <c r="N32" s="299"/>
      <c r="O32" s="299"/>
    </row>
    <row r="33" spans="1:15" ht="15" x14ac:dyDescent="0.25">
      <c r="A33" s="314">
        <v>45138</v>
      </c>
      <c r="B33" s="303">
        <f>C33</f>
        <v>3011907.23</v>
      </c>
      <c r="C33" s="313">
        <f>C32</f>
        <v>3011907.23</v>
      </c>
      <c r="D33" s="303">
        <f>(($B$14*$D$6/12)+(($B$26-$B$14)*$C$6/12)+(($B$38-$B$26)*$B$6/12))</f>
        <v>23844.263395833332</v>
      </c>
      <c r="E33" s="304">
        <f>+(C32*$E$10/12)+(((C33-C32)*$E$10/12)*0.5)</f>
        <v>7805.8595710833333</v>
      </c>
      <c r="F33" s="303">
        <f>-D33+F32</f>
        <v>-317421.39968749991</v>
      </c>
      <c r="G33" s="304">
        <f>+G32-E33</f>
        <v>-136558.9242515417</v>
      </c>
      <c r="H33" s="303">
        <f>B33+F33</f>
        <v>2694485.8303125002</v>
      </c>
      <c r="I33" s="303">
        <f>C33+G33</f>
        <v>2875348.3057484585</v>
      </c>
      <c r="J33" s="303">
        <f>I33-H33</f>
        <v>180862.47543595824</v>
      </c>
      <c r="K33" s="303">
        <f>-J33*$K$11</f>
        <v>-37981.119841551226</v>
      </c>
      <c r="L33" s="303">
        <f>-K33+K32</f>
        <v>3368.0648031975652</v>
      </c>
      <c r="M33" s="361"/>
      <c r="N33" s="299"/>
      <c r="O33" s="299"/>
    </row>
    <row r="34" spans="1:15" ht="15" x14ac:dyDescent="0.25">
      <c r="A34" s="314">
        <v>45169</v>
      </c>
      <c r="B34" s="303">
        <f>C34</f>
        <v>3011907.23</v>
      </c>
      <c r="C34" s="313">
        <f>C33</f>
        <v>3011907.23</v>
      </c>
      <c r="D34" s="303">
        <f>(($B$14*$D$6/12)+(($B$26-$B$14)*$C$6/12)+(($B$38-$B$26)*$B$6/12))</f>
        <v>23844.263395833332</v>
      </c>
      <c r="E34" s="304">
        <f>+(C33*$E$10/12)+(((C34-C33)*$E$10/12)*0.5)</f>
        <v>7805.8595710833333</v>
      </c>
      <c r="F34" s="303">
        <f>-D34+F33</f>
        <v>-341265.66308333323</v>
      </c>
      <c r="G34" s="304">
        <f>+G33-E34</f>
        <v>-144364.78382262503</v>
      </c>
      <c r="H34" s="303">
        <f>B34+F34</f>
        <v>2670641.5669166669</v>
      </c>
      <c r="I34" s="303">
        <f>C34+G34</f>
        <v>2867542.446177375</v>
      </c>
      <c r="J34" s="303">
        <f>I34-H34</f>
        <v>196900.87926070811</v>
      </c>
      <c r="K34" s="303">
        <f>-J34*$K$11</f>
        <v>-41349.184644748704</v>
      </c>
      <c r="L34" s="303">
        <f>-K34+K33</f>
        <v>3368.0648031974779</v>
      </c>
      <c r="M34" s="361"/>
      <c r="N34" s="299"/>
      <c r="O34" s="299"/>
    </row>
    <row r="35" spans="1:15" ht="15" x14ac:dyDescent="0.25">
      <c r="A35" s="314">
        <v>45199</v>
      </c>
      <c r="B35" s="303">
        <f>C35</f>
        <v>3011907.23</v>
      </c>
      <c r="C35" s="313">
        <f>C34</f>
        <v>3011907.23</v>
      </c>
      <c r="D35" s="303">
        <f>(($B$14*$D$6/12)+(($B$26-$B$14)*$C$6/12)+(($B$38-$B$26)*$B$6/12))</f>
        <v>23844.263395833332</v>
      </c>
      <c r="E35" s="304">
        <f>+(C34*$E$10/12)+(((C35-C34)*$E$10/12)*0.5)</f>
        <v>7805.8595710833333</v>
      </c>
      <c r="F35" s="303">
        <f>-D35+F34</f>
        <v>-365109.92647916655</v>
      </c>
      <c r="G35" s="304">
        <f>+G34-E35</f>
        <v>-152170.64339370836</v>
      </c>
      <c r="H35" s="303">
        <f>B35+F35</f>
        <v>2646797.3035208336</v>
      </c>
      <c r="I35" s="303">
        <f>C35+G35</f>
        <v>2859736.5866062916</v>
      </c>
      <c r="J35" s="303">
        <f>I35-H35</f>
        <v>212939.28308545798</v>
      </c>
      <c r="K35" s="303">
        <f>-J35*$K$11</f>
        <v>-44717.249447946175</v>
      </c>
      <c r="L35" s="303">
        <f>-K35+K34</f>
        <v>3368.0648031974706</v>
      </c>
      <c r="M35" s="361"/>
      <c r="N35" s="299"/>
      <c r="O35" s="299"/>
    </row>
    <row r="36" spans="1:15" ht="15" x14ac:dyDescent="0.25">
      <c r="A36" s="314">
        <v>45230</v>
      </c>
      <c r="B36" s="303">
        <f>C36</f>
        <v>3011907.23</v>
      </c>
      <c r="C36" s="313">
        <f>C35</f>
        <v>3011907.23</v>
      </c>
      <c r="D36" s="303">
        <f>(($B$14*$D$6/12)+(($B$26-$B$14)*$C$6/12)+(($B$38-$B$26)*$B$6/12))</f>
        <v>23844.263395833332</v>
      </c>
      <c r="E36" s="304">
        <f>+(C35*$E$10/12)+(((C36-C35)*$E$10/12)*0.5)</f>
        <v>7805.8595710833333</v>
      </c>
      <c r="F36" s="303">
        <f>-D36+F35</f>
        <v>-388954.18987499987</v>
      </c>
      <c r="G36" s="304">
        <f>+G35-E36</f>
        <v>-159976.5029647917</v>
      </c>
      <c r="H36" s="303">
        <f>B36+F36</f>
        <v>2622953.0401250003</v>
      </c>
      <c r="I36" s="303">
        <f>C36+G36</f>
        <v>2851930.7270352081</v>
      </c>
      <c r="J36" s="303">
        <f>I36-H36</f>
        <v>228977.68691020785</v>
      </c>
      <c r="K36" s="303">
        <f>-J36*$K$11</f>
        <v>-48085.314251143645</v>
      </c>
      <c r="L36" s="303">
        <f>-K36+K35</f>
        <v>3368.0648031974706</v>
      </c>
      <c r="M36" s="361"/>
      <c r="N36" s="299"/>
      <c r="O36" s="299"/>
    </row>
    <row r="37" spans="1:15" ht="15" x14ac:dyDescent="0.25">
      <c r="A37" s="314">
        <v>45260</v>
      </c>
      <c r="B37" s="303">
        <f>C37</f>
        <v>3011907.23</v>
      </c>
      <c r="C37" s="313">
        <f>C36</f>
        <v>3011907.23</v>
      </c>
      <c r="D37" s="303">
        <f>(($B$14*$D$6/12)+(($B$26-$B$14)*$C$6/12)+(($B$38-$B$26)*$B$6/12))</f>
        <v>23844.263395833332</v>
      </c>
      <c r="E37" s="304">
        <f>+(C36*$E$10/12)+(((C37-C36)*$E$10/12)*0.5)</f>
        <v>7805.8595710833333</v>
      </c>
      <c r="F37" s="303">
        <f>-D37+F36</f>
        <v>-412798.45327083318</v>
      </c>
      <c r="G37" s="304">
        <f>+G36-E37</f>
        <v>-167782.36253587503</v>
      </c>
      <c r="H37" s="303">
        <f>B37+F37</f>
        <v>2599108.776729167</v>
      </c>
      <c r="I37" s="303">
        <f>C37+G37</f>
        <v>2844124.8674641252</v>
      </c>
      <c r="J37" s="303">
        <f>I37-H37</f>
        <v>245016.09073495818</v>
      </c>
      <c r="K37" s="303">
        <f>-J37*$K$11</f>
        <v>-51453.379054341218</v>
      </c>
      <c r="L37" s="303">
        <f>-K37+K36</f>
        <v>3368.0648031975725</v>
      </c>
      <c r="M37" s="361"/>
      <c r="N37" s="299"/>
      <c r="O37" s="299"/>
    </row>
    <row r="38" spans="1:15" ht="15" x14ac:dyDescent="0.25">
      <c r="A38" s="314">
        <v>45291</v>
      </c>
      <c r="B38" s="303">
        <f>C38</f>
        <v>3011907.23</v>
      </c>
      <c r="C38" s="313">
        <f>C37</f>
        <v>3011907.23</v>
      </c>
      <c r="D38" s="303">
        <f>(($B$14*$D$6/12)+(($B$26-$B$14)*$C$6/12)+(($B$38-$B$26)*$B$6/12))</f>
        <v>23844.263395833332</v>
      </c>
      <c r="E38" s="304">
        <f>+(C37*$E$10/12)+(((C38-C37)*$E$10/12)*0.5)</f>
        <v>7805.8595710833333</v>
      </c>
      <c r="F38" s="303">
        <f>-D38+F37</f>
        <v>-436642.7166666665</v>
      </c>
      <c r="G38" s="304">
        <f>+G37-E38</f>
        <v>-175588.22210695836</v>
      </c>
      <c r="H38" s="303">
        <f>B38+F38</f>
        <v>2575264.5133333337</v>
      </c>
      <c r="I38" s="303">
        <f>C38+G38</f>
        <v>2836319.0078930417</v>
      </c>
      <c r="J38" s="303">
        <f>I38-H38</f>
        <v>261054.49455970805</v>
      </c>
      <c r="K38" s="303">
        <f>-J38*$K$11</f>
        <v>-54821.443857538688</v>
      </c>
      <c r="L38" s="303">
        <f>-K38+K37</f>
        <v>3368.0648031974706</v>
      </c>
      <c r="M38" s="361"/>
      <c r="N38" s="299"/>
      <c r="O38" s="299"/>
    </row>
    <row r="39" spans="1:15" ht="15" x14ac:dyDescent="0.25">
      <c r="A39" s="314">
        <v>45322</v>
      </c>
      <c r="B39" s="303">
        <f>C39</f>
        <v>3011907.23</v>
      </c>
      <c r="C39" s="313">
        <f>C38</f>
        <v>3011907.23</v>
      </c>
      <c r="D39" s="303">
        <f>(($B$14*$E$6/12)+(($B$26-$B$14)*$D$6/12)+(($B$38-$B$26)*$C$6/12)+(($B$50-$B$38)*$B$6/12))</f>
        <v>21459.839472916668</v>
      </c>
      <c r="E39" s="304">
        <f>+(C38*$E$10/12)+(((C39-C38)*$E$10/12)*0.5)</f>
        <v>7805.8595710833333</v>
      </c>
      <c r="F39" s="303">
        <f>-D39+F38</f>
        <v>-458102.55613958318</v>
      </c>
      <c r="G39" s="304">
        <f>+G38-E39</f>
        <v>-183394.08167804169</v>
      </c>
      <c r="H39" s="303">
        <f>B39+F39</f>
        <v>2553804.6738604167</v>
      </c>
      <c r="I39" s="303">
        <f>C39+G39</f>
        <v>2828513.1483219583</v>
      </c>
      <c r="J39" s="303">
        <f>I39-H39</f>
        <v>274708.47446154151</v>
      </c>
      <c r="K39" s="303">
        <f>-J39*$K$11</f>
        <v>-57688.779636923718</v>
      </c>
      <c r="L39" s="303">
        <f>-K39+K38</f>
        <v>2867.33577938503</v>
      </c>
      <c r="M39" s="361"/>
      <c r="N39" s="299"/>
      <c r="O39" s="299"/>
    </row>
    <row r="40" spans="1:15" ht="15" x14ac:dyDescent="0.25">
      <c r="A40" s="314">
        <v>45351</v>
      </c>
      <c r="B40" s="303">
        <f>C40</f>
        <v>3011907.23</v>
      </c>
      <c r="C40" s="313">
        <f>C39</f>
        <v>3011907.23</v>
      </c>
      <c r="D40" s="303">
        <f>(($B$14*$E$6/12)+(($B$26-$B$14)*$D$6/12)+(($B$38-$B$26)*$C$6/12)+(($B$50-$B$38)*$B$6/12))</f>
        <v>21459.839472916668</v>
      </c>
      <c r="E40" s="304">
        <f>+(C39*$E$10/12)+(((C40-C39)*$E$10/12)*0.5)</f>
        <v>7805.8595710833333</v>
      </c>
      <c r="F40" s="303">
        <f>-D40+F39</f>
        <v>-479562.39561249985</v>
      </c>
      <c r="G40" s="304">
        <f>+G39-E40</f>
        <v>-191199.94124912503</v>
      </c>
      <c r="H40" s="303">
        <f>B40+F40</f>
        <v>2532344.8343875003</v>
      </c>
      <c r="I40" s="303">
        <f>C40+G40</f>
        <v>2820707.2887508748</v>
      </c>
      <c r="J40" s="303">
        <f>I40-H40</f>
        <v>288362.45436337451</v>
      </c>
      <c r="K40" s="303">
        <f>-J40*$K$11</f>
        <v>-60556.115416308647</v>
      </c>
      <c r="L40" s="303">
        <f>-K40+K39</f>
        <v>2867.3357793849282</v>
      </c>
      <c r="M40" s="361"/>
      <c r="N40" s="299"/>
      <c r="O40" s="299"/>
    </row>
    <row r="41" spans="1:15" ht="15" x14ac:dyDescent="0.25">
      <c r="A41" s="314">
        <v>45382</v>
      </c>
      <c r="B41" s="303">
        <f>C41</f>
        <v>3011907.23</v>
      </c>
      <c r="C41" s="313">
        <f>C40</f>
        <v>3011907.23</v>
      </c>
      <c r="D41" s="303">
        <f>(($B$14*$E$6/12)+(($B$26-$B$14)*$D$6/12)+(($B$38-$B$26)*$C$6/12)+(($B$50-$B$38)*$B$6/12))</f>
        <v>21459.839472916668</v>
      </c>
      <c r="E41" s="304">
        <f>+(C40*$E$10/12)+(((C41-C40)*$E$10/12)*0.5)</f>
        <v>7805.8595710833333</v>
      </c>
      <c r="F41" s="303">
        <f>-D41+F40</f>
        <v>-501022.23508541653</v>
      </c>
      <c r="G41" s="304">
        <f>+G40-E41</f>
        <v>-199005.80082020836</v>
      </c>
      <c r="H41" s="303">
        <f>B41+F41</f>
        <v>2510884.9949145834</v>
      </c>
      <c r="I41" s="303">
        <f>C41+G41</f>
        <v>2812901.4291797918</v>
      </c>
      <c r="J41" s="303">
        <f>I41-H41</f>
        <v>302016.43426520843</v>
      </c>
      <c r="K41" s="303">
        <f>-J41*$K$11</f>
        <v>-63423.451195693771</v>
      </c>
      <c r="L41" s="303">
        <f>-K41+K40</f>
        <v>2867.3357793851246</v>
      </c>
      <c r="M41" s="361"/>
      <c r="N41" s="299"/>
      <c r="O41" s="299"/>
    </row>
    <row r="42" spans="1:15" ht="15" x14ac:dyDescent="0.25">
      <c r="A42" s="314">
        <v>45412</v>
      </c>
      <c r="B42" s="303">
        <f>C42</f>
        <v>3011907.23</v>
      </c>
      <c r="C42" s="313">
        <f>C41</f>
        <v>3011907.23</v>
      </c>
      <c r="D42" s="303">
        <f>(($B$14*$E$6/12)+(($B$26-$B$14)*$D$6/12)+(($B$38-$B$26)*$C$6/12)+(($B$50-$B$38)*$B$6/12))</f>
        <v>21459.839472916668</v>
      </c>
      <c r="E42" s="304">
        <f>+(C41*$E$10/12)+(((C42-C41)*$E$10/12)*0.5)</f>
        <v>7805.8595710833333</v>
      </c>
      <c r="F42" s="303">
        <f>-D42+F41</f>
        <v>-522482.0745583332</v>
      </c>
      <c r="G42" s="304">
        <f>+G41-E42</f>
        <v>-206811.66039129169</v>
      </c>
      <c r="H42" s="303">
        <f>B42+F42</f>
        <v>2489425.155441667</v>
      </c>
      <c r="I42" s="303">
        <f>C42+G42</f>
        <v>2805095.5696087084</v>
      </c>
      <c r="J42" s="303">
        <f>I42-H42</f>
        <v>315670.41416704142</v>
      </c>
      <c r="K42" s="303">
        <f>-J42*$K$11</f>
        <v>-66290.786975078692</v>
      </c>
      <c r="L42" s="303">
        <f>-K42+K41</f>
        <v>2867.3357793849209</v>
      </c>
      <c r="M42" s="361"/>
      <c r="N42" s="299"/>
      <c r="O42" s="299"/>
    </row>
    <row r="43" spans="1:15" ht="15" x14ac:dyDescent="0.25">
      <c r="A43" s="314">
        <v>45443</v>
      </c>
      <c r="B43" s="303">
        <f>C43</f>
        <v>3011907.23</v>
      </c>
      <c r="C43" s="313">
        <f>C42</f>
        <v>3011907.23</v>
      </c>
      <c r="D43" s="303">
        <f>(($B$14*$E$6/12)+(($B$26-$B$14)*$D$6/12)+(($B$38-$B$26)*$C$6/12)+(($B$50-$B$38)*$B$6/12))</f>
        <v>21459.839472916668</v>
      </c>
      <c r="E43" s="304">
        <f>+(C42*$E$10/12)+(((C43-C42)*$E$10/12)*0.5)</f>
        <v>7805.8595710833333</v>
      </c>
      <c r="F43" s="303">
        <f>-D43+F42</f>
        <v>-543941.91403124982</v>
      </c>
      <c r="G43" s="304">
        <f>+G42-E43</f>
        <v>-214617.51996237502</v>
      </c>
      <c r="H43" s="303">
        <f>B43+F43</f>
        <v>2467965.31596875</v>
      </c>
      <c r="I43" s="303">
        <f>C43+G43</f>
        <v>2797289.7100376249</v>
      </c>
      <c r="J43" s="303">
        <f>I43-H43</f>
        <v>329324.39406887488</v>
      </c>
      <c r="K43" s="303">
        <f>-J43*$K$11</f>
        <v>-69158.122754463722</v>
      </c>
      <c r="L43" s="303">
        <f>-K43+K42</f>
        <v>2867.33577938503</v>
      </c>
      <c r="M43" s="361"/>
      <c r="N43" s="299"/>
      <c r="O43" s="299"/>
    </row>
    <row r="44" spans="1:15" ht="15" x14ac:dyDescent="0.25">
      <c r="A44" s="314">
        <v>45473</v>
      </c>
      <c r="B44" s="303">
        <f>C44</f>
        <v>3011907.23</v>
      </c>
      <c r="C44" s="313">
        <f>C43</f>
        <v>3011907.23</v>
      </c>
      <c r="D44" s="303">
        <f>(($B$14*$E$6/12)+(($B$26-$B$14)*$D$6/12)+(($B$38-$B$26)*$C$6/12)+(($B$50-$B$38)*$B$6/12))</f>
        <v>21459.839472916668</v>
      </c>
      <c r="E44" s="304">
        <f>+(C43*$E$10/12)+(((C44-C43)*$E$10/12)*0.5)</f>
        <v>7805.8595710833333</v>
      </c>
      <c r="F44" s="303">
        <f>-D44+F43</f>
        <v>-565401.7535041665</v>
      </c>
      <c r="G44" s="304">
        <f>+G43-E44</f>
        <v>-222423.37953345836</v>
      </c>
      <c r="H44" s="303">
        <f>B44+F44</f>
        <v>2446505.4764958336</v>
      </c>
      <c r="I44" s="303">
        <f>C44+G44</f>
        <v>2789483.8504665415</v>
      </c>
      <c r="J44" s="303">
        <f>I44-H44</f>
        <v>342978.37397070788</v>
      </c>
      <c r="K44" s="303">
        <f>-J44*$K$11</f>
        <v>-72025.45853384865</v>
      </c>
      <c r="L44" s="303">
        <f>-K44+K43</f>
        <v>2867.3357793849282</v>
      </c>
      <c r="M44" s="361"/>
      <c r="N44" s="299"/>
      <c r="O44" s="299"/>
    </row>
    <row r="45" spans="1:15" ht="15" x14ac:dyDescent="0.25">
      <c r="A45" s="314">
        <v>45504</v>
      </c>
      <c r="B45" s="303">
        <f>C45</f>
        <v>3011907.23</v>
      </c>
      <c r="C45" s="313">
        <f>C44</f>
        <v>3011907.23</v>
      </c>
      <c r="D45" s="303">
        <f>(($B$14*$E$6/12)+(($B$26-$B$14)*$D$6/12)+(($B$38-$B$26)*$C$6/12)+(($B$50-$B$38)*$B$6/12))</f>
        <v>21459.839472916668</v>
      </c>
      <c r="E45" s="304">
        <f>+(C44*$E$10/12)+(((C45-C44)*$E$10/12)*0.5)</f>
        <v>7805.8595710833333</v>
      </c>
      <c r="F45" s="303">
        <f>-D45+F44</f>
        <v>-586861.59297708317</v>
      </c>
      <c r="G45" s="304">
        <f>+G44-E45</f>
        <v>-230229.23910454169</v>
      </c>
      <c r="H45" s="303">
        <f>B45+F45</f>
        <v>2425045.6370229167</v>
      </c>
      <c r="I45" s="303">
        <f>C45+G45</f>
        <v>2781677.9908954585</v>
      </c>
      <c r="J45" s="303">
        <f>I45-H45</f>
        <v>356632.3538725418</v>
      </c>
      <c r="K45" s="303">
        <f>-J45*$K$11</f>
        <v>-74892.794313233782</v>
      </c>
      <c r="L45" s="303">
        <f>-K45+K44</f>
        <v>2867.3357793851319</v>
      </c>
      <c r="M45" s="361"/>
      <c r="N45" s="299"/>
      <c r="O45" s="299"/>
    </row>
    <row r="46" spans="1:15" ht="15" x14ac:dyDescent="0.25">
      <c r="A46" s="314">
        <v>45535</v>
      </c>
      <c r="B46" s="303">
        <f>C46</f>
        <v>3011907.23</v>
      </c>
      <c r="C46" s="313">
        <f>C45</f>
        <v>3011907.23</v>
      </c>
      <c r="D46" s="303">
        <f>(($B$14*$E$6/12)+(($B$26-$B$14)*$D$6/12)+(($B$38-$B$26)*$C$6/12)+(($B$50-$B$38)*$B$6/12))</f>
        <v>21459.839472916668</v>
      </c>
      <c r="E46" s="304">
        <f>+(C45*$E$10/12)+(((C46-C45)*$E$10/12)*0.5)</f>
        <v>7805.8595710833333</v>
      </c>
      <c r="F46" s="303">
        <f>-D46+F45</f>
        <v>-608321.43244999985</v>
      </c>
      <c r="G46" s="304">
        <f>+G45-E46</f>
        <v>-238035.09867562502</v>
      </c>
      <c r="H46" s="303">
        <f>B46+F46</f>
        <v>2403585.7975500003</v>
      </c>
      <c r="I46" s="303">
        <f>C46+G46</f>
        <v>2773872.131324375</v>
      </c>
      <c r="J46" s="303">
        <f>I46-H46</f>
        <v>370286.3337743748</v>
      </c>
      <c r="K46" s="303">
        <f>-J46*$K$11</f>
        <v>-77760.13009261871</v>
      </c>
      <c r="L46" s="303">
        <f>-K46+K45</f>
        <v>2867.3357793849282</v>
      </c>
      <c r="M46" s="361"/>
      <c r="N46" s="299"/>
      <c r="O46" s="299"/>
    </row>
    <row r="47" spans="1:15" ht="15" x14ac:dyDescent="0.25">
      <c r="A47" s="314">
        <v>45565</v>
      </c>
      <c r="B47" s="303">
        <f>C47</f>
        <v>3011907.23</v>
      </c>
      <c r="C47" s="313">
        <f>C46</f>
        <v>3011907.23</v>
      </c>
      <c r="D47" s="303">
        <f>(($B$14*$E$6/12)+(($B$26-$B$14)*$D$6/12)+(($B$38-$B$26)*$C$6/12)+(($B$50-$B$38)*$B$6/12))</f>
        <v>21459.839472916668</v>
      </c>
      <c r="E47" s="304">
        <f>+(C46*$E$10/12)+(((C47-C46)*$E$10/12)*0.5)</f>
        <v>7805.8595710833333</v>
      </c>
      <c r="F47" s="303">
        <f>-D47+F46</f>
        <v>-629781.27192291652</v>
      </c>
      <c r="G47" s="304">
        <f>+G46-E47</f>
        <v>-245840.95824670835</v>
      </c>
      <c r="H47" s="303">
        <f>B47+F47</f>
        <v>2382125.9580770833</v>
      </c>
      <c r="I47" s="303">
        <f>C47+G47</f>
        <v>2766066.2717532916</v>
      </c>
      <c r="J47" s="303">
        <f>I47-H47</f>
        <v>383940.31367620826</v>
      </c>
      <c r="K47" s="303">
        <f>-J47*$K$11</f>
        <v>-80627.465872003726</v>
      </c>
      <c r="L47" s="303">
        <f>-K47+K46</f>
        <v>2867.3357793850155</v>
      </c>
      <c r="M47" s="361"/>
      <c r="N47" s="299"/>
      <c r="O47" s="299"/>
    </row>
    <row r="48" spans="1:15" ht="15" x14ac:dyDescent="0.25">
      <c r="A48" s="314">
        <v>45596</v>
      </c>
      <c r="B48" s="303">
        <f>C48</f>
        <v>3011907.23</v>
      </c>
      <c r="C48" s="313">
        <f>C47</f>
        <v>3011907.23</v>
      </c>
      <c r="D48" s="303">
        <f>(($B$14*$E$6/12)+(($B$26-$B$14)*$D$6/12)+(($B$38-$B$26)*$C$6/12)+(($B$50-$B$38)*$B$6/12))</f>
        <v>21459.839472916668</v>
      </c>
      <c r="E48" s="304">
        <f>+(C47*$E$10/12)+(((C48-C47)*$E$10/12)*0.5)</f>
        <v>7805.8595710833333</v>
      </c>
      <c r="F48" s="303">
        <f>-D48+F47</f>
        <v>-651241.1113958332</v>
      </c>
      <c r="G48" s="304">
        <f>+G47-E48</f>
        <v>-253646.81781779169</v>
      </c>
      <c r="H48" s="303">
        <f>B48+F48</f>
        <v>2360666.1186041669</v>
      </c>
      <c r="I48" s="303">
        <f>C48+G48</f>
        <v>2758260.4121822082</v>
      </c>
      <c r="J48" s="303">
        <f>I48-H48</f>
        <v>397594.29357804125</v>
      </c>
      <c r="K48" s="303">
        <f>-J48*$K$11</f>
        <v>-83494.801651388654</v>
      </c>
      <c r="L48" s="303">
        <f>-K48+K47</f>
        <v>2867.3357793849282</v>
      </c>
      <c r="M48" s="361"/>
      <c r="N48" s="299"/>
      <c r="O48" s="299"/>
    </row>
    <row r="49" spans="1:15" ht="15" x14ac:dyDescent="0.25">
      <c r="A49" s="314">
        <v>45626</v>
      </c>
      <c r="B49" s="303">
        <f>C49</f>
        <v>3011907.23</v>
      </c>
      <c r="C49" s="313">
        <f>C48</f>
        <v>3011907.23</v>
      </c>
      <c r="D49" s="303">
        <f>(($B$14*$E$6/12)+(($B$26-$B$14)*$D$6/12)+(($B$38-$B$26)*$C$6/12)+(($B$50-$B$38)*$B$6/12))</f>
        <v>21459.839472916668</v>
      </c>
      <c r="E49" s="304">
        <f>+(C48*$E$10/12)+(((C49-C48)*$E$10/12)*0.5)</f>
        <v>7805.8595710833333</v>
      </c>
      <c r="F49" s="303">
        <f>-D49+F48</f>
        <v>-672700.95086874987</v>
      </c>
      <c r="G49" s="304">
        <f>+G48-E49</f>
        <v>-261452.67738887502</v>
      </c>
      <c r="H49" s="303">
        <f>B49+F49</f>
        <v>2339206.27913125</v>
      </c>
      <c r="I49" s="303">
        <f>C49+G49</f>
        <v>2750454.5526111252</v>
      </c>
      <c r="J49" s="303">
        <f>I49-H49</f>
        <v>411248.27347987518</v>
      </c>
      <c r="K49" s="303">
        <f>-J49*$K$11</f>
        <v>-86362.137430773786</v>
      </c>
      <c r="L49" s="303">
        <f>-K49+K48</f>
        <v>2867.3357793851319</v>
      </c>
      <c r="M49" s="361"/>
      <c r="N49" s="299"/>
      <c r="O49" s="299"/>
    </row>
    <row r="50" spans="1:15" ht="15" x14ac:dyDescent="0.25">
      <c r="A50" s="314">
        <v>45657</v>
      </c>
      <c r="B50" s="303">
        <f>C50</f>
        <v>3011907.23</v>
      </c>
      <c r="C50" s="313">
        <f>C49</f>
        <v>3011907.23</v>
      </c>
      <c r="D50" s="303">
        <f>(($B$14*$E$6/12)+(($B$26-$B$14)*$D$6/12)+(($B$38-$B$26)*$C$6/12)+(($B$50-$B$38)*$B$6/12))</f>
        <v>21459.839472916668</v>
      </c>
      <c r="E50" s="304">
        <f>+(C49*$E$10/12)+(((C50-C49)*$E$10/12)*0.5)</f>
        <v>7805.8595710833333</v>
      </c>
      <c r="F50" s="303">
        <f>-D50+F49</f>
        <v>-694160.79034166655</v>
      </c>
      <c r="G50" s="304">
        <f>+G49-E50</f>
        <v>-269258.53695995838</v>
      </c>
      <c r="H50" s="303">
        <f>B50+F50</f>
        <v>2317746.4396583335</v>
      </c>
      <c r="I50" s="303">
        <f>C50+G50</f>
        <v>2742648.6930400417</v>
      </c>
      <c r="J50" s="303">
        <f>I50-H50</f>
        <v>424902.25338170817</v>
      </c>
      <c r="K50" s="303">
        <f>-J50*$K$11</f>
        <v>-89229.473210158714</v>
      </c>
      <c r="L50" s="303">
        <f>-K50+K49</f>
        <v>2867.3357793849282</v>
      </c>
      <c r="M50" s="361"/>
      <c r="N50" s="299"/>
      <c r="O50" s="299"/>
    </row>
    <row r="51" spans="1:15" ht="15" x14ac:dyDescent="0.25">
      <c r="A51" s="314">
        <v>45688</v>
      </c>
      <c r="B51" s="303">
        <f>C51</f>
        <v>3011907.23</v>
      </c>
      <c r="C51" s="313">
        <f>C50</f>
        <v>3011907.23</v>
      </c>
      <c r="D51" s="303">
        <f>(($B$14*$F$6/12)+(($B$26-$B$14)*$E$6/12)+(($B$38-$B$26)*$D$6/12)+(($B$50-$B$38)*$C$6/12)+(($B$62-$B$50)*$B$6/12))</f>
        <v>19326.405136666668</v>
      </c>
      <c r="E51" s="304">
        <f>+(C50*$E$10/12)+(((C51-C50)*$E$10/12)*0.5)</f>
        <v>7805.8595710833333</v>
      </c>
      <c r="F51" s="303">
        <f>-D51+F50</f>
        <v>-713487.19547833316</v>
      </c>
      <c r="G51" s="304">
        <f>+G50-E51</f>
        <v>-277064.39653104171</v>
      </c>
      <c r="H51" s="303">
        <f>B51+F51</f>
        <v>2298420.0345216668</v>
      </c>
      <c r="I51" s="303">
        <f>C51+G51</f>
        <v>2734842.8334689583</v>
      </c>
      <c r="J51" s="303">
        <f>I51-H51</f>
        <v>436422.79894729145</v>
      </c>
      <c r="K51" s="303">
        <f>-J51*$K$11</f>
        <v>-91648.787778931204</v>
      </c>
      <c r="L51" s="303">
        <f>-K51+K50</f>
        <v>2419.31456877249</v>
      </c>
      <c r="M51" s="361"/>
      <c r="N51" s="299"/>
      <c r="O51" s="299"/>
    </row>
    <row r="52" spans="1:15" ht="15" x14ac:dyDescent="0.25">
      <c r="A52" s="314">
        <v>45716</v>
      </c>
      <c r="B52" s="303">
        <f>C52</f>
        <v>3011907.23</v>
      </c>
      <c r="C52" s="313">
        <f>C51</f>
        <v>3011907.23</v>
      </c>
      <c r="D52" s="303">
        <f>(($B$14*$F$6/12)+(($B$26-$B$14)*$E$6/12)+(($B$38-$B$26)*$D$6/12)+(($B$50-$B$38)*$C$6/12)+(($B$62-$B$50)*$B$6/12))</f>
        <v>19326.405136666668</v>
      </c>
      <c r="E52" s="304">
        <f>+(C51*$E$10/12)+(((C52-C51)*$E$10/12)*0.5)</f>
        <v>7805.8595710833333</v>
      </c>
      <c r="F52" s="303">
        <f>-D52+F51</f>
        <v>-732813.60061499989</v>
      </c>
      <c r="G52" s="304">
        <f>+G51-E52</f>
        <v>-284870.25610212504</v>
      </c>
      <c r="H52" s="303">
        <f>B52+F52</f>
        <v>2279093.6293850001</v>
      </c>
      <c r="I52" s="303">
        <f>C52+G52</f>
        <v>2727036.9738978748</v>
      </c>
      <c r="J52" s="303">
        <f>I52-H52</f>
        <v>447943.34451287473</v>
      </c>
      <c r="K52" s="303">
        <f>-J52*$K$11</f>
        <v>-94068.102347703694</v>
      </c>
      <c r="L52" s="303">
        <f>-K52+K51</f>
        <v>2419.31456877249</v>
      </c>
      <c r="M52" s="361"/>
      <c r="N52" s="299"/>
      <c r="O52" s="299"/>
    </row>
    <row r="53" spans="1:15" ht="15" customHeight="1" x14ac:dyDescent="0.25">
      <c r="A53" s="314">
        <v>45747</v>
      </c>
      <c r="B53" s="303">
        <f>C53</f>
        <v>3011907.23</v>
      </c>
      <c r="C53" s="313">
        <f>C52</f>
        <v>3011907.23</v>
      </c>
      <c r="D53" s="303">
        <f>(($B$14*$F$6/12)+(($B$26-$B$14)*$E$6/12)+(($B$38-$B$26)*$D$6/12)+(($B$50-$B$38)*$C$6/12)+(($B$62-$B$50)*$B$6/12))</f>
        <v>19326.405136666668</v>
      </c>
      <c r="E53" s="304">
        <f>+(C52*$E$10/12)+(((C53-C52)*$E$10/12)*0.5)</f>
        <v>7805.8595710833333</v>
      </c>
      <c r="F53" s="303">
        <f>-D53+F52</f>
        <v>-752140.00575166661</v>
      </c>
      <c r="G53" s="304">
        <f>+G52-E53</f>
        <v>-292676.11567320838</v>
      </c>
      <c r="H53" s="303">
        <f>B53+F53</f>
        <v>2259767.2242483334</v>
      </c>
      <c r="I53" s="303">
        <f>C53+G53</f>
        <v>2719231.1143267918</v>
      </c>
      <c r="J53" s="303">
        <f>I53-H53</f>
        <v>459463.89007845847</v>
      </c>
      <c r="K53" s="303">
        <f>-J53*$K$11</f>
        <v>-96487.416916476272</v>
      </c>
      <c r="L53" s="303">
        <f>-K53+K52</f>
        <v>2419.3145687725773</v>
      </c>
      <c r="M53" s="361"/>
      <c r="N53" s="299"/>
      <c r="O53" s="299"/>
    </row>
    <row r="54" spans="1:15" ht="15" customHeight="1" x14ac:dyDescent="0.25">
      <c r="A54" s="314">
        <v>45777</v>
      </c>
      <c r="B54" s="303">
        <f>C54</f>
        <v>3011907.23</v>
      </c>
      <c r="C54" s="313">
        <f>C53</f>
        <v>3011907.23</v>
      </c>
      <c r="D54" s="303">
        <f>(($B$14*$F$6/12)+(($B$26-$B$14)*$E$6/12)+(($B$38-$B$26)*$D$6/12)+(($B$50-$B$38)*$C$6/12)+(($B$62-$B$50)*$B$6/12))</f>
        <v>19326.405136666668</v>
      </c>
      <c r="E54" s="304">
        <f>+(C53*$E$10/12)+(((C54-C53)*$E$10/12)*0.5)</f>
        <v>7805.8595710833333</v>
      </c>
      <c r="F54" s="303">
        <f>-D54+F53</f>
        <v>-771466.41088833334</v>
      </c>
      <c r="G54" s="304">
        <f>+G53-E54</f>
        <v>-300481.97524429171</v>
      </c>
      <c r="H54" s="303">
        <f>B54+F54</f>
        <v>2240440.8191116666</v>
      </c>
      <c r="I54" s="303">
        <f>C54+G54</f>
        <v>2711425.2547557084</v>
      </c>
      <c r="J54" s="303">
        <f>I54-H54</f>
        <v>470984.43564404175</v>
      </c>
      <c r="K54" s="303">
        <f>-J54*$K$11</f>
        <v>-98906.731485248762</v>
      </c>
      <c r="L54" s="303">
        <f>-K54+K53</f>
        <v>2419.31456877249</v>
      </c>
      <c r="M54" s="361"/>
      <c r="N54" s="299"/>
      <c r="O54" s="299"/>
    </row>
    <row r="55" spans="1:15" ht="15" customHeight="1" x14ac:dyDescent="0.25">
      <c r="A55" s="314">
        <v>45808</v>
      </c>
      <c r="B55" s="303">
        <f>C55</f>
        <v>3011907.23</v>
      </c>
      <c r="C55" s="313">
        <f>C54</f>
        <v>3011907.23</v>
      </c>
      <c r="D55" s="303">
        <f>(($B$14*$F$6/12)+(($B$26-$B$14)*$E$6/12)+(($B$38-$B$26)*$D$6/12)+(($B$50-$B$38)*$C$6/12)+(($B$62-$B$50)*$B$6/12))</f>
        <v>19326.405136666668</v>
      </c>
      <c r="E55" s="304">
        <f>+(C54*$E$10/12)+(((C55-C54)*$E$10/12)*0.5)</f>
        <v>7805.8595710833333</v>
      </c>
      <c r="F55" s="303">
        <f>-D55+F54</f>
        <v>-790792.81602500007</v>
      </c>
      <c r="G55" s="304">
        <f>+G54-E55</f>
        <v>-308287.83481537504</v>
      </c>
      <c r="H55" s="303">
        <f>B55+F55</f>
        <v>2221114.4139749999</v>
      </c>
      <c r="I55" s="303">
        <f>C55+G55</f>
        <v>2703619.3951846249</v>
      </c>
      <c r="J55" s="303">
        <f>I55-H55</f>
        <v>482504.98120962502</v>
      </c>
      <c r="K55" s="303">
        <f>-J55*$K$11</f>
        <v>-101326.04605402125</v>
      </c>
      <c r="L55" s="303">
        <f>-K55+K54</f>
        <v>2419.31456877249</v>
      </c>
      <c r="M55" s="361"/>
      <c r="N55" s="299"/>
      <c r="O55" s="299"/>
    </row>
    <row r="56" spans="1:15" ht="15" x14ac:dyDescent="0.25">
      <c r="A56" s="314">
        <v>45838</v>
      </c>
      <c r="B56" s="303">
        <f>C56</f>
        <v>3011907.23</v>
      </c>
      <c r="C56" s="313">
        <f>C55</f>
        <v>3011907.23</v>
      </c>
      <c r="D56" s="303">
        <f>(($B$14*$F$6/12)+(($B$26-$B$14)*$E$6/12)+(($B$38-$B$26)*$D$6/12)+(($B$50-$B$38)*$C$6/12)+(($B$62-$B$50)*$B$6/12))</f>
        <v>19326.405136666668</v>
      </c>
      <c r="E56" s="304">
        <f>+(C55*$E$10/12)+(((C56-C55)*$E$10/12)*0.5)</f>
        <v>7805.8595710833333</v>
      </c>
      <c r="F56" s="303">
        <f>-D56+F55</f>
        <v>-810119.22116166679</v>
      </c>
      <c r="G56" s="304">
        <f>+G55-E56</f>
        <v>-316093.69438645837</v>
      </c>
      <c r="H56" s="303">
        <f>B56+F56</f>
        <v>2201788.0088383332</v>
      </c>
      <c r="I56" s="303">
        <f>C56+G56</f>
        <v>2695813.5356135415</v>
      </c>
      <c r="J56" s="303">
        <f>I56-H56</f>
        <v>494025.5267752083</v>
      </c>
      <c r="K56" s="303">
        <f>-J56*$K$11</f>
        <v>-103745.36062279374</v>
      </c>
      <c r="L56" s="303">
        <f>-K56+K55</f>
        <v>2419.31456877249</v>
      </c>
      <c r="M56" s="361"/>
      <c r="N56" s="299"/>
      <c r="O56" s="299"/>
    </row>
    <row r="57" spans="1:15" ht="15" x14ac:dyDescent="0.25">
      <c r="A57" s="314">
        <v>45869</v>
      </c>
      <c r="B57" s="303">
        <f>C57</f>
        <v>3011907.23</v>
      </c>
      <c r="C57" s="313">
        <f>C56</f>
        <v>3011907.23</v>
      </c>
      <c r="D57" s="303">
        <f>(($B$14*$F$6/12)+(($B$26-$B$14)*$E$6/12)+(($B$38-$B$26)*$D$6/12)+(($B$50-$B$38)*$C$6/12)+(($B$62-$B$50)*$B$6/12))</f>
        <v>19326.405136666668</v>
      </c>
      <c r="E57" s="304">
        <f>+(C56*$E$10/12)+(((C57-C56)*$E$10/12)*0.5)</f>
        <v>7805.8595710833333</v>
      </c>
      <c r="F57" s="303">
        <f>-D57+F56</f>
        <v>-829445.62629833352</v>
      </c>
      <c r="G57" s="304">
        <f>+G56-E57</f>
        <v>-323899.55395754171</v>
      </c>
      <c r="H57" s="303">
        <f>B57+F57</f>
        <v>2182461.6037016665</v>
      </c>
      <c r="I57" s="303">
        <f>C57+G57</f>
        <v>2688007.676042458</v>
      </c>
      <c r="J57" s="303">
        <f>I57-H57</f>
        <v>505546.07234079158</v>
      </c>
      <c r="K57" s="303">
        <f>-J57*$K$11</f>
        <v>-106164.67519156623</v>
      </c>
      <c r="L57" s="303">
        <f>-K57+K56</f>
        <v>2419.31456877249</v>
      </c>
      <c r="M57" s="361"/>
      <c r="N57" s="299"/>
      <c r="O57" s="299"/>
    </row>
    <row r="58" spans="1:15" ht="15" x14ac:dyDescent="0.25">
      <c r="A58" s="314">
        <v>45900</v>
      </c>
      <c r="B58" s="303">
        <f>C58</f>
        <v>3011907.23</v>
      </c>
      <c r="C58" s="313">
        <f>C57</f>
        <v>3011907.23</v>
      </c>
      <c r="D58" s="303">
        <f>(($B$14*$F$6/12)+(($B$26-$B$14)*$E$6/12)+(($B$38-$B$26)*$D$6/12)+(($B$50-$B$38)*$C$6/12)+(($B$62-$B$50)*$B$6/12))</f>
        <v>19326.405136666668</v>
      </c>
      <c r="E58" s="304">
        <f>+(C57*$E$10/12)+(((C58-C57)*$E$10/12)*0.5)</f>
        <v>7805.8595710833333</v>
      </c>
      <c r="F58" s="303">
        <f>-D58+F57</f>
        <v>-848772.03143500024</v>
      </c>
      <c r="G58" s="304">
        <f>+G57-E58</f>
        <v>-331705.41352862504</v>
      </c>
      <c r="H58" s="303">
        <f>B58+F58</f>
        <v>2163135.1985649997</v>
      </c>
      <c r="I58" s="303">
        <f>C58+G58</f>
        <v>2680201.8164713751</v>
      </c>
      <c r="J58" s="303">
        <f>I58-H58</f>
        <v>517066.61790637532</v>
      </c>
      <c r="K58" s="303">
        <f>-J58*$K$11</f>
        <v>-108583.98976033881</v>
      </c>
      <c r="L58" s="303">
        <f>-K58+K57</f>
        <v>2419.3145687725773</v>
      </c>
      <c r="M58" s="361"/>
      <c r="N58" s="299"/>
      <c r="O58" s="299"/>
    </row>
    <row r="59" spans="1:15" ht="15" x14ac:dyDescent="0.25">
      <c r="A59" s="314">
        <v>45930</v>
      </c>
      <c r="B59" s="303">
        <f>C59</f>
        <v>3011907.23</v>
      </c>
      <c r="C59" s="313">
        <f>C58</f>
        <v>3011907.23</v>
      </c>
      <c r="D59" s="303">
        <f>(($B$14*$F$6/12)+(($B$26-$B$14)*$E$6/12)+(($B$38-$B$26)*$D$6/12)+(($B$50-$B$38)*$C$6/12)+(($B$62-$B$50)*$B$6/12))</f>
        <v>19326.405136666668</v>
      </c>
      <c r="E59" s="304">
        <f>+(C58*$E$10/12)+(((C59-C58)*$E$10/12)*0.5)</f>
        <v>7805.8595710833333</v>
      </c>
      <c r="F59" s="303">
        <f>-D59+F58</f>
        <v>-868098.43657166697</v>
      </c>
      <c r="G59" s="304">
        <f>+G58-E59</f>
        <v>-339511.27309970837</v>
      </c>
      <c r="H59" s="303">
        <f>B59+F59</f>
        <v>2143808.793428333</v>
      </c>
      <c r="I59" s="303">
        <f>C59+G59</f>
        <v>2672395.9569002916</v>
      </c>
      <c r="J59" s="303">
        <f>I59-H59</f>
        <v>528587.1634719586</v>
      </c>
      <c r="K59" s="303">
        <f>-J59*$K$11</f>
        <v>-111003.3043291113</v>
      </c>
      <c r="L59" s="303">
        <f>-K59+K58</f>
        <v>2419.31456877249</v>
      </c>
      <c r="M59" s="361"/>
      <c r="N59" s="299"/>
      <c r="O59" s="299"/>
    </row>
    <row r="60" spans="1:15" ht="15" x14ac:dyDescent="0.25">
      <c r="A60" s="314">
        <v>45961</v>
      </c>
      <c r="B60" s="303">
        <f>C60</f>
        <v>3011907.23</v>
      </c>
      <c r="C60" s="313">
        <f>C59</f>
        <v>3011907.23</v>
      </c>
      <c r="D60" s="303">
        <f>(($B$14*$F$6/12)+(($B$26-$B$14)*$E$6/12)+(($B$38-$B$26)*$D$6/12)+(($B$50-$B$38)*$C$6/12)+(($B$62-$B$50)*$B$6/12))</f>
        <v>19326.405136666668</v>
      </c>
      <c r="E60" s="304">
        <f>+(C59*$E$10/12)+(((C60-C59)*$E$10/12)*0.5)</f>
        <v>7805.8595710833333</v>
      </c>
      <c r="F60" s="303">
        <f>-D60+F59</f>
        <v>-887424.8417083337</v>
      </c>
      <c r="G60" s="304">
        <f>+G59-E60</f>
        <v>-347317.1326707917</v>
      </c>
      <c r="H60" s="303">
        <f>B60+F60</f>
        <v>2124482.3882916663</v>
      </c>
      <c r="I60" s="303">
        <f>C60+G60</f>
        <v>2664590.0973292082</v>
      </c>
      <c r="J60" s="303">
        <f>I60-H60</f>
        <v>540107.70903754188</v>
      </c>
      <c r="K60" s="303">
        <f>-J60*$K$11</f>
        <v>-113422.61889788379</v>
      </c>
      <c r="L60" s="303">
        <f>-K60+K59</f>
        <v>2419.31456877249</v>
      </c>
      <c r="M60" s="361"/>
      <c r="N60" s="299"/>
      <c r="O60" s="299"/>
    </row>
    <row r="61" spans="1:15" ht="15" x14ac:dyDescent="0.25">
      <c r="A61" s="314">
        <v>45991</v>
      </c>
      <c r="B61" s="303">
        <f>C61</f>
        <v>3011907.23</v>
      </c>
      <c r="C61" s="313">
        <f>C60</f>
        <v>3011907.23</v>
      </c>
      <c r="D61" s="303">
        <f>(($B$14*$F$6/12)+(($B$26-$B$14)*$E$6/12)+(($B$38-$B$26)*$D$6/12)+(($B$50-$B$38)*$C$6/12)+(($B$62-$B$50)*$B$6/12))</f>
        <v>19326.405136666668</v>
      </c>
      <c r="E61" s="304">
        <f>+(C60*$E$10/12)+(((C61-C60)*$E$10/12)*0.5)</f>
        <v>7805.8595710833333</v>
      </c>
      <c r="F61" s="303">
        <f>-D61+F60</f>
        <v>-906751.24684500042</v>
      </c>
      <c r="G61" s="304">
        <f>+G60-E61</f>
        <v>-355122.99224187504</v>
      </c>
      <c r="H61" s="303">
        <f>B61+F61</f>
        <v>2105155.9831549996</v>
      </c>
      <c r="I61" s="303">
        <f>C61+G61</f>
        <v>2656784.2377581252</v>
      </c>
      <c r="J61" s="303">
        <f>I61-H61</f>
        <v>551628.25460312562</v>
      </c>
      <c r="K61" s="303">
        <f>-J61*$K$11</f>
        <v>-115841.93346665638</v>
      </c>
      <c r="L61" s="303">
        <f>-K61+K60</f>
        <v>2419.3145687725919</v>
      </c>
      <c r="M61" s="361"/>
      <c r="N61" s="299"/>
    </row>
    <row r="62" spans="1:15" ht="15" x14ac:dyDescent="0.25">
      <c r="A62" s="314">
        <v>46022</v>
      </c>
      <c r="B62" s="303">
        <f>C62</f>
        <v>3011907.23</v>
      </c>
      <c r="C62" s="313">
        <f>C61</f>
        <v>3011907.23</v>
      </c>
      <c r="D62" s="303">
        <f>(($B$14*$F$6/12)+(($B$26-$B$14)*$E$6/12)+(($B$38-$B$26)*$D$6/12)+(($B$50-$B$38)*$C$6/12)+(($B$62-$B$50)*$B$6/12))</f>
        <v>19326.405136666668</v>
      </c>
      <c r="E62" s="304">
        <f>+(C61*$E$10/12)+(((C62-C61)*$E$10/12)*0.5)</f>
        <v>7805.8595710833333</v>
      </c>
      <c r="F62" s="303">
        <f>-D62+F61</f>
        <v>-926077.65198166715</v>
      </c>
      <c r="G62" s="304">
        <f>+G61-E62</f>
        <v>-362928.85181295837</v>
      </c>
      <c r="H62" s="303">
        <f>B62+F62</f>
        <v>2085829.5780183328</v>
      </c>
      <c r="I62" s="303">
        <f>C62+G62</f>
        <v>2648978.3781870417</v>
      </c>
      <c r="J62" s="303">
        <f>I62-H62</f>
        <v>563148.8001687089</v>
      </c>
      <c r="K62" s="303">
        <f>-J62*$K$11</f>
        <v>-118261.24803542887</v>
      </c>
      <c r="L62" s="303">
        <f>-K62+K61</f>
        <v>2419.31456877249</v>
      </c>
      <c r="M62" s="361"/>
    </row>
    <row r="63" spans="1:15" x14ac:dyDescent="0.2">
      <c r="A63" s="311"/>
      <c r="B63" s="303"/>
      <c r="C63" s="310"/>
      <c r="D63" s="309"/>
      <c r="E63" s="308"/>
      <c r="F63" s="303"/>
      <c r="G63" s="304"/>
      <c r="H63" s="303"/>
      <c r="I63" s="303"/>
      <c r="J63" s="303"/>
      <c r="K63" s="303"/>
      <c r="L63" s="303"/>
      <c r="M63" s="297"/>
    </row>
    <row r="64" spans="1:15" x14ac:dyDescent="0.2">
      <c r="A64" s="306" t="s">
        <v>253</v>
      </c>
      <c r="B64" s="303"/>
      <c r="C64" s="305"/>
      <c r="D64" s="303"/>
      <c r="E64" s="303"/>
      <c r="F64" s="303"/>
      <c r="G64" s="304"/>
      <c r="H64" s="303"/>
      <c r="I64" s="303"/>
      <c r="J64" s="303"/>
      <c r="K64" s="303"/>
      <c r="L64" s="303"/>
      <c r="M64" s="297"/>
      <c r="N64" s="299"/>
      <c r="O64" s="299"/>
    </row>
    <row r="65" spans="1:15" x14ac:dyDescent="0.2">
      <c r="A65" s="302" t="s">
        <v>252</v>
      </c>
      <c r="B65" s="285">
        <f>B14</f>
        <v>0</v>
      </c>
      <c r="C65" s="285">
        <f>C14</f>
        <v>0</v>
      </c>
      <c r="D65" s="285">
        <f>SUM(D14:D14)</f>
        <v>0</v>
      </c>
      <c r="E65" s="285">
        <f>SUM(E14:E14)</f>
        <v>0</v>
      </c>
      <c r="F65" s="285">
        <f>F14</f>
        <v>0</v>
      </c>
      <c r="G65" s="285">
        <f>G14</f>
        <v>0</v>
      </c>
      <c r="H65" s="285">
        <f>H14</f>
        <v>0</v>
      </c>
      <c r="I65" s="285">
        <f>I14</f>
        <v>0</v>
      </c>
      <c r="J65" s="285">
        <f>J14</f>
        <v>0</v>
      </c>
      <c r="K65" s="285">
        <f>K14</f>
        <v>0</v>
      </c>
      <c r="L65" s="285">
        <f>SUM(L14:L14)</f>
        <v>0</v>
      </c>
      <c r="M65" s="297"/>
      <c r="N65" s="299"/>
      <c r="O65" s="299"/>
    </row>
    <row r="66" spans="1:15" x14ac:dyDescent="0.2">
      <c r="A66" s="301" t="s">
        <v>251</v>
      </c>
      <c r="B66" s="285" t="e">
        <f>(0+B14+SUM(#REF!)*2)/24</f>
        <v>#REF!</v>
      </c>
      <c r="C66" s="285" t="e">
        <f>(0+C14+SUM(#REF!)*2)/24</f>
        <v>#REF!</v>
      </c>
      <c r="D66" s="285"/>
      <c r="E66" s="300"/>
      <c r="F66" s="285" t="e">
        <f>(0+F14+SUM(#REF!)*2)/24</f>
        <v>#REF!</v>
      </c>
      <c r="G66" s="285" t="e">
        <f>(0+G14+SUM(#REF!)*2)/24</f>
        <v>#REF!</v>
      </c>
      <c r="H66" s="285" t="e">
        <f>(0+H14+SUM(#REF!)*2)/24</f>
        <v>#REF!</v>
      </c>
      <c r="I66" s="285" t="e">
        <f>(0+I14+SUM(#REF!)*2)/24</f>
        <v>#REF!</v>
      </c>
      <c r="J66" s="285" t="e">
        <f>(0+J14+SUM(#REF!)*2)/24</f>
        <v>#REF!</v>
      </c>
      <c r="K66" s="285" t="e">
        <f>(0+K14+SUM(#REF!)*2)/24</f>
        <v>#REF!</v>
      </c>
      <c r="L66" s="300"/>
      <c r="M66" s="297"/>
      <c r="N66" s="299"/>
      <c r="O66" s="299"/>
    </row>
    <row r="67" spans="1:15" x14ac:dyDescent="0.2">
      <c r="A67" s="306" t="s">
        <v>250</v>
      </c>
      <c r="B67" s="303"/>
      <c r="C67" s="305"/>
      <c r="D67" s="303"/>
      <c r="E67" s="303"/>
      <c r="F67" s="303"/>
      <c r="G67" s="304"/>
      <c r="H67" s="303"/>
      <c r="I67" s="303"/>
      <c r="J67" s="303"/>
      <c r="K67" s="303"/>
      <c r="L67" s="303"/>
      <c r="M67" s="297"/>
    </row>
    <row r="68" spans="1:15" x14ac:dyDescent="0.2">
      <c r="A68" s="302" t="s">
        <v>249</v>
      </c>
      <c r="B68" s="285">
        <f>B26</f>
        <v>3011906.65</v>
      </c>
      <c r="C68" s="285">
        <f>C26</f>
        <v>3011906.65</v>
      </c>
      <c r="D68" s="285">
        <f>SUM(D15:D26)</f>
        <v>150511.55833333332</v>
      </c>
      <c r="E68" s="285">
        <f>SUM(E15:E26)</f>
        <v>81917.909508708355</v>
      </c>
      <c r="F68" s="285">
        <f>F26</f>
        <v>-150511.55833333332</v>
      </c>
      <c r="G68" s="285">
        <f>G26</f>
        <v>-81917.909508708355</v>
      </c>
      <c r="H68" s="285">
        <f>H26</f>
        <v>2861395.0916666668</v>
      </c>
      <c r="I68" s="285">
        <f>I26</f>
        <v>2929988.7404912915</v>
      </c>
      <c r="J68" s="285">
        <f>J26</f>
        <v>68593.648824624717</v>
      </c>
      <c r="K68" s="285">
        <f>K26</f>
        <v>-14404.66625317119</v>
      </c>
      <c r="L68" s="285">
        <f>SUM(L15:L26)</f>
        <v>14404.66625317119</v>
      </c>
      <c r="M68" s="297"/>
      <c r="N68" s="297"/>
    </row>
    <row r="69" spans="1:15" x14ac:dyDescent="0.2">
      <c r="A69" s="301" t="s">
        <v>248</v>
      </c>
      <c r="B69" s="285">
        <f>(B14+B26+SUM(B15:B25)*2)/24</f>
        <v>2634016.382916667</v>
      </c>
      <c r="C69" s="285">
        <f>(C14+C26+SUM(C15:C25)*2)/24</f>
        <v>2634016.382916667</v>
      </c>
      <c r="D69" s="285"/>
      <c r="E69" s="300"/>
      <c r="F69" s="285">
        <f>(F14+F26+SUM(F15:F25)*2)/24</f>
        <v>-75241.698187499991</v>
      </c>
      <c r="G69" s="285">
        <f>(G14+G26+SUM(G15:G25)*2)/24</f>
        <v>-35914.628916623275</v>
      </c>
      <c r="H69" s="285">
        <f>(H14+H26+SUM(H15:H25)*2)/24</f>
        <v>2558774.6847291668</v>
      </c>
      <c r="I69" s="285">
        <f>(I14+I26+SUM(I15:I25)*2)/24</f>
        <v>2598101.7540000435</v>
      </c>
      <c r="J69" s="285">
        <f>(J14+J26+SUM(J15:J25)*2)/24</f>
        <v>39327.06927087668</v>
      </c>
      <c r="K69" s="285">
        <f>(K14+K26+SUM(K15:K25)*2)/24</f>
        <v>-8258.684546884102</v>
      </c>
      <c r="L69" s="300"/>
      <c r="M69" s="297"/>
    </row>
    <row r="70" spans="1:15" ht="15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5" ht="1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5" ht="15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5" ht="15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5" ht="15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5" ht="15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5" ht="15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5" ht="15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5" ht="15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5" ht="15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5" ht="15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1:14" ht="15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1:14" ht="15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4" ht="1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5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5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5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1:14" ht="15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5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legacyDrawing r:id="rId2"/>
</worksheet>
</file>

<file path=customXML/_rels/item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.xml>��< ? x m l   v e r s i o n = " 1 . 0 "   e n c o d i n g = " u t f - 1 6 " ? > < p r o p e r t i e s   x m l n s = " h t t p : / / w w w . i m a n a g e . c o m / w o r k / x m l s c h e m a " >  
     < d o c u m e n t i d > L E G A L ! 1 6 4 5 8 9 4 6 0 . 1 < / d o c u m e n t i d >  
     < s e n d e r i d > M U L L I < / s e n d e r i d >  
     < s e n d e r e m a i l > K P M U L L I N S @ P E R K I N S C O I E . C O M < / s e n d e r e m a i l >  
     < l a s t m o d i f i e d > 2 0 2 3 - 1 1 - 2 0 T 1 9 : 1 7 : 2 1 . 0 0 0 0 0 0 0 - 0 8 : 0 0 < / l a s t m o d i f i e d >  
     < d a t a b a s e > L E G A L < / d a t a b a s e >  
 < / p r o p e r t i e s > 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BEF69C-29E2-483B-B38F-B96E4672CF36}"/>
</file>

<file path=customXML/itemProps2.xml><?xml version="1.0" encoding="utf-8"?>
<ds:datastoreItem xmlns:ds="http://schemas.openxmlformats.org/officeDocument/2006/customXml" ds:itemID="{4F5D7B59-6604-463C-AD44-8BC307C6B9AB}"/>
</file>

<file path=customXML/itemProps3.xml><?xml version="1.0" encoding="utf-8"?>
<ds:datastoreItem xmlns:ds="http://schemas.openxmlformats.org/officeDocument/2006/customXml" ds:itemID="{5EB0D24E-4DF5-4E06-BC07-9F8C58E479B6}"/>
</file>

<file path=customXML/itemProps4.xml><?xml version="1.0" encoding="utf-8"?>
<ds:datastoreItem xmlns:ds="http://schemas.openxmlformats.org/officeDocument/2006/customXml" ds:itemID="{0A856242-AD82-487D-BCE0-55E86BF3110D}"/>
</file>

<file path=customXML/itemProps5.xml><?xml version="1.0" encoding="utf-8"?>
<ds:datastoreItem xmlns:ds="http://schemas.openxmlformats.org/officeDocument/2006/customXml" ds:itemID="{CC6AD1D2-78A1-4981-B228-6F34A5CB2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</vt:i4>
      </vt:variant>
    </vt:vector>
  </HeadingPairs>
  <TitlesOfParts>
    <vt:vector size="32" baseType="lpstr">
      <vt:lpstr>Summary </vt:lpstr>
      <vt:lpstr>Plant Additions</vt:lpstr>
      <vt:lpstr>Workpaper</vt:lpstr>
      <vt:lpstr>G361 Additions</vt:lpstr>
      <vt:lpstr>G362 Additions</vt:lpstr>
      <vt:lpstr>G363 Additions</vt:lpstr>
      <vt:lpstr>G3631 Additions</vt:lpstr>
      <vt:lpstr>G3632 Additions</vt:lpstr>
      <vt:lpstr>G3633 Additions</vt:lpstr>
      <vt:lpstr>G3635 Additions</vt:lpstr>
      <vt:lpstr>G3643 Additions</vt:lpstr>
      <vt:lpstr>G3645 Additions</vt:lpstr>
      <vt:lpstr>G3646 Additions</vt:lpstr>
      <vt:lpstr>G3912 Additions</vt:lpstr>
      <vt:lpstr>G397 Additions</vt:lpstr>
      <vt:lpstr>G303 Additions</vt:lpstr>
      <vt:lpstr>Deferrals ---&gt;</vt:lpstr>
      <vt:lpstr>Total Deferrals</vt:lpstr>
      <vt:lpstr>LNG O&amp;M Deferral</vt:lpstr>
      <vt:lpstr>LNG Depreciation Deferral</vt:lpstr>
      <vt:lpstr>LNG Return Deferral</vt:lpstr>
      <vt:lpstr>ROR</vt:lpstr>
      <vt:lpstr>O&amp;M</vt:lpstr>
      <vt:lpstr>Gas Conv Factor</vt:lpstr>
      <vt:lpstr>Actuals</vt:lpstr>
      <vt:lpstr>Deferred Return Cal (2024)</vt:lpstr>
      <vt:lpstr>'Deferred Return Cal (2024)'!Print_Area</vt:lpstr>
      <vt:lpstr>ROR!Print_Area</vt:lpstr>
      <vt:lpstr>'LNG Depreciation Deferral'!Print_Titles</vt:lpstr>
      <vt:lpstr>'LNG O&amp;M Deferral'!Print_Titles</vt:lpstr>
      <vt:lpstr>'LNG Return Deferral'!Print_Titles</vt:lpstr>
      <vt:lpstr>'O&amp;M'!Print_Titles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2023-05-04T16:26:16Z</cp:lastPrinted>
  <dcterms:created xsi:type="dcterms:W3CDTF">2022-08-17T20:22:00Z</dcterms:created>
  <dcterms:modified xsi:type="dcterms:W3CDTF">2023-11-21T03:17:21Z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