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585" yWindow="-15" windowWidth="9660" windowHeight="9165" activeTab="3"/>
  </bookViews>
  <sheets>
    <sheet name="UG-110877 Base" sheetId="7" r:id="rId1"/>
    <sheet name="PTD 2013 Deferral Calc" sheetId="1" r:id="rId2"/>
    <sheet name="GL Accounts" sheetId="8" r:id="rId3"/>
    <sheet name="11-12 Surcharge" sheetId="9" r:id="rId4"/>
  </sheets>
  <definedNames>
    <definedName name="Fiscal_Period_Report">'PTD 2013 Deferral Calc'!$A$1:$P$74</definedName>
    <definedName name="Monthly_Journal">'PTD 2013 Deferral Calc'!#REF!</definedName>
    <definedName name="_xlnm.Print_Area" localSheetId="2">'GL Accounts'!$A$1:$F$103</definedName>
    <definedName name="_xlnm.Print_Area" localSheetId="1">'PTD 2013 Deferral Calc'!$A$1:$P$75</definedName>
    <definedName name="_xlnm.Print_Titles" localSheetId="0">'UG-110877 Base'!$1:$3</definedName>
    <definedName name="Revenue_Run_Customers" localSheetId="1">#REF!</definedName>
    <definedName name="Revenue_Run_Customers" localSheetId="0">#REF!</definedName>
    <definedName name="Revenue_Run_Customers">#REF!</definedName>
    <definedName name="Revenue_Run_Therms" localSheetId="1">#REF!</definedName>
    <definedName name="Revenue_Run_Therms" localSheetId="0">#REF!</definedName>
    <definedName name="Revenue_Run_Therms">#REF!</definedName>
    <definedName name="WC_Unb_Calc" localSheetId="1">#REF!</definedName>
    <definedName name="WC_Unb_Calc" localSheetId="0">#REF!</definedName>
    <definedName name="WC_Unb_Calc">#REF!</definedName>
    <definedName name="Z_0FD22FF2_1019_47D8_B258_1BB68232F092_.wvu.PrintArea" localSheetId="1" hidden="1">'PTD 2013 Deferral Calc'!#REF!</definedName>
    <definedName name="Z_0FD22FF2_1019_47D8_B258_1BB68232F092_.wvu.Rows" localSheetId="1" hidden="1">'PTD 2013 Deferral Calc'!#REF!</definedName>
    <definedName name="Z_81D22F57_B9CC_4D89_903B_6E009051802B_.wvu.PrintArea" localSheetId="1" hidden="1">'PTD 2013 Deferral Calc'!#REF!</definedName>
    <definedName name="Z_81D22F57_B9CC_4D89_903B_6E009051802B_.wvu.Rows" localSheetId="1" hidden="1">'PTD 2013 Deferral Calc'!$39:$74</definedName>
    <definedName name="Z_A6955850_675F_4B7A_99D7_C52DA0B2D2D6_.wvu.PrintArea" localSheetId="1" hidden="1">'PTD 2013 Deferral Calc'!$A$1:$P$110</definedName>
    <definedName name="Z_A6955850_675F_4B7A_99D7_C52DA0B2D2D6_.wvu.PrintTitles" localSheetId="0" hidden="1">'UG-110877 Base'!$1:$3</definedName>
    <definedName name="Z_A6955850_675F_4B7A_99D7_C52DA0B2D2D6_.wvu.Rows" localSheetId="1" hidden="1">'PTD 2013 Deferral Calc'!$39:$74</definedName>
    <definedName name="Z_D4943E0B_60C6_4C0B_BD3A_F3B96E2421DB_.wvu.PrintArea" localSheetId="1" hidden="1">'PTD 2013 Deferral Calc'!$A$1:$P$74</definedName>
    <definedName name="Z_D4943E0B_60C6_4C0B_BD3A_F3B96E2421DB_.wvu.Rows" localSheetId="1" hidden="1">'PTD 2013 Deferral Calc'!#REF!</definedName>
  </definedNames>
  <calcPr calcId="125725" calcMode="manual"/>
  <customWorkbookViews>
    <customWorkbookView name="Monthly Journal Entry" guid="{0FD22FF2-1019-47D8-B258-1BB68232F092}" maximized="1" xWindow="1" yWindow="1" windowWidth="1276" windowHeight="579" activeSheetId="1"/>
    <customWorkbookView name="Annual_Deferral" guid="{D4943E0B-60C6-4C0B-BD3A-F3B96E2421DB}" maximized="1" xWindow="1" yWindow="1" windowWidth="1276" windowHeight="579" activeSheetId="1"/>
    <customWorkbookView name="Monthly Journal 2010 Test Year" guid="{81D22F57-B9CC-4D89-903B-6E009051802B}" maximized="1" xWindow="1" yWindow="1" windowWidth="1276" windowHeight="579" activeSheetId="1" showComments="commIndAndComment"/>
    <customWorkbookView name="Annual Deferral 2012" guid="{A6955850-675F-4B7A-99D7-C52DA0B2D2D6}" maximized="1" xWindow="1" yWindow="1" windowWidth="1143" windowHeight="467" activeSheetId="1" showComments="commIndAndComment"/>
  </customWorkbookViews>
</workbook>
</file>

<file path=xl/calcChain.xml><?xml version="1.0" encoding="utf-8"?>
<calcChain xmlns="http://schemas.openxmlformats.org/spreadsheetml/2006/main">
  <c r="F61" i="9"/>
  <c r="E36"/>
  <c r="L35"/>
  <c r="L37" s="1"/>
  <c r="O32"/>
  <c r="O31"/>
  <c r="O30"/>
  <c r="O29"/>
  <c r="L29"/>
  <c r="L31" s="1"/>
  <c r="O28"/>
  <c r="O27"/>
  <c r="O26"/>
  <c r="O25"/>
  <c r="O24"/>
  <c r="O23"/>
  <c r="L23"/>
  <c r="L25" s="1"/>
  <c r="O22"/>
  <c r="O21"/>
  <c r="O20"/>
  <c r="O19"/>
  <c r="O18"/>
  <c r="O17"/>
  <c r="L17"/>
  <c r="L19" s="1"/>
  <c r="O16"/>
  <c r="O15"/>
  <c r="O14"/>
  <c r="O13"/>
  <c r="M12"/>
  <c r="A12"/>
  <c r="A14" s="1"/>
  <c r="O11"/>
  <c r="L11"/>
  <c r="L13" s="1"/>
  <c r="M10"/>
  <c r="M40" s="1"/>
  <c r="I10"/>
  <c r="H10"/>
  <c r="B10"/>
  <c r="B12" s="1"/>
  <c r="B8"/>
  <c r="C42" s="1"/>
  <c r="B14" l="1"/>
  <c r="C13"/>
  <c r="H14"/>
  <c r="A16"/>
  <c r="M42"/>
  <c r="E41"/>
  <c r="O10"/>
  <c r="O40" s="1"/>
  <c r="H12"/>
  <c r="C11"/>
  <c r="O12"/>
  <c r="B16" l="1"/>
  <c r="A18"/>
  <c r="H16"/>
  <c r="A20" l="1"/>
  <c r="H18"/>
  <c r="B18"/>
  <c r="C15"/>
  <c r="B20" l="1"/>
  <c r="A22"/>
  <c r="H20"/>
  <c r="C17"/>
  <c r="B22" l="1"/>
  <c r="A24"/>
  <c r="H22"/>
  <c r="C19"/>
  <c r="B24" l="1"/>
  <c r="C23"/>
  <c r="A26"/>
  <c r="H24"/>
  <c r="C21"/>
  <c r="H26" l="1"/>
  <c r="A28"/>
  <c r="B26"/>
  <c r="C25"/>
  <c r="A30" l="1"/>
  <c r="H28"/>
  <c r="B28"/>
  <c r="C27"/>
  <c r="B30" l="1"/>
  <c r="C29"/>
  <c r="A32"/>
  <c r="H30"/>
  <c r="A34" l="1"/>
  <c r="H34" s="1"/>
  <c r="H36" s="1"/>
  <c r="H38" s="1"/>
  <c r="H32"/>
  <c r="B32"/>
  <c r="C31"/>
  <c r="B34" l="1"/>
  <c r="C33"/>
  <c r="C36" s="1"/>
  <c r="C39" s="1"/>
  <c r="C45" s="1"/>
  <c r="I8" l="1"/>
  <c r="C50"/>
  <c r="E47"/>
  <c r="J37" l="1"/>
  <c r="J27"/>
  <c r="J25"/>
  <c r="J23"/>
  <c r="J15"/>
  <c r="J35"/>
  <c r="J33"/>
  <c r="J31"/>
  <c r="J29"/>
  <c r="J21"/>
  <c r="J19"/>
  <c r="J17"/>
  <c r="M41"/>
  <c r="M43" s="1"/>
  <c r="J13"/>
  <c r="J11"/>
  <c r="J40" l="1"/>
  <c r="I12"/>
  <c r="K11"/>
  <c r="K13" l="1"/>
  <c r="I14" s="1"/>
  <c r="H54" i="8"/>
  <c r="H53"/>
  <c r="G17" i="1"/>
  <c r="H52" i="8"/>
  <c r="P72" i="1"/>
  <c r="O72"/>
  <c r="O74" s="1"/>
  <c r="N72"/>
  <c r="M72"/>
  <c r="L72"/>
  <c r="K72"/>
  <c r="J72"/>
  <c r="I72"/>
  <c r="H72"/>
  <c r="G72"/>
  <c r="F72"/>
  <c r="E72"/>
  <c r="D72"/>
  <c r="O65"/>
  <c r="N65"/>
  <c r="M65"/>
  <c r="L65"/>
  <c r="K65"/>
  <c r="J65"/>
  <c r="I65"/>
  <c r="H65"/>
  <c r="G65"/>
  <c r="F65"/>
  <c r="E65"/>
  <c r="D65"/>
  <c r="P64"/>
  <c r="P63"/>
  <c r="P62"/>
  <c r="P61"/>
  <c r="O47"/>
  <c r="O56" s="1"/>
  <c r="N47"/>
  <c r="N55" s="1"/>
  <c r="M47"/>
  <c r="M56" s="1"/>
  <c r="L47"/>
  <c r="L55" s="1"/>
  <c r="K47"/>
  <c r="K56" s="1"/>
  <c r="J47"/>
  <c r="J55" s="1"/>
  <c r="I47"/>
  <c r="I56" s="1"/>
  <c r="H47"/>
  <c r="H55" s="1"/>
  <c r="G47"/>
  <c r="G56" s="1"/>
  <c r="F47"/>
  <c r="F55" s="1"/>
  <c r="E47"/>
  <c r="E56" s="1"/>
  <c r="D47"/>
  <c r="D55" s="1"/>
  <c r="P46"/>
  <c r="P45"/>
  <c r="O26"/>
  <c r="O28" s="1"/>
  <c r="N26"/>
  <c r="N28" s="1"/>
  <c r="M26"/>
  <c r="M28" s="1"/>
  <c r="L26"/>
  <c r="L28" s="1"/>
  <c r="K26"/>
  <c r="K28" s="1"/>
  <c r="J26"/>
  <c r="J28" s="1"/>
  <c r="P23"/>
  <c r="P16"/>
  <c r="P15"/>
  <c r="P14"/>
  <c r="K15" i="9" l="1"/>
  <c r="I16" s="1"/>
  <c r="P65" i="1"/>
  <c r="K74"/>
  <c r="M74"/>
  <c r="E74"/>
  <c r="E17" s="1"/>
  <c r="G74"/>
  <c r="I74"/>
  <c r="I17" s="1"/>
  <c r="D74"/>
  <c r="D17" s="1"/>
  <c r="F74"/>
  <c r="F17" s="1"/>
  <c r="H74"/>
  <c r="J74"/>
  <c r="L74"/>
  <c r="N74"/>
  <c r="P74"/>
  <c r="D18"/>
  <c r="F18"/>
  <c r="E18"/>
  <c r="G18"/>
  <c r="H17"/>
  <c r="D54"/>
  <c r="F54"/>
  <c r="H54"/>
  <c r="J54"/>
  <c r="L54"/>
  <c r="N54"/>
  <c r="E55"/>
  <c r="G55"/>
  <c r="I55"/>
  <c r="K55"/>
  <c r="M55"/>
  <c r="O55"/>
  <c r="D56"/>
  <c r="F56"/>
  <c r="H56"/>
  <c r="J56"/>
  <c r="L56"/>
  <c r="N56"/>
  <c r="P47"/>
  <c r="E54"/>
  <c r="G54"/>
  <c r="I54"/>
  <c r="K54"/>
  <c r="M54"/>
  <c r="O54"/>
  <c r="K17" i="9" l="1"/>
  <c r="P55" i="1"/>
  <c r="I18"/>
  <c r="I20" s="1"/>
  <c r="I22" s="1"/>
  <c r="I24" s="1"/>
  <c r="I26" s="1"/>
  <c r="I28" s="1"/>
  <c r="H18"/>
  <c r="M57"/>
  <c r="G19" s="1"/>
  <c r="G20" s="1"/>
  <c r="G22" s="1"/>
  <c r="G24" s="1"/>
  <c r="G26" s="1"/>
  <c r="G28" s="1"/>
  <c r="I57"/>
  <c r="O20" s="1"/>
  <c r="O22" s="1"/>
  <c r="E57"/>
  <c r="F57"/>
  <c r="L20" s="1"/>
  <c r="L22" s="1"/>
  <c r="D57"/>
  <c r="P54"/>
  <c r="N57"/>
  <c r="H19" s="1"/>
  <c r="H20" s="1"/>
  <c r="H22" s="1"/>
  <c r="H24" s="1"/>
  <c r="H26" s="1"/>
  <c r="H28" s="1"/>
  <c r="J57"/>
  <c r="D19" s="1"/>
  <c r="J20"/>
  <c r="J22" s="1"/>
  <c r="K20"/>
  <c r="K22" s="1"/>
  <c r="O57"/>
  <c r="I19" s="1"/>
  <c r="K57"/>
  <c r="E19" s="1"/>
  <c r="E20" s="1"/>
  <c r="E22" s="1"/>
  <c r="E24" s="1"/>
  <c r="E26" s="1"/>
  <c r="E28" s="1"/>
  <c r="G57"/>
  <c r="M20" s="1"/>
  <c r="M22" s="1"/>
  <c r="P56"/>
  <c r="L57"/>
  <c r="F19" s="1"/>
  <c r="F20" s="1"/>
  <c r="F22" s="1"/>
  <c r="F24" s="1"/>
  <c r="F26" s="1"/>
  <c r="F28" s="1"/>
  <c r="H57"/>
  <c r="N20" s="1"/>
  <c r="N22" s="1"/>
  <c r="P17"/>
  <c r="I18" i="9" l="1"/>
  <c r="P18" i="1"/>
  <c r="P20" s="1"/>
  <c r="P19"/>
  <c r="D20"/>
  <c r="D22" s="1"/>
  <c r="P57"/>
  <c r="K19" i="9" l="1"/>
  <c r="I20" s="1"/>
  <c r="D24" i="1"/>
  <c r="P22"/>
  <c r="K21" i="9" l="1"/>
  <c r="I22"/>
  <c r="D26" i="1"/>
  <c r="P24"/>
  <c r="K23" i="9" l="1"/>
  <c r="I24" s="1"/>
  <c r="P26" i="1"/>
  <c r="D28"/>
  <c r="P28" s="1"/>
  <c r="K25" i="9" l="1"/>
  <c r="I26" s="1"/>
  <c r="P66" i="7"/>
  <c r="O66"/>
  <c r="N66"/>
  <c r="M66"/>
  <c r="L66"/>
  <c r="K66"/>
  <c r="J66"/>
  <c r="I66"/>
  <c r="H66"/>
  <c r="G66"/>
  <c r="F66"/>
  <c r="E66"/>
  <c r="Q65"/>
  <c r="Q64"/>
  <c r="Q63"/>
  <c r="Q62"/>
  <c r="Q66" s="1"/>
  <c r="P48"/>
  <c r="P57" s="1"/>
  <c r="O48"/>
  <c r="O56" s="1"/>
  <c r="N48"/>
  <c r="N57" s="1"/>
  <c r="M48"/>
  <c r="M56" s="1"/>
  <c r="L48"/>
  <c r="L57" s="1"/>
  <c r="K48"/>
  <c r="K56" s="1"/>
  <c r="J48"/>
  <c r="J57" s="1"/>
  <c r="I48"/>
  <c r="I56" s="1"/>
  <c r="H48"/>
  <c r="H57" s="1"/>
  <c r="G48"/>
  <c r="G56" s="1"/>
  <c r="F48"/>
  <c r="F57" s="1"/>
  <c r="E48"/>
  <c r="E56" s="1"/>
  <c r="Q47"/>
  <c r="Q46"/>
  <c r="Q42"/>
  <c r="F24"/>
  <c r="F26" s="1"/>
  <c r="Q18"/>
  <c r="P18"/>
  <c r="O18"/>
  <c r="N18"/>
  <c r="M18"/>
  <c r="L18"/>
  <c r="K18"/>
  <c r="J18"/>
  <c r="I18"/>
  <c r="H18"/>
  <c r="G18"/>
  <c r="F18"/>
  <c r="E18"/>
  <c r="D14"/>
  <c r="Q12"/>
  <c r="P12"/>
  <c r="O12"/>
  <c r="N12"/>
  <c r="M12"/>
  <c r="L12"/>
  <c r="K12"/>
  <c r="J12"/>
  <c r="I12"/>
  <c r="H12"/>
  <c r="G12"/>
  <c r="F12"/>
  <c r="E12"/>
  <c r="Q11"/>
  <c r="P11"/>
  <c r="O11"/>
  <c r="N11"/>
  <c r="M11"/>
  <c r="L11"/>
  <c r="K11"/>
  <c r="J11"/>
  <c r="I11"/>
  <c r="H11"/>
  <c r="G11"/>
  <c r="F11"/>
  <c r="E11" s="1"/>
  <c r="Q10"/>
  <c r="P10"/>
  <c r="O10"/>
  <c r="N10"/>
  <c r="M10"/>
  <c r="L10"/>
  <c r="K10"/>
  <c r="J10"/>
  <c r="I10"/>
  <c r="H10"/>
  <c r="G10"/>
  <c r="F10"/>
  <c r="E10"/>
  <c r="K27" i="9" l="1"/>
  <c r="I28" s="1"/>
  <c r="E55" i="7"/>
  <c r="G55"/>
  <c r="I55"/>
  <c r="K55"/>
  <c r="M55"/>
  <c r="O55"/>
  <c r="F56"/>
  <c r="Q56" s="1"/>
  <c r="H56"/>
  <c r="J56"/>
  <c r="L56"/>
  <c r="N56"/>
  <c r="P56"/>
  <c r="E57"/>
  <c r="G57"/>
  <c r="I57"/>
  <c r="K57"/>
  <c r="M57"/>
  <c r="O57"/>
  <c r="Q48"/>
  <c r="F55"/>
  <c r="F58" s="1"/>
  <c r="G13" s="1"/>
  <c r="G14" s="1"/>
  <c r="G19" s="1"/>
  <c r="H55"/>
  <c r="H58" s="1"/>
  <c r="I13" s="1"/>
  <c r="I14" s="1"/>
  <c r="I19" s="1"/>
  <c r="J55"/>
  <c r="J58" s="1"/>
  <c r="K13" s="1"/>
  <c r="K14" s="1"/>
  <c r="K19" s="1"/>
  <c r="L55"/>
  <c r="L58" s="1"/>
  <c r="M13" s="1"/>
  <c r="M14" s="1"/>
  <c r="M19" s="1"/>
  <c r="N55"/>
  <c r="N58" s="1"/>
  <c r="O13" s="1"/>
  <c r="O14" s="1"/>
  <c r="O19" s="1"/>
  <c r="P55"/>
  <c r="P58" s="1"/>
  <c r="Q13" s="1"/>
  <c r="Q14" s="1"/>
  <c r="Q19" s="1"/>
  <c r="K29" i="9" l="1"/>
  <c r="I30" s="1"/>
  <c r="E58" i="7"/>
  <c r="F13" s="1"/>
  <c r="Q55"/>
  <c r="Q58" s="1"/>
  <c r="Q57"/>
  <c r="M58"/>
  <c r="N13" s="1"/>
  <c r="N14" s="1"/>
  <c r="N19" s="1"/>
  <c r="I58"/>
  <c r="J13" s="1"/>
  <c r="J14" s="1"/>
  <c r="J19" s="1"/>
  <c r="O58"/>
  <c r="P13" s="1"/>
  <c r="P14" s="1"/>
  <c r="P19" s="1"/>
  <c r="K58"/>
  <c r="L13" s="1"/>
  <c r="L14" s="1"/>
  <c r="L19" s="1"/>
  <c r="G58"/>
  <c r="H13" s="1"/>
  <c r="H14" s="1"/>
  <c r="H19" s="1"/>
  <c r="K31" i="9" l="1"/>
  <c r="I32" s="1"/>
  <c r="E13" i="7"/>
  <c r="E14" s="1"/>
  <c r="E19" s="1"/>
  <c r="F14"/>
  <c r="F19" s="1"/>
  <c r="K33" i="9" l="1"/>
  <c r="I34" s="1"/>
  <c r="K35" l="1"/>
  <c r="I36"/>
  <c r="K37" l="1"/>
  <c r="K40" s="1"/>
  <c r="J42" l="1"/>
  <c r="E43"/>
  <c r="E49" s="1"/>
  <c r="E51" s="1"/>
  <c r="I38"/>
</calcChain>
</file>

<file path=xl/comments1.xml><?xml version="1.0" encoding="utf-8"?>
<comments xmlns="http://schemas.openxmlformats.org/spreadsheetml/2006/main">
  <authors>
    <author>gzhkw6</author>
  </authors>
  <commentList>
    <comment ref="I14" authorId="0">
      <text>
        <r>
          <rPr>
            <b/>
            <sz val="8"/>
            <color indexed="81"/>
            <rFont val="Tahoma"/>
            <family val="2"/>
          </rPr>
          <t>gzhkw6:</t>
        </r>
        <r>
          <rPr>
            <sz val="8"/>
            <color indexed="81"/>
            <rFont val="Tahoma"/>
            <family val="2"/>
          </rPr>
          <t xml:space="preserve">
Includes rollover from prior surcharge after unbilled true-ups in Nov and Dec.</t>
        </r>
      </text>
    </comment>
  </commentList>
</comments>
</file>

<file path=xl/sharedStrings.xml><?xml version="1.0" encoding="utf-8"?>
<sst xmlns="http://schemas.openxmlformats.org/spreadsheetml/2006/main" count="345" uniqueCount="198">
  <si>
    <t>AVISTA UTILITIES</t>
  </si>
  <si>
    <t>Washington - Gas</t>
  </si>
  <si>
    <t>Approved Decoupling Mechanism per Order No. 10 Docket No. UG-090135</t>
  </si>
  <si>
    <t>Adjusted for Actual New Customer Usage and Schedule Shifting</t>
  </si>
  <si>
    <t>Period to Date</t>
  </si>
  <si>
    <t>July</t>
  </si>
  <si>
    <t>August</t>
  </si>
  <si>
    <t>September</t>
  </si>
  <si>
    <t>October</t>
  </si>
  <si>
    <t>November</t>
  </si>
  <si>
    <t>December</t>
  </si>
  <si>
    <t>January</t>
  </si>
  <si>
    <t>February</t>
  </si>
  <si>
    <t>March</t>
  </si>
  <si>
    <t>April</t>
  </si>
  <si>
    <t>May</t>
  </si>
  <si>
    <t>June</t>
  </si>
  <si>
    <t>Total</t>
  </si>
  <si>
    <t>Schedule 101</t>
  </si>
  <si>
    <t>Schedule 101 Billed Therms</t>
  </si>
  <si>
    <t>Deduct New Customer Usage(1)</t>
  </si>
  <si>
    <t>Schedule Shifting Adjustment (2)</t>
  </si>
  <si>
    <t>Deduct Prior Month Unbilled Therms</t>
  </si>
  <si>
    <t>Add Current Month Unbilled Therms</t>
  </si>
  <si>
    <t>Add Weather Adjustment</t>
  </si>
  <si>
    <t xml:space="preserve">   Weather Adj Calendar Therms</t>
  </si>
  <si>
    <t>Weather Adj Calendar Therms</t>
  </si>
  <si>
    <t>Less Test Year Therms</t>
  </si>
  <si>
    <t xml:space="preserve">      Therm Difference</t>
  </si>
  <si>
    <t xml:space="preserve">      Times Current Margin Rate per Therm</t>
  </si>
  <si>
    <t xml:space="preserve">         Revenue Excess (Shortfall)</t>
  </si>
  <si>
    <t>45% Limitation</t>
  </si>
  <si>
    <t xml:space="preserve">Deferred Revenue Account Entry </t>
  </si>
  <si>
    <t>407328 or (407428)</t>
  </si>
  <si>
    <t>Weather Normalization</t>
  </si>
  <si>
    <t>Actual Degree Days</t>
  </si>
  <si>
    <t>Monthly</t>
  </si>
  <si>
    <t>Res 101</t>
  </si>
  <si>
    <t>Com 101</t>
  </si>
  <si>
    <t>Ind 101</t>
  </si>
  <si>
    <t>Sch. 101</t>
  </si>
  <si>
    <t xml:space="preserve">  Total 101</t>
  </si>
  <si>
    <t>Monthly Unbilled Calculation</t>
  </si>
  <si>
    <t xml:space="preserve">   Total</t>
  </si>
  <si>
    <t>Revenue Run Customers (Meters Billed)</t>
  </si>
  <si>
    <t>Class</t>
  </si>
  <si>
    <t>Residential 101</t>
  </si>
  <si>
    <t>01</t>
  </si>
  <si>
    <t>Commercial 101</t>
  </si>
  <si>
    <t>21</t>
  </si>
  <si>
    <t>Industrial 101</t>
  </si>
  <si>
    <t>31</t>
  </si>
  <si>
    <t>Interdepartmental 101</t>
  </si>
  <si>
    <t>80</t>
  </si>
  <si>
    <t>Avista Utilities</t>
  </si>
  <si>
    <t xml:space="preserve">Washington - Gas - Test Year Calculations for Decoupling </t>
  </si>
  <si>
    <t>Annual Total</t>
  </si>
  <si>
    <t>Therms</t>
  </si>
  <si>
    <t>Usage from Revenue Run(2)</t>
  </si>
  <si>
    <t>Ded: Prior Mo. Unbilled(2)</t>
  </si>
  <si>
    <t>Add: Current Mo. Unbilled(2)</t>
  </si>
  <si>
    <t>Add: Weather Adjustment(2)</t>
  </si>
  <si>
    <t xml:space="preserve">   Test Year Monthly Therms</t>
  </si>
  <si>
    <t>Customers / Billings</t>
  </si>
  <si>
    <t>Test Yr Customers/Billings(2)</t>
  </si>
  <si>
    <t>Test Year Average Use/Cust</t>
  </si>
  <si>
    <t>Sch 101 Base Rate/therm(3)</t>
  </si>
  <si>
    <t>Times:  1 minus Revenue Related Items (4)</t>
  </si>
  <si>
    <t>Revenue prior to gross up</t>
  </si>
  <si>
    <t>Less: Weighted Average Gas Cost/therm(5)</t>
  </si>
  <si>
    <t xml:space="preserve">   Margin Rate/therm</t>
  </si>
  <si>
    <t>Revenue Run Therms</t>
  </si>
  <si>
    <t xml:space="preserve">(1) Per monthly reports - current month usage for new services opened since that month of the test year. </t>
  </si>
  <si>
    <t xml:space="preserve">(2)  The schedule shifting adjustment adds back test year usage of customers that have shifted away from Schedule 101 and deducts the current month usage of customers that were on a different schedule during the test year and have shifted to Schedule 101. </t>
  </si>
  <si>
    <t>Per PDE(1)</t>
  </si>
  <si>
    <t xml:space="preserve">(2) From Monthly Data below </t>
  </si>
  <si>
    <t>Total 101 (6)</t>
  </si>
  <si>
    <t>Use/DD/Cust(7)</t>
  </si>
  <si>
    <t>(8)</t>
  </si>
  <si>
    <t>WA101 (9)</t>
  </si>
  <si>
    <t>Unbilled Sch 101 per Books</t>
  </si>
  <si>
    <t>Rev Run Customers (Meters Billed)</t>
  </si>
  <si>
    <t>Average Unbilled per Customer</t>
  </si>
  <si>
    <t>Test Year Customer Current Unbilled</t>
  </si>
  <si>
    <t xml:space="preserve"> </t>
  </si>
  <si>
    <t>Use/DD/Cust</t>
  </si>
  <si>
    <t>Test Year Revenue Run Customers (Meters Billed)</t>
  </si>
  <si>
    <t>Current Monthly Unbilled Calculation</t>
  </si>
  <si>
    <t>12 Months Ended December 2010 - Docket No. UG-110877</t>
  </si>
  <si>
    <t xml:space="preserve">12 MONTHS ENDED DECEMBER 2010 TEST YEAR BASE </t>
  </si>
  <si>
    <t>Proposed Base Docket No. UG-110877</t>
  </si>
  <si>
    <t>(1) From Ehrbar workpapers in Docket No. UG-110877  PDE-G -1, PDE-G-3, PDE-G-14, and PDE-G-16</t>
  </si>
  <si>
    <t>(3) From Docket No. UG-110877 Settlement Appendix 3, page 6 Schedule 101 base per therm rate</t>
  </si>
  <si>
    <t>(4) From Docket No. UG-110877 Andrews Exhibit No. ___ (EMA-3), page 4, line 7</t>
  </si>
  <si>
    <t>(5) From Docket No. UG-110877 Ehrbar Exhibit No. ___ (PDE-6) proposed Tenth Revision Sheet 150, weighted average gas cost</t>
  </si>
  <si>
    <t>UG-110877 Weather Normalization and Unbilled Calculation</t>
  </si>
  <si>
    <t>12 Months Ended December 2010 Monthly Data</t>
  </si>
  <si>
    <t>Normal Degree Days (30 Year Average 1981 - 2010)</t>
  </si>
  <si>
    <t>Degree Day Adjustment (7)</t>
  </si>
  <si>
    <t>(6) From Knox Revenue Normalization workpapers in Docket No. UG-110877, TLK-R-22</t>
  </si>
  <si>
    <t>(7) From Knox Revenue Normalization workpapers in Docket No. UG-110877, TLK-R-27 also shown in Ehrbar workpapers PDE-G-15</t>
  </si>
  <si>
    <t>(8) From Knox Revenue Normalization workpapers in Docket No. UG-110877, TLK-R-29</t>
  </si>
  <si>
    <t>(9) From Knox Revenue Normalization workpapers in Docket No. UG-110877, TLK-R-25 also shown in Ehrbar workpapers PDE-G-14</t>
  </si>
  <si>
    <t>12 Months Ended December 2010 Test Year Monthly Data</t>
  </si>
  <si>
    <t>Degree Day Adjustment</t>
  </si>
  <si>
    <t>Balance Sheet Accounts</t>
  </si>
  <si>
    <t>Ferc Acct:186328</t>
  </si>
  <si>
    <t xml:space="preserve">Ferc Acct Desc:REG ASSET-DECOUPLING DEFERRED </t>
  </si>
  <si>
    <t>Service:GD</t>
  </si>
  <si>
    <t>Jurisdiction:WA</t>
  </si>
  <si>
    <t>Accounting Period</t>
  </si>
  <si>
    <t>Beginning Balance</t>
  </si>
  <si>
    <t>Monthly Activity</t>
  </si>
  <si>
    <t>Ending Balance</t>
  </si>
  <si>
    <t>Ferc Acct:182328</t>
  </si>
  <si>
    <t>Ferc Acct Desc:REG ASSET- DECOUPLING SURCHARG</t>
  </si>
  <si>
    <t>Ferc Acct:182329</t>
  </si>
  <si>
    <t>Ferc Acct Desc:REG ASSET- DECOUPLING PRIOR YE</t>
  </si>
  <si>
    <t>Ferc Acct:283328</t>
  </si>
  <si>
    <t>Ferc Acct Desc:ADFIT DECOUPLING DEFERRED REV</t>
  </si>
  <si>
    <t>Income Statement Accounts</t>
  </si>
  <si>
    <t>Ferc Acct:407428</t>
  </si>
  <si>
    <t>Ferc Acct Desc:REG CREDIT DECOUPLING DEF REV</t>
  </si>
  <si>
    <t>Ferc Acct:407328</t>
  </si>
  <si>
    <t>Ferc Acct Desc:REG DEBIT DECOUPLING DEF REV</t>
  </si>
  <si>
    <t>Ferc Acct:407329</t>
  </si>
  <si>
    <t>Ferc Acct Desc:REG DEBIT AMT DECOUPLING SURCH</t>
  </si>
  <si>
    <t>Period July 2012 - June 2013</t>
  </si>
  <si>
    <t>12 Months Ended June 2013 Actual</t>
  </si>
  <si>
    <t>2010 Test Year Factors,  2012 -2013 Actual Weather and Unbilled</t>
  </si>
  <si>
    <t>Check</t>
  </si>
  <si>
    <t>Sum: -137,277.00</t>
  </si>
  <si>
    <t xml:space="preserve">2012 Actual compared to 2010 Test Year (UG-110877 Settlement) </t>
  </si>
  <si>
    <t xml:space="preserve">2013 Actual compared to 2011 Test Year (UG-120437 Settlement) </t>
  </si>
  <si>
    <t>GL Account Balance  Accounting Period : '201210, 201211, 201212'</t>
  </si>
  <si>
    <t>Ferc Acct:254328</t>
  </si>
  <si>
    <t>Ferc Acct Desc:REG LIABILITY DECOUPLING REBAT</t>
  </si>
  <si>
    <t>201211</t>
  </si>
  <si>
    <t>201212</t>
  </si>
  <si>
    <t>Sum: -5,530.96</t>
  </si>
  <si>
    <t>201210</t>
  </si>
  <si>
    <t>Sum: -17,753.31</t>
  </si>
  <si>
    <t>Sum: 6,676.00</t>
  </si>
  <si>
    <t>Sum: 53,859.85</t>
  </si>
  <si>
    <t>Sum: -307,008.00</t>
  </si>
  <si>
    <t>Sum: 17,847.70</t>
  </si>
  <si>
    <t>Sum: 444,285.00</t>
  </si>
  <si>
    <t>Ferc Acct:407429</t>
  </si>
  <si>
    <t>Ferc Acct Desc:REG CREDIT AMT DECOUPLING REBA</t>
  </si>
  <si>
    <t>Sum: -1,178.36</t>
  </si>
  <si>
    <t>Note 1</t>
  </si>
  <si>
    <t>The Company recorded an impairment of this balance per books at December 31, 2012.  The current deferral period is July 1, 2012 through June 30,  2013.  The surcharge balance for July 1 through December 31, 2012 is $444,285.  However, the DSM Test is based on calendar year 2012.  While the goal is 1,739,379 therms, actuals savings through November (11 months) is 611,612 therms, or 35.2% of the target.  If actual DSM savings are below 70%, the surcharge recovery is 0%.  Therefore there is little to no opportunity to collect this balance from our customers through future revenues making the year end asset impairment appropriate.</t>
  </si>
  <si>
    <t>Calculation of Decoupling Surcharge/Amortization Rate</t>
  </si>
  <si>
    <t>Decoupling Surcharge/Amortization Actual</t>
  </si>
  <si>
    <t>Effective November 1, 2011 - October 31, 2012</t>
  </si>
  <si>
    <t>Actual Interest Rates</t>
  </si>
  <si>
    <t>Difference from Forecast</t>
  </si>
  <si>
    <t>Unamortized</t>
  </si>
  <si>
    <t>Forecast</t>
  </si>
  <si>
    <t xml:space="preserve">Deferral </t>
  </si>
  <si>
    <t xml:space="preserve">Actual </t>
  </si>
  <si>
    <t>Balance(1)</t>
  </si>
  <si>
    <t>Interest(2)</t>
  </si>
  <si>
    <t>Sch. 101 Use</t>
  </si>
  <si>
    <t>Balance(5)</t>
  </si>
  <si>
    <t>Amortization</t>
  </si>
  <si>
    <t>Interest</t>
  </si>
  <si>
    <t>3.25%(3)</t>
  </si>
  <si>
    <t>Unbilled True-Up</t>
  </si>
  <si>
    <t>October Billed in December</t>
  </si>
  <si>
    <t xml:space="preserve">Incremental Rate to </t>
  </si>
  <si>
    <t>Recover Est. Interest</t>
  </si>
  <si>
    <t xml:space="preserve">Est. Rate to Recover </t>
  </si>
  <si>
    <t>Deferral Balance</t>
  </si>
  <si>
    <t>Principal</t>
  </si>
  <si>
    <t>Deferral + Actual Interest</t>
  </si>
  <si>
    <t xml:space="preserve">Rate before Gross-up for  </t>
  </si>
  <si>
    <t>Revenue-related items</t>
  </si>
  <si>
    <t>Prior Surcharge rollover true-up</t>
  </si>
  <si>
    <t>Times: Gross-up for</t>
  </si>
  <si>
    <t>Amount Recovered through surcharge</t>
  </si>
  <si>
    <t>Revenue-related items(4)</t>
  </si>
  <si>
    <t>Amount rolled into following surcharge/rebate</t>
  </si>
  <si>
    <t>Proposed decoupling rate</t>
  </si>
  <si>
    <t xml:space="preserve">Current Undercollection </t>
  </si>
  <si>
    <t xml:space="preserve">(1)Deferral balance at beginning of the month / Rate of $0.00224 is rate </t>
  </si>
  <si>
    <t xml:space="preserve">(5) November and December 2011 balances exclude Rollover to prevent double-counting </t>
  </si>
  <si>
    <t>to recover deferral balance of $268,626 over 12 months</t>
  </si>
  <si>
    <t xml:space="preserve">interest calculated on the prior Surcharge unbilled true-ups.  Total account balance </t>
  </si>
  <si>
    <t>(2)Interest computed on average balance between beginning and end of month.</t>
  </si>
  <si>
    <t>should be the sum of 11-12 Surcharge and 10-11 Surcharge for these months.</t>
  </si>
  <si>
    <t>(3)FERC rate @ July '11 - changes quarterly (http://ferc.gov/legal/acct-matts/interest-rates.asp)</t>
  </si>
  <si>
    <t>(4)From page 2 of Exh. 2</t>
  </si>
  <si>
    <t>Current Period Rebate Balance</t>
  </si>
  <si>
    <t>Prior Surcharge Rollover Balance</t>
  </si>
  <si>
    <t>Estimated</t>
  </si>
  <si>
    <t>Total Unamortized Balance</t>
  </si>
  <si>
    <t>Actual Therms</t>
  </si>
</sst>
</file>

<file path=xl/styles.xml><?xml version="1.0" encoding="utf-8"?>
<styleSheet xmlns="http://schemas.openxmlformats.org/spreadsheetml/2006/main">
  <numFmts count="20">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0"/>
    <numFmt numFmtId="166" formatCode="0.0000"/>
    <numFmt numFmtId="167" formatCode="0.0"/>
    <numFmt numFmtId="168" formatCode="&quot;$&quot;#,##0.00000_);\(&quot;$&quot;#,##0.00000\)"/>
    <numFmt numFmtId="169" formatCode="0.0000%"/>
    <numFmt numFmtId="170" formatCode="_(* #,##0.00000_);_(* \(#,##0.00000\);_(* &quot;-&quot;??_);_(@_)"/>
    <numFmt numFmtId="171" formatCode="&quot;$&quot;#,##0.000000_);\(&quot;$&quot;#,##0.000000\)"/>
    <numFmt numFmtId="172" formatCode="#,###,###,##0.00"/>
    <numFmt numFmtId="173" formatCode="###,###,##0.00"/>
    <numFmt numFmtId="174" formatCode="_(&quot;$&quot;* #,##0_);_(&quot;$&quot;* \(#,##0\);_(&quot;$&quot;* &quot;-&quot;??_);_(@_)"/>
    <numFmt numFmtId="175" formatCode="_(&quot;$&quot;* #,##0.00000_);_(&quot;$&quot;* \(#,##0.00000\);_(&quot;$&quot;* &quot;-&quot;?????_);_(@_)"/>
    <numFmt numFmtId="176" formatCode="[$-409]mmm/yy;@"/>
    <numFmt numFmtId="177" formatCode="&quot;$&quot;#,##0"/>
    <numFmt numFmtId="178" formatCode="#,##0.000000_);\(#,##0.000000\)"/>
    <numFmt numFmtId="179" formatCode="#,##0.00000_);\(#,##0.00000\)"/>
  </numFmts>
  <fonts count="2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u/>
      <sz val="10"/>
      <name val="Arial"/>
      <family val="2"/>
    </font>
    <font>
      <sz val="10"/>
      <color indexed="12"/>
      <name val="Arial"/>
      <family val="2"/>
    </font>
    <font>
      <b/>
      <i/>
      <sz val="10"/>
      <name val="Arial"/>
      <family val="2"/>
    </font>
    <font>
      <u/>
      <sz val="10"/>
      <name val="Arial"/>
      <family val="2"/>
    </font>
    <font>
      <sz val="9"/>
      <name val="Arial"/>
      <family val="2"/>
    </font>
    <font>
      <sz val="20"/>
      <name val="Arial"/>
      <family val="2"/>
    </font>
    <font>
      <sz val="16"/>
      <name val="Arial"/>
      <family val="2"/>
    </font>
    <font>
      <u val="singleAccounting"/>
      <sz val="10"/>
      <name val="Arial"/>
      <family val="2"/>
    </font>
    <font>
      <sz val="11"/>
      <color theme="1"/>
      <name val="Calibri"/>
      <family val="2"/>
      <scheme val="minor"/>
    </font>
    <font>
      <sz val="11"/>
      <color theme="1"/>
      <name val="Calibri"/>
      <family val="2"/>
    </font>
    <font>
      <sz val="10"/>
      <color rgb="FF0000FF"/>
      <name val="Arial"/>
      <family val="2"/>
    </font>
    <font>
      <sz val="10"/>
      <color indexed="8"/>
      <name val="Times New Roman"/>
      <family val="1"/>
    </font>
    <font>
      <sz val="10"/>
      <color indexed="8"/>
      <name val="Arial"/>
      <family val="2"/>
    </font>
    <font>
      <b/>
      <sz val="10"/>
      <color indexed="8"/>
      <name val="Arial"/>
      <family val="2"/>
    </font>
    <font>
      <sz val="10"/>
      <color indexed="16"/>
      <name val="Arial"/>
      <family val="2"/>
    </font>
    <font>
      <sz val="10"/>
      <color rgb="FF0070C0"/>
      <name val="Arial"/>
      <family val="2"/>
    </font>
    <font>
      <b/>
      <sz val="8"/>
      <color indexed="81"/>
      <name val="Tahoma"/>
      <family val="2"/>
    </font>
    <font>
      <sz val="8"/>
      <color indexed="81"/>
      <name val="Tahoma"/>
      <family val="2"/>
    </font>
    <font>
      <sz val="11"/>
      <color rgb="FF000000"/>
      <name val="Calibri"/>
      <family val="2"/>
    </font>
  </fonts>
  <fills count="5">
    <fill>
      <patternFill patternType="none"/>
    </fill>
    <fill>
      <patternFill patternType="gray125"/>
    </fill>
    <fill>
      <patternFill patternType="solid">
        <fgColor rgb="FFFFFF00"/>
        <bgColor indexed="64"/>
      </patternFill>
    </fill>
    <fill>
      <patternFill patternType="gray0625"/>
    </fill>
    <fill>
      <patternFill patternType="solid">
        <fgColor indexed="13"/>
        <bgColor indexed="64"/>
      </patternFill>
    </fill>
  </fills>
  <borders count="8">
    <border>
      <left/>
      <right/>
      <top/>
      <bottom/>
      <diagonal/>
    </border>
    <border>
      <left/>
      <right/>
      <top style="thin">
        <color indexed="64"/>
      </top>
      <bottom/>
      <diagonal/>
    </border>
    <border>
      <left/>
      <right/>
      <top style="thin">
        <color indexed="8"/>
      </top>
      <bottom style="thin">
        <color indexed="8"/>
      </bottom>
      <diagonal/>
    </border>
    <border>
      <left style="thick">
        <color auto="1"/>
      </left>
      <right/>
      <top/>
      <bottom/>
      <diagonal/>
    </border>
    <border>
      <left style="thick">
        <color auto="1"/>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3" fontId="16" fillId="0" borderId="0" applyFont="0" applyFill="0" applyBorder="0" applyAlignment="0" applyProtection="0"/>
    <xf numFmtId="0" fontId="16" fillId="0" borderId="0"/>
    <xf numFmtId="44"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43" fontId="1" fillId="0" borderId="0" applyFont="0" applyFill="0" applyBorder="0" applyAlignment="0" applyProtection="0"/>
  </cellStyleXfs>
  <cellXfs count="218">
    <xf numFmtId="0" fontId="0" fillId="0" borderId="0" xfId="0"/>
    <xf numFmtId="0" fontId="7" fillId="0" borderId="0" xfId="0" applyFont="1"/>
    <xf numFmtId="0" fontId="6" fillId="0" borderId="0" xfId="0" applyFont="1"/>
    <xf numFmtId="164" fontId="7" fillId="0" borderId="0" xfId="1" applyNumberFormat="1" applyFont="1"/>
    <xf numFmtId="164" fontId="9" fillId="0" borderId="0" xfId="1" applyNumberFormat="1" applyFont="1" applyFill="1"/>
    <xf numFmtId="164" fontId="9" fillId="0" borderId="0" xfId="1" applyNumberFormat="1" applyFont="1" applyFill="1" applyBorder="1"/>
    <xf numFmtId="164" fontId="7" fillId="0" borderId="0" xfId="0" applyNumberFormat="1" applyFont="1"/>
    <xf numFmtId="0" fontId="10" fillId="0" borderId="0" xfId="0" applyFont="1"/>
    <xf numFmtId="5" fontId="6" fillId="0" borderId="0" xfId="2" applyNumberFormat="1" applyFont="1"/>
    <xf numFmtId="5" fontId="6" fillId="0" borderId="0" xfId="2" applyNumberFormat="1" applyFont="1" applyFill="1"/>
    <xf numFmtId="5" fontId="6" fillId="0" borderId="0" xfId="2" applyNumberFormat="1" applyFont="1" applyBorder="1"/>
    <xf numFmtId="164" fontId="6" fillId="0" borderId="0" xfId="1" applyNumberFormat="1" applyFont="1" applyBorder="1"/>
    <xf numFmtId="0" fontId="6" fillId="0" borderId="0" xfId="4" applyFont="1"/>
    <xf numFmtId="0" fontId="5" fillId="0" borderId="0" xfId="4"/>
    <xf numFmtId="0" fontId="8" fillId="0" borderId="0" xfId="4" applyFont="1"/>
    <xf numFmtId="0" fontId="11" fillId="0" borderId="0" xfId="4" applyFont="1" applyAlignment="1">
      <alignment horizontal="center"/>
    </xf>
    <xf numFmtId="0" fontId="8" fillId="0" borderId="0" xfId="4" applyFont="1" applyAlignment="1">
      <alignment horizontal="center"/>
    </xf>
    <xf numFmtId="164" fontId="5" fillId="0" borderId="0" xfId="5" applyNumberFormat="1" applyFont="1" applyFill="1"/>
    <xf numFmtId="164" fontId="5" fillId="0" borderId="0" xfId="5" applyNumberFormat="1" applyFont="1"/>
    <xf numFmtId="164" fontId="15" fillId="0" borderId="0" xfId="5" applyNumberFormat="1" applyFont="1" applyFill="1"/>
    <xf numFmtId="164" fontId="5" fillId="0" borderId="1" xfId="4" applyNumberFormat="1" applyBorder="1"/>
    <xf numFmtId="164" fontId="5" fillId="0" borderId="0" xfId="4" applyNumberFormat="1" applyBorder="1"/>
    <xf numFmtId="164" fontId="5" fillId="0" borderId="0" xfId="4" applyNumberFormat="1"/>
    <xf numFmtId="0" fontId="5" fillId="0" borderId="0" xfId="4" applyFont="1"/>
    <xf numFmtId="168" fontId="5" fillId="0" borderId="0" xfId="8" applyNumberFormat="1" applyFont="1" applyFill="1" applyBorder="1"/>
    <xf numFmtId="0" fontId="5" fillId="0" borderId="0" xfId="4" applyFont="1" applyFill="1"/>
    <xf numFmtId="168" fontId="5" fillId="0" borderId="1" xfId="8" applyNumberFormat="1" applyFont="1" applyFill="1" applyBorder="1"/>
    <xf numFmtId="168" fontId="5" fillId="0" borderId="0" xfId="4" applyNumberFormat="1"/>
    <xf numFmtId="170" fontId="5" fillId="0" borderId="0" xfId="4" applyNumberFormat="1"/>
    <xf numFmtId="168" fontId="6" fillId="0" borderId="1" xfId="4" applyNumberFormat="1" applyFont="1" applyFill="1" applyBorder="1"/>
    <xf numFmtId="171" fontId="5" fillId="0" borderId="0" xfId="4" applyNumberFormat="1"/>
    <xf numFmtId="169" fontId="5" fillId="0" borderId="0" xfId="9" applyNumberFormat="1" applyFont="1"/>
    <xf numFmtId="0" fontId="5" fillId="0" borderId="0" xfId="4" applyFill="1"/>
    <xf numFmtId="17" fontId="11" fillId="0" borderId="0" xfId="4" applyNumberFormat="1" applyFont="1" applyAlignment="1">
      <alignment horizontal="right"/>
    </xf>
    <xf numFmtId="0" fontId="11" fillId="0" borderId="0" xfId="4" applyFont="1" applyAlignment="1">
      <alignment horizontal="right"/>
    </xf>
    <xf numFmtId="0" fontId="12" fillId="0" borderId="0" xfId="4" applyFont="1"/>
    <xf numFmtId="0" fontId="11" fillId="0" borderId="0" xfId="4" quotePrefix="1" applyFont="1" applyAlignment="1">
      <alignment horizontal="right"/>
    </xf>
    <xf numFmtId="166" fontId="5" fillId="0" borderId="0" xfId="4" applyNumberFormat="1"/>
    <xf numFmtId="0" fontId="11" fillId="0" borderId="0" xfId="4" applyFont="1"/>
    <xf numFmtId="164" fontId="5" fillId="0" borderId="1" xfId="5" applyNumberFormat="1" applyFont="1" applyBorder="1"/>
    <xf numFmtId="164" fontId="5" fillId="0" borderId="0" xfId="5" applyNumberFormat="1" applyFont="1" applyBorder="1"/>
    <xf numFmtId="17" fontId="11" fillId="0" borderId="0" xfId="4" applyNumberFormat="1" applyFont="1"/>
    <xf numFmtId="17" fontId="11" fillId="0" borderId="0" xfId="4" applyNumberFormat="1" applyFont="1" applyAlignment="1">
      <alignment horizontal="center"/>
    </xf>
    <xf numFmtId="0" fontId="5" fillId="0" borderId="0" xfId="4" quotePrefix="1" applyAlignment="1">
      <alignment horizontal="center"/>
    </xf>
    <xf numFmtId="164" fontId="5" fillId="0" borderId="0" xfId="5" quotePrefix="1" applyNumberFormat="1" applyFont="1"/>
    <xf numFmtId="0" fontId="5" fillId="0" borderId="0" xfId="4" applyAlignment="1">
      <alignment horizontal="left"/>
    </xf>
    <xf numFmtId="0" fontId="5" fillId="0" borderId="0" xfId="4" applyBorder="1"/>
    <xf numFmtId="167" fontId="5" fillId="0" borderId="0" xfId="4" applyNumberFormat="1" applyFont="1" applyBorder="1"/>
    <xf numFmtId="0" fontId="5" fillId="0" borderId="0" xfId="4" applyFont="1" applyBorder="1"/>
    <xf numFmtId="3" fontId="5" fillId="0" borderId="0" xfId="4" applyNumberFormat="1" applyBorder="1"/>
    <xf numFmtId="164" fontId="5" fillId="0" borderId="0" xfId="9" applyNumberFormat="1" applyFont="1" applyBorder="1"/>
    <xf numFmtId="10" fontId="5" fillId="0" borderId="0" xfId="9" applyNumberFormat="1" applyFont="1" applyBorder="1"/>
    <xf numFmtId="0" fontId="5" fillId="0" borderId="0" xfId="4" applyBorder="1" applyAlignment="1">
      <alignment horizontal="center"/>
    </xf>
    <xf numFmtId="0" fontId="11" fillId="0" borderId="0" xfId="4" applyFont="1" applyBorder="1" applyAlignment="1">
      <alignment horizontal="right"/>
    </xf>
    <xf numFmtId="166" fontId="5" fillId="0" borderId="0" xfId="4" applyNumberFormat="1" applyBorder="1"/>
    <xf numFmtId="0" fontId="11" fillId="0" borderId="0" xfId="4" applyFont="1" applyBorder="1"/>
    <xf numFmtId="0" fontId="8" fillId="0" borderId="0" xfId="4" applyFont="1" applyBorder="1"/>
    <xf numFmtId="0" fontId="11" fillId="0" borderId="0" xfId="4" quotePrefix="1" applyFont="1" applyBorder="1" applyAlignment="1">
      <alignment horizontal="right"/>
    </xf>
    <xf numFmtId="164" fontId="0" fillId="0" borderId="0" xfId="5" applyNumberFormat="1" applyFont="1" applyBorder="1"/>
    <xf numFmtId="0" fontId="7" fillId="2" borderId="0" xfId="0" applyFont="1" applyFill="1"/>
    <xf numFmtId="0" fontId="5" fillId="0" borderId="0" xfId="0" applyFont="1"/>
    <xf numFmtId="164" fontId="18" fillId="0" borderId="0" xfId="9" applyNumberFormat="1" applyFont="1" applyBorder="1"/>
    <xf numFmtId="164" fontId="18" fillId="0" borderId="0" xfId="9" applyNumberFormat="1" applyFont="1" applyFill="1" applyBorder="1"/>
    <xf numFmtId="0" fontId="7" fillId="0" borderId="0" xfId="0" applyFont="1" applyAlignment="1">
      <alignment wrapText="1"/>
    </xf>
    <xf numFmtId="164" fontId="5" fillId="0" borderId="0" xfId="4" applyNumberFormat="1" applyFont="1"/>
    <xf numFmtId="0" fontId="10" fillId="0" borderId="0" xfId="4" applyFont="1"/>
    <xf numFmtId="43" fontId="5" fillId="0" borderId="0" xfId="5" applyFont="1"/>
    <xf numFmtId="17" fontId="11" fillId="3" borderId="0" xfId="4" applyNumberFormat="1" applyFont="1" applyFill="1"/>
    <xf numFmtId="17" fontId="11" fillId="3" borderId="0" xfId="4" applyNumberFormat="1" applyFont="1" applyFill="1" applyAlignment="1">
      <alignment horizontal="right"/>
    </xf>
    <xf numFmtId="0" fontId="5" fillId="3" borderId="0" xfId="4" applyFill="1"/>
    <xf numFmtId="166" fontId="5" fillId="3" borderId="0" xfId="4" applyNumberFormat="1" applyFill="1"/>
    <xf numFmtId="164" fontId="5" fillId="3" borderId="0" xfId="5" applyNumberFormat="1" applyFont="1" applyFill="1"/>
    <xf numFmtId="164" fontId="5" fillId="3" borderId="1" xfId="5" applyNumberFormat="1" applyFont="1" applyFill="1" applyBorder="1"/>
    <xf numFmtId="164" fontId="5" fillId="3" borderId="0" xfId="5" applyNumberFormat="1" applyFont="1" applyFill="1" applyBorder="1"/>
    <xf numFmtId="164" fontId="5" fillId="3" borderId="1" xfId="4" applyNumberFormat="1" applyFill="1" applyBorder="1"/>
    <xf numFmtId="164" fontId="17" fillId="0" borderId="0" xfId="11" applyNumberFormat="1" applyFont="1" applyBorder="1"/>
    <xf numFmtId="0" fontId="3" fillId="0" borderId="0" xfId="12"/>
    <xf numFmtId="170" fontId="5" fillId="0" borderId="0" xfId="11" applyNumberFormat="1" applyFont="1"/>
    <xf numFmtId="164" fontId="5" fillId="0" borderId="0" xfId="11" applyNumberFormat="1" applyFont="1"/>
    <xf numFmtId="164" fontId="5" fillId="0" borderId="1" xfId="11" applyNumberFormat="1" applyFont="1" applyBorder="1"/>
    <xf numFmtId="0" fontId="19" fillId="0" borderId="2" xfId="4" applyFont="1" applyFill="1" applyBorder="1" applyAlignment="1">
      <alignment horizontal="left" vertical="center" wrapText="1"/>
    </xf>
    <xf numFmtId="0" fontId="20" fillId="0" borderId="2" xfId="4" applyFont="1" applyFill="1" applyBorder="1" applyAlignment="1">
      <alignment horizontal="left" vertical="top"/>
    </xf>
    <xf numFmtId="0" fontId="19" fillId="0" borderId="2" xfId="4" applyFont="1" applyFill="1" applyBorder="1" applyAlignment="1">
      <alignment horizontal="left" vertical="top"/>
    </xf>
    <xf numFmtId="0" fontId="19" fillId="0" borderId="2" xfId="4" applyFont="1" applyFill="1" applyBorder="1" applyAlignment="1">
      <alignment horizontal="center" vertical="center" wrapText="1"/>
    </xf>
    <xf numFmtId="0" fontId="19" fillId="0" borderId="2" xfId="4" applyFont="1" applyFill="1" applyBorder="1" applyAlignment="1">
      <alignment horizontal="right" vertical="center" wrapText="1"/>
    </xf>
    <xf numFmtId="0" fontId="19" fillId="0" borderId="2" xfId="4" applyFont="1" applyFill="1" applyBorder="1" applyAlignment="1">
      <alignment horizontal="left" vertical="center"/>
    </xf>
    <xf numFmtId="172" fontId="19" fillId="0" borderId="2" xfId="4" applyNumberFormat="1" applyFont="1" applyFill="1" applyBorder="1" applyAlignment="1">
      <alignment horizontal="right" vertical="center"/>
    </xf>
    <xf numFmtId="173" fontId="19" fillId="0" borderId="2" xfId="4" applyNumberFormat="1" applyFont="1" applyFill="1" applyBorder="1" applyAlignment="1">
      <alignment horizontal="right" vertical="center"/>
    </xf>
    <xf numFmtId="0" fontId="21" fillId="0" borderId="2" xfId="4" applyFont="1" applyFill="1" applyBorder="1" applyAlignment="1">
      <alignment horizontal="left" vertical="top"/>
    </xf>
    <xf numFmtId="172" fontId="21" fillId="0" borderId="2" xfId="4" applyNumberFormat="1" applyFont="1" applyFill="1" applyBorder="1" applyAlignment="1">
      <alignment horizontal="left" vertical="top"/>
    </xf>
    <xf numFmtId="173" fontId="21" fillId="0" borderId="2" xfId="4" applyNumberFormat="1" applyFont="1" applyFill="1" applyBorder="1" applyAlignment="1">
      <alignment horizontal="right" vertical="top"/>
    </xf>
    <xf numFmtId="0" fontId="21" fillId="0" borderId="0" xfId="4" applyFont="1" applyFill="1" applyBorder="1" applyAlignment="1">
      <alignment horizontal="left" vertical="top"/>
    </xf>
    <xf numFmtId="172" fontId="21" fillId="0" borderId="0" xfId="4" applyNumberFormat="1" applyFont="1" applyFill="1" applyBorder="1" applyAlignment="1">
      <alignment horizontal="left" vertical="top"/>
    </xf>
    <xf numFmtId="173" fontId="21" fillId="0" borderId="0" xfId="4" applyNumberFormat="1" applyFont="1" applyFill="1" applyBorder="1" applyAlignment="1">
      <alignment horizontal="left" vertical="top"/>
    </xf>
    <xf numFmtId="172" fontId="5" fillId="0" borderId="0" xfId="4" applyNumberFormat="1"/>
    <xf numFmtId="0" fontId="5" fillId="0" borderId="0" xfId="4" applyFont="1" applyAlignment="1">
      <alignment vertical="top"/>
    </xf>
    <xf numFmtId="164" fontId="5" fillId="0" borderId="0" xfId="1" applyNumberFormat="1" applyFont="1" applyFill="1"/>
    <xf numFmtId="0" fontId="6" fillId="0" borderId="0" xfId="4" applyFont="1" applyAlignment="1">
      <alignment horizontal="center"/>
    </xf>
    <xf numFmtId="0" fontId="6" fillId="0" borderId="0" xfId="4" applyFont="1" applyBorder="1" applyAlignment="1">
      <alignment horizontal="center"/>
    </xf>
    <xf numFmtId="0" fontId="8" fillId="0" borderId="0" xfId="4" applyFont="1" applyBorder="1" applyAlignment="1">
      <alignment horizontal="center"/>
    </xf>
    <xf numFmtId="164" fontId="5" fillId="0" borderId="0" xfId="1" applyNumberFormat="1" applyFont="1"/>
    <xf numFmtId="164" fontId="5" fillId="0" borderId="0" xfId="1" applyNumberFormat="1" applyFont="1" applyFill="1" applyBorder="1"/>
    <xf numFmtId="164" fontId="5" fillId="0" borderId="1" xfId="4" applyNumberFormat="1" applyFont="1" applyBorder="1"/>
    <xf numFmtId="164" fontId="5" fillId="0" borderId="0" xfId="4" applyNumberFormat="1" applyFont="1" applyBorder="1"/>
    <xf numFmtId="164" fontId="5" fillId="0" borderId="0" xfId="4" applyNumberFormat="1" applyFill="1" applyBorder="1"/>
    <xf numFmtId="165" fontId="11" fillId="0" borderId="0" xfId="4" applyNumberFormat="1" applyFont="1" applyFill="1" applyBorder="1"/>
    <xf numFmtId="0" fontId="5" fillId="0" borderId="0" xfId="4" applyFont="1" applyAlignment="1">
      <alignment horizontal="right"/>
    </xf>
    <xf numFmtId="9" fontId="5" fillId="0" borderId="0" xfId="3" applyFont="1" applyBorder="1"/>
    <xf numFmtId="164" fontId="5" fillId="0" borderId="0" xfId="1" applyNumberFormat="1" applyFont="1" applyBorder="1"/>
    <xf numFmtId="0" fontId="10" fillId="0" borderId="0" xfId="4" applyFont="1" applyFill="1"/>
    <xf numFmtId="0" fontId="6" fillId="0" borderId="0" xfId="4" applyFont="1" applyFill="1"/>
    <xf numFmtId="5" fontId="6" fillId="0" borderId="0" xfId="4" applyNumberFormat="1" applyFont="1" applyFill="1"/>
    <xf numFmtId="5" fontId="6" fillId="0" borderId="0" xfId="4" applyNumberFormat="1" applyFont="1" applyBorder="1"/>
    <xf numFmtId="174" fontId="6" fillId="0" borderId="0" xfId="2" applyNumberFormat="1" applyFont="1" applyBorder="1"/>
    <xf numFmtId="164" fontId="5" fillId="0" borderId="0" xfId="0" applyNumberFormat="1" applyFont="1"/>
    <xf numFmtId="164" fontId="5" fillId="0" borderId="0" xfId="4" applyNumberFormat="1" applyFill="1"/>
    <xf numFmtId="0" fontId="5" fillId="4" borderId="0" xfId="4" applyFont="1" applyFill="1"/>
    <xf numFmtId="164" fontId="5" fillId="0" borderId="0" xfId="23" applyNumberFormat="1" applyFont="1"/>
    <xf numFmtId="17" fontId="11" fillId="0" borderId="0" xfId="4" applyNumberFormat="1" applyFont="1" applyFill="1" applyAlignment="1">
      <alignment horizontal="right"/>
    </xf>
    <xf numFmtId="164" fontId="5" fillId="0" borderId="0" xfId="23" applyNumberFormat="1" applyFont="1" applyFill="1"/>
    <xf numFmtId="164" fontId="18" fillId="0" borderId="0" xfId="23" applyNumberFormat="1" applyFont="1"/>
    <xf numFmtId="164" fontId="5" fillId="0" borderId="1" xfId="23" applyNumberFormat="1" applyFont="1" applyFill="1" applyBorder="1"/>
    <xf numFmtId="164" fontId="5" fillId="0" borderId="1" xfId="23" applyNumberFormat="1" applyFont="1" applyBorder="1"/>
    <xf numFmtId="166" fontId="5" fillId="0" borderId="0" xfId="4" applyNumberFormat="1" applyFill="1"/>
    <xf numFmtId="164" fontId="5" fillId="0" borderId="1" xfId="5" applyNumberFormat="1" applyFont="1" applyFill="1" applyBorder="1"/>
    <xf numFmtId="164" fontId="5" fillId="0" borderId="0" xfId="5" applyNumberFormat="1" applyFont="1" applyFill="1" applyBorder="1"/>
    <xf numFmtId="17" fontId="11" fillId="0" borderId="0" xfId="4" applyNumberFormat="1" applyFont="1" applyFill="1"/>
    <xf numFmtId="164" fontId="5" fillId="0" borderId="1" xfId="4" applyNumberFormat="1" applyFill="1" applyBorder="1"/>
    <xf numFmtId="0" fontId="5" fillId="0" borderId="0" xfId="4" applyFont="1" applyFill="1" applyBorder="1"/>
    <xf numFmtId="43" fontId="5" fillId="0" borderId="0" xfId="5" applyFont="1" applyFill="1"/>
    <xf numFmtId="164" fontId="5" fillId="0" borderId="0" xfId="4" applyNumberFormat="1" applyFont="1" applyFill="1"/>
    <xf numFmtId="0" fontId="7" fillId="0" borderId="0" xfId="0" applyFont="1" applyFill="1"/>
    <xf numFmtId="164" fontId="5" fillId="3" borderId="0" xfId="23" applyNumberFormat="1" applyFont="1" applyFill="1"/>
    <xf numFmtId="164" fontId="5" fillId="3" borderId="1" xfId="23" applyNumberFormat="1" applyFont="1" applyFill="1" applyBorder="1"/>
    <xf numFmtId="164" fontId="5" fillId="0" borderId="0" xfId="1" applyNumberFormat="1"/>
    <xf numFmtId="0" fontId="5" fillId="0" borderId="0" xfId="4" applyAlignment="1">
      <alignment horizontal="center"/>
    </xf>
    <xf numFmtId="0" fontId="6" fillId="0" borderId="3" xfId="4" applyFont="1" applyBorder="1" applyAlignment="1">
      <alignment horizontal="center"/>
    </xf>
    <xf numFmtId="0" fontId="8" fillId="0" borderId="3" xfId="4" applyFont="1" applyBorder="1" applyAlignment="1">
      <alignment horizontal="center"/>
    </xf>
    <xf numFmtId="0" fontId="5" fillId="0" borderId="3" xfId="4" applyFont="1" applyBorder="1"/>
    <xf numFmtId="164" fontId="5" fillId="0" borderId="3" xfId="1" applyNumberFormat="1" applyFont="1" applyFill="1" applyBorder="1"/>
    <xf numFmtId="164" fontId="9" fillId="0" borderId="3" xfId="1" applyNumberFormat="1" applyFont="1" applyFill="1" applyBorder="1"/>
    <xf numFmtId="164" fontId="5" fillId="0" borderId="3" xfId="1" applyNumberFormat="1" applyFont="1" applyBorder="1"/>
    <xf numFmtId="164" fontId="5" fillId="0" borderId="4" xfId="4" applyNumberFormat="1" applyFont="1" applyBorder="1"/>
    <xf numFmtId="164" fontId="5" fillId="0" borderId="3" xfId="4" applyNumberFormat="1" applyFont="1" applyBorder="1"/>
    <xf numFmtId="164" fontId="5" fillId="0" borderId="3" xfId="4" applyNumberFormat="1" applyFill="1" applyBorder="1"/>
    <xf numFmtId="164" fontId="5" fillId="0" borderId="4" xfId="4" applyNumberFormat="1" applyBorder="1"/>
    <xf numFmtId="165" fontId="11" fillId="0" borderId="3" xfId="4" applyNumberFormat="1" applyFont="1" applyFill="1" applyBorder="1"/>
    <xf numFmtId="5" fontId="6" fillId="0" borderId="3" xfId="2" applyNumberFormat="1" applyFont="1" applyBorder="1"/>
    <xf numFmtId="9" fontId="5" fillId="0" borderId="3" xfId="3" applyFont="1" applyBorder="1"/>
    <xf numFmtId="167" fontId="5" fillId="3" borderId="0" xfId="4" applyNumberFormat="1" applyFont="1" applyFill="1" applyBorder="1"/>
    <xf numFmtId="164" fontId="18" fillId="3" borderId="0" xfId="9" applyNumberFormat="1" applyFont="1" applyFill="1" applyBorder="1"/>
    <xf numFmtId="43" fontId="5" fillId="3" borderId="0" xfId="5" applyFont="1" applyFill="1"/>
    <xf numFmtId="0" fontId="5" fillId="3" borderId="0" xfId="4" applyFont="1" applyFill="1"/>
    <xf numFmtId="164" fontId="5" fillId="3" borderId="0" xfId="4" applyNumberFormat="1" applyFont="1" applyFill="1"/>
    <xf numFmtId="173" fontId="21" fillId="0" borderId="0" xfId="4" applyNumberFormat="1" applyFont="1" applyFill="1" applyBorder="1" applyAlignment="1">
      <alignment horizontal="right" vertical="top"/>
    </xf>
    <xf numFmtId="0" fontId="0" fillId="0" borderId="0" xfId="0" applyFill="1"/>
    <xf numFmtId="0" fontId="19" fillId="0" borderId="2" xfId="0" applyFont="1" applyFill="1" applyBorder="1" applyAlignment="1">
      <alignment horizontal="left" vertical="center" wrapText="1"/>
    </xf>
    <xf numFmtId="0" fontId="20" fillId="0" borderId="2" xfId="0" applyFont="1" applyFill="1" applyBorder="1" applyAlignment="1">
      <alignment horizontal="left" vertical="top"/>
    </xf>
    <xf numFmtId="0" fontId="19" fillId="0" borderId="2" xfId="0" applyFont="1" applyFill="1" applyBorder="1" applyAlignment="1">
      <alignment horizontal="left" vertical="top"/>
    </xf>
    <xf numFmtId="0" fontId="19" fillId="0" borderId="2" xfId="0" applyFont="1" applyFill="1" applyBorder="1" applyAlignment="1">
      <alignment horizontal="center" vertical="center" wrapText="1"/>
    </xf>
    <xf numFmtId="0" fontId="19" fillId="0" borderId="2" xfId="0" applyFont="1" applyFill="1" applyBorder="1" applyAlignment="1">
      <alignment horizontal="right" vertical="center" wrapText="1"/>
    </xf>
    <xf numFmtId="0" fontId="19" fillId="0" borderId="2" xfId="0" applyFont="1" applyFill="1" applyBorder="1" applyAlignment="1">
      <alignment horizontal="left" vertical="center"/>
    </xf>
    <xf numFmtId="172" fontId="19" fillId="0" borderId="2" xfId="0" applyNumberFormat="1" applyFont="1" applyFill="1" applyBorder="1" applyAlignment="1">
      <alignment horizontal="right" vertical="center"/>
    </xf>
    <xf numFmtId="173" fontId="19" fillId="0" borderId="2" xfId="0" applyNumberFormat="1" applyFont="1" applyFill="1" applyBorder="1" applyAlignment="1">
      <alignment horizontal="right" vertical="center"/>
    </xf>
    <xf numFmtId="0" fontId="21" fillId="0" borderId="2" xfId="0" applyFont="1" applyFill="1" applyBorder="1" applyAlignment="1">
      <alignment horizontal="left" vertical="top"/>
    </xf>
    <xf numFmtId="172" fontId="21" fillId="0" borderId="2" xfId="0" applyNumberFormat="1" applyFont="1" applyFill="1" applyBorder="1" applyAlignment="1">
      <alignment horizontal="left" vertical="top"/>
    </xf>
    <xf numFmtId="173" fontId="21" fillId="0" borderId="2" xfId="0" applyNumberFormat="1" applyFont="1" applyFill="1" applyBorder="1" applyAlignment="1">
      <alignment horizontal="center" vertical="top"/>
    </xf>
    <xf numFmtId="0" fontId="5" fillId="0" borderId="0" xfId="13"/>
    <xf numFmtId="0" fontId="5" fillId="0" borderId="0" xfId="13" applyFont="1" applyAlignment="1">
      <alignment horizontal="center"/>
    </xf>
    <xf numFmtId="0" fontId="5" fillId="0" borderId="0" xfId="13" applyFont="1"/>
    <xf numFmtId="0" fontId="5" fillId="0" borderId="0" xfId="13" applyAlignment="1">
      <alignment horizontal="center"/>
    </xf>
    <xf numFmtId="0" fontId="11" fillId="0" borderId="0" xfId="13" applyFont="1" applyAlignment="1">
      <alignment horizontal="center"/>
    </xf>
    <xf numFmtId="0" fontId="5" fillId="0" borderId="0" xfId="13" applyAlignment="1">
      <alignment horizontal="center" wrapText="1"/>
    </xf>
    <xf numFmtId="175" fontId="5" fillId="0" borderId="0" xfId="13" applyNumberFormat="1" applyFont="1" applyAlignment="1">
      <alignment horizontal="center"/>
    </xf>
    <xf numFmtId="10" fontId="5" fillId="0" borderId="0" xfId="13" applyNumberFormat="1" applyAlignment="1">
      <alignment horizontal="right"/>
    </xf>
    <xf numFmtId="175" fontId="6" fillId="0" borderId="0" xfId="13" applyNumberFormat="1" applyFont="1" applyAlignment="1">
      <alignment horizontal="center"/>
    </xf>
    <xf numFmtId="10" fontId="0" fillId="0" borderId="0" xfId="3" applyNumberFormat="1" applyFont="1"/>
    <xf numFmtId="176" fontId="5" fillId="0" borderId="0" xfId="13" applyNumberFormat="1" applyAlignment="1">
      <alignment horizontal="center"/>
    </xf>
    <xf numFmtId="177" fontId="6" fillId="0" borderId="0" xfId="2" applyNumberFormat="1" applyFont="1"/>
    <xf numFmtId="10" fontId="5" fillId="0" borderId="0" xfId="13" applyNumberFormat="1"/>
    <xf numFmtId="41" fontId="0" fillId="0" borderId="0" xfId="1" applyNumberFormat="1" applyFont="1"/>
    <xf numFmtId="176" fontId="5" fillId="0" borderId="0" xfId="13" applyNumberFormat="1" applyFont="1" applyAlignment="1">
      <alignment horizontal="center"/>
    </xf>
    <xf numFmtId="164" fontId="5" fillId="0" borderId="0" xfId="13" applyNumberFormat="1"/>
    <xf numFmtId="177" fontId="5" fillId="0" borderId="0" xfId="13" applyNumberFormat="1"/>
    <xf numFmtId="164" fontId="5" fillId="0" borderId="0" xfId="1" applyNumberFormat="1" applyFill="1"/>
    <xf numFmtId="177" fontId="22" fillId="0" borderId="0" xfId="13" applyNumberFormat="1" applyFont="1"/>
    <xf numFmtId="0" fontId="5" fillId="0" borderId="0" xfId="13" applyFill="1"/>
    <xf numFmtId="41" fontId="5" fillId="0" borderId="0" xfId="1" applyNumberFormat="1" applyFont="1" applyFill="1"/>
    <xf numFmtId="41" fontId="5" fillId="0" borderId="0" xfId="1" applyNumberFormat="1" applyFill="1"/>
    <xf numFmtId="10" fontId="23" fillId="0" borderId="0" xfId="13" applyNumberFormat="1" applyFont="1"/>
    <xf numFmtId="41" fontId="15" fillId="0" borderId="0" xfId="1" applyNumberFormat="1" applyFont="1"/>
    <xf numFmtId="0" fontId="11" fillId="0" borderId="0" xfId="13" applyFont="1"/>
    <xf numFmtId="168" fontId="6" fillId="0" borderId="0" xfId="2" applyNumberFormat="1" applyFont="1"/>
    <xf numFmtId="168" fontId="0" fillId="0" borderId="0" xfId="2" applyNumberFormat="1" applyFont="1"/>
    <xf numFmtId="41" fontId="5" fillId="0" borderId="0" xfId="1" applyNumberFormat="1" applyFont="1"/>
    <xf numFmtId="44" fontId="0" fillId="0" borderId="0" xfId="2" applyFont="1"/>
    <xf numFmtId="168" fontId="8" fillId="0" borderId="0" xfId="2" applyNumberFormat="1" applyFont="1"/>
    <xf numFmtId="44" fontId="5" fillId="0" borderId="0" xfId="13" applyNumberFormat="1"/>
    <xf numFmtId="178" fontId="8" fillId="0" borderId="0" xfId="2" applyNumberFormat="1" applyFont="1"/>
    <xf numFmtId="174" fontId="0" fillId="0" borderId="0" xfId="2" applyNumberFormat="1" applyFont="1"/>
    <xf numFmtId="179" fontId="6" fillId="0" borderId="0" xfId="2" applyNumberFormat="1" applyFont="1"/>
    <xf numFmtId="0" fontId="6" fillId="0" borderId="5" xfId="13" applyFont="1" applyBorder="1"/>
    <xf numFmtId="0" fontId="5" fillId="0" borderId="6" xfId="13" applyBorder="1"/>
    <xf numFmtId="179" fontId="6" fillId="0" borderId="7" xfId="2" applyNumberFormat="1" applyFont="1" applyBorder="1"/>
    <xf numFmtId="0" fontId="5" fillId="0" borderId="0" xfId="13" applyAlignment="1"/>
    <xf numFmtId="0" fontId="5" fillId="0" borderId="0" xfId="13" applyFont="1" applyAlignment="1"/>
    <xf numFmtId="0" fontId="5" fillId="0" borderId="0" xfId="13" applyFont="1" applyFill="1" applyBorder="1" applyAlignment="1"/>
    <xf numFmtId="177" fontId="5" fillId="0" borderId="1" xfId="13" applyNumberFormat="1" applyBorder="1"/>
    <xf numFmtId="0" fontId="26" fillId="0" borderId="0" xfId="0" applyFont="1"/>
    <xf numFmtId="0" fontId="13" fillId="0" borderId="0" xfId="4" applyFont="1" applyAlignment="1">
      <alignment horizontal="center"/>
    </xf>
    <xf numFmtId="0" fontId="14" fillId="0" borderId="0" xfId="4" applyFont="1" applyAlignment="1">
      <alignment horizontal="center" vertical="top"/>
    </xf>
    <xf numFmtId="0" fontId="10" fillId="0" borderId="0" xfId="0" applyFont="1" applyAlignment="1">
      <alignment wrapText="1"/>
    </xf>
    <xf numFmtId="0" fontId="6" fillId="0" borderId="0" xfId="4" applyFont="1" applyAlignment="1">
      <alignment horizontal="center"/>
    </xf>
    <xf numFmtId="0" fontId="5" fillId="0" borderId="0" xfId="4" applyFont="1" applyAlignment="1">
      <alignment horizontal="justify" vertical="top" wrapText="1"/>
    </xf>
    <xf numFmtId="0" fontId="5" fillId="0" borderId="0" xfId="4" applyAlignment="1">
      <alignment horizontal="justify" vertical="top" wrapText="1"/>
    </xf>
    <xf numFmtId="0" fontId="5" fillId="0" borderId="0" xfId="13" applyAlignment="1">
      <alignment horizontal="center" wrapText="1"/>
    </xf>
    <xf numFmtId="0" fontId="5" fillId="0" borderId="0" xfId="13" applyFont="1" applyAlignment="1">
      <alignment horizontal="center" wrapText="1"/>
    </xf>
    <xf numFmtId="0" fontId="6" fillId="0" borderId="0" xfId="13" applyFont="1" applyAlignment="1">
      <alignment horizontal="center"/>
    </xf>
  </cellXfs>
  <cellStyles count="24">
    <cellStyle name="Comma" xfId="1" builtinId="3"/>
    <cellStyle name="Comma 2" xfId="5"/>
    <cellStyle name="Comma 3" xfId="6"/>
    <cellStyle name="Comma 3 2" xfId="10"/>
    <cellStyle name="Comma 3 3" xfId="23"/>
    <cellStyle name="Comma 4" xfId="11"/>
    <cellStyle name="Currency" xfId="2" builtinId="4"/>
    <cellStyle name="Currency 2" xfId="8"/>
    <cellStyle name="Normal" xfId="0" builtinId="0"/>
    <cellStyle name="Normal 10" xfId="13"/>
    <cellStyle name="Normal 11" xfId="14"/>
    <cellStyle name="Normal 12" xfId="15"/>
    <cellStyle name="Normal 2" xfId="4"/>
    <cellStyle name="Normal 2 2" xfId="16"/>
    <cellStyle name="Normal 3" xfId="7"/>
    <cellStyle name="Normal 3 2" xfId="17"/>
    <cellStyle name="Normal 4" xfId="12"/>
    <cellStyle name="Normal 5" xfId="18"/>
    <cellStyle name="Normal 6" xfId="19"/>
    <cellStyle name="Normal 7" xfId="20"/>
    <cellStyle name="Normal 8" xfId="21"/>
    <cellStyle name="Normal 9" xfId="22"/>
    <cellStyle name="Percent" xfId="3" builtinId="5"/>
    <cellStyle name="Percent 2" xfId="9"/>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0</xdr:colOff>
      <xdr:row>56</xdr:row>
      <xdr:rowOff>0</xdr:rowOff>
    </xdr:from>
    <xdr:to>
      <xdr:col>14</xdr:col>
      <xdr:colOff>333376</xdr:colOff>
      <xdr:row>61</xdr:row>
      <xdr:rowOff>114300</xdr:rowOff>
    </xdr:to>
    <xdr:sp macro="" textlink="">
      <xdr:nvSpPr>
        <xdr:cNvPr id="2" name="TextBox 1"/>
        <xdr:cNvSpPr txBox="1"/>
      </xdr:nvSpPr>
      <xdr:spPr>
        <a:xfrm>
          <a:off x="6096000" y="9096375"/>
          <a:ext cx="5172076" cy="9525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An estimate of the prior surcharge rollover balance of $1,940 was included in the determination of the November 2012 - October 2013 rebate rate.  As shown</a:t>
          </a:r>
          <a:r>
            <a:rPr lang="en-US" sz="1100" baseline="0"/>
            <a:t> here, the actual amount rolled over into the following rebate was $7,323 which is $5,383 greater than the estimate.  The actual net balance to recover would have been  a surcharge balance of  $647.</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indexed="35"/>
  </sheetPr>
  <dimension ref="A1:Q86"/>
  <sheetViews>
    <sheetView topLeftCell="D1" zoomScaleNormal="100" workbookViewId="0">
      <selection activeCell="L27" sqref="L27"/>
    </sheetView>
  </sheetViews>
  <sheetFormatPr defaultRowHeight="12.75"/>
  <cols>
    <col min="1" max="1" width="2.85546875" style="13" customWidth="1"/>
    <col min="2" max="2" width="19.5703125" style="13" customWidth="1"/>
    <col min="3" max="3" width="6.42578125" style="13" customWidth="1"/>
    <col min="4" max="4" width="15.28515625" style="13" customWidth="1"/>
    <col min="5" max="5" width="12.85546875" style="13" customWidth="1"/>
    <col min="6" max="6" width="13.140625" style="13" customWidth="1"/>
    <col min="7" max="7" width="12.5703125" style="13" customWidth="1"/>
    <col min="8" max="8" width="12.7109375" style="13" customWidth="1"/>
    <col min="9" max="9" width="12.140625" style="13" customWidth="1"/>
    <col min="10" max="10" width="12.7109375" style="13" customWidth="1"/>
    <col min="11" max="11" width="11.5703125" style="13" customWidth="1"/>
    <col min="12" max="13" width="11.42578125" style="13" customWidth="1"/>
    <col min="14" max="14" width="11.28515625" style="13" customWidth="1"/>
    <col min="15" max="15" width="11.42578125" style="13" customWidth="1"/>
    <col min="16" max="16" width="11.85546875" style="13" customWidth="1"/>
    <col min="17" max="17" width="12.7109375" style="13" customWidth="1"/>
    <col min="18" max="18" width="14" style="13" bestFit="1" customWidth="1"/>
    <col min="19" max="19" width="12.85546875" style="13" bestFit="1" customWidth="1"/>
    <col min="20" max="20" width="14" style="13" bestFit="1" customWidth="1"/>
    <col min="21" max="16384" width="9.140625" style="13"/>
  </cols>
  <sheetData>
    <row r="1" spans="1:17">
      <c r="A1" s="12" t="s">
        <v>54</v>
      </c>
    </row>
    <row r="2" spans="1:17">
      <c r="A2" s="12" t="s">
        <v>55</v>
      </c>
    </row>
    <row r="3" spans="1:17">
      <c r="A3" s="12" t="s">
        <v>88</v>
      </c>
    </row>
    <row r="4" spans="1:17" ht="25.5">
      <c r="A4" s="209" t="s">
        <v>89</v>
      </c>
      <c r="B4" s="209"/>
      <c r="C4" s="209"/>
      <c r="D4" s="209"/>
      <c r="E4" s="209"/>
      <c r="F4" s="209"/>
      <c r="G4" s="209"/>
      <c r="H4" s="209"/>
      <c r="I4" s="209"/>
      <c r="J4" s="209"/>
      <c r="K4" s="209"/>
      <c r="L4" s="209"/>
      <c r="M4" s="209"/>
      <c r="N4" s="209"/>
      <c r="O4" s="209"/>
      <c r="P4" s="209"/>
      <c r="Q4" s="209"/>
    </row>
    <row r="5" spans="1:17" ht="20.25">
      <c r="A5" s="210" t="s">
        <v>90</v>
      </c>
      <c r="B5" s="210"/>
      <c r="C5" s="210"/>
      <c r="D5" s="210"/>
      <c r="E5" s="210"/>
      <c r="F5" s="210"/>
      <c r="G5" s="210"/>
      <c r="H5" s="210"/>
      <c r="I5" s="210"/>
      <c r="J5" s="210"/>
      <c r="K5" s="210"/>
      <c r="L5" s="210"/>
      <c r="M5" s="210"/>
      <c r="N5" s="210"/>
      <c r="O5" s="210"/>
      <c r="P5" s="210"/>
      <c r="Q5" s="210"/>
    </row>
    <row r="6" spans="1:17">
      <c r="A6" s="12"/>
    </row>
    <row r="8" spans="1:17">
      <c r="A8" s="14" t="s">
        <v>18</v>
      </c>
      <c r="D8" s="15" t="s">
        <v>74</v>
      </c>
      <c r="E8" s="14" t="s">
        <v>56</v>
      </c>
      <c r="F8" s="16" t="s">
        <v>11</v>
      </c>
      <c r="G8" s="16" t="s">
        <v>12</v>
      </c>
      <c r="H8" s="16" t="s">
        <v>13</v>
      </c>
      <c r="I8" s="16" t="s">
        <v>14</v>
      </c>
      <c r="J8" s="16" t="s">
        <v>15</v>
      </c>
      <c r="K8" s="16" t="s">
        <v>16</v>
      </c>
      <c r="L8" s="16" t="s">
        <v>5</v>
      </c>
      <c r="M8" s="16" t="s">
        <v>6</v>
      </c>
      <c r="N8" s="16" t="s">
        <v>7</v>
      </c>
      <c r="O8" s="16" t="s">
        <v>8</v>
      </c>
      <c r="P8" s="16" t="s">
        <v>9</v>
      </c>
      <c r="Q8" s="16" t="s">
        <v>10</v>
      </c>
    </row>
    <row r="9" spans="1:17">
      <c r="A9" s="14" t="s">
        <v>57</v>
      </c>
    </row>
    <row r="10" spans="1:17" ht="15">
      <c r="A10" s="13" t="s">
        <v>58</v>
      </c>
      <c r="D10" s="17">
        <v>114318036</v>
      </c>
      <c r="E10" s="18">
        <f>SUM(F10:Q10)</f>
        <v>114318036</v>
      </c>
      <c r="F10" s="75">
        <f>E42</f>
        <v>20975430</v>
      </c>
      <c r="G10" s="75">
        <f t="shared" ref="G10:Q10" si="0">F42</f>
        <v>15686649</v>
      </c>
      <c r="H10" s="75">
        <f t="shared" si="0"/>
        <v>13792342</v>
      </c>
      <c r="I10" s="75">
        <f t="shared" si="0"/>
        <v>12118647</v>
      </c>
      <c r="J10" s="75">
        <f t="shared" si="0"/>
        <v>8026903</v>
      </c>
      <c r="K10" s="75">
        <f t="shared" si="0"/>
        <v>5208692</v>
      </c>
      <c r="L10" s="75">
        <f t="shared" si="0"/>
        <v>3313811</v>
      </c>
      <c r="M10" s="75">
        <f t="shared" si="0"/>
        <v>2388155</v>
      </c>
      <c r="N10" s="75">
        <f t="shared" si="0"/>
        <v>2436473</v>
      </c>
      <c r="O10" s="75">
        <f t="shared" si="0"/>
        <v>3588712</v>
      </c>
      <c r="P10" s="75">
        <f t="shared" si="0"/>
        <v>8096570</v>
      </c>
      <c r="Q10" s="75">
        <f t="shared" si="0"/>
        <v>18685652</v>
      </c>
    </row>
    <row r="11" spans="1:17">
      <c r="A11" s="13" t="s">
        <v>59</v>
      </c>
      <c r="D11" s="17">
        <v>-17350672</v>
      </c>
      <c r="E11" s="18">
        <f>SUM(F11:Q11)</f>
        <v>-90481660</v>
      </c>
      <c r="F11" s="18">
        <f>-E71</f>
        <v>-17350672</v>
      </c>
      <c r="G11" s="18">
        <f t="shared" ref="G11:Q11" si="1">-F71</f>
        <v>-13817871</v>
      </c>
      <c r="H11" s="18">
        <f t="shared" si="1"/>
        <v>-11521757</v>
      </c>
      <c r="I11" s="18">
        <f t="shared" si="1"/>
        <v>-9744690</v>
      </c>
      <c r="J11" s="18">
        <f t="shared" si="1"/>
        <v>-6713208</v>
      </c>
      <c r="K11" s="18">
        <f t="shared" si="1"/>
        <v>-4487622</v>
      </c>
      <c r="L11" s="18">
        <f t="shared" si="1"/>
        <v>-2796588</v>
      </c>
      <c r="M11" s="18">
        <f t="shared" si="1"/>
        <v>-1968283</v>
      </c>
      <c r="N11" s="18">
        <f t="shared" si="1"/>
        <v>-1872445</v>
      </c>
      <c r="O11" s="18">
        <f t="shared" si="1"/>
        <v>-2236801</v>
      </c>
      <c r="P11" s="18">
        <f t="shared" si="1"/>
        <v>-5232198</v>
      </c>
      <c r="Q11" s="18">
        <f t="shared" si="1"/>
        <v>-12739525</v>
      </c>
    </row>
    <row r="12" spans="1:17">
      <c r="A12" s="13" t="s">
        <v>60</v>
      </c>
      <c r="D12" s="17">
        <v>14293952</v>
      </c>
      <c r="E12" s="18">
        <f>SUM(F12:Q12)</f>
        <v>87424940</v>
      </c>
      <c r="F12" s="18">
        <f>F71</f>
        <v>13817871</v>
      </c>
      <c r="G12" s="18">
        <f t="shared" ref="G12:Q12" si="2">G71</f>
        <v>11521757</v>
      </c>
      <c r="H12" s="18">
        <f t="shared" si="2"/>
        <v>9744690</v>
      </c>
      <c r="I12" s="18">
        <f t="shared" si="2"/>
        <v>6713208</v>
      </c>
      <c r="J12" s="18">
        <f t="shared" si="2"/>
        <v>4487622</v>
      </c>
      <c r="K12" s="18">
        <f t="shared" si="2"/>
        <v>2796588</v>
      </c>
      <c r="L12" s="18">
        <f t="shared" si="2"/>
        <v>1968283</v>
      </c>
      <c r="M12" s="18">
        <f t="shared" si="2"/>
        <v>1872445</v>
      </c>
      <c r="N12" s="18">
        <f t="shared" si="2"/>
        <v>2236801</v>
      </c>
      <c r="O12" s="18">
        <f t="shared" si="2"/>
        <v>5232198</v>
      </c>
      <c r="P12" s="18">
        <f t="shared" si="2"/>
        <v>12739525</v>
      </c>
      <c r="Q12" s="18">
        <f t="shared" si="2"/>
        <v>14293952</v>
      </c>
    </row>
    <row r="13" spans="1:17" ht="15">
      <c r="A13" s="13" t="s">
        <v>61</v>
      </c>
      <c r="D13" s="19">
        <v>5966808</v>
      </c>
      <c r="E13" s="18">
        <f>SUM(F13:Q13)</f>
        <v>5966808</v>
      </c>
      <c r="F13" s="18">
        <f>E58</f>
        <v>3203570</v>
      </c>
      <c r="G13" s="18">
        <f t="shared" ref="G13:Q13" si="3">F58</f>
        <v>2702811</v>
      </c>
      <c r="H13" s="18">
        <f t="shared" si="3"/>
        <v>705646</v>
      </c>
      <c r="I13" s="18">
        <f t="shared" si="3"/>
        <v>139926</v>
      </c>
      <c r="J13" s="18">
        <f t="shared" si="3"/>
        <v>-1444037</v>
      </c>
      <c r="K13" s="18">
        <f t="shared" si="3"/>
        <v>-744947</v>
      </c>
      <c r="L13" s="18">
        <f t="shared" si="3"/>
        <v>0</v>
      </c>
      <c r="M13" s="18">
        <f t="shared" si="3"/>
        <v>0</v>
      </c>
      <c r="N13" s="18">
        <f t="shared" si="3"/>
        <v>0</v>
      </c>
      <c r="O13" s="18">
        <f t="shared" si="3"/>
        <v>1185407</v>
      </c>
      <c r="P13" s="18">
        <f t="shared" si="3"/>
        <v>-1032111</v>
      </c>
      <c r="Q13" s="18">
        <f t="shared" si="3"/>
        <v>1250543</v>
      </c>
    </row>
    <row r="14" spans="1:17">
      <c r="A14" s="13" t="s">
        <v>62</v>
      </c>
      <c r="D14" s="17">
        <f t="shared" ref="D14:Q14" si="4">SUM(D10:D13)</f>
        <v>117228124</v>
      </c>
      <c r="E14" s="20">
        <f t="shared" si="4"/>
        <v>117228124</v>
      </c>
      <c r="F14" s="20">
        <f t="shared" si="4"/>
        <v>20646199</v>
      </c>
      <c r="G14" s="20">
        <f t="shared" si="4"/>
        <v>16093346</v>
      </c>
      <c r="H14" s="20">
        <f t="shared" si="4"/>
        <v>12720921</v>
      </c>
      <c r="I14" s="20">
        <f t="shared" si="4"/>
        <v>9227091</v>
      </c>
      <c r="J14" s="20">
        <f t="shared" si="4"/>
        <v>4357280</v>
      </c>
      <c r="K14" s="20">
        <f t="shared" si="4"/>
        <v>2772711</v>
      </c>
      <c r="L14" s="20">
        <f t="shared" si="4"/>
        <v>2485506</v>
      </c>
      <c r="M14" s="20">
        <f t="shared" si="4"/>
        <v>2292317</v>
      </c>
      <c r="N14" s="20">
        <f t="shared" si="4"/>
        <v>2800829</v>
      </c>
      <c r="O14" s="20">
        <f t="shared" si="4"/>
        <v>7769516</v>
      </c>
      <c r="P14" s="20">
        <f t="shared" si="4"/>
        <v>14571786</v>
      </c>
      <c r="Q14" s="20">
        <f t="shared" si="4"/>
        <v>21490622</v>
      </c>
    </row>
    <row r="15" spans="1:17">
      <c r="D15" s="18"/>
      <c r="E15" s="21"/>
      <c r="F15" s="21"/>
      <c r="G15" s="21"/>
      <c r="H15" s="21"/>
      <c r="I15" s="21"/>
      <c r="J15" s="21"/>
      <c r="K15" s="21"/>
      <c r="L15" s="21"/>
      <c r="M15" s="21"/>
      <c r="N15" s="21"/>
      <c r="O15" s="21"/>
      <c r="P15" s="21"/>
      <c r="Q15" s="21"/>
    </row>
    <row r="16" spans="1:17">
      <c r="D16" s="18"/>
      <c r="E16" s="22"/>
    </row>
    <row r="17" spans="1:17">
      <c r="A17" s="14" t="s">
        <v>63</v>
      </c>
      <c r="D17" s="18"/>
    </row>
    <row r="18" spans="1:17">
      <c r="A18" s="13" t="s">
        <v>64</v>
      </c>
      <c r="D18" s="18">
        <v>1736100</v>
      </c>
      <c r="E18" s="18">
        <f>SUM(F18:Q18)</f>
        <v>1736100</v>
      </c>
      <c r="F18" s="21">
        <f>E66</f>
        <v>144558</v>
      </c>
      <c r="G18" s="21">
        <f t="shared" ref="G18:Q18" si="5">F66</f>
        <v>144489</v>
      </c>
      <c r="H18" s="21">
        <f t="shared" si="5"/>
        <v>144456</v>
      </c>
      <c r="I18" s="21">
        <f t="shared" si="5"/>
        <v>144390</v>
      </c>
      <c r="J18" s="21">
        <f t="shared" si="5"/>
        <v>144232</v>
      </c>
      <c r="K18" s="21">
        <f t="shared" si="5"/>
        <v>144143</v>
      </c>
      <c r="L18" s="21">
        <f t="shared" si="5"/>
        <v>144244</v>
      </c>
      <c r="M18" s="21">
        <f t="shared" si="5"/>
        <v>144649</v>
      </c>
      <c r="N18" s="21">
        <f t="shared" si="5"/>
        <v>144788</v>
      </c>
      <c r="O18" s="21">
        <f t="shared" si="5"/>
        <v>144976</v>
      </c>
      <c r="P18" s="21">
        <f t="shared" si="5"/>
        <v>145338</v>
      </c>
      <c r="Q18" s="21">
        <f t="shared" si="5"/>
        <v>145837</v>
      </c>
    </row>
    <row r="19" spans="1:17">
      <c r="A19" s="13" t="s">
        <v>65</v>
      </c>
      <c r="D19" s="18"/>
      <c r="E19" s="21">
        <f>E14/E18</f>
        <v>67.523831576522085</v>
      </c>
      <c r="F19" s="21">
        <f>F14/F18</f>
        <v>142.82294304016381</v>
      </c>
      <c r="G19" s="21">
        <f t="shared" ref="G19:Q19" si="6">G14/G18</f>
        <v>111.38111551744423</v>
      </c>
      <c r="H19" s="21">
        <f t="shared" si="6"/>
        <v>88.060869745804951</v>
      </c>
      <c r="I19" s="21">
        <f t="shared" si="6"/>
        <v>63.903947641803448</v>
      </c>
      <c r="J19" s="21">
        <f t="shared" si="6"/>
        <v>30.210216872816019</v>
      </c>
      <c r="K19" s="21">
        <f t="shared" si="6"/>
        <v>19.235835246942273</v>
      </c>
      <c r="L19" s="21">
        <f t="shared" si="6"/>
        <v>17.231260918998363</v>
      </c>
      <c r="M19" s="21">
        <f t="shared" si="6"/>
        <v>15.847444503591452</v>
      </c>
      <c r="N19" s="21">
        <f t="shared" si="6"/>
        <v>19.344344835207337</v>
      </c>
      <c r="O19" s="21">
        <f t="shared" si="6"/>
        <v>53.5917393223706</v>
      </c>
      <c r="P19" s="21">
        <f t="shared" si="6"/>
        <v>100.26136316723775</v>
      </c>
      <c r="Q19" s="21">
        <f t="shared" si="6"/>
        <v>147.36056007734663</v>
      </c>
    </row>
    <row r="20" spans="1:17">
      <c r="D20" s="18"/>
      <c r="E20" s="21"/>
      <c r="F20" s="21"/>
      <c r="G20" s="21"/>
      <c r="H20" s="21"/>
      <c r="I20" s="21"/>
      <c r="J20" s="21"/>
      <c r="K20" s="21"/>
      <c r="L20" s="21"/>
      <c r="M20" s="21"/>
      <c r="N20" s="21"/>
      <c r="O20" s="21"/>
      <c r="P20" s="21"/>
      <c r="Q20" s="21"/>
    </row>
    <row r="21" spans="1:17" ht="15">
      <c r="D21" s="18"/>
      <c r="E21" s="76"/>
      <c r="F21" s="21" t="s">
        <v>18</v>
      </c>
      <c r="G21" s="76"/>
      <c r="H21" s="21"/>
      <c r="I21" s="21"/>
      <c r="J21" s="21"/>
      <c r="K21" s="21"/>
      <c r="L21" s="21"/>
      <c r="M21" s="21"/>
      <c r="N21" s="21"/>
      <c r="O21" s="21"/>
      <c r="P21" s="21"/>
      <c r="Q21" s="21"/>
    </row>
    <row r="22" spans="1:17" ht="15">
      <c r="A22" s="23" t="s">
        <v>66</v>
      </c>
      <c r="E22" s="76"/>
      <c r="F22" s="24">
        <v>0.89510999999999996</v>
      </c>
      <c r="G22" s="76"/>
      <c r="H22" s="77"/>
      <c r="I22" s="77"/>
    </row>
    <row r="23" spans="1:17" ht="15">
      <c r="A23" s="23" t="s">
        <v>67</v>
      </c>
      <c r="E23" s="76"/>
      <c r="F23" s="25">
        <v>0.95600200000000002</v>
      </c>
      <c r="G23" s="76"/>
      <c r="H23" s="77"/>
      <c r="I23" s="77"/>
    </row>
    <row r="24" spans="1:17" ht="15">
      <c r="A24" s="23" t="s">
        <v>68</v>
      </c>
      <c r="E24" s="76"/>
      <c r="F24" s="26">
        <f>F22*F23</f>
        <v>0.85572695022</v>
      </c>
      <c r="G24" s="76"/>
      <c r="H24" s="77"/>
      <c r="I24" s="77"/>
      <c r="J24" s="27"/>
    </row>
    <row r="25" spans="1:17" ht="15">
      <c r="A25" s="23" t="s">
        <v>69</v>
      </c>
      <c r="E25" s="76"/>
      <c r="F25" s="24">
        <v>0.55981000000000003</v>
      </c>
      <c r="G25" s="76"/>
      <c r="H25" s="28"/>
    </row>
    <row r="26" spans="1:17" ht="15">
      <c r="A26" s="12" t="s">
        <v>70</v>
      </c>
      <c r="E26" s="76"/>
      <c r="F26" s="29">
        <f>F24-F25</f>
        <v>0.29591695021999997</v>
      </c>
      <c r="G26" s="76"/>
      <c r="I26" s="27"/>
      <c r="J26" s="30"/>
    </row>
    <row r="27" spans="1:17">
      <c r="D27" s="31"/>
      <c r="E27" s="18"/>
      <c r="F27" s="18"/>
      <c r="G27" s="18"/>
      <c r="H27" s="18"/>
      <c r="I27" s="18"/>
      <c r="J27" s="18"/>
      <c r="K27" s="18"/>
      <c r="L27" s="18"/>
      <c r="M27" s="18"/>
      <c r="N27" s="18"/>
      <c r="O27" s="18"/>
      <c r="P27" s="18"/>
      <c r="Q27" s="18"/>
    </row>
    <row r="30" spans="1:17">
      <c r="A30" s="25" t="s">
        <v>91</v>
      </c>
      <c r="B30" s="32"/>
    </row>
    <row r="31" spans="1:17">
      <c r="A31" s="25" t="s">
        <v>75</v>
      </c>
      <c r="B31" s="32"/>
    </row>
    <row r="32" spans="1:17">
      <c r="A32" s="25" t="s">
        <v>92</v>
      </c>
      <c r="B32" s="32"/>
    </row>
    <row r="33" spans="1:17">
      <c r="A33" s="25" t="s">
        <v>93</v>
      </c>
      <c r="B33" s="32"/>
    </row>
    <row r="34" spans="1:17">
      <c r="A34" s="25" t="s">
        <v>94</v>
      </c>
      <c r="B34" s="32"/>
    </row>
    <row r="35" spans="1:17">
      <c r="A35" s="25"/>
      <c r="B35" s="32"/>
    </row>
    <row r="36" spans="1:17" ht="25.5">
      <c r="A36" s="209" t="s">
        <v>89</v>
      </c>
      <c r="B36" s="209"/>
      <c r="C36" s="209"/>
      <c r="D36" s="209"/>
      <c r="E36" s="209"/>
      <c r="F36" s="209"/>
      <c r="G36" s="209"/>
      <c r="H36" s="209"/>
      <c r="I36" s="209"/>
      <c r="J36" s="209"/>
      <c r="K36" s="209"/>
      <c r="L36" s="209"/>
      <c r="M36" s="209"/>
      <c r="N36" s="209"/>
      <c r="O36" s="209"/>
      <c r="P36" s="209"/>
      <c r="Q36" s="209"/>
    </row>
    <row r="37" spans="1:17" ht="20.25">
      <c r="A37" s="210" t="s">
        <v>95</v>
      </c>
      <c r="B37" s="210"/>
      <c r="C37" s="210"/>
      <c r="D37" s="210"/>
      <c r="E37" s="210"/>
      <c r="F37" s="210"/>
      <c r="G37" s="210"/>
      <c r="H37" s="210"/>
      <c r="I37" s="210"/>
      <c r="J37" s="210"/>
      <c r="K37" s="210"/>
      <c r="L37" s="210"/>
      <c r="M37" s="210"/>
      <c r="N37" s="210"/>
      <c r="O37" s="210"/>
      <c r="P37" s="210"/>
      <c r="Q37" s="210"/>
    </row>
    <row r="39" spans="1:17">
      <c r="A39" s="12" t="s">
        <v>96</v>
      </c>
    </row>
    <row r="40" spans="1:17">
      <c r="A40" s="12"/>
    </row>
    <row r="41" spans="1:17">
      <c r="A41" s="12"/>
      <c r="B41" s="12" t="s">
        <v>71</v>
      </c>
      <c r="E41" s="33">
        <v>40179</v>
      </c>
      <c r="F41" s="33">
        <v>40210</v>
      </c>
      <c r="G41" s="33">
        <v>40238</v>
      </c>
      <c r="H41" s="33">
        <v>40269</v>
      </c>
      <c r="I41" s="33">
        <v>40299</v>
      </c>
      <c r="J41" s="33">
        <v>40330</v>
      </c>
      <c r="K41" s="33">
        <v>40360</v>
      </c>
      <c r="L41" s="33">
        <v>40391</v>
      </c>
      <c r="M41" s="33">
        <v>40422</v>
      </c>
      <c r="N41" s="33">
        <v>40452</v>
      </c>
      <c r="O41" s="33">
        <v>40483</v>
      </c>
      <c r="P41" s="33">
        <v>40513</v>
      </c>
      <c r="Q41" s="34" t="s">
        <v>17</v>
      </c>
    </row>
    <row r="42" spans="1:17">
      <c r="A42" s="12"/>
      <c r="B42" s="13" t="s">
        <v>76</v>
      </c>
      <c r="E42" s="18">
        <v>20975430</v>
      </c>
      <c r="F42" s="18">
        <v>15686649</v>
      </c>
      <c r="G42" s="18">
        <v>13792342</v>
      </c>
      <c r="H42" s="18">
        <v>12118647</v>
      </c>
      <c r="I42" s="18">
        <v>8026903</v>
      </c>
      <c r="J42" s="18">
        <v>5208692</v>
      </c>
      <c r="K42" s="18">
        <v>3313811</v>
      </c>
      <c r="L42" s="18">
        <v>2388155</v>
      </c>
      <c r="M42" s="18">
        <v>2436473</v>
      </c>
      <c r="N42" s="18">
        <v>3588712</v>
      </c>
      <c r="O42" s="18">
        <v>8096570</v>
      </c>
      <c r="P42" s="18">
        <v>18685652</v>
      </c>
      <c r="Q42" s="18">
        <f>SUM(E42:P42)</f>
        <v>114318036</v>
      </c>
    </row>
    <row r="44" spans="1:17">
      <c r="B44" s="14" t="s">
        <v>34</v>
      </c>
    </row>
    <row r="45" spans="1:17">
      <c r="E45" s="33">
        <v>40179</v>
      </c>
      <c r="F45" s="33">
        <v>40210</v>
      </c>
      <c r="G45" s="33">
        <v>40238</v>
      </c>
      <c r="H45" s="33">
        <v>40269</v>
      </c>
      <c r="I45" s="33">
        <v>40299</v>
      </c>
      <c r="J45" s="33">
        <v>40330</v>
      </c>
      <c r="K45" s="33">
        <v>40360</v>
      </c>
      <c r="L45" s="33">
        <v>40391</v>
      </c>
      <c r="M45" s="33">
        <v>40422</v>
      </c>
      <c r="N45" s="33">
        <v>40452</v>
      </c>
      <c r="O45" s="33">
        <v>40483</v>
      </c>
      <c r="P45" s="33">
        <v>40513</v>
      </c>
      <c r="Q45" s="34" t="s">
        <v>17</v>
      </c>
    </row>
    <row r="46" spans="1:17">
      <c r="B46" s="35" t="s">
        <v>97</v>
      </c>
      <c r="E46" s="78">
        <v>1105</v>
      </c>
      <c r="F46" s="78">
        <v>908</v>
      </c>
      <c r="G46" s="78">
        <v>774</v>
      </c>
      <c r="H46" s="78">
        <v>547</v>
      </c>
      <c r="I46" s="78">
        <v>327</v>
      </c>
      <c r="J46" s="78">
        <v>142</v>
      </c>
      <c r="K46" s="78">
        <v>35</v>
      </c>
      <c r="L46" s="78">
        <v>34</v>
      </c>
      <c r="M46" s="78">
        <v>185</v>
      </c>
      <c r="N46" s="78">
        <v>548</v>
      </c>
      <c r="O46" s="78">
        <v>882</v>
      </c>
      <c r="P46" s="78">
        <v>1168</v>
      </c>
      <c r="Q46" s="78">
        <f>SUM(E46:P46)</f>
        <v>6655</v>
      </c>
    </row>
    <row r="47" spans="1:17">
      <c r="B47" s="13" t="s">
        <v>35</v>
      </c>
      <c r="E47" s="78">
        <v>919</v>
      </c>
      <c r="F47" s="78">
        <v>751</v>
      </c>
      <c r="G47" s="78">
        <v>733</v>
      </c>
      <c r="H47" s="78">
        <v>538</v>
      </c>
      <c r="I47" s="78">
        <v>420</v>
      </c>
      <c r="J47" s="78">
        <v>190</v>
      </c>
      <c r="K47" s="78">
        <v>48</v>
      </c>
      <c r="L47" s="78">
        <v>47</v>
      </c>
      <c r="M47" s="78">
        <v>158</v>
      </c>
      <c r="N47" s="78">
        <v>472</v>
      </c>
      <c r="O47" s="78">
        <v>948</v>
      </c>
      <c r="P47" s="78">
        <v>1096</v>
      </c>
      <c r="Q47" s="78">
        <f>SUM(E47:P47)</f>
        <v>6320</v>
      </c>
    </row>
    <row r="48" spans="1:17">
      <c r="B48" s="12" t="s">
        <v>98</v>
      </c>
      <c r="E48" s="79">
        <f>E46-E47</f>
        <v>186</v>
      </c>
      <c r="F48" s="79">
        <f>F46-F47</f>
        <v>157</v>
      </c>
      <c r="G48" s="79">
        <f>G46-G47</f>
        <v>41</v>
      </c>
      <c r="H48" s="79">
        <f>H46-H47</f>
        <v>9</v>
      </c>
      <c r="I48" s="79">
        <f t="shared" ref="I48:P48" si="7">I46-I47</f>
        <v>-93</v>
      </c>
      <c r="J48" s="79">
        <f t="shared" si="7"/>
        <v>-48</v>
      </c>
      <c r="K48" s="79">
        <f t="shared" si="7"/>
        <v>-13</v>
      </c>
      <c r="L48" s="79">
        <f t="shared" si="7"/>
        <v>-13</v>
      </c>
      <c r="M48" s="79">
        <f t="shared" si="7"/>
        <v>27</v>
      </c>
      <c r="N48" s="79">
        <f t="shared" si="7"/>
        <v>76</v>
      </c>
      <c r="O48" s="79">
        <f t="shared" si="7"/>
        <v>-66</v>
      </c>
      <c r="P48" s="79">
        <f t="shared" si="7"/>
        <v>72</v>
      </c>
      <c r="Q48" s="79">
        <f>SUM(E48:P48)</f>
        <v>335</v>
      </c>
    </row>
    <row r="49" spans="2:17">
      <c r="B49" s="12"/>
      <c r="C49" s="36"/>
      <c r="D49" s="15" t="s">
        <v>36</v>
      </c>
    </row>
    <row r="50" spans="2:17">
      <c r="B50" s="13" t="s">
        <v>37</v>
      </c>
      <c r="D50" s="34" t="s">
        <v>77</v>
      </c>
      <c r="E50" s="37">
        <v>0.1066</v>
      </c>
      <c r="F50" s="37">
        <v>0.1066</v>
      </c>
      <c r="G50" s="37">
        <v>0.1066</v>
      </c>
      <c r="H50" s="37">
        <v>9.6500000000000002E-2</v>
      </c>
      <c r="I50" s="37">
        <v>9.6500000000000002E-2</v>
      </c>
      <c r="J50" s="37">
        <v>9.6500000000000002E-2</v>
      </c>
      <c r="K50" s="37">
        <v>0</v>
      </c>
      <c r="L50" s="37">
        <v>0</v>
      </c>
      <c r="M50" s="37">
        <v>0</v>
      </c>
      <c r="N50" s="37">
        <v>9.6500000000000002E-2</v>
      </c>
      <c r="O50" s="37">
        <v>9.6500000000000002E-2</v>
      </c>
      <c r="P50" s="37">
        <v>0.1066</v>
      </c>
    </row>
    <row r="51" spans="2:17">
      <c r="B51" s="13" t="s">
        <v>38</v>
      </c>
      <c r="D51" s="34" t="s">
        <v>77</v>
      </c>
      <c r="E51" s="37">
        <v>0.25690000000000002</v>
      </c>
      <c r="F51" s="37">
        <v>0.25690000000000002</v>
      </c>
      <c r="G51" s="37">
        <v>0.25690000000000002</v>
      </c>
      <c r="H51" s="37">
        <v>0.23019999999999999</v>
      </c>
      <c r="I51" s="37">
        <v>0.23019999999999999</v>
      </c>
      <c r="J51" s="37">
        <v>0.23019999999999999</v>
      </c>
      <c r="K51" s="37">
        <v>0</v>
      </c>
      <c r="L51" s="37">
        <v>0</v>
      </c>
      <c r="M51" s="37">
        <v>0</v>
      </c>
      <c r="N51" s="37">
        <v>0.23019999999999999</v>
      </c>
      <c r="O51" s="37">
        <v>0.23019999999999999</v>
      </c>
      <c r="P51" s="37">
        <v>0.25690000000000002</v>
      </c>
    </row>
    <row r="52" spans="2:17">
      <c r="B52" s="13" t="s">
        <v>39</v>
      </c>
      <c r="D52" s="34" t="s">
        <v>77</v>
      </c>
      <c r="E52" s="37">
        <v>0.43290000000000001</v>
      </c>
      <c r="F52" s="37">
        <v>0.43290000000000001</v>
      </c>
      <c r="G52" s="37">
        <v>0.43290000000000001</v>
      </c>
      <c r="H52" s="37">
        <v>0.35120000000000001</v>
      </c>
      <c r="I52" s="37">
        <v>0.35120000000000001</v>
      </c>
      <c r="J52" s="37">
        <v>0.35120000000000001</v>
      </c>
      <c r="K52" s="37">
        <v>0</v>
      </c>
      <c r="L52" s="37">
        <v>0</v>
      </c>
      <c r="M52" s="37">
        <v>0</v>
      </c>
      <c r="N52" s="37">
        <v>0.35120000000000001</v>
      </c>
      <c r="O52" s="37">
        <v>0.35120000000000001</v>
      </c>
      <c r="P52" s="37">
        <v>0.43290000000000001</v>
      </c>
    </row>
    <row r="53" spans="2:17">
      <c r="C53" s="38"/>
    </row>
    <row r="54" spans="2:17">
      <c r="B54" s="14" t="s">
        <v>40</v>
      </c>
      <c r="C54" s="38"/>
      <c r="D54" s="38"/>
    </row>
    <row r="55" spans="2:17">
      <c r="B55" s="13" t="s">
        <v>37</v>
      </c>
      <c r="E55" s="18">
        <f t="shared" ref="E55:P57" si="8">ROUND(E$48*E50*E62,0)</f>
        <v>2628148</v>
      </c>
      <c r="F55" s="18">
        <f t="shared" si="8"/>
        <v>2217229</v>
      </c>
      <c r="G55" s="18">
        <f t="shared" si="8"/>
        <v>578895</v>
      </c>
      <c r="H55" s="18">
        <f t="shared" si="8"/>
        <v>114947</v>
      </c>
      <c r="I55" s="18">
        <f t="shared" si="8"/>
        <v>-1186671</v>
      </c>
      <c r="J55" s="18">
        <f t="shared" si="8"/>
        <v>-612035</v>
      </c>
      <c r="K55" s="18">
        <f t="shared" si="8"/>
        <v>0</v>
      </c>
      <c r="L55" s="18">
        <f t="shared" si="8"/>
        <v>0</v>
      </c>
      <c r="M55" s="18">
        <f t="shared" si="8"/>
        <v>0</v>
      </c>
      <c r="N55" s="18">
        <f t="shared" si="8"/>
        <v>975305</v>
      </c>
      <c r="O55" s="18">
        <f t="shared" si="8"/>
        <v>-849000</v>
      </c>
      <c r="P55" s="18">
        <f t="shared" si="8"/>
        <v>1026642</v>
      </c>
      <c r="Q55" s="18">
        <f>SUM(E55:P55)</f>
        <v>4893460</v>
      </c>
    </row>
    <row r="56" spans="2:17">
      <c r="B56" s="13" t="s">
        <v>38</v>
      </c>
      <c r="E56" s="18">
        <f t="shared" si="8"/>
        <v>568336</v>
      </c>
      <c r="F56" s="18">
        <f t="shared" si="8"/>
        <v>479805</v>
      </c>
      <c r="G56" s="18">
        <f t="shared" si="8"/>
        <v>125278</v>
      </c>
      <c r="H56" s="18">
        <f t="shared" si="8"/>
        <v>24710</v>
      </c>
      <c r="I56" s="18">
        <f t="shared" si="8"/>
        <v>-254655</v>
      </c>
      <c r="J56" s="18">
        <f t="shared" si="8"/>
        <v>-131479</v>
      </c>
      <c r="K56" s="18">
        <f t="shared" si="8"/>
        <v>0</v>
      </c>
      <c r="L56" s="18">
        <f t="shared" si="8"/>
        <v>0</v>
      </c>
      <c r="M56" s="18">
        <f t="shared" si="8"/>
        <v>0</v>
      </c>
      <c r="N56" s="18">
        <f t="shared" si="8"/>
        <v>207860</v>
      </c>
      <c r="O56" s="18">
        <f t="shared" si="8"/>
        <v>-181164</v>
      </c>
      <c r="P56" s="18">
        <f t="shared" si="8"/>
        <v>221314</v>
      </c>
      <c r="Q56" s="18">
        <f>SUM(E56:P56)</f>
        <v>1060005</v>
      </c>
    </row>
    <row r="57" spans="2:17">
      <c r="B57" s="13" t="s">
        <v>39</v>
      </c>
      <c r="E57" s="18">
        <f t="shared" si="8"/>
        <v>7086</v>
      </c>
      <c r="F57" s="18">
        <f t="shared" si="8"/>
        <v>5777</v>
      </c>
      <c r="G57" s="18">
        <f t="shared" si="8"/>
        <v>1473</v>
      </c>
      <c r="H57" s="18">
        <f t="shared" si="8"/>
        <v>269</v>
      </c>
      <c r="I57" s="18">
        <f t="shared" si="8"/>
        <v>-2711</v>
      </c>
      <c r="J57" s="18">
        <f t="shared" si="8"/>
        <v>-1433</v>
      </c>
      <c r="K57" s="18">
        <f t="shared" si="8"/>
        <v>0</v>
      </c>
      <c r="L57" s="18">
        <f t="shared" si="8"/>
        <v>0</v>
      </c>
      <c r="M57" s="18">
        <f t="shared" si="8"/>
        <v>0</v>
      </c>
      <c r="N57" s="18">
        <f t="shared" si="8"/>
        <v>2242</v>
      </c>
      <c r="O57" s="18">
        <f t="shared" si="8"/>
        <v>-1947</v>
      </c>
      <c r="P57" s="18">
        <f t="shared" si="8"/>
        <v>2587</v>
      </c>
      <c r="Q57" s="18">
        <f>SUM(E57:P57)</f>
        <v>13343</v>
      </c>
    </row>
    <row r="58" spans="2:17">
      <c r="B58" s="13" t="s">
        <v>41</v>
      </c>
      <c r="E58" s="39">
        <f>SUM(E55:E57)</f>
        <v>3203570</v>
      </c>
      <c r="F58" s="39">
        <f>SUM(F55:F57)</f>
        <v>2702811</v>
      </c>
      <c r="G58" s="39">
        <f>SUM(G55:G57)</f>
        <v>705646</v>
      </c>
      <c r="H58" s="39">
        <f t="shared" ref="H58:Q58" si="9">SUM(H55:H57)</f>
        <v>139926</v>
      </c>
      <c r="I58" s="39">
        <f t="shared" si="9"/>
        <v>-1444037</v>
      </c>
      <c r="J58" s="39">
        <f t="shared" si="9"/>
        <v>-744947</v>
      </c>
      <c r="K58" s="39">
        <f t="shared" si="9"/>
        <v>0</v>
      </c>
      <c r="L58" s="39">
        <f t="shared" si="9"/>
        <v>0</v>
      </c>
      <c r="M58" s="39">
        <f t="shared" si="9"/>
        <v>0</v>
      </c>
      <c r="N58" s="39">
        <f t="shared" si="9"/>
        <v>1185407</v>
      </c>
      <c r="O58" s="39">
        <f t="shared" si="9"/>
        <v>-1032111</v>
      </c>
      <c r="P58" s="39">
        <f t="shared" si="9"/>
        <v>1250543</v>
      </c>
      <c r="Q58" s="39">
        <f t="shared" si="9"/>
        <v>5966808</v>
      </c>
    </row>
    <row r="59" spans="2:17">
      <c r="E59" s="40"/>
      <c r="F59" s="40"/>
      <c r="G59" s="40"/>
      <c r="H59" s="40"/>
      <c r="I59" s="40"/>
      <c r="J59" s="40"/>
      <c r="K59" s="40"/>
      <c r="L59" s="40"/>
      <c r="M59" s="40"/>
      <c r="N59" s="40"/>
      <c r="O59" s="40"/>
      <c r="P59" s="40"/>
      <c r="Q59" s="40"/>
    </row>
    <row r="60" spans="2:17">
      <c r="B60" s="12" t="s">
        <v>44</v>
      </c>
    </row>
    <row r="61" spans="2:17">
      <c r="B61" s="12"/>
      <c r="C61" s="13" t="s">
        <v>45</v>
      </c>
      <c r="D61" s="41"/>
      <c r="E61" s="41">
        <v>40179</v>
      </c>
      <c r="F61" s="41">
        <v>40210</v>
      </c>
      <c r="G61" s="41">
        <v>40238</v>
      </c>
      <c r="H61" s="41">
        <v>40269</v>
      </c>
      <c r="I61" s="41">
        <v>40299</v>
      </c>
      <c r="J61" s="41">
        <v>40330</v>
      </c>
      <c r="K61" s="41">
        <v>40360</v>
      </c>
      <c r="L61" s="41">
        <v>40391</v>
      </c>
      <c r="M61" s="41">
        <v>40422</v>
      </c>
      <c r="N61" s="41">
        <v>40452</v>
      </c>
      <c r="O61" s="41">
        <v>40483</v>
      </c>
      <c r="P61" s="41">
        <v>40513</v>
      </c>
      <c r="Q61" s="42" t="s">
        <v>56</v>
      </c>
    </row>
    <row r="62" spans="2:17">
      <c r="B62" s="13" t="s">
        <v>46</v>
      </c>
      <c r="C62" s="43" t="s">
        <v>47</v>
      </c>
      <c r="D62" s="44" t="s">
        <v>78</v>
      </c>
      <c r="E62" s="18">
        <v>132550</v>
      </c>
      <c r="F62" s="18">
        <v>132481</v>
      </c>
      <c r="G62" s="18">
        <v>132452</v>
      </c>
      <c r="H62" s="18">
        <v>132351</v>
      </c>
      <c r="I62" s="18">
        <v>132227</v>
      </c>
      <c r="J62" s="18">
        <v>132132</v>
      </c>
      <c r="K62" s="18">
        <v>132233</v>
      </c>
      <c r="L62" s="18">
        <v>132638</v>
      </c>
      <c r="M62" s="18">
        <v>132775</v>
      </c>
      <c r="N62" s="18">
        <v>132984</v>
      </c>
      <c r="O62" s="18">
        <v>133302</v>
      </c>
      <c r="P62" s="18">
        <v>133761</v>
      </c>
      <c r="Q62" s="18">
        <f>SUM(E62:P62)</f>
        <v>1591886</v>
      </c>
    </row>
    <row r="63" spans="2:17">
      <c r="B63" s="13" t="s">
        <v>48</v>
      </c>
      <c r="C63" s="43" t="s">
        <v>49</v>
      </c>
      <c r="D63" s="44" t="s">
        <v>78</v>
      </c>
      <c r="E63" s="18">
        <v>11894</v>
      </c>
      <c r="F63" s="18">
        <v>11896</v>
      </c>
      <c r="G63" s="18">
        <v>11894</v>
      </c>
      <c r="H63" s="18">
        <v>11927</v>
      </c>
      <c r="I63" s="18">
        <v>11895</v>
      </c>
      <c r="J63" s="18">
        <v>11899</v>
      </c>
      <c r="K63" s="18">
        <v>11900</v>
      </c>
      <c r="L63" s="18">
        <v>11900</v>
      </c>
      <c r="M63" s="18">
        <v>11901</v>
      </c>
      <c r="N63" s="18">
        <v>11881</v>
      </c>
      <c r="O63" s="18">
        <v>11924</v>
      </c>
      <c r="P63" s="18">
        <v>11965</v>
      </c>
      <c r="Q63" s="18">
        <f>SUM(E63:P63)</f>
        <v>142876</v>
      </c>
    </row>
    <row r="64" spans="2:17">
      <c r="B64" s="13" t="s">
        <v>50</v>
      </c>
      <c r="C64" s="43" t="s">
        <v>51</v>
      </c>
      <c r="D64" s="44" t="s">
        <v>78</v>
      </c>
      <c r="E64" s="18">
        <v>88</v>
      </c>
      <c r="F64" s="18">
        <v>85</v>
      </c>
      <c r="G64" s="18">
        <v>83</v>
      </c>
      <c r="H64" s="18">
        <v>85</v>
      </c>
      <c r="I64" s="18">
        <v>83</v>
      </c>
      <c r="J64" s="18">
        <v>85</v>
      </c>
      <c r="K64" s="18">
        <v>84</v>
      </c>
      <c r="L64" s="18">
        <v>84</v>
      </c>
      <c r="M64" s="18">
        <v>85</v>
      </c>
      <c r="N64" s="18">
        <v>84</v>
      </c>
      <c r="O64" s="18">
        <v>84</v>
      </c>
      <c r="P64" s="18">
        <v>83</v>
      </c>
      <c r="Q64" s="18">
        <f>SUM(E64:P64)</f>
        <v>1013</v>
      </c>
    </row>
    <row r="65" spans="1:17">
      <c r="B65" s="13" t="s">
        <v>52</v>
      </c>
      <c r="C65" s="43" t="s">
        <v>53</v>
      </c>
      <c r="D65" s="44" t="s">
        <v>78</v>
      </c>
      <c r="E65" s="18">
        <v>26</v>
      </c>
      <c r="F65" s="18">
        <v>27</v>
      </c>
      <c r="G65" s="18">
        <v>27</v>
      </c>
      <c r="H65" s="18">
        <v>27</v>
      </c>
      <c r="I65" s="18">
        <v>27</v>
      </c>
      <c r="J65" s="18">
        <v>27</v>
      </c>
      <c r="K65" s="18">
        <v>27</v>
      </c>
      <c r="L65" s="18">
        <v>27</v>
      </c>
      <c r="M65" s="18">
        <v>27</v>
      </c>
      <c r="N65" s="18">
        <v>27</v>
      </c>
      <c r="O65" s="18">
        <v>28</v>
      </c>
      <c r="P65" s="18">
        <v>28</v>
      </c>
      <c r="Q65" s="18">
        <f>SUM(E65:P65)</f>
        <v>325</v>
      </c>
    </row>
    <row r="66" spans="1:17">
      <c r="B66" s="13" t="s">
        <v>43</v>
      </c>
      <c r="D66" s="44"/>
      <c r="E66" s="20">
        <f>SUM(E62:E65)</f>
        <v>144558</v>
      </c>
      <c r="F66" s="20">
        <f>SUM(F62:F65)</f>
        <v>144489</v>
      </c>
      <c r="G66" s="20">
        <f>SUM(G62:G65)</f>
        <v>144456</v>
      </c>
      <c r="H66" s="20">
        <f>SUM(H62:H65)</f>
        <v>144390</v>
      </c>
      <c r="I66" s="20">
        <f t="shared" ref="I66:Q66" si="10">SUM(I62:I65)</f>
        <v>144232</v>
      </c>
      <c r="J66" s="20">
        <f t="shared" si="10"/>
        <v>144143</v>
      </c>
      <c r="K66" s="20">
        <f t="shared" si="10"/>
        <v>144244</v>
      </c>
      <c r="L66" s="20">
        <f t="shared" si="10"/>
        <v>144649</v>
      </c>
      <c r="M66" s="20">
        <f t="shared" si="10"/>
        <v>144788</v>
      </c>
      <c r="N66" s="20">
        <f t="shared" si="10"/>
        <v>144976</v>
      </c>
      <c r="O66" s="20">
        <f t="shared" si="10"/>
        <v>145338</v>
      </c>
      <c r="P66" s="20">
        <f t="shared" si="10"/>
        <v>145837</v>
      </c>
      <c r="Q66" s="20">
        <f t="shared" si="10"/>
        <v>1736100</v>
      </c>
    </row>
    <row r="68" spans="1:17">
      <c r="B68" s="14" t="s">
        <v>42</v>
      </c>
      <c r="E68" s="40"/>
    </row>
    <row r="69" spans="1:17">
      <c r="B69" s="45"/>
      <c r="E69" s="41">
        <v>40148</v>
      </c>
      <c r="F69" s="41">
        <v>40179</v>
      </c>
      <c r="G69" s="41">
        <v>40210</v>
      </c>
      <c r="H69" s="41">
        <v>40238</v>
      </c>
      <c r="I69" s="41">
        <v>40269</v>
      </c>
      <c r="J69" s="41">
        <v>40299</v>
      </c>
      <c r="K69" s="41">
        <v>40330</v>
      </c>
      <c r="L69" s="41">
        <v>40360</v>
      </c>
      <c r="M69" s="41">
        <v>40391</v>
      </c>
      <c r="N69" s="41">
        <v>40422</v>
      </c>
      <c r="O69" s="41">
        <v>40452</v>
      </c>
      <c r="P69" s="41">
        <v>40483</v>
      </c>
      <c r="Q69" s="41">
        <v>40513</v>
      </c>
    </row>
    <row r="70" spans="1:17">
      <c r="B70" s="46"/>
      <c r="C70" s="46"/>
      <c r="D70" s="46"/>
      <c r="E70" s="47"/>
      <c r="F70" s="48"/>
      <c r="G70" s="47"/>
      <c r="H70" s="46"/>
      <c r="I70" s="47"/>
      <c r="J70" s="48"/>
      <c r="K70" s="47"/>
      <c r="L70" s="47"/>
      <c r="M70" s="47"/>
      <c r="N70" s="47"/>
      <c r="O70" s="47"/>
      <c r="P70" s="47"/>
      <c r="Q70" s="47"/>
    </row>
    <row r="71" spans="1:17">
      <c r="B71" s="46"/>
      <c r="C71" s="46"/>
      <c r="D71" s="49" t="s">
        <v>79</v>
      </c>
      <c r="E71" s="50">
        <v>17350672</v>
      </c>
      <c r="F71" s="50">
        <v>13817871</v>
      </c>
      <c r="G71" s="50">
        <v>11521757</v>
      </c>
      <c r="H71" s="50">
        <v>9744690</v>
      </c>
      <c r="I71" s="50">
        <v>6713208</v>
      </c>
      <c r="J71" s="50">
        <v>4487622</v>
      </c>
      <c r="K71" s="50">
        <v>2796588</v>
      </c>
      <c r="L71" s="50">
        <v>1968283</v>
      </c>
      <c r="M71" s="50">
        <v>1872445</v>
      </c>
      <c r="N71" s="50">
        <v>2236801</v>
      </c>
      <c r="O71" s="50">
        <v>5232198</v>
      </c>
      <c r="P71" s="50">
        <v>12739525</v>
      </c>
      <c r="Q71" s="50">
        <v>14293952</v>
      </c>
    </row>
    <row r="72" spans="1:17">
      <c r="B72" s="46"/>
      <c r="C72" s="46"/>
      <c r="D72" s="46"/>
      <c r="E72" s="51"/>
      <c r="F72" s="51"/>
      <c r="G72" s="51"/>
      <c r="H72" s="51"/>
      <c r="I72" s="51"/>
      <c r="J72" s="51"/>
      <c r="K72" s="51"/>
      <c r="L72" s="51"/>
      <c r="M72" s="51"/>
      <c r="N72" s="51"/>
      <c r="O72" s="51"/>
      <c r="P72" s="51"/>
      <c r="Q72" s="51"/>
    </row>
    <row r="73" spans="1:17">
      <c r="B73" s="46"/>
      <c r="C73" s="46"/>
      <c r="D73" s="46"/>
      <c r="E73" s="51"/>
      <c r="F73" s="51"/>
      <c r="G73" s="51"/>
      <c r="H73" s="51"/>
      <c r="I73" s="51"/>
      <c r="J73" s="51"/>
      <c r="K73" s="51"/>
      <c r="L73" s="51"/>
      <c r="M73" s="51"/>
      <c r="N73" s="51"/>
      <c r="O73" s="51"/>
      <c r="P73" s="51"/>
      <c r="Q73" s="51"/>
    </row>
    <row r="74" spans="1:17">
      <c r="B74" s="46"/>
      <c r="C74" s="52"/>
      <c r="D74" s="53"/>
      <c r="E74" s="54"/>
      <c r="F74" s="54"/>
      <c r="G74" s="54"/>
      <c r="H74" s="54"/>
      <c r="I74" s="54"/>
      <c r="J74" s="54"/>
      <c r="K74" s="54"/>
      <c r="L74" s="54"/>
      <c r="M74" s="54"/>
      <c r="N74" s="54"/>
      <c r="O74" s="54"/>
      <c r="P74" s="54"/>
      <c r="Q74" s="54"/>
    </row>
    <row r="75" spans="1:17">
      <c r="B75" s="46"/>
      <c r="C75" s="52"/>
      <c r="D75" s="53"/>
      <c r="E75" s="54"/>
      <c r="F75" s="54"/>
      <c r="G75" s="54"/>
      <c r="H75" s="54"/>
      <c r="I75" s="54"/>
      <c r="J75" s="54"/>
      <c r="K75" s="54"/>
      <c r="L75" s="54"/>
      <c r="M75" s="54"/>
      <c r="N75" s="54"/>
      <c r="O75" s="54"/>
      <c r="P75" s="54"/>
      <c r="Q75" s="54"/>
    </row>
    <row r="76" spans="1:17">
      <c r="A76" s="13" t="s">
        <v>99</v>
      </c>
      <c r="B76" s="46"/>
      <c r="C76" s="52"/>
      <c r="D76" s="53"/>
      <c r="E76" s="54"/>
      <c r="F76" s="54"/>
      <c r="G76" s="54"/>
      <c r="H76" s="54"/>
      <c r="I76" s="54"/>
      <c r="J76" s="54"/>
      <c r="K76" s="54"/>
      <c r="L76" s="54"/>
      <c r="M76" s="54"/>
      <c r="N76" s="54"/>
      <c r="O76" s="54"/>
      <c r="P76" s="54"/>
      <c r="Q76" s="54"/>
    </row>
    <row r="77" spans="1:17">
      <c r="A77" s="13" t="s">
        <v>100</v>
      </c>
      <c r="B77" s="46"/>
      <c r="C77" s="46"/>
      <c r="D77" s="55"/>
      <c r="E77" s="51"/>
      <c r="F77" s="51"/>
      <c r="G77" s="51"/>
      <c r="H77" s="51"/>
      <c r="I77" s="51"/>
      <c r="J77" s="51"/>
      <c r="K77" s="51"/>
      <c r="L77" s="51"/>
      <c r="M77" s="51"/>
      <c r="N77" s="51"/>
      <c r="O77" s="51"/>
      <c r="P77" s="51"/>
      <c r="Q77" s="51"/>
    </row>
    <row r="78" spans="1:17">
      <c r="A78" s="13" t="s">
        <v>101</v>
      </c>
      <c r="B78" s="56"/>
      <c r="C78" s="57"/>
      <c r="D78" s="53"/>
      <c r="E78" s="51"/>
      <c r="F78" s="51"/>
      <c r="G78" s="51"/>
      <c r="H78" s="51"/>
      <c r="I78" s="51"/>
      <c r="J78" s="51"/>
      <c r="K78" s="51"/>
      <c r="L78" s="51"/>
      <c r="M78" s="51"/>
      <c r="N78" s="51"/>
      <c r="O78" s="51"/>
      <c r="P78" s="51"/>
      <c r="Q78" s="51"/>
    </row>
    <row r="79" spans="1:17">
      <c r="A79" s="13" t="s">
        <v>102</v>
      </c>
      <c r="B79" s="46"/>
      <c r="C79" s="46"/>
      <c r="D79" s="46"/>
      <c r="E79" s="40"/>
      <c r="F79" s="40"/>
      <c r="G79" s="40"/>
      <c r="H79" s="40"/>
      <c r="I79" s="40"/>
      <c r="J79" s="40"/>
      <c r="K79" s="40"/>
      <c r="L79" s="40"/>
      <c r="M79" s="40"/>
      <c r="N79" s="40"/>
      <c r="O79" s="40"/>
      <c r="P79" s="40"/>
      <c r="Q79" s="40"/>
    </row>
    <row r="80" spans="1:17">
      <c r="B80" s="46"/>
      <c r="C80" s="46"/>
      <c r="D80" s="46"/>
      <c r="E80" s="40"/>
      <c r="F80" s="40"/>
      <c r="G80" s="40"/>
      <c r="H80" s="40"/>
      <c r="I80" s="40"/>
      <c r="J80" s="40"/>
      <c r="K80" s="40"/>
      <c r="L80" s="40"/>
      <c r="M80" s="40"/>
      <c r="N80" s="40"/>
      <c r="O80" s="40"/>
      <c r="P80" s="40"/>
      <c r="Q80" s="40"/>
    </row>
    <row r="81" spans="2:17">
      <c r="B81" s="46"/>
      <c r="C81" s="46"/>
      <c r="D81" s="46"/>
      <c r="E81" s="40"/>
      <c r="F81" s="40"/>
      <c r="G81" s="40"/>
      <c r="H81" s="40"/>
      <c r="I81" s="40"/>
      <c r="J81" s="40"/>
      <c r="K81" s="40"/>
      <c r="L81" s="40"/>
      <c r="M81" s="40"/>
      <c r="N81" s="40"/>
      <c r="O81" s="40"/>
      <c r="P81" s="40"/>
      <c r="Q81" s="40"/>
    </row>
    <row r="82" spans="2:17">
      <c r="B82" s="46"/>
      <c r="C82" s="46"/>
      <c r="D82" s="46"/>
      <c r="E82" s="40"/>
      <c r="F82" s="40"/>
      <c r="G82" s="40"/>
      <c r="H82" s="40"/>
      <c r="I82" s="40"/>
      <c r="J82" s="40"/>
      <c r="K82" s="40"/>
      <c r="L82" s="40"/>
      <c r="M82" s="40"/>
      <c r="N82" s="40"/>
      <c r="O82" s="40"/>
      <c r="P82" s="40"/>
      <c r="Q82" s="40"/>
    </row>
    <row r="83" spans="2:17">
      <c r="B83" s="46"/>
      <c r="C83" s="46"/>
      <c r="D83" s="46"/>
      <c r="E83" s="46"/>
      <c r="F83" s="46"/>
      <c r="G83" s="46"/>
      <c r="H83" s="46"/>
      <c r="I83" s="46"/>
      <c r="J83" s="46"/>
      <c r="K83" s="46"/>
      <c r="L83" s="46"/>
      <c r="M83" s="46"/>
      <c r="N83" s="46"/>
      <c r="O83" s="46"/>
      <c r="P83" s="46"/>
      <c r="Q83" s="46"/>
    </row>
    <row r="84" spans="2:17">
      <c r="B84" s="46"/>
      <c r="C84" s="46"/>
      <c r="D84" s="46"/>
      <c r="E84" s="21"/>
      <c r="F84" s="46"/>
      <c r="G84" s="46"/>
      <c r="H84" s="46"/>
      <c r="I84" s="46"/>
      <c r="J84" s="46"/>
      <c r="K84" s="46"/>
      <c r="L84" s="46"/>
      <c r="M84" s="46"/>
      <c r="N84" s="46"/>
      <c r="O84" s="46"/>
      <c r="P84" s="46"/>
      <c r="Q84" s="21"/>
    </row>
    <row r="85" spans="2:17">
      <c r="B85" s="46"/>
      <c r="C85" s="46"/>
      <c r="D85" s="46"/>
      <c r="E85" s="58"/>
      <c r="F85" s="46"/>
      <c r="G85" s="46"/>
      <c r="H85" s="46"/>
      <c r="I85" s="46"/>
      <c r="J85" s="46"/>
      <c r="K85" s="46"/>
      <c r="L85" s="46"/>
      <c r="M85" s="46"/>
      <c r="N85" s="46"/>
      <c r="O85" s="46"/>
      <c r="P85" s="46"/>
      <c r="Q85" s="58"/>
    </row>
    <row r="86" spans="2:17">
      <c r="B86" s="46"/>
      <c r="C86" s="46"/>
      <c r="D86" s="46"/>
      <c r="E86" s="46"/>
      <c r="F86" s="46"/>
      <c r="G86" s="46"/>
      <c r="H86" s="46"/>
      <c r="I86" s="46"/>
      <c r="J86" s="46"/>
      <c r="K86" s="46"/>
      <c r="L86" s="46"/>
      <c r="M86" s="46"/>
      <c r="N86" s="46"/>
      <c r="O86" s="46"/>
      <c r="P86" s="46"/>
      <c r="Q86" s="46"/>
    </row>
  </sheetData>
  <customSheetViews>
    <customSheetView guid="{A6955850-675F-4B7A-99D7-C52DA0B2D2D6}">
      <selection activeCell="A32" sqref="A32"/>
      <rowBreaks count="1" manualBreakCount="1">
        <brk id="35" max="16383" man="1"/>
      </rowBreaks>
      <pageMargins left="0.25" right="0.25" top="0.25" bottom="0.25" header="0.5" footer="0.5"/>
      <printOptions horizontalCentered="1" verticalCentered="1"/>
      <pageSetup scale="65" orientation="landscape" r:id="rId1"/>
      <headerFooter scaleWithDoc="0" alignWithMargins="0">
        <oddHeader>&amp;CAVISTA UTILITIES&amp;RAPPENDIX 3</oddHeader>
        <oddFooter>&amp;RPage &amp;P of &amp;N</oddFooter>
      </headerFooter>
    </customSheetView>
  </customSheetViews>
  <mergeCells count="4">
    <mergeCell ref="A4:Q4"/>
    <mergeCell ref="A5:Q5"/>
    <mergeCell ref="A36:Q36"/>
    <mergeCell ref="A37:Q37"/>
  </mergeCells>
  <printOptions horizontalCentered="1" verticalCentered="1"/>
  <pageMargins left="0.25" right="0.25" top="0.25" bottom="0.25" header="0.5" footer="0.5"/>
  <pageSetup scale="65" orientation="landscape" r:id="rId2"/>
  <headerFooter scaleWithDoc="0" alignWithMargins="0">
    <oddHeader>&amp;CAVISTA UTILITIES&amp;RAPPENDIX 3</oddHeader>
    <oddFooter>&amp;RPage &amp;P of &amp;N</oddFoot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dimension ref="A1:T138"/>
  <sheetViews>
    <sheetView tabSelected="1" view="pageLayout" topLeftCell="A81" zoomScaleNormal="100" workbookViewId="0">
      <selection activeCell="E81" sqref="E81"/>
    </sheetView>
  </sheetViews>
  <sheetFormatPr defaultRowHeight="12.75" outlineLevelRow="1"/>
  <cols>
    <col min="1" max="1" width="18.7109375" style="1" customWidth="1"/>
    <col min="2" max="2" width="12.28515625" style="1" customWidth="1"/>
    <col min="3" max="3" width="10.28515625" style="1" customWidth="1"/>
    <col min="4" max="5" width="12.7109375" style="1" customWidth="1"/>
    <col min="6" max="6" width="13" style="1" customWidth="1"/>
    <col min="7" max="9" width="13" style="1" bestFit="1" customWidth="1"/>
    <col min="10" max="10" width="13.85546875" style="1" bestFit="1" customWidth="1"/>
    <col min="11" max="11" width="13" style="1" bestFit="1" customWidth="1"/>
    <col min="12" max="12" width="12.85546875" style="1" bestFit="1" customWidth="1"/>
    <col min="13" max="13" width="12" style="1" customWidth="1"/>
    <col min="14" max="14" width="11.5703125" style="1" customWidth="1"/>
    <col min="15" max="15" width="12.140625" style="1" customWidth="1"/>
    <col min="16" max="16" width="14.42578125" style="1" customWidth="1"/>
    <col min="17" max="17" width="14" style="1" bestFit="1" customWidth="1"/>
    <col min="18" max="18" width="12" style="1" customWidth="1"/>
    <col min="19" max="16384" width="9.140625" style="1"/>
  </cols>
  <sheetData>
    <row r="1" spans="1:17">
      <c r="A1" s="212" t="s">
        <v>0</v>
      </c>
      <c r="B1" s="212"/>
      <c r="C1" s="212"/>
      <c r="D1" s="212"/>
      <c r="E1" s="212"/>
      <c r="F1" s="212"/>
      <c r="G1" s="212"/>
      <c r="H1" s="212"/>
      <c r="I1" s="212"/>
      <c r="J1" s="212"/>
      <c r="K1" s="212"/>
      <c r="L1" s="212"/>
      <c r="M1" s="212"/>
      <c r="N1" s="212"/>
      <c r="O1" s="212"/>
      <c r="P1" s="212"/>
    </row>
    <row r="2" spans="1:17">
      <c r="A2" s="212" t="s">
        <v>1</v>
      </c>
      <c r="B2" s="212"/>
      <c r="C2" s="212"/>
      <c r="D2" s="212"/>
      <c r="E2" s="212"/>
      <c r="F2" s="212"/>
      <c r="G2" s="212"/>
      <c r="H2" s="212"/>
      <c r="I2" s="212"/>
      <c r="J2" s="212"/>
      <c r="K2" s="212"/>
      <c r="L2" s="212"/>
      <c r="M2" s="212"/>
      <c r="N2" s="212"/>
      <c r="O2" s="212"/>
      <c r="P2" s="212"/>
    </row>
    <row r="3" spans="1:17">
      <c r="A3" s="212" t="s">
        <v>2</v>
      </c>
      <c r="B3" s="212"/>
      <c r="C3" s="212"/>
      <c r="D3" s="212"/>
      <c r="E3" s="212"/>
      <c r="F3" s="212"/>
      <c r="G3" s="212"/>
      <c r="H3" s="212"/>
      <c r="I3" s="212"/>
      <c r="J3" s="212"/>
      <c r="K3" s="212"/>
      <c r="L3" s="212"/>
      <c r="M3" s="212"/>
      <c r="N3" s="212"/>
      <c r="O3" s="212"/>
      <c r="P3" s="212"/>
    </row>
    <row r="4" spans="1:17">
      <c r="A4" s="212" t="s">
        <v>132</v>
      </c>
      <c r="B4" s="212"/>
      <c r="C4" s="212"/>
      <c r="D4" s="212"/>
      <c r="E4" s="212"/>
      <c r="F4" s="212"/>
      <c r="G4" s="212"/>
      <c r="H4" s="212"/>
      <c r="I4" s="212"/>
      <c r="J4" s="212"/>
      <c r="K4" s="212"/>
      <c r="L4" s="212"/>
      <c r="M4" s="212"/>
      <c r="N4" s="212"/>
      <c r="O4" s="212"/>
      <c r="P4" s="212"/>
    </row>
    <row r="5" spans="1:17">
      <c r="A5" s="212" t="s">
        <v>133</v>
      </c>
      <c r="B5" s="212"/>
      <c r="C5" s="212"/>
      <c r="D5" s="212"/>
      <c r="E5" s="212"/>
      <c r="F5" s="212"/>
      <c r="G5" s="212"/>
      <c r="H5" s="212"/>
      <c r="I5" s="212"/>
      <c r="J5" s="212"/>
      <c r="K5" s="212"/>
      <c r="L5" s="212"/>
      <c r="M5" s="212"/>
      <c r="N5" s="212"/>
      <c r="O5" s="212"/>
      <c r="P5" s="212"/>
    </row>
    <row r="6" spans="1:17">
      <c r="A6" s="212" t="s">
        <v>3</v>
      </c>
      <c r="B6" s="212"/>
      <c r="C6" s="212"/>
      <c r="D6" s="212"/>
      <c r="E6" s="212"/>
      <c r="F6" s="212"/>
      <c r="G6" s="212"/>
      <c r="H6" s="212"/>
      <c r="I6" s="212"/>
      <c r="J6" s="212"/>
      <c r="K6" s="212"/>
      <c r="L6" s="212"/>
      <c r="M6" s="212"/>
      <c r="N6" s="212"/>
      <c r="O6" s="212"/>
      <c r="P6" s="212"/>
    </row>
    <row r="7" spans="1:17">
      <c r="A7" s="212" t="s">
        <v>127</v>
      </c>
      <c r="B7" s="212"/>
      <c r="C7" s="212"/>
      <c r="D7" s="212"/>
      <c r="E7" s="212"/>
      <c r="F7" s="212"/>
      <c r="G7" s="212"/>
      <c r="H7" s="212"/>
      <c r="I7" s="212"/>
      <c r="J7" s="212"/>
      <c r="K7" s="212"/>
      <c r="L7" s="212"/>
      <c r="M7" s="212"/>
      <c r="N7" s="212"/>
      <c r="O7" s="212"/>
      <c r="P7" s="212"/>
    </row>
    <row r="8" spans="1:17">
      <c r="A8" s="12"/>
      <c r="B8" s="23"/>
      <c r="C8" s="23"/>
      <c r="D8" s="23"/>
      <c r="E8" s="23"/>
      <c r="F8" s="23"/>
      <c r="G8" s="23"/>
      <c r="H8" s="23"/>
      <c r="I8" s="23"/>
      <c r="J8" s="48"/>
      <c r="K8" s="23"/>
      <c r="L8" s="23"/>
      <c r="M8" s="23"/>
      <c r="N8" s="23"/>
      <c r="O8" s="23"/>
      <c r="P8" s="23"/>
    </row>
    <row r="9" spans="1:17">
      <c r="A9" s="12"/>
      <c r="B9" s="23"/>
      <c r="C9" s="23"/>
      <c r="D9" s="23"/>
      <c r="E9" s="23"/>
      <c r="F9" s="23"/>
      <c r="G9" s="23"/>
      <c r="H9" s="23"/>
      <c r="I9" s="48"/>
      <c r="J9" s="48"/>
      <c r="K9" s="23"/>
      <c r="L9" s="23"/>
      <c r="M9" s="23"/>
      <c r="N9" s="23"/>
      <c r="O9" s="23"/>
      <c r="P9" s="23"/>
    </row>
    <row r="10" spans="1:17">
      <c r="A10" s="23"/>
      <c r="B10" s="23"/>
      <c r="C10" s="23"/>
      <c r="D10" s="97">
        <v>2012</v>
      </c>
      <c r="E10" s="97">
        <v>2012</v>
      </c>
      <c r="F10" s="97">
        <v>2012</v>
      </c>
      <c r="G10" s="97">
        <v>2012</v>
      </c>
      <c r="H10" s="97">
        <v>2012</v>
      </c>
      <c r="I10" s="98">
        <v>2012</v>
      </c>
      <c r="J10" s="136">
        <v>2013</v>
      </c>
      <c r="K10" s="98">
        <v>2013</v>
      </c>
      <c r="L10" s="98">
        <v>2013</v>
      </c>
      <c r="M10" s="98">
        <v>2013</v>
      </c>
      <c r="N10" s="98">
        <v>2013</v>
      </c>
      <c r="O10" s="98">
        <v>2013</v>
      </c>
      <c r="P10" s="12" t="s">
        <v>4</v>
      </c>
    </row>
    <row r="11" spans="1:17">
      <c r="A11" s="23"/>
      <c r="B11" s="23"/>
      <c r="C11" s="23"/>
      <c r="D11" s="16" t="s">
        <v>5</v>
      </c>
      <c r="E11" s="16" t="s">
        <v>6</v>
      </c>
      <c r="F11" s="16" t="s">
        <v>7</v>
      </c>
      <c r="G11" s="16" t="s">
        <v>8</v>
      </c>
      <c r="H11" s="16" t="s">
        <v>9</v>
      </c>
      <c r="I11" s="99" t="s">
        <v>10</v>
      </c>
      <c r="J11" s="137" t="s">
        <v>11</v>
      </c>
      <c r="K11" s="16" t="s">
        <v>12</v>
      </c>
      <c r="L11" s="16" t="s">
        <v>13</v>
      </c>
      <c r="M11" s="16" t="s">
        <v>14</v>
      </c>
      <c r="N11" s="16" t="s">
        <v>15</v>
      </c>
      <c r="O11" s="16" t="s">
        <v>16</v>
      </c>
      <c r="P11" s="16" t="s">
        <v>17</v>
      </c>
    </row>
    <row r="12" spans="1:17">
      <c r="A12" s="12" t="s">
        <v>128</v>
      </c>
      <c r="B12" s="12"/>
      <c r="C12" s="23"/>
      <c r="D12" s="23"/>
      <c r="E12" s="23"/>
      <c r="F12" s="23"/>
      <c r="G12" s="23"/>
      <c r="H12" s="23"/>
      <c r="I12" s="48"/>
      <c r="J12" s="138"/>
      <c r="K12" s="23"/>
      <c r="L12" s="23"/>
      <c r="M12" s="23"/>
      <c r="N12" s="23"/>
      <c r="O12" s="23"/>
      <c r="P12" s="23"/>
    </row>
    <row r="13" spans="1:17">
      <c r="A13" s="14" t="s">
        <v>18</v>
      </c>
      <c r="B13" s="23"/>
      <c r="C13" s="23"/>
      <c r="D13" s="100"/>
      <c r="E13" s="100"/>
      <c r="F13" s="100"/>
      <c r="G13" s="96"/>
      <c r="H13" s="96"/>
      <c r="I13" s="101"/>
      <c r="J13" s="139"/>
      <c r="K13" s="96"/>
      <c r="L13" s="96"/>
      <c r="M13" s="96"/>
      <c r="N13" s="96"/>
      <c r="O13" s="96"/>
      <c r="P13" s="23"/>
    </row>
    <row r="14" spans="1:17">
      <c r="A14" s="23" t="s">
        <v>19</v>
      </c>
      <c r="B14" s="23"/>
      <c r="C14" s="23"/>
      <c r="D14" s="4">
        <v>2891517</v>
      </c>
      <c r="E14" s="4">
        <v>1968467</v>
      </c>
      <c r="F14" s="4">
        <v>2118366</v>
      </c>
      <c r="G14" s="4">
        <v>3134468</v>
      </c>
      <c r="H14" s="4">
        <v>8101674</v>
      </c>
      <c r="I14" s="5">
        <v>14671902</v>
      </c>
      <c r="J14" s="140"/>
      <c r="K14" s="4"/>
      <c r="L14" s="4"/>
      <c r="M14" s="4"/>
      <c r="N14" s="4"/>
      <c r="O14" s="4"/>
      <c r="P14" s="64">
        <f>SUM(D14:O14)</f>
        <v>32886394</v>
      </c>
    </row>
    <row r="15" spans="1:17">
      <c r="A15" s="65" t="s">
        <v>20</v>
      </c>
      <c r="B15" s="23"/>
      <c r="C15" s="23"/>
      <c r="D15" s="4">
        <v>-45841</v>
      </c>
      <c r="E15" s="4">
        <v>-26926</v>
      </c>
      <c r="F15" s="4">
        <v>-31301</v>
      </c>
      <c r="G15" s="4">
        <v>-52994</v>
      </c>
      <c r="H15" s="4">
        <v>-155626</v>
      </c>
      <c r="I15" s="4">
        <v>-299967</v>
      </c>
      <c r="J15" s="139"/>
      <c r="K15" s="96"/>
      <c r="L15" s="96"/>
      <c r="M15" s="96"/>
      <c r="N15" s="96"/>
      <c r="O15" s="96"/>
      <c r="P15" s="64">
        <f>SUM(D15:O15)</f>
        <v>-612655</v>
      </c>
      <c r="Q15" s="6"/>
    </row>
    <row r="16" spans="1:17">
      <c r="A16" s="65" t="s">
        <v>21</v>
      </c>
      <c r="B16" s="23"/>
      <c r="C16" s="23"/>
      <c r="D16" s="4">
        <v>67880</v>
      </c>
      <c r="E16" s="4">
        <v>59359</v>
      </c>
      <c r="F16" s="4">
        <v>54444</v>
      </c>
      <c r="G16" s="4">
        <v>65006</v>
      </c>
      <c r="H16" s="4">
        <v>98180</v>
      </c>
      <c r="I16" s="4">
        <v>150986</v>
      </c>
      <c r="J16" s="140"/>
      <c r="K16" s="4"/>
      <c r="L16" s="4"/>
      <c r="M16" s="4"/>
      <c r="N16" s="4"/>
      <c r="O16" s="4"/>
      <c r="P16" s="64">
        <f>SUM(D16:O16)</f>
        <v>495855</v>
      </c>
      <c r="Q16" s="6"/>
    </row>
    <row r="17" spans="1:17">
      <c r="A17" s="23" t="s">
        <v>22</v>
      </c>
      <c r="B17" s="23"/>
      <c r="C17" s="23"/>
      <c r="D17" s="100">
        <f t="shared" ref="D17:I17" si="0">-D74</f>
        <v>-2262676</v>
      </c>
      <c r="E17" s="100">
        <f t="shared" si="0"/>
        <v>-1531667</v>
      </c>
      <c r="F17" s="100">
        <f t="shared" si="0"/>
        <v>-1559475</v>
      </c>
      <c r="G17" s="100">
        <f t="shared" si="0"/>
        <v>-1754476</v>
      </c>
      <c r="H17" s="100">
        <f t="shared" si="0"/>
        <v>-5155795</v>
      </c>
      <c r="I17" s="100">
        <f t="shared" si="0"/>
        <v>-9689477</v>
      </c>
      <c r="J17" s="141"/>
      <c r="K17" s="100"/>
      <c r="L17" s="100"/>
      <c r="M17" s="100"/>
      <c r="N17" s="100"/>
      <c r="O17" s="100"/>
      <c r="P17" s="130">
        <f>SUM(D17:F17)</f>
        <v>-5353818</v>
      </c>
      <c r="Q17" s="6"/>
    </row>
    <row r="18" spans="1:17">
      <c r="A18" s="23" t="s">
        <v>23</v>
      </c>
      <c r="B18" s="23"/>
      <c r="C18" s="23"/>
      <c r="D18" s="100">
        <f t="shared" ref="D18:I18" si="1">E74</f>
        <v>1531667</v>
      </c>
      <c r="E18" s="100">
        <f t="shared" si="1"/>
        <v>1559475</v>
      </c>
      <c r="F18" s="100">
        <f t="shared" si="1"/>
        <v>1754476</v>
      </c>
      <c r="G18" s="100">
        <f t="shared" si="1"/>
        <v>5155795</v>
      </c>
      <c r="H18" s="100">
        <f t="shared" si="1"/>
        <v>9689477</v>
      </c>
      <c r="I18" s="100">
        <f t="shared" si="1"/>
        <v>13047089</v>
      </c>
      <c r="J18" s="141"/>
      <c r="K18" s="100"/>
      <c r="L18" s="100"/>
      <c r="M18" s="100"/>
      <c r="N18" s="100"/>
      <c r="O18" s="100"/>
      <c r="P18" s="64">
        <f>SUM(D18:O18)</f>
        <v>32737979</v>
      </c>
      <c r="Q18" s="6"/>
    </row>
    <row r="19" spans="1:17">
      <c r="A19" s="23" t="s">
        <v>24</v>
      </c>
      <c r="B19" s="23"/>
      <c r="C19" s="23"/>
      <c r="D19" s="100">
        <f t="shared" ref="D19:I19" si="2">J57</f>
        <v>0</v>
      </c>
      <c r="E19" s="100">
        <f t="shared" si="2"/>
        <v>0</v>
      </c>
      <c r="F19" s="100">
        <f t="shared" si="2"/>
        <v>0</v>
      </c>
      <c r="G19" s="100">
        <f t="shared" si="2"/>
        <v>686288</v>
      </c>
      <c r="H19" s="100">
        <f t="shared" si="2"/>
        <v>1610719</v>
      </c>
      <c r="I19" s="100">
        <f t="shared" si="2"/>
        <v>2223188</v>
      </c>
      <c r="J19" s="139"/>
      <c r="K19" s="101"/>
      <c r="L19" s="101"/>
      <c r="M19" s="101"/>
      <c r="N19" s="101"/>
      <c r="O19" s="101"/>
      <c r="P19" s="64">
        <f>SUM(D19:O19)</f>
        <v>4520195</v>
      </c>
      <c r="Q19" s="3"/>
    </row>
    <row r="20" spans="1:17">
      <c r="A20" s="23" t="s">
        <v>25</v>
      </c>
      <c r="B20" s="23"/>
      <c r="C20" s="23"/>
      <c r="D20" s="102">
        <f t="shared" ref="D20:P20" si="3">SUM(D14:D19)</f>
        <v>2182547</v>
      </c>
      <c r="E20" s="102">
        <f t="shared" si="3"/>
        <v>2028708</v>
      </c>
      <c r="F20" s="102">
        <f t="shared" si="3"/>
        <v>2336510</v>
      </c>
      <c r="G20" s="102">
        <f t="shared" si="3"/>
        <v>7234087</v>
      </c>
      <c r="H20" s="102">
        <f t="shared" si="3"/>
        <v>14188629</v>
      </c>
      <c r="I20" s="102">
        <f t="shared" si="3"/>
        <v>20103721</v>
      </c>
      <c r="J20" s="142">
        <f t="shared" si="3"/>
        <v>0</v>
      </c>
      <c r="K20" s="102">
        <f t="shared" si="3"/>
        <v>0</v>
      </c>
      <c r="L20" s="102">
        <f t="shared" si="3"/>
        <v>0</v>
      </c>
      <c r="M20" s="102">
        <f t="shared" si="3"/>
        <v>0</v>
      </c>
      <c r="N20" s="102">
        <f t="shared" si="3"/>
        <v>0</v>
      </c>
      <c r="O20" s="102">
        <f t="shared" si="3"/>
        <v>0</v>
      </c>
      <c r="P20" s="102">
        <f t="shared" si="3"/>
        <v>64673950</v>
      </c>
      <c r="Q20" s="3"/>
    </row>
    <row r="21" spans="1:17">
      <c r="A21" s="23"/>
      <c r="B21" s="23"/>
      <c r="C21" s="23"/>
      <c r="D21" s="103"/>
      <c r="E21" s="103"/>
      <c r="F21" s="103"/>
      <c r="G21" s="103"/>
      <c r="H21" s="103"/>
      <c r="I21" s="103"/>
      <c r="J21" s="143"/>
      <c r="K21" s="103"/>
      <c r="L21" s="103"/>
      <c r="M21" s="103"/>
      <c r="N21" s="103"/>
      <c r="O21" s="103"/>
      <c r="P21" s="103"/>
      <c r="Q21" s="3"/>
    </row>
    <row r="22" spans="1:17">
      <c r="A22" s="23" t="s">
        <v>26</v>
      </c>
      <c r="B22" s="23"/>
      <c r="C22" s="23"/>
      <c r="D22" s="103">
        <f t="shared" ref="D22:O22" si="4">D20</f>
        <v>2182547</v>
      </c>
      <c r="E22" s="103">
        <f t="shared" si="4"/>
        <v>2028708</v>
      </c>
      <c r="F22" s="103">
        <f t="shared" si="4"/>
        <v>2336510</v>
      </c>
      <c r="G22" s="103">
        <f t="shared" si="4"/>
        <v>7234087</v>
      </c>
      <c r="H22" s="103">
        <f t="shared" si="4"/>
        <v>14188629</v>
      </c>
      <c r="I22" s="103">
        <f t="shared" si="4"/>
        <v>20103721</v>
      </c>
      <c r="J22" s="143">
        <f t="shared" si="4"/>
        <v>0</v>
      </c>
      <c r="K22" s="103">
        <f t="shared" si="4"/>
        <v>0</v>
      </c>
      <c r="L22" s="103">
        <f t="shared" si="4"/>
        <v>0</v>
      </c>
      <c r="M22" s="103">
        <f t="shared" si="4"/>
        <v>0</v>
      </c>
      <c r="N22" s="103">
        <f t="shared" si="4"/>
        <v>0</v>
      </c>
      <c r="O22" s="103">
        <f t="shared" si="4"/>
        <v>0</v>
      </c>
      <c r="P22" s="130">
        <f>SUM(D22:F22)</f>
        <v>6547765</v>
      </c>
      <c r="Q22" s="3"/>
    </row>
    <row r="23" spans="1:17">
      <c r="A23" s="13" t="s">
        <v>27</v>
      </c>
      <c r="B23" s="13"/>
      <c r="C23" s="13"/>
      <c r="D23" s="104">
        <v>2485506</v>
      </c>
      <c r="E23" s="104">
        <v>2292317</v>
      </c>
      <c r="F23" s="104">
        <v>2800829</v>
      </c>
      <c r="G23" s="104">
        <v>7769516</v>
      </c>
      <c r="H23" s="104">
        <v>14571786</v>
      </c>
      <c r="I23" s="104">
        <v>21490622</v>
      </c>
      <c r="J23" s="144"/>
      <c r="K23" s="104"/>
      <c r="L23" s="104"/>
      <c r="M23" s="104"/>
      <c r="N23" s="104"/>
      <c r="O23" s="104"/>
      <c r="P23" s="130">
        <f>SUM(D23:F23)</f>
        <v>7578652</v>
      </c>
      <c r="Q23" s="3"/>
    </row>
    <row r="24" spans="1:17">
      <c r="A24" s="23" t="s">
        <v>28</v>
      </c>
      <c r="B24" s="23"/>
      <c r="C24" s="13"/>
      <c r="D24" s="20">
        <f t="shared" ref="D24:I24" si="5">D22-D23</f>
        <v>-302959</v>
      </c>
      <c r="E24" s="20">
        <f t="shared" si="5"/>
        <v>-263609</v>
      </c>
      <c r="F24" s="20">
        <f t="shared" si="5"/>
        <v>-464319</v>
      </c>
      <c r="G24" s="20">
        <f t="shared" si="5"/>
        <v>-535429</v>
      </c>
      <c r="H24" s="20">
        <f t="shared" si="5"/>
        <v>-383157</v>
      </c>
      <c r="I24" s="20">
        <f t="shared" si="5"/>
        <v>-1386901</v>
      </c>
      <c r="J24" s="145"/>
      <c r="K24" s="20"/>
      <c r="L24" s="20"/>
      <c r="M24" s="20"/>
      <c r="N24" s="20"/>
      <c r="O24" s="20"/>
      <c r="P24" s="102">
        <f>SUM(D24:O24)</f>
        <v>-3336374</v>
      </c>
    </row>
    <row r="25" spans="1:17">
      <c r="A25" s="23" t="s">
        <v>29</v>
      </c>
      <c r="B25" s="23"/>
      <c r="C25" s="13"/>
      <c r="D25" s="105">
        <v>0.29592000000000002</v>
      </c>
      <c r="E25" s="105">
        <v>0.29592000000000002</v>
      </c>
      <c r="F25" s="105">
        <v>0.29592000000000002</v>
      </c>
      <c r="G25" s="105">
        <v>0.29592000000000002</v>
      </c>
      <c r="H25" s="105">
        <v>0.29592000000000002</v>
      </c>
      <c r="I25" s="105">
        <v>0.29592000000000002</v>
      </c>
      <c r="J25" s="146"/>
      <c r="K25" s="105"/>
      <c r="L25" s="105"/>
      <c r="M25" s="105"/>
      <c r="N25" s="105"/>
      <c r="O25" s="105"/>
      <c r="P25" s="13"/>
    </row>
    <row r="26" spans="1:17">
      <c r="A26" s="12" t="s">
        <v>30</v>
      </c>
      <c r="B26" s="12"/>
      <c r="C26" s="12"/>
      <c r="D26" s="8">
        <f t="shared" ref="D26:O26" si="6">D24*D25</f>
        <v>-89651.627280000001</v>
      </c>
      <c r="E26" s="8">
        <f t="shared" si="6"/>
        <v>-78007.17528000001</v>
      </c>
      <c r="F26" s="9">
        <f t="shared" si="6"/>
        <v>-137401.27848000001</v>
      </c>
      <c r="G26" s="8">
        <f t="shared" si="6"/>
        <v>-158444.14968</v>
      </c>
      <c r="H26" s="8">
        <f t="shared" si="6"/>
        <v>-113383.81944000001</v>
      </c>
      <c r="I26" s="10">
        <f t="shared" si="6"/>
        <v>-410411.74392000004</v>
      </c>
      <c r="J26" s="147">
        <f t="shared" si="6"/>
        <v>0</v>
      </c>
      <c r="K26" s="8">
        <f t="shared" si="6"/>
        <v>0</v>
      </c>
      <c r="L26" s="8">
        <f t="shared" si="6"/>
        <v>0</v>
      </c>
      <c r="M26" s="9">
        <f t="shared" si="6"/>
        <v>0</v>
      </c>
      <c r="N26" s="8">
        <f t="shared" si="6"/>
        <v>0</v>
      </c>
      <c r="O26" s="9">
        <f t="shared" si="6"/>
        <v>0</v>
      </c>
      <c r="P26" s="8">
        <f>SUM(D26:O26)</f>
        <v>-987299.79408000002</v>
      </c>
    </row>
    <row r="27" spans="1:17" s="2" customFormat="1">
      <c r="A27" s="12"/>
      <c r="B27" s="106" t="s">
        <v>31</v>
      </c>
      <c r="C27" s="23"/>
      <c r="D27" s="107">
        <v>0.45</v>
      </c>
      <c r="E27" s="107">
        <v>0.45</v>
      </c>
      <c r="F27" s="107">
        <v>0.45</v>
      </c>
      <c r="G27" s="107">
        <v>0.45</v>
      </c>
      <c r="H27" s="107">
        <v>0.45</v>
      </c>
      <c r="I27" s="107">
        <v>0.45</v>
      </c>
      <c r="J27" s="148">
        <v>0.45</v>
      </c>
      <c r="K27" s="107">
        <v>0.45</v>
      </c>
      <c r="L27" s="107">
        <v>0.45</v>
      </c>
      <c r="M27" s="107">
        <v>0.45</v>
      </c>
      <c r="N27" s="107">
        <v>0.45</v>
      </c>
      <c r="O27" s="107">
        <v>0.45</v>
      </c>
      <c r="P27" s="8"/>
    </row>
    <row r="28" spans="1:17" s="2" customFormat="1">
      <c r="A28" s="12" t="s">
        <v>32</v>
      </c>
      <c r="B28" s="23"/>
      <c r="C28" s="23"/>
      <c r="D28" s="10">
        <f t="shared" ref="D28:O28" si="7">ROUND(D26*D27,0)</f>
        <v>-40343</v>
      </c>
      <c r="E28" s="10">
        <f t="shared" si="7"/>
        <v>-35103</v>
      </c>
      <c r="F28" s="10">
        <f t="shared" si="7"/>
        <v>-61831</v>
      </c>
      <c r="G28" s="10">
        <f t="shared" si="7"/>
        <v>-71300</v>
      </c>
      <c r="H28" s="10">
        <f t="shared" si="7"/>
        <v>-51023</v>
      </c>
      <c r="I28" s="10">
        <f t="shared" si="7"/>
        <v>-184685</v>
      </c>
      <c r="J28" s="147">
        <f t="shared" si="7"/>
        <v>0</v>
      </c>
      <c r="K28" s="10">
        <f t="shared" si="7"/>
        <v>0</v>
      </c>
      <c r="L28" s="10">
        <f t="shared" si="7"/>
        <v>0</v>
      </c>
      <c r="M28" s="10">
        <f t="shared" si="7"/>
        <v>0</v>
      </c>
      <c r="N28" s="10">
        <f t="shared" si="7"/>
        <v>0</v>
      </c>
      <c r="O28" s="10">
        <f t="shared" si="7"/>
        <v>0</v>
      </c>
      <c r="P28" s="10">
        <f>SUM(D28:O28)</f>
        <v>-444285</v>
      </c>
    </row>
    <row r="29" spans="1:17">
      <c r="A29" s="13"/>
      <c r="B29" s="12" t="s">
        <v>33</v>
      </c>
      <c r="C29" s="13"/>
      <c r="D29" s="13"/>
      <c r="E29" s="100"/>
      <c r="F29" s="100"/>
      <c r="G29" s="100"/>
      <c r="H29" s="100"/>
      <c r="I29" s="108"/>
      <c r="J29" s="108"/>
      <c r="K29" s="100"/>
      <c r="L29" s="100"/>
      <c r="M29" s="100"/>
      <c r="N29" s="100"/>
      <c r="O29" s="100"/>
      <c r="P29" s="64"/>
    </row>
    <row r="30" spans="1:17">
      <c r="A30" s="13"/>
      <c r="B30" s="12"/>
      <c r="C30" s="13"/>
      <c r="D30" s="13"/>
      <c r="E30" s="100"/>
      <c r="F30" s="100"/>
      <c r="G30" s="100"/>
      <c r="H30" s="100"/>
      <c r="I30" s="108"/>
      <c r="J30" s="108"/>
      <c r="K30" s="100"/>
      <c r="L30" s="100"/>
      <c r="M30" s="100"/>
      <c r="N30" s="100"/>
      <c r="O30" s="100"/>
      <c r="P30" s="64"/>
    </row>
    <row r="31" spans="1:17">
      <c r="A31" s="12"/>
      <c r="B31" s="12"/>
      <c r="C31" s="13"/>
      <c r="D31" s="10"/>
      <c r="E31" s="100"/>
      <c r="F31" s="100"/>
      <c r="G31" s="100"/>
      <c r="H31" s="100"/>
      <c r="I31" s="100"/>
      <c r="J31" s="10"/>
      <c r="K31" s="100"/>
      <c r="L31" s="100"/>
      <c r="M31" s="100"/>
      <c r="N31" s="100"/>
      <c r="O31" s="100"/>
      <c r="P31" s="10"/>
    </row>
    <row r="32" spans="1:17">
      <c r="A32" s="109"/>
      <c r="B32" s="110"/>
      <c r="C32" s="32"/>
      <c r="D32" s="25"/>
      <c r="E32" s="111"/>
      <c r="F32" s="96"/>
      <c r="G32" s="96"/>
      <c r="H32" s="96"/>
      <c r="I32" s="100"/>
      <c r="J32" s="11"/>
      <c r="K32" s="100"/>
      <c r="L32" s="100"/>
      <c r="M32" s="100"/>
      <c r="N32" s="100"/>
      <c r="O32" s="100"/>
      <c r="P32" s="64"/>
    </row>
    <row r="33" spans="1:20" ht="12.75" customHeight="1">
      <c r="A33" s="12"/>
      <c r="B33" s="12"/>
      <c r="C33" s="13"/>
      <c r="D33" s="13"/>
      <c r="E33" s="112"/>
      <c r="F33" s="100"/>
      <c r="G33" s="100"/>
      <c r="H33" s="100"/>
      <c r="I33" s="100"/>
      <c r="J33" s="113"/>
      <c r="K33" s="100"/>
      <c r="L33" s="100"/>
      <c r="M33" s="100"/>
      <c r="N33" s="100"/>
      <c r="O33" s="100"/>
      <c r="P33" s="10"/>
    </row>
    <row r="34" spans="1:20">
      <c r="A34" s="7" t="s">
        <v>72</v>
      </c>
      <c r="B34" s="60"/>
      <c r="C34" s="60"/>
      <c r="D34" s="100"/>
      <c r="E34" s="100"/>
      <c r="F34" s="100"/>
      <c r="G34" s="100"/>
      <c r="H34" s="100"/>
      <c r="I34" s="100"/>
      <c r="J34" s="100"/>
      <c r="K34" s="100"/>
      <c r="L34" s="100"/>
      <c r="M34" s="100"/>
      <c r="N34" s="100"/>
      <c r="O34" s="100"/>
      <c r="P34" s="114"/>
    </row>
    <row r="35" spans="1:20" ht="27" customHeight="1">
      <c r="A35" s="211" t="s">
        <v>73</v>
      </c>
      <c r="B35" s="211"/>
      <c r="C35" s="211"/>
      <c r="D35" s="211"/>
      <c r="E35" s="211"/>
      <c r="F35" s="211"/>
      <c r="G35" s="211"/>
      <c r="H35" s="211"/>
      <c r="I35" s="211"/>
      <c r="J35" s="211"/>
      <c r="K35" s="211"/>
      <c r="L35" s="211"/>
      <c r="M35" s="211"/>
      <c r="N35" s="211"/>
      <c r="O35" s="211"/>
      <c r="P35" s="211"/>
      <c r="R35" s="63"/>
      <c r="S35" s="63"/>
      <c r="T35" s="63"/>
    </row>
    <row r="36" spans="1:20" ht="14.25" customHeight="1">
      <c r="A36" s="25"/>
      <c r="B36" s="25"/>
      <c r="C36" s="25"/>
      <c r="D36" s="96"/>
      <c r="E36" s="96"/>
      <c r="F36" s="96"/>
      <c r="G36" s="96"/>
      <c r="H36" s="96"/>
      <c r="I36" s="96"/>
      <c r="J36" s="96"/>
      <c r="K36" s="96"/>
      <c r="L36" s="96"/>
      <c r="M36" s="96"/>
      <c r="N36" s="96"/>
      <c r="O36" s="96"/>
      <c r="P36" s="64"/>
      <c r="R36" s="63"/>
      <c r="S36" s="63"/>
      <c r="T36" s="63"/>
    </row>
    <row r="37" spans="1:20" ht="11.25" customHeight="1">
      <c r="A37" s="32"/>
      <c r="B37" s="32"/>
      <c r="C37" s="32"/>
      <c r="D37" s="115"/>
      <c r="E37" s="115"/>
      <c r="F37" s="115"/>
      <c r="G37" s="115"/>
      <c r="H37" s="115"/>
      <c r="I37" s="115"/>
      <c r="J37" s="115"/>
      <c r="K37" s="115"/>
      <c r="L37" s="115"/>
      <c r="M37" s="115"/>
      <c r="N37" s="115"/>
      <c r="O37" s="115"/>
      <c r="P37" s="13"/>
    </row>
    <row r="38" spans="1:20" ht="12.75" customHeight="1">
      <c r="A38" s="109"/>
      <c r="B38" s="25"/>
      <c r="C38" s="25"/>
      <c r="D38" s="96"/>
      <c r="E38" s="96"/>
      <c r="F38" s="96"/>
      <c r="G38" s="96"/>
      <c r="H38" s="96"/>
      <c r="I38" s="96"/>
      <c r="J38" s="96"/>
      <c r="K38" s="96"/>
      <c r="L38" s="96"/>
      <c r="M38" s="96"/>
      <c r="N38" s="96"/>
      <c r="O38" s="96"/>
      <c r="P38" s="64"/>
    </row>
    <row r="39" spans="1:20" s="59" customFormat="1" ht="12.75" customHeight="1" outlineLevel="1">
      <c r="A39" s="116"/>
      <c r="B39" s="116"/>
      <c r="C39" s="116"/>
      <c r="D39" s="116"/>
      <c r="E39" s="116"/>
      <c r="F39" s="116"/>
      <c r="G39" s="116"/>
      <c r="H39" s="116"/>
      <c r="I39" s="116"/>
      <c r="J39" s="116"/>
      <c r="K39" s="116"/>
      <c r="L39" s="116"/>
      <c r="M39" s="116"/>
      <c r="N39" s="116"/>
      <c r="O39" s="116"/>
      <c r="P39" s="116"/>
    </row>
    <row r="40" spans="1:20" ht="12.75" customHeight="1" outlineLevel="1">
      <c r="A40" s="65" t="s">
        <v>129</v>
      </c>
      <c r="B40" s="23"/>
      <c r="C40" s="23"/>
      <c r="D40" s="23"/>
      <c r="E40" s="23"/>
      <c r="F40" s="23"/>
      <c r="G40" s="23"/>
      <c r="H40" s="23"/>
      <c r="I40" s="23"/>
      <c r="J40" s="23"/>
      <c r="K40" s="23"/>
      <c r="L40" s="23"/>
      <c r="M40" s="23"/>
      <c r="N40" s="23"/>
      <c r="O40" s="23"/>
      <c r="P40" s="23"/>
    </row>
    <row r="41" spans="1:20" ht="12.75" customHeight="1" outlineLevel="1">
      <c r="A41" s="12" t="s">
        <v>103</v>
      </c>
      <c r="B41" s="13"/>
      <c r="C41" s="13"/>
      <c r="D41" s="13"/>
      <c r="E41" s="13"/>
      <c r="F41" s="13"/>
      <c r="G41" s="13"/>
      <c r="H41" s="13"/>
      <c r="I41" s="13"/>
      <c r="J41" s="13"/>
      <c r="K41" s="13"/>
      <c r="L41" s="13"/>
      <c r="M41" s="13"/>
      <c r="N41" s="13"/>
      <c r="O41" s="13"/>
      <c r="P41" s="13"/>
      <c r="Q41" s="13"/>
    </row>
    <row r="42" spans="1:20" ht="12.75" customHeight="1" outlineLevel="1">
      <c r="A42" s="35"/>
      <c r="B42" s="13"/>
      <c r="C42" s="13"/>
      <c r="D42" s="13"/>
      <c r="E42" s="117"/>
      <c r="F42" s="117"/>
      <c r="G42" s="117"/>
      <c r="H42" s="117"/>
      <c r="I42" s="117"/>
      <c r="J42" s="117"/>
      <c r="K42" s="117"/>
      <c r="L42" s="117"/>
      <c r="M42" s="117"/>
      <c r="N42" s="117"/>
      <c r="O42" s="117"/>
      <c r="P42" s="117"/>
    </row>
    <row r="43" spans="1:20" ht="12.75" customHeight="1" outlineLevel="1">
      <c r="A43" s="14" t="s">
        <v>34</v>
      </c>
      <c r="B43" s="13"/>
      <c r="C43" s="13"/>
      <c r="D43" s="13"/>
      <c r="E43" s="13"/>
      <c r="F43" s="13"/>
      <c r="G43" s="13"/>
      <c r="H43" s="13"/>
      <c r="I43" s="13"/>
      <c r="J43" s="13"/>
      <c r="K43" s="13"/>
      <c r="L43" s="13"/>
      <c r="M43" s="13"/>
      <c r="N43" s="13"/>
      <c r="O43" s="13"/>
      <c r="P43" s="13"/>
    </row>
    <row r="44" spans="1:20" ht="12.75" customHeight="1" outlineLevel="1">
      <c r="A44" s="13" t="s">
        <v>84</v>
      </c>
      <c r="B44" s="13"/>
      <c r="C44" s="13"/>
      <c r="D44" s="68">
        <v>41275</v>
      </c>
      <c r="E44" s="68">
        <v>41306</v>
      </c>
      <c r="F44" s="68">
        <v>41334</v>
      </c>
      <c r="G44" s="68">
        <v>41365</v>
      </c>
      <c r="H44" s="68">
        <v>41395</v>
      </c>
      <c r="I44" s="68">
        <v>41426</v>
      </c>
      <c r="J44" s="33">
        <v>41091</v>
      </c>
      <c r="K44" s="33">
        <v>41122</v>
      </c>
      <c r="L44" s="33">
        <v>41153</v>
      </c>
      <c r="M44" s="33">
        <v>41183</v>
      </c>
      <c r="N44" s="33">
        <v>41214</v>
      </c>
      <c r="O44" s="118">
        <v>41244</v>
      </c>
      <c r="P44" s="34" t="s">
        <v>17</v>
      </c>
    </row>
    <row r="45" spans="1:20" ht="12.75" customHeight="1" outlineLevel="1">
      <c r="A45" s="35" t="s">
        <v>97</v>
      </c>
      <c r="B45" s="13"/>
      <c r="C45" s="13"/>
      <c r="D45" s="132">
        <v>1105</v>
      </c>
      <c r="E45" s="132">
        <v>908</v>
      </c>
      <c r="F45" s="132">
        <v>774</v>
      </c>
      <c r="G45" s="132">
        <v>547</v>
      </c>
      <c r="H45" s="132">
        <v>327</v>
      </c>
      <c r="I45" s="132">
        <v>142</v>
      </c>
      <c r="J45" s="117">
        <v>35</v>
      </c>
      <c r="K45" s="117">
        <v>34</v>
      </c>
      <c r="L45" s="117">
        <v>185</v>
      </c>
      <c r="M45" s="117">
        <v>548</v>
      </c>
      <c r="N45" s="117">
        <v>882</v>
      </c>
      <c r="O45" s="119">
        <v>1168</v>
      </c>
      <c r="P45" s="117">
        <f>SUM(D45:O45)</f>
        <v>6655</v>
      </c>
    </row>
    <row r="46" spans="1:20" ht="12.75" customHeight="1" outlineLevel="1">
      <c r="A46" s="13" t="s">
        <v>35</v>
      </c>
      <c r="B46" s="13"/>
      <c r="C46" s="13"/>
      <c r="D46" s="132">
        <v>1105</v>
      </c>
      <c r="E46" s="132">
        <v>908</v>
      </c>
      <c r="F46" s="132">
        <v>774</v>
      </c>
      <c r="G46" s="132">
        <v>547</v>
      </c>
      <c r="H46" s="132">
        <v>327</v>
      </c>
      <c r="I46" s="132">
        <v>142</v>
      </c>
      <c r="J46" s="120">
        <v>20</v>
      </c>
      <c r="K46" s="120">
        <v>14</v>
      </c>
      <c r="L46" s="120">
        <v>68</v>
      </c>
      <c r="M46" s="120">
        <v>504</v>
      </c>
      <c r="N46" s="120">
        <v>779</v>
      </c>
      <c r="O46" s="120">
        <v>1040</v>
      </c>
      <c r="P46" s="117">
        <f>SUM(D46:O46)</f>
        <v>6228</v>
      </c>
    </row>
    <row r="47" spans="1:20" ht="12.75" customHeight="1" outlineLevel="1">
      <c r="A47" s="12" t="s">
        <v>104</v>
      </c>
      <c r="B47" s="13"/>
      <c r="C47" s="13"/>
      <c r="D47" s="133">
        <f>D45-D46</f>
        <v>0</v>
      </c>
      <c r="E47" s="133">
        <f>E45-E46</f>
        <v>0</v>
      </c>
      <c r="F47" s="133">
        <f>F45-F46</f>
        <v>0</v>
      </c>
      <c r="G47" s="133">
        <f>G45-G46</f>
        <v>0</v>
      </c>
      <c r="H47" s="133">
        <f t="shared" ref="H47:O47" si="8">H45-H46</f>
        <v>0</v>
      </c>
      <c r="I47" s="133">
        <f t="shared" si="8"/>
        <v>0</v>
      </c>
      <c r="J47" s="122">
        <f t="shared" si="8"/>
        <v>15</v>
      </c>
      <c r="K47" s="122">
        <f t="shared" si="8"/>
        <v>20</v>
      </c>
      <c r="L47" s="122">
        <f t="shared" si="8"/>
        <v>117</v>
      </c>
      <c r="M47" s="122">
        <f t="shared" si="8"/>
        <v>44</v>
      </c>
      <c r="N47" s="122">
        <f t="shared" si="8"/>
        <v>103</v>
      </c>
      <c r="O47" s="121">
        <f t="shared" si="8"/>
        <v>128</v>
      </c>
      <c r="P47" s="122">
        <f>SUM(D47:O47)</f>
        <v>427</v>
      </c>
    </row>
    <row r="48" spans="1:20" ht="12.75" customHeight="1" outlineLevel="1">
      <c r="A48" s="12" t="s">
        <v>84</v>
      </c>
      <c r="B48" s="34"/>
      <c r="C48" s="15" t="s">
        <v>36</v>
      </c>
      <c r="D48" s="69"/>
      <c r="E48" s="69"/>
      <c r="F48" s="69"/>
      <c r="G48" s="69"/>
      <c r="H48" s="69"/>
      <c r="I48" s="69"/>
      <c r="J48" s="13"/>
      <c r="K48" s="13"/>
      <c r="L48" s="13"/>
      <c r="M48" s="13"/>
      <c r="N48" s="13"/>
      <c r="O48" s="32"/>
      <c r="P48" s="13"/>
    </row>
    <row r="49" spans="1:16" ht="12.75" customHeight="1" outlineLevel="1">
      <c r="A49" s="13" t="s">
        <v>37</v>
      </c>
      <c r="B49" s="13"/>
      <c r="C49" s="34" t="s">
        <v>85</v>
      </c>
      <c r="D49" s="70">
        <v>0.1066</v>
      </c>
      <c r="E49" s="70">
        <v>0.1066</v>
      </c>
      <c r="F49" s="70">
        <v>0.1066</v>
      </c>
      <c r="G49" s="70">
        <v>9.6500000000000002E-2</v>
      </c>
      <c r="H49" s="70">
        <v>9.6500000000000002E-2</v>
      </c>
      <c r="I49" s="70">
        <v>9.6500000000000002E-2</v>
      </c>
      <c r="J49" s="37">
        <v>0</v>
      </c>
      <c r="K49" s="37">
        <v>0</v>
      </c>
      <c r="L49" s="37">
        <v>0</v>
      </c>
      <c r="M49" s="37">
        <v>9.6500000000000002E-2</v>
      </c>
      <c r="N49" s="37">
        <v>9.6500000000000002E-2</v>
      </c>
      <c r="O49" s="123">
        <v>0.1066</v>
      </c>
      <c r="P49" s="13"/>
    </row>
    <row r="50" spans="1:16" ht="12.75" customHeight="1" outlineLevel="1">
      <c r="A50" s="13" t="s">
        <v>38</v>
      </c>
      <c r="B50" s="13"/>
      <c r="C50" s="34" t="s">
        <v>85</v>
      </c>
      <c r="D50" s="70">
        <v>0.25690000000000002</v>
      </c>
      <c r="E50" s="70">
        <v>0.25690000000000002</v>
      </c>
      <c r="F50" s="70">
        <v>0.25690000000000002</v>
      </c>
      <c r="G50" s="70">
        <v>0.23019999999999999</v>
      </c>
      <c r="H50" s="70">
        <v>0.23019999999999999</v>
      </c>
      <c r="I50" s="70">
        <v>0.23019999999999999</v>
      </c>
      <c r="J50" s="37">
        <v>0</v>
      </c>
      <c r="K50" s="37">
        <v>0</v>
      </c>
      <c r="L50" s="37">
        <v>0</v>
      </c>
      <c r="M50" s="37">
        <v>0.23019999999999999</v>
      </c>
      <c r="N50" s="37">
        <v>0.23019999999999999</v>
      </c>
      <c r="O50" s="123">
        <v>0.25690000000000002</v>
      </c>
      <c r="P50" s="13"/>
    </row>
    <row r="51" spans="1:16" ht="12.75" customHeight="1" outlineLevel="1">
      <c r="A51" s="13" t="s">
        <v>39</v>
      </c>
      <c r="B51" s="13"/>
      <c r="C51" s="34" t="s">
        <v>85</v>
      </c>
      <c r="D51" s="70">
        <v>0.43290000000000001</v>
      </c>
      <c r="E51" s="70">
        <v>0.43290000000000001</v>
      </c>
      <c r="F51" s="70">
        <v>0.43290000000000001</v>
      </c>
      <c r="G51" s="70">
        <v>0.35120000000000001</v>
      </c>
      <c r="H51" s="70">
        <v>0.35120000000000001</v>
      </c>
      <c r="I51" s="70">
        <v>0.35120000000000001</v>
      </c>
      <c r="J51" s="37">
        <v>0</v>
      </c>
      <c r="K51" s="37">
        <v>0</v>
      </c>
      <c r="L51" s="37">
        <v>0</v>
      </c>
      <c r="M51" s="37">
        <v>0.35120000000000001</v>
      </c>
      <c r="N51" s="37">
        <v>0.35120000000000001</v>
      </c>
      <c r="O51" s="123">
        <v>0.43290000000000001</v>
      </c>
      <c r="P51" s="13"/>
    </row>
    <row r="52" spans="1:16" ht="12.75" customHeight="1" outlineLevel="1">
      <c r="A52" s="13" t="s">
        <v>84</v>
      </c>
      <c r="B52" s="38"/>
      <c r="C52" s="13"/>
      <c r="D52" s="69"/>
      <c r="E52" s="69"/>
      <c r="F52" s="69"/>
      <c r="G52" s="69"/>
      <c r="H52" s="69"/>
      <c r="I52" s="69"/>
      <c r="J52" s="13"/>
      <c r="K52" s="13"/>
      <c r="L52" s="13"/>
      <c r="M52" s="13"/>
      <c r="N52" s="13"/>
      <c r="O52" s="32"/>
      <c r="P52" s="13"/>
    </row>
    <row r="53" spans="1:16" ht="12.75" customHeight="1" outlineLevel="1">
      <c r="A53" s="14" t="s">
        <v>40</v>
      </c>
      <c r="B53" s="38"/>
      <c r="C53" s="38"/>
      <c r="D53" s="69"/>
      <c r="E53" s="69"/>
      <c r="F53" s="69"/>
      <c r="G53" s="69"/>
      <c r="H53" s="69"/>
      <c r="I53" s="69"/>
      <c r="J53" s="13"/>
      <c r="K53" s="13"/>
      <c r="L53" s="13"/>
      <c r="M53" s="13"/>
      <c r="N53" s="13"/>
      <c r="O53" s="32"/>
      <c r="P53" s="13"/>
    </row>
    <row r="54" spans="1:16" ht="12.75" customHeight="1" outlineLevel="1">
      <c r="A54" s="13" t="s">
        <v>37</v>
      </c>
      <c r="B54" s="13"/>
      <c r="C54" s="13"/>
      <c r="D54" s="71">
        <f>ROUND(D$47*D49*D61,0)</f>
        <v>0</v>
      </c>
      <c r="E54" s="71">
        <f>ROUND(E$47*E49*E61,0)</f>
        <v>0</v>
      </c>
      <c r="F54" s="71">
        <f>ROUND(F$47*F49*F61,0)</f>
        <v>0</v>
      </c>
      <c r="G54" s="71">
        <f t="shared" ref="G54:O56" si="9">ROUND(G$47*G49*G61,0)</f>
        <v>0</v>
      </c>
      <c r="H54" s="71">
        <f t="shared" si="9"/>
        <v>0</v>
      </c>
      <c r="I54" s="71">
        <f t="shared" si="9"/>
        <v>0</v>
      </c>
      <c r="J54" s="18">
        <f t="shared" si="9"/>
        <v>0</v>
      </c>
      <c r="K54" s="18">
        <f t="shared" si="9"/>
        <v>0</v>
      </c>
      <c r="L54" s="18">
        <f t="shared" si="9"/>
        <v>0</v>
      </c>
      <c r="M54" s="18">
        <f t="shared" si="9"/>
        <v>564650</v>
      </c>
      <c r="N54" s="18">
        <f t="shared" si="9"/>
        <v>1324955</v>
      </c>
      <c r="O54" s="17">
        <f t="shared" si="9"/>
        <v>1825142</v>
      </c>
      <c r="P54" s="18">
        <f>SUM(D54:O54)</f>
        <v>3714747</v>
      </c>
    </row>
    <row r="55" spans="1:16" ht="12.75" customHeight="1" outlineLevel="1">
      <c r="A55" s="13" t="s">
        <v>38</v>
      </c>
      <c r="B55" s="13"/>
      <c r="C55" s="13"/>
      <c r="D55" s="71">
        <f t="shared" ref="D55:O56" si="10">ROUND(D$47*D50*D62,0)</f>
        <v>0</v>
      </c>
      <c r="E55" s="71">
        <f t="shared" si="10"/>
        <v>0</v>
      </c>
      <c r="F55" s="71">
        <f t="shared" si="10"/>
        <v>0</v>
      </c>
      <c r="G55" s="71">
        <f t="shared" si="10"/>
        <v>0</v>
      </c>
      <c r="H55" s="71">
        <f t="shared" si="10"/>
        <v>0</v>
      </c>
      <c r="I55" s="71">
        <f t="shared" si="10"/>
        <v>0</v>
      </c>
      <c r="J55" s="18">
        <f t="shared" si="10"/>
        <v>0</v>
      </c>
      <c r="K55" s="18">
        <f t="shared" si="10"/>
        <v>0</v>
      </c>
      <c r="L55" s="18">
        <f t="shared" si="9"/>
        <v>0</v>
      </c>
      <c r="M55" s="18">
        <f t="shared" si="10"/>
        <v>120340</v>
      </c>
      <c r="N55" s="18">
        <f t="shared" si="10"/>
        <v>282725</v>
      </c>
      <c r="O55" s="17">
        <f t="shared" si="10"/>
        <v>393447</v>
      </c>
      <c r="P55" s="18">
        <f>SUM(D55:O55)</f>
        <v>796512</v>
      </c>
    </row>
    <row r="56" spans="1:16" ht="12.75" customHeight="1" outlineLevel="1">
      <c r="A56" s="13" t="s">
        <v>39</v>
      </c>
      <c r="B56" s="13"/>
      <c r="C56" s="13"/>
      <c r="D56" s="71">
        <f t="shared" si="10"/>
        <v>0</v>
      </c>
      <c r="E56" s="71">
        <f t="shared" si="10"/>
        <v>0</v>
      </c>
      <c r="F56" s="71">
        <f t="shared" si="10"/>
        <v>0</v>
      </c>
      <c r="G56" s="71">
        <f t="shared" si="10"/>
        <v>0</v>
      </c>
      <c r="H56" s="71">
        <f t="shared" si="10"/>
        <v>0</v>
      </c>
      <c r="I56" s="71">
        <f t="shared" si="10"/>
        <v>0</v>
      </c>
      <c r="J56" s="18">
        <f t="shared" si="10"/>
        <v>0</v>
      </c>
      <c r="K56" s="18">
        <f t="shared" si="10"/>
        <v>0</v>
      </c>
      <c r="L56" s="18">
        <f t="shared" si="9"/>
        <v>0</v>
      </c>
      <c r="M56" s="18">
        <f t="shared" si="10"/>
        <v>1298</v>
      </c>
      <c r="N56" s="18">
        <f t="shared" si="10"/>
        <v>3039</v>
      </c>
      <c r="O56" s="17">
        <f t="shared" si="10"/>
        <v>4599</v>
      </c>
      <c r="P56" s="18">
        <f>SUM(D56:O56)</f>
        <v>8936</v>
      </c>
    </row>
    <row r="57" spans="1:16" ht="12.75" customHeight="1" outlineLevel="1">
      <c r="A57" s="13" t="s">
        <v>41</v>
      </c>
      <c r="B57" s="13"/>
      <c r="C57" s="13"/>
      <c r="D57" s="72">
        <f>SUM(D54:D56)</f>
        <v>0</v>
      </c>
      <c r="E57" s="72">
        <f>SUM(E54:E56)</f>
        <v>0</v>
      </c>
      <c r="F57" s="72">
        <f>SUM(F54:F56)</f>
        <v>0</v>
      </c>
      <c r="G57" s="72">
        <f t="shared" ref="G57:P57" si="11">SUM(G54:G56)</f>
        <v>0</v>
      </c>
      <c r="H57" s="72">
        <f t="shared" si="11"/>
        <v>0</v>
      </c>
      <c r="I57" s="72">
        <f t="shared" si="11"/>
        <v>0</v>
      </c>
      <c r="J57" s="39">
        <f t="shared" si="11"/>
        <v>0</v>
      </c>
      <c r="K57" s="39">
        <f t="shared" si="11"/>
        <v>0</v>
      </c>
      <c r="L57" s="39">
        <f t="shared" si="11"/>
        <v>0</v>
      </c>
      <c r="M57" s="39">
        <f t="shared" si="11"/>
        <v>686288</v>
      </c>
      <c r="N57" s="39">
        <f t="shared" si="11"/>
        <v>1610719</v>
      </c>
      <c r="O57" s="124">
        <f t="shared" si="11"/>
        <v>2223188</v>
      </c>
      <c r="P57" s="39">
        <f t="shared" si="11"/>
        <v>4520195</v>
      </c>
    </row>
    <row r="58" spans="1:16" ht="12.75" customHeight="1" outlineLevel="1">
      <c r="A58" s="13" t="s">
        <v>84</v>
      </c>
      <c r="B58" s="13"/>
      <c r="C58" s="13"/>
      <c r="D58" s="73"/>
      <c r="E58" s="73"/>
      <c r="F58" s="73"/>
      <c r="G58" s="73"/>
      <c r="H58" s="73"/>
      <c r="I58" s="73"/>
      <c r="J58" s="40"/>
      <c r="K58" s="40"/>
      <c r="L58" s="40"/>
      <c r="M58" s="40"/>
      <c r="N58" s="40"/>
      <c r="O58" s="125"/>
      <c r="P58" s="40"/>
    </row>
    <row r="59" spans="1:16" ht="12.75" customHeight="1" outlineLevel="1">
      <c r="A59" s="12" t="s">
        <v>86</v>
      </c>
      <c r="B59" s="13"/>
      <c r="C59" s="13"/>
      <c r="D59" s="69"/>
      <c r="E59" s="69"/>
      <c r="F59" s="69"/>
      <c r="G59" s="69"/>
      <c r="H59" s="69"/>
      <c r="I59" s="69"/>
      <c r="J59" s="13"/>
      <c r="K59" s="13"/>
      <c r="L59" s="13"/>
      <c r="M59" s="13"/>
      <c r="N59" s="13"/>
      <c r="O59" s="32"/>
      <c r="P59" s="13"/>
    </row>
    <row r="60" spans="1:16" ht="12.75" customHeight="1" outlineLevel="1">
      <c r="A60" s="12" t="s">
        <v>84</v>
      </c>
      <c r="B60" s="13"/>
      <c r="C60" s="13" t="s">
        <v>45</v>
      </c>
      <c r="D60" s="67">
        <v>40179</v>
      </c>
      <c r="E60" s="67">
        <v>40210</v>
      </c>
      <c r="F60" s="67">
        <v>40238</v>
      </c>
      <c r="G60" s="67">
        <v>40269</v>
      </c>
      <c r="H60" s="67">
        <v>40299</v>
      </c>
      <c r="I60" s="67">
        <v>40330</v>
      </c>
      <c r="J60" s="41">
        <v>40360</v>
      </c>
      <c r="K60" s="41">
        <v>40391</v>
      </c>
      <c r="L60" s="41">
        <v>40422</v>
      </c>
      <c r="M60" s="41">
        <v>40452</v>
      </c>
      <c r="N60" s="41">
        <v>40483</v>
      </c>
      <c r="O60" s="126">
        <v>40513</v>
      </c>
      <c r="P60" s="42" t="s">
        <v>56</v>
      </c>
    </row>
    <row r="61" spans="1:16" ht="12.75" customHeight="1" outlineLevel="1">
      <c r="A61" s="13" t="s">
        <v>46</v>
      </c>
      <c r="B61" s="43"/>
      <c r="C61" s="43" t="s">
        <v>47</v>
      </c>
      <c r="D61" s="71">
        <v>132550</v>
      </c>
      <c r="E61" s="71">
        <v>132481</v>
      </c>
      <c r="F61" s="71">
        <v>132452</v>
      </c>
      <c r="G61" s="71">
        <v>132351</v>
      </c>
      <c r="H61" s="71">
        <v>132227</v>
      </c>
      <c r="I61" s="71">
        <v>132132</v>
      </c>
      <c r="J61" s="18">
        <v>132233</v>
      </c>
      <c r="K61" s="18">
        <v>132638</v>
      </c>
      <c r="L61" s="18">
        <v>132775</v>
      </c>
      <c r="M61" s="18">
        <v>132984</v>
      </c>
      <c r="N61" s="18">
        <v>133302</v>
      </c>
      <c r="O61" s="17">
        <v>133761</v>
      </c>
      <c r="P61" s="18">
        <f>SUM(D61:O61)</f>
        <v>1591886</v>
      </c>
    </row>
    <row r="62" spans="1:16" ht="12.75" customHeight="1" outlineLevel="1">
      <c r="A62" s="13" t="s">
        <v>48</v>
      </c>
      <c r="B62" s="43"/>
      <c r="C62" s="43" t="s">
        <v>49</v>
      </c>
      <c r="D62" s="71">
        <v>11894</v>
      </c>
      <c r="E62" s="71">
        <v>11896</v>
      </c>
      <c r="F62" s="71">
        <v>11894</v>
      </c>
      <c r="G62" s="71">
        <v>11927</v>
      </c>
      <c r="H62" s="71">
        <v>11895</v>
      </c>
      <c r="I62" s="71">
        <v>11899</v>
      </c>
      <c r="J62" s="18">
        <v>11900</v>
      </c>
      <c r="K62" s="18">
        <v>11900</v>
      </c>
      <c r="L62" s="18">
        <v>11901</v>
      </c>
      <c r="M62" s="18">
        <v>11881</v>
      </c>
      <c r="N62" s="18">
        <v>11924</v>
      </c>
      <c r="O62" s="17">
        <v>11965</v>
      </c>
      <c r="P62" s="18">
        <f>SUM(D62:O62)</f>
        <v>142876</v>
      </c>
    </row>
    <row r="63" spans="1:16" ht="12.75" customHeight="1" outlineLevel="1">
      <c r="A63" s="13" t="s">
        <v>50</v>
      </c>
      <c r="B63" s="43"/>
      <c r="C63" s="43" t="s">
        <v>51</v>
      </c>
      <c r="D63" s="71">
        <v>88</v>
      </c>
      <c r="E63" s="71">
        <v>85</v>
      </c>
      <c r="F63" s="71">
        <v>83</v>
      </c>
      <c r="G63" s="71">
        <v>85</v>
      </c>
      <c r="H63" s="71">
        <v>83</v>
      </c>
      <c r="I63" s="71">
        <v>85</v>
      </c>
      <c r="J63" s="18">
        <v>84</v>
      </c>
      <c r="K63" s="18">
        <v>84</v>
      </c>
      <c r="L63" s="18">
        <v>85</v>
      </c>
      <c r="M63" s="18">
        <v>84</v>
      </c>
      <c r="N63" s="18">
        <v>84</v>
      </c>
      <c r="O63" s="17">
        <v>83</v>
      </c>
      <c r="P63" s="18">
        <f>SUM(D63:O63)</f>
        <v>1013</v>
      </c>
    </row>
    <row r="64" spans="1:16" ht="12.75" customHeight="1" outlineLevel="1">
      <c r="A64" s="13" t="s">
        <v>52</v>
      </c>
      <c r="B64" s="43"/>
      <c r="C64" s="43" t="s">
        <v>53</v>
      </c>
      <c r="D64" s="71">
        <v>26</v>
      </c>
      <c r="E64" s="71">
        <v>27</v>
      </c>
      <c r="F64" s="71">
        <v>27</v>
      </c>
      <c r="G64" s="71">
        <v>27</v>
      </c>
      <c r="H64" s="71">
        <v>27</v>
      </c>
      <c r="I64" s="71">
        <v>27</v>
      </c>
      <c r="J64" s="18">
        <v>27</v>
      </c>
      <c r="K64" s="18">
        <v>27</v>
      </c>
      <c r="L64" s="18">
        <v>27</v>
      </c>
      <c r="M64" s="18">
        <v>27</v>
      </c>
      <c r="N64" s="18">
        <v>28</v>
      </c>
      <c r="O64" s="17">
        <v>28</v>
      </c>
      <c r="P64" s="18">
        <f>SUM(D64:O64)</f>
        <v>325</v>
      </c>
    </row>
    <row r="65" spans="1:16" ht="12.75" customHeight="1" outlineLevel="1">
      <c r="A65" s="13" t="s">
        <v>43</v>
      </c>
      <c r="B65" s="13"/>
      <c r="C65" s="44"/>
      <c r="D65" s="74">
        <f>SUM(D61:D64)</f>
        <v>144558</v>
      </c>
      <c r="E65" s="74">
        <f>SUM(E61:E64)</f>
        <v>144489</v>
      </c>
      <c r="F65" s="74">
        <f>SUM(F61:F64)</f>
        <v>144456</v>
      </c>
      <c r="G65" s="74">
        <f>SUM(G61:G64)</f>
        <v>144390</v>
      </c>
      <c r="H65" s="74">
        <f t="shared" ref="H65:P65" si="12">SUM(H61:H64)</f>
        <v>144232</v>
      </c>
      <c r="I65" s="74">
        <f t="shared" si="12"/>
        <v>144143</v>
      </c>
      <c r="J65" s="20">
        <f t="shared" si="12"/>
        <v>144244</v>
      </c>
      <c r="K65" s="20">
        <f t="shared" si="12"/>
        <v>144649</v>
      </c>
      <c r="L65" s="20">
        <f t="shared" si="12"/>
        <v>144788</v>
      </c>
      <c r="M65" s="20">
        <f t="shared" si="12"/>
        <v>144976</v>
      </c>
      <c r="N65" s="20">
        <f t="shared" si="12"/>
        <v>145338</v>
      </c>
      <c r="O65" s="127">
        <f t="shared" si="12"/>
        <v>145837</v>
      </c>
      <c r="P65" s="20">
        <f t="shared" si="12"/>
        <v>1736100</v>
      </c>
    </row>
    <row r="66" spans="1:16" ht="12.75" customHeight="1" outlineLevel="1">
      <c r="A66" s="13" t="s">
        <v>84</v>
      </c>
      <c r="B66" s="13"/>
      <c r="C66" s="13"/>
      <c r="D66" s="69"/>
      <c r="E66" s="69"/>
      <c r="F66" s="69"/>
      <c r="G66" s="69"/>
      <c r="H66" s="69"/>
      <c r="I66" s="69"/>
      <c r="J66" s="13"/>
      <c r="K66" s="13"/>
      <c r="L66" s="13"/>
      <c r="M66" s="13"/>
      <c r="N66" s="13"/>
      <c r="O66" s="32"/>
      <c r="P66" s="13"/>
    </row>
    <row r="67" spans="1:16" ht="12.75" customHeight="1" outlineLevel="1">
      <c r="A67" s="14" t="s">
        <v>87</v>
      </c>
      <c r="B67" s="13"/>
      <c r="C67" s="13"/>
      <c r="D67" s="40"/>
      <c r="E67" s="13"/>
      <c r="F67" s="13"/>
      <c r="G67" s="13"/>
      <c r="H67" s="13"/>
      <c r="I67" s="13"/>
      <c r="J67" s="13"/>
      <c r="K67" s="13"/>
      <c r="L67" s="13"/>
      <c r="M67" s="13"/>
      <c r="N67" s="13"/>
      <c r="O67" s="13"/>
      <c r="P67" s="13"/>
    </row>
    <row r="68" spans="1:16" ht="12.75" customHeight="1" outlineLevel="1">
      <c r="A68" s="45" t="s">
        <v>84</v>
      </c>
      <c r="B68" s="13"/>
      <c r="C68" s="23"/>
      <c r="D68" s="41">
        <v>41061</v>
      </c>
      <c r="E68" s="41">
        <v>41091</v>
      </c>
      <c r="F68" s="41">
        <v>41122</v>
      </c>
      <c r="G68" s="41">
        <v>41153</v>
      </c>
      <c r="H68" s="41">
        <v>41183</v>
      </c>
      <c r="I68" s="41">
        <v>41214</v>
      </c>
      <c r="J68" s="126">
        <v>41244</v>
      </c>
      <c r="K68" s="67">
        <v>41275</v>
      </c>
      <c r="L68" s="67">
        <v>41306</v>
      </c>
      <c r="M68" s="67">
        <v>41334</v>
      </c>
      <c r="N68" s="67">
        <v>41365</v>
      </c>
      <c r="O68" s="67">
        <v>41395</v>
      </c>
      <c r="P68" s="67">
        <v>41426</v>
      </c>
    </row>
    <row r="69" spans="1:16" ht="12.75" customHeight="1" outlineLevel="1">
      <c r="A69" s="46" t="s">
        <v>84</v>
      </c>
      <c r="B69" s="46"/>
      <c r="C69" s="23"/>
      <c r="D69" s="47"/>
      <c r="E69" s="47"/>
      <c r="F69" s="47"/>
      <c r="G69" s="47"/>
      <c r="H69" s="47"/>
      <c r="I69" s="47"/>
      <c r="J69" s="128"/>
      <c r="K69" s="149"/>
      <c r="L69" s="149"/>
      <c r="M69" s="149"/>
      <c r="N69" s="149"/>
      <c r="O69" s="149"/>
      <c r="P69" s="149"/>
    </row>
    <row r="70" spans="1:16" ht="12.75" customHeight="1" outlineLevel="1">
      <c r="A70" s="46" t="s">
        <v>80</v>
      </c>
      <c r="B70" s="46"/>
      <c r="C70" s="23"/>
      <c r="D70" s="62">
        <v>2297148</v>
      </c>
      <c r="E70" s="62">
        <v>1555877</v>
      </c>
      <c r="F70" s="62">
        <v>1578708</v>
      </c>
      <c r="G70" s="62">
        <v>1785642</v>
      </c>
      <c r="H70" s="62">
        <v>5223329</v>
      </c>
      <c r="I70" s="62">
        <v>9816614</v>
      </c>
      <c r="J70" s="62">
        <v>13199087</v>
      </c>
      <c r="K70" s="150"/>
      <c r="L70" s="150"/>
      <c r="M70" s="150"/>
      <c r="N70" s="150"/>
      <c r="O70" s="150"/>
      <c r="P70" s="150"/>
    </row>
    <row r="71" spans="1:16" ht="12.75" customHeight="1" outlineLevel="1">
      <c r="A71" s="23" t="s">
        <v>81</v>
      </c>
      <c r="B71" s="23"/>
      <c r="C71" s="23"/>
      <c r="D71" s="61">
        <v>146339</v>
      </c>
      <c r="E71" s="61">
        <v>146524</v>
      </c>
      <c r="F71" s="61">
        <v>146433</v>
      </c>
      <c r="G71" s="61">
        <v>147360</v>
      </c>
      <c r="H71" s="61">
        <v>146875</v>
      </c>
      <c r="I71" s="61">
        <v>147245</v>
      </c>
      <c r="J71" s="62">
        <v>147536</v>
      </c>
      <c r="K71" s="150">
        <v>1</v>
      </c>
      <c r="L71" s="150">
        <v>1</v>
      </c>
      <c r="M71" s="150">
        <v>1</v>
      </c>
      <c r="N71" s="150">
        <v>1</v>
      </c>
      <c r="O71" s="150">
        <v>1</v>
      </c>
      <c r="P71" s="150">
        <v>1</v>
      </c>
    </row>
    <row r="72" spans="1:16" ht="12.75" customHeight="1" outlineLevel="1">
      <c r="A72" s="23" t="s">
        <v>82</v>
      </c>
      <c r="B72" s="23"/>
      <c r="C72" s="23"/>
      <c r="D72" s="66">
        <f t="shared" ref="D72:P72" si="13">D70/D71</f>
        <v>15.697442240277711</v>
      </c>
      <c r="E72" s="66">
        <f t="shared" si="13"/>
        <v>10.618581256312959</v>
      </c>
      <c r="F72" s="66">
        <f t="shared" si="13"/>
        <v>10.781094425436889</v>
      </c>
      <c r="G72" s="66">
        <f t="shared" si="13"/>
        <v>12.117548859934853</v>
      </c>
      <c r="H72" s="66">
        <f t="shared" si="13"/>
        <v>35.563091063829788</v>
      </c>
      <c r="I72" s="66">
        <f t="shared" si="13"/>
        <v>66.66857278685184</v>
      </c>
      <c r="J72" s="129">
        <f t="shared" si="13"/>
        <v>89.463500433792433</v>
      </c>
      <c r="K72" s="151">
        <f t="shared" si="13"/>
        <v>0</v>
      </c>
      <c r="L72" s="151">
        <f t="shared" si="13"/>
        <v>0</v>
      </c>
      <c r="M72" s="151">
        <f t="shared" si="13"/>
        <v>0</v>
      </c>
      <c r="N72" s="151">
        <f t="shared" si="13"/>
        <v>0</v>
      </c>
      <c r="O72" s="151">
        <f t="shared" si="13"/>
        <v>0</v>
      </c>
      <c r="P72" s="151">
        <f t="shared" si="13"/>
        <v>0</v>
      </c>
    </row>
    <row r="73" spans="1:16" ht="12.75" customHeight="1" outlineLevel="1">
      <c r="A73" s="23" t="s">
        <v>84</v>
      </c>
      <c r="B73" s="23"/>
      <c r="C73" s="23"/>
      <c r="D73" s="23"/>
      <c r="E73" s="23"/>
      <c r="F73" s="23"/>
      <c r="G73" s="23"/>
      <c r="H73" s="23"/>
      <c r="I73" s="23"/>
      <c r="J73" s="25"/>
      <c r="K73" s="152"/>
      <c r="L73" s="152"/>
      <c r="M73" s="152"/>
      <c r="N73" s="152"/>
      <c r="O73" s="152"/>
      <c r="P73" s="152"/>
    </row>
    <row r="74" spans="1:16" ht="12.75" customHeight="1" outlineLevel="1">
      <c r="A74" s="23" t="s">
        <v>83</v>
      </c>
      <c r="B74" s="23"/>
      <c r="C74" s="23"/>
      <c r="D74" s="64">
        <f t="shared" ref="D74:J74" si="14">ROUND(D72*I65,0)</f>
        <v>2262676</v>
      </c>
      <c r="E74" s="64">
        <f t="shared" si="14"/>
        <v>1531667</v>
      </c>
      <c r="F74" s="64">
        <f t="shared" si="14"/>
        <v>1559475</v>
      </c>
      <c r="G74" s="64">
        <f t="shared" si="14"/>
        <v>1754476</v>
      </c>
      <c r="H74" s="64">
        <f t="shared" si="14"/>
        <v>5155795</v>
      </c>
      <c r="I74" s="64">
        <f t="shared" si="14"/>
        <v>9689477</v>
      </c>
      <c r="J74" s="130">
        <f t="shared" si="14"/>
        <v>13047089</v>
      </c>
      <c r="K74" s="153">
        <f t="shared" ref="K74:P74" si="15">ROUND(K72*D65,0)</f>
        <v>0</v>
      </c>
      <c r="L74" s="153">
        <f t="shared" si="15"/>
        <v>0</v>
      </c>
      <c r="M74" s="153">
        <f t="shared" si="15"/>
        <v>0</v>
      </c>
      <c r="N74" s="153">
        <f t="shared" si="15"/>
        <v>0</v>
      </c>
      <c r="O74" s="153">
        <f t="shared" si="15"/>
        <v>0</v>
      </c>
      <c r="P74" s="153">
        <f t="shared" si="15"/>
        <v>0</v>
      </c>
    </row>
    <row r="75" spans="1:16" s="131" customFormat="1"/>
    <row r="76" spans="1:16">
      <c r="A76" s="65"/>
      <c r="B76" s="23"/>
      <c r="C76" s="23"/>
      <c r="D76" s="23"/>
      <c r="E76" s="23"/>
      <c r="F76" s="23"/>
      <c r="G76" s="23"/>
      <c r="H76" s="23"/>
      <c r="I76" s="23"/>
      <c r="J76" s="23"/>
      <c r="K76" s="23"/>
      <c r="L76" s="23"/>
      <c r="M76" s="23"/>
      <c r="N76" s="23"/>
      <c r="O76" s="23"/>
      <c r="P76" s="23"/>
    </row>
    <row r="77" spans="1:16">
      <c r="A77"/>
      <c r="B77"/>
      <c r="C77"/>
      <c r="D77"/>
      <c r="E77"/>
      <c r="F77"/>
      <c r="G77"/>
      <c r="H77"/>
      <c r="I77"/>
      <c r="J77"/>
      <c r="K77"/>
      <c r="L77"/>
      <c r="M77"/>
      <c r="N77"/>
      <c r="O77"/>
      <c r="P77"/>
    </row>
    <row r="78" spans="1:16">
      <c r="A78"/>
      <c r="B78"/>
      <c r="C78"/>
      <c r="D78"/>
      <c r="E78"/>
      <c r="F78"/>
      <c r="G78"/>
      <c r="H78"/>
      <c r="I78"/>
      <c r="J78"/>
      <c r="K78"/>
      <c r="L78"/>
      <c r="M78"/>
      <c r="N78"/>
      <c r="O78"/>
      <c r="P78"/>
    </row>
    <row r="79" spans="1:16">
      <c r="A79"/>
      <c r="B79"/>
      <c r="C79"/>
      <c r="D79"/>
      <c r="E79"/>
      <c r="F79"/>
      <c r="G79"/>
      <c r="H79"/>
      <c r="I79"/>
      <c r="J79"/>
      <c r="K79"/>
      <c r="L79"/>
      <c r="M79"/>
      <c r="N79"/>
      <c r="O79"/>
      <c r="P79"/>
    </row>
    <row r="80" spans="1:16">
      <c r="A80"/>
      <c r="B80"/>
      <c r="C80"/>
      <c r="D80"/>
      <c r="E80"/>
      <c r="F80"/>
      <c r="G80"/>
      <c r="H80"/>
      <c r="I80"/>
      <c r="J80"/>
      <c r="K80"/>
      <c r="L80"/>
      <c r="M80"/>
      <c r="N80"/>
      <c r="O80"/>
      <c r="P80"/>
    </row>
    <row r="81" spans="1:16">
      <c r="A81"/>
      <c r="B81"/>
      <c r="C81"/>
      <c r="D81"/>
      <c r="E81"/>
      <c r="F81"/>
      <c r="G81"/>
      <c r="H81"/>
      <c r="I81"/>
      <c r="J81"/>
      <c r="K81"/>
      <c r="L81"/>
      <c r="M81"/>
      <c r="N81"/>
      <c r="O81"/>
      <c r="P81"/>
    </row>
    <row r="82" spans="1:16">
      <c r="A82"/>
      <c r="B82"/>
      <c r="C82"/>
      <c r="D82"/>
      <c r="E82"/>
      <c r="F82"/>
      <c r="G82"/>
      <c r="H82"/>
      <c r="I82"/>
      <c r="J82"/>
      <c r="K82"/>
      <c r="L82"/>
      <c r="M82"/>
      <c r="N82"/>
      <c r="O82"/>
      <c r="P82"/>
    </row>
    <row r="83" spans="1:16">
      <c r="A83"/>
      <c r="B83"/>
      <c r="C83"/>
      <c r="D83"/>
      <c r="E83"/>
      <c r="F83"/>
      <c r="G83"/>
      <c r="H83"/>
      <c r="I83"/>
      <c r="J83"/>
      <c r="K83"/>
      <c r="L83"/>
      <c r="M83"/>
      <c r="N83"/>
      <c r="O83"/>
      <c r="P83"/>
    </row>
    <row r="84" spans="1:16">
      <c r="A84"/>
      <c r="B84"/>
      <c r="C84"/>
      <c r="D84"/>
      <c r="E84"/>
      <c r="F84"/>
      <c r="G84"/>
      <c r="H84"/>
      <c r="I84"/>
      <c r="J84"/>
      <c r="K84"/>
      <c r="L84"/>
      <c r="M84"/>
      <c r="N84"/>
      <c r="O84"/>
      <c r="P84"/>
    </row>
    <row r="85" spans="1:16">
      <c r="A85"/>
      <c r="B85"/>
      <c r="C85"/>
      <c r="D85"/>
      <c r="E85"/>
      <c r="F85"/>
      <c r="G85"/>
      <c r="H85"/>
      <c r="I85"/>
      <c r="J85"/>
      <c r="K85"/>
      <c r="L85"/>
      <c r="M85"/>
      <c r="N85"/>
      <c r="O85"/>
      <c r="P85"/>
    </row>
    <row r="86" spans="1:16">
      <c r="A86"/>
      <c r="B86"/>
      <c r="C86"/>
      <c r="D86"/>
      <c r="E86"/>
      <c r="F86"/>
      <c r="G86"/>
      <c r="H86"/>
      <c r="I86"/>
      <c r="J86"/>
      <c r="K86"/>
      <c r="L86"/>
      <c r="M86"/>
      <c r="N86"/>
      <c r="O86"/>
      <c r="P86"/>
    </row>
    <row r="87" spans="1:16">
      <c r="A87"/>
      <c r="B87"/>
      <c r="C87"/>
      <c r="D87"/>
      <c r="E87"/>
      <c r="F87"/>
      <c r="G87"/>
      <c r="H87"/>
      <c r="I87"/>
      <c r="J87"/>
      <c r="K87"/>
      <c r="L87"/>
      <c r="M87"/>
      <c r="N87"/>
      <c r="O87"/>
      <c r="P87"/>
    </row>
    <row r="88" spans="1:16">
      <c r="A88"/>
      <c r="B88"/>
      <c r="C88"/>
      <c r="D88"/>
      <c r="E88"/>
      <c r="F88"/>
      <c r="G88"/>
      <c r="H88"/>
      <c r="I88"/>
      <c r="J88"/>
      <c r="K88"/>
      <c r="L88"/>
      <c r="M88"/>
      <c r="N88"/>
      <c r="O88"/>
      <c r="P88"/>
    </row>
    <row r="89" spans="1:16">
      <c r="A89"/>
      <c r="B89"/>
      <c r="C89"/>
      <c r="D89"/>
      <c r="E89"/>
      <c r="F89"/>
      <c r="G89"/>
      <c r="H89"/>
      <c r="I89"/>
      <c r="J89"/>
      <c r="K89"/>
      <c r="L89"/>
      <c r="M89"/>
      <c r="N89"/>
      <c r="O89"/>
      <c r="P89"/>
    </row>
    <row r="90" spans="1:16">
      <c r="A90"/>
      <c r="B90"/>
      <c r="C90"/>
      <c r="D90"/>
      <c r="E90"/>
      <c r="F90"/>
      <c r="G90"/>
      <c r="H90"/>
      <c r="I90"/>
      <c r="J90"/>
      <c r="K90"/>
      <c r="L90"/>
      <c r="M90"/>
      <c r="N90"/>
      <c r="O90"/>
      <c r="P90"/>
    </row>
    <row r="91" spans="1:16">
      <c r="A91"/>
      <c r="B91"/>
      <c r="C91"/>
      <c r="D91"/>
      <c r="E91"/>
      <c r="F91"/>
      <c r="G91"/>
      <c r="H91"/>
      <c r="I91"/>
      <c r="J91"/>
      <c r="K91"/>
      <c r="L91"/>
      <c r="M91"/>
      <c r="N91"/>
      <c r="O91"/>
      <c r="P91"/>
    </row>
    <row r="92" spans="1:16">
      <c r="A92"/>
      <c r="B92"/>
      <c r="C92"/>
      <c r="D92"/>
      <c r="E92"/>
      <c r="F92"/>
      <c r="G92"/>
      <c r="H92"/>
      <c r="I92"/>
      <c r="J92"/>
      <c r="K92"/>
      <c r="L92"/>
      <c r="M92"/>
      <c r="N92"/>
      <c r="O92"/>
      <c r="P92"/>
    </row>
    <row r="93" spans="1:16">
      <c r="A93"/>
      <c r="B93"/>
      <c r="C93"/>
      <c r="D93"/>
      <c r="E93"/>
      <c r="F93"/>
      <c r="G93"/>
      <c r="H93"/>
      <c r="I93"/>
      <c r="J93"/>
      <c r="K93"/>
      <c r="L93"/>
      <c r="M93"/>
      <c r="N93"/>
      <c r="O93"/>
      <c r="P93"/>
    </row>
    <row r="94" spans="1:16">
      <c r="A94"/>
      <c r="B94"/>
      <c r="C94"/>
      <c r="D94"/>
      <c r="E94"/>
      <c r="F94"/>
      <c r="G94"/>
      <c r="H94"/>
      <c r="I94"/>
      <c r="J94"/>
      <c r="K94"/>
      <c r="L94"/>
      <c r="M94"/>
      <c r="N94"/>
      <c r="O94"/>
      <c r="P94"/>
    </row>
    <row r="95" spans="1:16">
      <c r="A95"/>
      <c r="B95"/>
      <c r="C95"/>
      <c r="D95"/>
      <c r="E95"/>
      <c r="F95"/>
      <c r="G95"/>
      <c r="H95"/>
      <c r="I95"/>
      <c r="J95"/>
      <c r="K95"/>
      <c r="L95"/>
      <c r="M95"/>
      <c r="N95"/>
      <c r="O95"/>
      <c r="P95"/>
    </row>
    <row r="96" spans="1:16">
      <c r="A96"/>
      <c r="B96"/>
      <c r="C96"/>
      <c r="D96"/>
      <c r="E96"/>
      <c r="F96"/>
      <c r="G96"/>
      <c r="H96"/>
      <c r="I96"/>
      <c r="J96"/>
      <c r="K96"/>
      <c r="L96"/>
      <c r="M96"/>
      <c r="N96"/>
      <c r="O96"/>
      <c r="P9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c r="L122"/>
      <c r="M122"/>
      <c r="N122"/>
      <c r="O122"/>
      <c r="P122"/>
    </row>
    <row r="123" spans="1:16">
      <c r="A123"/>
      <c r="B123"/>
      <c r="C123"/>
      <c r="D123"/>
      <c r="E123"/>
      <c r="F123"/>
      <c r="G123"/>
      <c r="H123"/>
      <c r="I123"/>
      <c r="J123"/>
      <c r="K123"/>
      <c r="L123"/>
      <c r="M123"/>
      <c r="N123"/>
      <c r="O123"/>
      <c r="P123"/>
    </row>
    <row r="124" spans="1:16">
      <c r="A124"/>
      <c r="B124"/>
      <c r="C124"/>
      <c r="D124"/>
      <c r="E124"/>
      <c r="F124"/>
      <c r="G124"/>
      <c r="H124"/>
      <c r="I124"/>
      <c r="J124"/>
      <c r="K124"/>
      <c r="L124"/>
      <c r="M124"/>
      <c r="N124"/>
      <c r="O124"/>
      <c r="P124"/>
    </row>
    <row r="125" spans="1:16">
      <c r="A125"/>
      <c r="B125"/>
      <c r="C125"/>
      <c r="D125"/>
      <c r="E125"/>
      <c r="F125"/>
      <c r="G125"/>
      <c r="H125"/>
      <c r="I125"/>
      <c r="J125"/>
      <c r="K125"/>
      <c r="L125"/>
      <c r="M125"/>
      <c r="N125"/>
      <c r="O125"/>
      <c r="P125"/>
    </row>
    <row r="126" spans="1:16">
      <c r="A126"/>
      <c r="B126"/>
      <c r="C126"/>
      <c r="D126"/>
      <c r="E126"/>
      <c r="F126"/>
      <c r="G126"/>
      <c r="H126"/>
      <c r="I126"/>
      <c r="J126"/>
      <c r="K126"/>
      <c r="L126"/>
      <c r="M126"/>
      <c r="N126"/>
      <c r="O126"/>
      <c r="P126"/>
    </row>
    <row r="127" spans="1:16">
      <c r="A127"/>
      <c r="B127"/>
      <c r="C127"/>
      <c r="D127"/>
      <c r="E127"/>
      <c r="F127"/>
      <c r="G127"/>
      <c r="H127"/>
      <c r="I127"/>
      <c r="J127"/>
      <c r="K127"/>
      <c r="L127"/>
      <c r="M127"/>
      <c r="N127"/>
      <c r="O127"/>
      <c r="P127"/>
    </row>
    <row r="128" spans="1:16">
      <c r="A128"/>
      <c r="B128"/>
      <c r="C128"/>
      <c r="D128"/>
      <c r="E128"/>
      <c r="F128"/>
      <c r="G128"/>
      <c r="H128"/>
      <c r="I128"/>
      <c r="J128"/>
      <c r="K128"/>
      <c r="L128"/>
      <c r="M128"/>
      <c r="N128"/>
      <c r="O128"/>
      <c r="P128"/>
    </row>
    <row r="129" spans="1:16">
      <c r="A129"/>
      <c r="B129"/>
      <c r="C129"/>
      <c r="D129"/>
      <c r="E129"/>
      <c r="F129"/>
      <c r="G129"/>
      <c r="H129"/>
      <c r="I129"/>
      <c r="J129"/>
      <c r="K129"/>
      <c r="L129"/>
      <c r="M129"/>
      <c r="N129"/>
      <c r="O129"/>
      <c r="P129"/>
    </row>
    <row r="130" spans="1:16">
      <c r="A130"/>
      <c r="B130"/>
      <c r="C130"/>
      <c r="D130"/>
      <c r="E130"/>
      <c r="F130"/>
      <c r="G130"/>
      <c r="H130"/>
      <c r="I130"/>
      <c r="J130"/>
      <c r="K130"/>
      <c r="L130"/>
      <c r="M130"/>
      <c r="N130"/>
      <c r="O130"/>
      <c r="P130"/>
    </row>
    <row r="131" spans="1:16">
      <c r="A131"/>
      <c r="B131"/>
      <c r="C131"/>
      <c r="D131"/>
      <c r="E131"/>
      <c r="F131"/>
      <c r="G131"/>
      <c r="H131"/>
      <c r="I131"/>
      <c r="J131"/>
      <c r="K131"/>
      <c r="L131"/>
      <c r="M131"/>
      <c r="N131"/>
      <c r="O131"/>
      <c r="P131"/>
    </row>
    <row r="132" spans="1:16">
      <c r="A132"/>
      <c r="B132"/>
      <c r="C132"/>
      <c r="D132"/>
      <c r="E132"/>
      <c r="F132"/>
      <c r="G132"/>
      <c r="H132"/>
      <c r="I132"/>
      <c r="J132"/>
      <c r="K132"/>
      <c r="L132"/>
      <c r="M132"/>
      <c r="N132"/>
      <c r="O132"/>
      <c r="P132"/>
    </row>
    <row r="133" spans="1:16">
      <c r="A133"/>
      <c r="B133"/>
      <c r="C133"/>
      <c r="D133"/>
      <c r="E133"/>
      <c r="F133"/>
      <c r="G133"/>
      <c r="H133"/>
      <c r="I133"/>
      <c r="J133"/>
      <c r="K133"/>
      <c r="L133"/>
      <c r="M133"/>
      <c r="N133"/>
      <c r="O133"/>
      <c r="P133"/>
    </row>
    <row r="134" spans="1:16">
      <c r="A134"/>
      <c r="B134"/>
      <c r="C134"/>
      <c r="D134"/>
      <c r="E134"/>
      <c r="F134"/>
      <c r="G134"/>
      <c r="H134"/>
      <c r="I134"/>
      <c r="J134"/>
      <c r="K134"/>
      <c r="L134"/>
      <c r="M134"/>
      <c r="N134"/>
      <c r="O134"/>
      <c r="P134"/>
    </row>
    <row r="135" spans="1:16">
      <c r="A135"/>
      <c r="B135"/>
      <c r="C135"/>
      <c r="D135"/>
      <c r="E135"/>
      <c r="F135"/>
      <c r="G135"/>
      <c r="H135"/>
      <c r="I135"/>
      <c r="J135"/>
      <c r="K135"/>
      <c r="L135"/>
      <c r="M135"/>
      <c r="N135"/>
      <c r="O135"/>
      <c r="P135"/>
    </row>
    <row r="136" spans="1:16">
      <c r="A136"/>
      <c r="B136"/>
      <c r="C136"/>
      <c r="D136"/>
      <c r="E136"/>
      <c r="F136"/>
      <c r="G136"/>
      <c r="H136"/>
      <c r="I136"/>
      <c r="J136"/>
      <c r="K136"/>
      <c r="L136"/>
      <c r="M136"/>
      <c r="N136"/>
      <c r="O136"/>
      <c r="P136"/>
    </row>
    <row r="137" spans="1:16">
      <c r="A137"/>
      <c r="B137"/>
      <c r="C137"/>
      <c r="D137"/>
      <c r="E137"/>
      <c r="F137"/>
      <c r="G137"/>
      <c r="H137"/>
      <c r="I137"/>
      <c r="J137"/>
      <c r="K137"/>
      <c r="L137"/>
      <c r="M137"/>
      <c r="N137"/>
      <c r="O137"/>
      <c r="P137"/>
    </row>
    <row r="138" spans="1:16">
      <c r="A138"/>
      <c r="B138"/>
      <c r="C138"/>
      <c r="D138"/>
      <c r="E138"/>
      <c r="F138"/>
      <c r="G138"/>
      <c r="H138"/>
      <c r="I138"/>
      <c r="J138"/>
      <c r="K138"/>
      <c r="L138"/>
      <c r="M138"/>
      <c r="N138"/>
      <c r="O138"/>
      <c r="P138"/>
    </row>
  </sheetData>
  <customSheetViews>
    <customSheetView guid="{0FD22FF2-1019-47D8-B258-1BB68232F092}" showPageBreaks="1" fitToPage="1" printArea="1" hiddenRows="1" topLeftCell="L100">
      <pane xSplit="5.0714285714285712" topLeftCell="Q1" activePane="topRight"/>
      <selection pane="topRight" activeCell="R1" sqref="R1:V120"/>
      <pageMargins left="0.17" right="0.18" top="0.34" bottom="0.37" header="0.5" footer="0.2"/>
      <printOptions horizontalCentered="1" verticalCentered="1"/>
      <pageSetup scale="77" orientation="portrait" r:id="rId1"/>
      <headerFooter alignWithMargins="0">
        <oddFooter>&amp;Cfile: &amp;F / &amp;A</oddFooter>
      </headerFooter>
    </customSheetView>
    <customSheetView guid="{D4943E0B-60C6-4C0B-BD3A-F3B96E2421DB}" showPageBreaks="1" printArea="1" hiddenRows="1" topLeftCell="A25">
      <selection sqref="A1:P120"/>
      <pageMargins left="0.17" right="0.18" top="0.34" bottom="0.37" header="0.5" footer="0.2"/>
      <printOptions horizontalCentered="1" verticalCentered="1"/>
      <pageSetup scale="60" orientation="landscape" r:id="rId2"/>
      <headerFooter alignWithMargins="0">
        <oddFooter>&amp;Cfile: &amp;F / &amp;A</oddFooter>
      </headerFooter>
    </customSheetView>
    <customSheetView guid="{81D22F57-B9CC-4D89-903B-6E009051802B}" showPageBreaks="1" fitToPage="1" printArea="1" hiddenRows="1" topLeftCell="N1">
      <selection activeCell="R1" sqref="R1:V109"/>
      <pageMargins left="0.17" right="0.18" top="0.34" bottom="0.37" header="0.5" footer="0.2"/>
      <printOptions horizontalCentered="1" verticalCentered="1"/>
      <pageSetup scale="80" orientation="portrait" r:id="rId3"/>
      <headerFooter alignWithMargins="0">
        <oddFooter>&amp;Cfile: &amp;F / &amp;A</oddFooter>
      </headerFooter>
    </customSheetView>
    <customSheetView guid="{A6955850-675F-4B7A-99D7-C52DA0B2D2D6}" scale="60" showPageBreaks="1" printArea="1" hiddenRows="1" view="pageBreakPreview">
      <selection activeCell="B79" sqref="B79"/>
      <pageMargins left="0.17" right="0.18" top="0.34" bottom="0.37" header="0.5" footer="0.2"/>
      <printOptions horizontalCentered="1" verticalCentered="1"/>
      <pageSetup scale="60" orientation="landscape" r:id="rId4"/>
      <headerFooter alignWithMargins="0">
        <oddFooter>&amp;Cfile: &amp;F / &amp;A</oddFooter>
      </headerFooter>
    </customSheetView>
  </customSheetViews>
  <mergeCells count="8">
    <mergeCell ref="A35:P35"/>
    <mergeCell ref="A1:P1"/>
    <mergeCell ref="A2:P2"/>
    <mergeCell ref="A3:P3"/>
    <mergeCell ref="A6:P6"/>
    <mergeCell ref="A7:P7"/>
    <mergeCell ref="A4:P4"/>
    <mergeCell ref="A5:P5"/>
  </mergeCells>
  <printOptions horizontalCentered="1" verticalCentered="1"/>
  <pageMargins left="0.25" right="0.25" top="1.2" bottom="0.73" header="0.5" footer="0.5"/>
  <pageSetup scale="65" orientation="landscape" r:id="rId5"/>
  <headerFooter scaleWithDoc="0" alignWithMargins="0">
    <oddHeader>&amp;CAvista Corporation Natural Gas Decoupling Mechanism
Washington Jurisdiction
Quarterly Report for 4rd Quarter 2012</oddHeader>
    <oddFooter>&amp;Cfile: &amp;F / &amp;A&amp;RPage &amp;P of &amp;N</oddFooter>
  </headerFooter>
  <rowBreaks count="1" manualBreakCount="1">
    <brk id="38" max="16383" man="1"/>
  </rowBreaks>
</worksheet>
</file>

<file path=xl/worksheets/sheet3.xml><?xml version="1.0" encoding="utf-8"?>
<worksheet xmlns="http://schemas.openxmlformats.org/spreadsheetml/2006/main" xmlns:r="http://schemas.openxmlformats.org/officeDocument/2006/relationships">
  <dimension ref="A1:P103"/>
  <sheetViews>
    <sheetView tabSelected="1" topLeftCell="A81" zoomScaleNormal="100" workbookViewId="0">
      <selection activeCell="E81" sqref="E81"/>
    </sheetView>
  </sheetViews>
  <sheetFormatPr defaultRowHeight="12.75"/>
  <cols>
    <col min="1" max="1" width="11.5703125" style="13" customWidth="1"/>
    <col min="2" max="2" width="49.28515625" style="13" customWidth="1"/>
    <col min="3" max="3" width="12.85546875" style="13" customWidth="1"/>
    <col min="4" max="4" width="13.42578125" style="13" customWidth="1"/>
    <col min="5" max="5" width="1.7109375" style="13" customWidth="1"/>
    <col min="6" max="6" width="6.7109375" style="13" customWidth="1"/>
    <col min="7" max="7" width="9.140625" style="13"/>
    <col min="8" max="8" width="10.85546875" style="13" bestFit="1" customWidth="1"/>
    <col min="9" max="16384" width="9.140625" style="13"/>
  </cols>
  <sheetData>
    <row r="1" spans="1:6">
      <c r="A1" s="212" t="s">
        <v>105</v>
      </c>
      <c r="B1" s="212"/>
      <c r="C1" s="212"/>
      <c r="D1" s="212"/>
      <c r="E1" s="212"/>
    </row>
    <row r="3" spans="1:6">
      <c r="A3" s="32" t="s">
        <v>134</v>
      </c>
      <c r="B3" s="32"/>
      <c r="C3" s="32"/>
      <c r="D3" s="32"/>
    </row>
    <row r="4" spans="1:6">
      <c r="A4" s="32"/>
      <c r="B4" s="32"/>
      <c r="C4" s="32"/>
      <c r="D4" s="32"/>
    </row>
    <row r="5" spans="1:6" ht="27" customHeight="1">
      <c r="A5" s="80" t="s">
        <v>106</v>
      </c>
      <c r="B5" s="81" t="s">
        <v>107</v>
      </c>
      <c r="C5" s="82" t="s">
        <v>108</v>
      </c>
      <c r="D5" s="82" t="s">
        <v>109</v>
      </c>
    </row>
    <row r="6" spans="1:6">
      <c r="A6" s="32"/>
      <c r="B6" s="32"/>
      <c r="C6" s="32"/>
      <c r="D6" s="32"/>
    </row>
    <row r="7" spans="1:6" ht="25.5">
      <c r="A7" s="83" t="s">
        <v>110</v>
      </c>
      <c r="B7" s="84" t="s">
        <v>111</v>
      </c>
      <c r="C7" s="83" t="s">
        <v>112</v>
      </c>
      <c r="D7" s="83" t="s">
        <v>113</v>
      </c>
    </row>
    <row r="8" spans="1:6">
      <c r="A8" s="85" t="s">
        <v>140</v>
      </c>
      <c r="B8" s="86">
        <v>137277</v>
      </c>
      <c r="C8" s="87">
        <v>71300</v>
      </c>
      <c r="D8" s="86">
        <v>208577</v>
      </c>
    </row>
    <row r="9" spans="1:6">
      <c r="A9" s="85" t="s">
        <v>137</v>
      </c>
      <c r="B9" s="86">
        <v>208577</v>
      </c>
      <c r="C9" s="87">
        <v>51023</v>
      </c>
      <c r="D9" s="86">
        <v>259600</v>
      </c>
    </row>
    <row r="10" spans="1:6">
      <c r="A10" s="85" t="s">
        <v>138</v>
      </c>
      <c r="B10" s="86">
        <v>259600</v>
      </c>
      <c r="C10" s="87">
        <v>-259600</v>
      </c>
      <c r="D10" s="86">
        <v>0</v>
      </c>
      <c r="F10" s="13" t="s">
        <v>150</v>
      </c>
    </row>
    <row r="11" spans="1:6">
      <c r="A11" s="88"/>
      <c r="B11" s="89"/>
      <c r="C11" s="90" t="s">
        <v>131</v>
      </c>
      <c r="D11" s="89"/>
    </row>
    <row r="12" spans="1:6">
      <c r="A12" s="91"/>
      <c r="B12" s="92"/>
      <c r="C12" s="93"/>
      <c r="D12" s="92"/>
    </row>
    <row r="14" spans="1:6">
      <c r="A14" s="32" t="s">
        <v>134</v>
      </c>
      <c r="B14" s="32"/>
      <c r="C14" s="32"/>
      <c r="D14" s="32"/>
    </row>
    <row r="15" spans="1:6">
      <c r="A15" s="32"/>
      <c r="B15" s="32"/>
      <c r="C15" s="32"/>
      <c r="D15" s="32"/>
    </row>
    <row r="16" spans="1:6" ht="25.5">
      <c r="A16" s="80" t="s">
        <v>114</v>
      </c>
      <c r="B16" s="81" t="s">
        <v>115</v>
      </c>
      <c r="C16" s="82" t="s">
        <v>108</v>
      </c>
      <c r="D16" s="82" t="s">
        <v>109</v>
      </c>
    </row>
    <row r="17" spans="1:16">
      <c r="A17" s="32"/>
      <c r="B17" s="32"/>
      <c r="C17" s="32"/>
      <c r="D17" s="32"/>
    </row>
    <row r="18" spans="1:16" ht="25.5">
      <c r="A18" s="83" t="s">
        <v>110</v>
      </c>
      <c r="B18" s="84" t="s">
        <v>111</v>
      </c>
      <c r="C18" s="83" t="s">
        <v>112</v>
      </c>
      <c r="D18" s="83" t="s">
        <v>113</v>
      </c>
    </row>
    <row r="19" spans="1:16">
      <c r="A19" s="85" t="s">
        <v>140</v>
      </c>
      <c r="B19" s="86">
        <v>25076.27</v>
      </c>
      <c r="C19" s="87">
        <v>-14871.08</v>
      </c>
      <c r="D19" s="86">
        <v>10205.19</v>
      </c>
      <c r="E19" s="23"/>
    </row>
    <row r="20" spans="1:16">
      <c r="A20" s="85" t="s">
        <v>137</v>
      </c>
      <c r="B20" s="86">
        <v>10205.19</v>
      </c>
      <c r="C20" s="87">
        <v>-1709.8700000000001</v>
      </c>
      <c r="D20" s="86">
        <v>8495.32</v>
      </c>
      <c r="F20" s="23"/>
    </row>
    <row r="21" spans="1:16">
      <c r="A21" s="85" t="s">
        <v>138</v>
      </c>
      <c r="B21" s="86">
        <v>8495.32</v>
      </c>
      <c r="C21" s="87">
        <v>-1172.3600000000001</v>
      </c>
      <c r="D21" s="86">
        <v>7322.96</v>
      </c>
    </row>
    <row r="22" spans="1:16">
      <c r="A22" s="88"/>
      <c r="B22" s="89"/>
      <c r="C22" s="90" t="s">
        <v>141</v>
      </c>
      <c r="D22" s="89"/>
      <c r="P22" s="94"/>
    </row>
    <row r="23" spans="1:16">
      <c r="A23" s="91"/>
      <c r="B23" s="92"/>
      <c r="C23" s="93"/>
      <c r="D23" s="92"/>
      <c r="P23" s="94"/>
    </row>
    <row r="25" spans="1:16">
      <c r="A25" s="32" t="s">
        <v>134</v>
      </c>
      <c r="B25" s="32"/>
      <c r="C25" s="32"/>
      <c r="D25" s="32"/>
    </row>
    <row r="26" spans="1:16">
      <c r="A26" s="32"/>
      <c r="B26" s="32"/>
      <c r="C26" s="32"/>
      <c r="D26" s="32"/>
    </row>
    <row r="27" spans="1:16" ht="25.5">
      <c r="A27" s="80" t="s">
        <v>116</v>
      </c>
      <c r="B27" s="81" t="s">
        <v>117</v>
      </c>
      <c r="C27" s="82" t="s">
        <v>108</v>
      </c>
      <c r="D27" s="82" t="s">
        <v>109</v>
      </c>
    </row>
    <row r="28" spans="1:16">
      <c r="A28" s="32"/>
      <c r="B28" s="32"/>
      <c r="C28" s="32"/>
      <c r="D28" s="32"/>
    </row>
    <row r="29" spans="1:16" ht="25.5">
      <c r="A29" s="83" t="s">
        <v>110</v>
      </c>
      <c r="B29" s="84" t="s">
        <v>111</v>
      </c>
      <c r="C29" s="83" t="s">
        <v>112</v>
      </c>
      <c r="D29" s="83" t="s">
        <v>113</v>
      </c>
    </row>
    <row r="30" spans="1:16">
      <c r="A30" s="85" t="s">
        <v>140</v>
      </c>
      <c r="B30" s="86">
        <v>-6676</v>
      </c>
      <c r="C30" s="87">
        <v>0</v>
      </c>
      <c r="D30" s="86">
        <v>-6676</v>
      </c>
    </row>
    <row r="31" spans="1:16">
      <c r="A31" s="85" t="s">
        <v>137</v>
      </c>
      <c r="B31" s="86">
        <v>-6676</v>
      </c>
      <c r="C31" s="87">
        <v>6676</v>
      </c>
      <c r="D31" s="86">
        <v>0</v>
      </c>
    </row>
    <row r="32" spans="1:16">
      <c r="A32" s="85" t="s">
        <v>138</v>
      </c>
      <c r="B32" s="86">
        <v>0</v>
      </c>
      <c r="C32" s="87">
        <v>0</v>
      </c>
      <c r="D32" s="86">
        <v>0</v>
      </c>
      <c r="F32" s="23"/>
      <c r="O32" s="46"/>
    </row>
    <row r="33" spans="1:4">
      <c r="A33" s="88"/>
      <c r="B33" s="89"/>
      <c r="C33" s="90" t="s">
        <v>142</v>
      </c>
      <c r="D33" s="89"/>
    </row>
    <row r="34" spans="1:4">
      <c r="A34" s="91"/>
      <c r="B34" s="92"/>
      <c r="C34" s="154"/>
      <c r="D34" s="92"/>
    </row>
    <row r="35" spans="1:4">
      <c r="A35" s="91"/>
      <c r="B35" s="92"/>
      <c r="C35" s="154"/>
      <c r="D35" s="92"/>
    </row>
    <row r="36" spans="1:4">
      <c r="A36" s="155" t="s">
        <v>134</v>
      </c>
      <c r="B36" s="155"/>
      <c r="C36" s="155"/>
      <c r="D36" s="155"/>
    </row>
    <row r="37" spans="1:4">
      <c r="A37" s="155"/>
      <c r="B37" s="155"/>
      <c r="C37" s="155"/>
      <c r="D37" s="155"/>
    </row>
    <row r="38" spans="1:4" ht="25.5">
      <c r="A38" s="156" t="s">
        <v>135</v>
      </c>
      <c r="B38" s="157" t="s">
        <v>136</v>
      </c>
      <c r="C38" s="158" t="s">
        <v>108</v>
      </c>
      <c r="D38" s="158" t="s">
        <v>109</v>
      </c>
    </row>
    <row r="39" spans="1:4">
      <c r="A39" s="155"/>
      <c r="B39" s="155"/>
      <c r="C39" s="155"/>
      <c r="D39" s="155"/>
    </row>
    <row r="40" spans="1:4" ht="25.5">
      <c r="A40" s="159" t="s">
        <v>110</v>
      </c>
      <c r="B40" s="160" t="s">
        <v>111</v>
      </c>
      <c r="C40" s="159" t="s">
        <v>112</v>
      </c>
      <c r="D40" s="159" t="s">
        <v>113</v>
      </c>
    </row>
    <row r="41" spans="1:4">
      <c r="A41" s="161" t="s">
        <v>137</v>
      </c>
      <c r="B41" s="162">
        <v>0</v>
      </c>
      <c r="C41" s="163">
        <v>-6216.21</v>
      </c>
      <c r="D41" s="162">
        <v>-6216.21</v>
      </c>
    </row>
    <row r="42" spans="1:4">
      <c r="A42" s="161" t="s">
        <v>138</v>
      </c>
      <c r="B42" s="162">
        <v>-6216.21</v>
      </c>
      <c r="C42" s="163">
        <v>685.25</v>
      </c>
      <c r="D42" s="162">
        <v>-5530.96</v>
      </c>
    </row>
    <row r="43" spans="1:4">
      <c r="A43" s="164"/>
      <c r="B43" s="165"/>
      <c r="C43" s="166" t="s">
        <v>139</v>
      </c>
      <c r="D43" s="165"/>
    </row>
    <row r="44" spans="1:4">
      <c r="A44" s="91"/>
      <c r="B44" s="92"/>
      <c r="C44" s="154"/>
      <c r="D44" s="92"/>
    </row>
    <row r="45" spans="1:4">
      <c r="A45" s="91"/>
      <c r="B45" s="92"/>
      <c r="C45" s="93"/>
      <c r="D45" s="92"/>
    </row>
    <row r="47" spans="1:4">
      <c r="A47" s="32" t="s">
        <v>134</v>
      </c>
      <c r="B47" s="32"/>
      <c r="C47" s="32"/>
      <c r="D47" s="32"/>
    </row>
    <row r="48" spans="1:4">
      <c r="A48" s="32"/>
      <c r="B48" s="32"/>
      <c r="C48" s="32"/>
      <c r="D48" s="32"/>
    </row>
    <row r="49" spans="1:8" ht="25.5">
      <c r="A49" s="80" t="s">
        <v>118</v>
      </c>
      <c r="B49" s="81" t="s">
        <v>119</v>
      </c>
      <c r="C49" s="82" t="s">
        <v>108</v>
      </c>
      <c r="D49" s="82" t="s">
        <v>109</v>
      </c>
    </row>
    <row r="50" spans="1:8">
      <c r="A50" s="32"/>
      <c r="B50" s="32"/>
      <c r="C50" s="32"/>
      <c r="D50" s="32"/>
    </row>
    <row r="51" spans="1:8" ht="25.5">
      <c r="A51" s="83" t="s">
        <v>110</v>
      </c>
      <c r="B51" s="84" t="s">
        <v>111</v>
      </c>
      <c r="C51" s="83" t="s">
        <v>112</v>
      </c>
      <c r="D51" s="83" t="s">
        <v>113</v>
      </c>
      <c r="H51" s="135" t="s">
        <v>130</v>
      </c>
    </row>
    <row r="52" spans="1:8">
      <c r="A52" s="85" t="s">
        <v>140</v>
      </c>
      <c r="B52" s="86">
        <v>-54487.1</v>
      </c>
      <c r="C52" s="87">
        <v>-19750.12</v>
      </c>
      <c r="D52" s="86">
        <v>-74237.22</v>
      </c>
      <c r="H52" s="134">
        <f>(D8+D19+D30)*-0.35</f>
        <v>-74237.166499999992</v>
      </c>
    </row>
    <row r="53" spans="1:8">
      <c r="A53" s="85" t="s">
        <v>137</v>
      </c>
      <c r="B53" s="86">
        <v>-74237.22</v>
      </c>
      <c r="C53" s="87">
        <v>-17420.52</v>
      </c>
      <c r="D53" s="86">
        <v>-91657.74</v>
      </c>
      <c r="H53" s="134">
        <f>(D9+D20+D31+D41)*-0.35</f>
        <v>-91657.688500000004</v>
      </c>
    </row>
    <row r="54" spans="1:8">
      <c r="A54" s="85" t="s">
        <v>138</v>
      </c>
      <c r="B54" s="86">
        <v>-91657.74</v>
      </c>
      <c r="C54" s="87">
        <v>91030.49</v>
      </c>
      <c r="D54" s="86">
        <v>-627.25</v>
      </c>
      <c r="H54" s="134">
        <f>(D10+D21+D32+D42)*-0.35</f>
        <v>-627.19999999999993</v>
      </c>
    </row>
    <row r="55" spans="1:8">
      <c r="A55" s="88"/>
      <c r="B55" s="89"/>
      <c r="C55" s="90" t="s">
        <v>143</v>
      </c>
      <c r="D55" s="89"/>
    </row>
    <row r="57" spans="1:8">
      <c r="A57" s="212" t="s">
        <v>120</v>
      </c>
      <c r="B57" s="212"/>
      <c r="C57" s="212"/>
      <c r="D57" s="212"/>
      <c r="E57" s="212"/>
    </row>
    <row r="59" spans="1:8">
      <c r="A59" s="32" t="s">
        <v>134</v>
      </c>
      <c r="B59" s="32"/>
      <c r="C59" s="32"/>
      <c r="D59" s="32"/>
    </row>
    <row r="60" spans="1:8">
      <c r="A60" s="32"/>
      <c r="B60" s="32"/>
      <c r="C60" s="32"/>
      <c r="D60" s="32"/>
    </row>
    <row r="61" spans="1:8" ht="25.5">
      <c r="A61" s="80" t="s">
        <v>121</v>
      </c>
      <c r="B61" s="81" t="s">
        <v>122</v>
      </c>
      <c r="C61" s="82" t="s">
        <v>108</v>
      </c>
      <c r="D61" s="82" t="s">
        <v>109</v>
      </c>
    </row>
    <row r="62" spans="1:8">
      <c r="A62" s="32"/>
      <c r="B62" s="32"/>
      <c r="C62" s="32"/>
      <c r="D62" s="32"/>
    </row>
    <row r="63" spans="1:8" ht="25.5">
      <c r="A63" s="83" t="s">
        <v>110</v>
      </c>
      <c r="B63" s="84" t="s">
        <v>111</v>
      </c>
      <c r="C63" s="83" t="s">
        <v>112</v>
      </c>
      <c r="D63" s="83" t="s">
        <v>113</v>
      </c>
    </row>
    <row r="64" spans="1:8">
      <c r="A64" s="85" t="s">
        <v>140</v>
      </c>
      <c r="B64" s="86">
        <v>-313925</v>
      </c>
      <c r="C64" s="87">
        <v>-71300</v>
      </c>
      <c r="D64" s="86">
        <v>-385225</v>
      </c>
    </row>
    <row r="65" spans="1:6">
      <c r="A65" s="85" t="s">
        <v>137</v>
      </c>
      <c r="B65" s="86">
        <v>-385225</v>
      </c>
      <c r="C65" s="87">
        <v>-51023</v>
      </c>
      <c r="D65" s="86">
        <v>-436248</v>
      </c>
    </row>
    <row r="66" spans="1:6">
      <c r="A66" s="85" t="s">
        <v>138</v>
      </c>
      <c r="B66" s="86">
        <v>-436248</v>
      </c>
      <c r="C66" s="87">
        <v>-184685</v>
      </c>
      <c r="D66" s="86">
        <v>-620933</v>
      </c>
    </row>
    <row r="67" spans="1:6">
      <c r="A67" s="88"/>
      <c r="B67" s="89"/>
      <c r="C67" s="90" t="s">
        <v>144</v>
      </c>
      <c r="D67" s="89"/>
    </row>
    <row r="70" spans="1:6">
      <c r="A70" s="32" t="s">
        <v>134</v>
      </c>
      <c r="B70" s="32"/>
      <c r="C70" s="32"/>
      <c r="D70" s="32"/>
    </row>
    <row r="71" spans="1:6">
      <c r="A71" s="32"/>
      <c r="B71" s="32"/>
      <c r="C71" s="32"/>
      <c r="D71" s="32"/>
    </row>
    <row r="72" spans="1:6" ht="25.5">
      <c r="A72" s="80" t="s">
        <v>123</v>
      </c>
      <c r="B72" s="81" t="s">
        <v>124</v>
      </c>
      <c r="C72" s="82" t="s">
        <v>108</v>
      </c>
      <c r="D72" s="82" t="s">
        <v>109</v>
      </c>
    </row>
    <row r="73" spans="1:6">
      <c r="A73" s="32"/>
      <c r="B73" s="32"/>
      <c r="C73" s="32"/>
      <c r="D73" s="32"/>
    </row>
    <row r="74" spans="1:6" ht="25.5">
      <c r="A74" s="83" t="s">
        <v>110</v>
      </c>
      <c r="B74" s="84" t="s">
        <v>111</v>
      </c>
      <c r="C74" s="83" t="s">
        <v>112</v>
      </c>
      <c r="D74" s="83" t="s">
        <v>113</v>
      </c>
    </row>
    <row r="75" spans="1:6">
      <c r="A75" s="85" t="s">
        <v>140</v>
      </c>
      <c r="B75" s="86">
        <v>163472</v>
      </c>
      <c r="C75" s="87">
        <v>0</v>
      </c>
      <c r="D75" s="86">
        <v>163472</v>
      </c>
    </row>
    <row r="76" spans="1:6">
      <c r="A76" s="85" t="s">
        <v>137</v>
      </c>
      <c r="B76" s="86">
        <v>163472</v>
      </c>
      <c r="C76" s="87">
        <v>0</v>
      </c>
      <c r="D76" s="86">
        <v>163472</v>
      </c>
    </row>
    <row r="77" spans="1:6">
      <c r="A77" s="85" t="s">
        <v>138</v>
      </c>
      <c r="B77" s="86">
        <v>163472</v>
      </c>
      <c r="C77" s="87">
        <v>444285</v>
      </c>
      <c r="D77" s="86">
        <v>607757</v>
      </c>
      <c r="F77" s="13" t="s">
        <v>150</v>
      </c>
    </row>
    <row r="78" spans="1:6">
      <c r="A78" s="88"/>
      <c r="B78" s="89"/>
      <c r="C78" s="90" t="s">
        <v>146</v>
      </c>
      <c r="D78" s="89"/>
    </row>
    <row r="81" spans="1:4">
      <c r="A81" s="32" t="s">
        <v>134</v>
      </c>
      <c r="B81" s="32"/>
      <c r="C81" s="32"/>
      <c r="D81" s="32"/>
    </row>
    <row r="82" spans="1:4">
      <c r="A82" s="32"/>
      <c r="B82" s="32"/>
      <c r="C82" s="32"/>
      <c r="D82" s="32"/>
    </row>
    <row r="83" spans="1:4" ht="25.5">
      <c r="A83" s="80" t="s">
        <v>125</v>
      </c>
      <c r="B83" s="81" t="s">
        <v>126</v>
      </c>
      <c r="C83" s="82" t="s">
        <v>108</v>
      </c>
      <c r="D83" s="82" t="s">
        <v>109</v>
      </c>
    </row>
    <row r="84" spans="1:4">
      <c r="A84" s="32"/>
      <c r="B84" s="32"/>
      <c r="C84" s="32"/>
      <c r="D84" s="32"/>
    </row>
    <row r="85" spans="1:4" ht="25.5">
      <c r="A85" s="83" t="s">
        <v>110</v>
      </c>
      <c r="B85" s="84" t="s">
        <v>111</v>
      </c>
      <c r="C85" s="83" t="s">
        <v>112</v>
      </c>
      <c r="D85" s="83" t="s">
        <v>113</v>
      </c>
    </row>
    <row r="86" spans="1:4">
      <c r="A86" s="85" t="s">
        <v>140</v>
      </c>
      <c r="B86" s="86">
        <v>166586.9</v>
      </c>
      <c r="C86" s="87">
        <v>14918.79</v>
      </c>
      <c r="D86" s="86">
        <v>181505.69</v>
      </c>
    </row>
    <row r="87" spans="1:4">
      <c r="A87" s="85" t="s">
        <v>137</v>
      </c>
      <c r="B87" s="86">
        <v>181505.69</v>
      </c>
      <c r="C87" s="87">
        <v>1735.16</v>
      </c>
      <c r="D87" s="86">
        <v>183240.85</v>
      </c>
    </row>
    <row r="88" spans="1:4">
      <c r="A88" s="85" t="s">
        <v>138</v>
      </c>
      <c r="B88" s="86">
        <v>183240.85</v>
      </c>
      <c r="C88" s="87">
        <v>1193.75</v>
      </c>
      <c r="D88" s="86">
        <v>184434.6</v>
      </c>
    </row>
    <row r="89" spans="1:4">
      <c r="A89" s="88"/>
      <c r="B89" s="89"/>
      <c r="C89" s="90" t="s">
        <v>145</v>
      </c>
      <c r="D89" s="89"/>
    </row>
    <row r="92" spans="1:4">
      <c r="A92" s="32" t="s">
        <v>134</v>
      </c>
      <c r="B92" s="32"/>
      <c r="C92" s="32"/>
      <c r="D92" s="32"/>
    </row>
    <row r="93" spans="1:4">
      <c r="A93" s="32"/>
      <c r="B93" s="32"/>
      <c r="C93" s="32"/>
      <c r="D93" s="32"/>
    </row>
    <row r="94" spans="1:4" ht="25.5">
      <c r="A94" s="80" t="s">
        <v>147</v>
      </c>
      <c r="B94" s="81" t="s">
        <v>148</v>
      </c>
      <c r="C94" s="82" t="s">
        <v>108</v>
      </c>
      <c r="D94" s="82" t="s">
        <v>109</v>
      </c>
    </row>
    <row r="95" spans="1:4">
      <c r="A95" s="32"/>
      <c r="B95" s="32"/>
      <c r="C95" s="32"/>
      <c r="D95" s="32"/>
    </row>
    <row r="96" spans="1:4" ht="25.5">
      <c r="A96" s="83" t="s">
        <v>110</v>
      </c>
      <c r="B96" s="84" t="s">
        <v>111</v>
      </c>
      <c r="C96" s="83" t="s">
        <v>112</v>
      </c>
      <c r="D96" s="83" t="s">
        <v>113</v>
      </c>
    </row>
    <row r="97" spans="1:4">
      <c r="A97" s="85" t="s">
        <v>137</v>
      </c>
      <c r="B97" s="86">
        <v>0</v>
      </c>
      <c r="C97" s="87">
        <v>-477.22</v>
      </c>
      <c r="D97" s="86">
        <v>-477.22</v>
      </c>
    </row>
    <row r="98" spans="1:4">
      <c r="A98" s="85" t="s">
        <v>138</v>
      </c>
      <c r="B98" s="86">
        <v>-477.22</v>
      </c>
      <c r="C98" s="87">
        <v>-701.14</v>
      </c>
      <c r="D98" s="86">
        <v>-1178.3600000000001</v>
      </c>
    </row>
    <row r="99" spans="1:4">
      <c r="A99" s="85"/>
      <c r="B99" s="86"/>
      <c r="C99" s="90" t="s">
        <v>149</v>
      </c>
      <c r="D99" s="86"/>
    </row>
    <row r="100" spans="1:4">
      <c r="A100" s="91"/>
      <c r="B100" s="92"/>
      <c r="C100" s="154"/>
      <c r="D100" s="92"/>
    </row>
    <row r="103" spans="1:4" ht="147.75" customHeight="1">
      <c r="A103" s="95" t="s">
        <v>150</v>
      </c>
      <c r="B103" s="213" t="s">
        <v>151</v>
      </c>
      <c r="C103" s="214"/>
      <c r="D103" s="214"/>
    </row>
  </sheetData>
  <mergeCells count="3">
    <mergeCell ref="A1:E1"/>
    <mergeCell ref="A57:E57"/>
    <mergeCell ref="B103:D103"/>
  </mergeCells>
  <printOptions horizontalCentered="1"/>
  <pageMargins left="0.25" right="0.25" top="1.2" bottom="0.73" header="0.5" footer="0.5"/>
  <pageSetup scale="80" orientation="portrait" r:id="rId1"/>
  <headerFooter scaleWithDoc="0" alignWithMargins="0">
    <oddHeader>&amp;CAvista Corporation Natural Gas Decoupling Mechanism
Washington Jurisdiction
Quarterly Report for 4rd Quarter 2012</oddHeader>
    <oddFooter>&amp;Cfile: &amp;F / &amp;A&amp;RPage &amp;P of &amp;N</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dimension ref="A1:R61"/>
  <sheetViews>
    <sheetView tabSelected="1" view="pageLayout" topLeftCell="C32" zoomScaleNormal="100" workbookViewId="0">
      <selection activeCell="E81" sqref="E81"/>
    </sheetView>
  </sheetViews>
  <sheetFormatPr defaultRowHeight="12.75"/>
  <cols>
    <col min="1" max="1" width="11.7109375" style="167" customWidth="1"/>
    <col min="2" max="2" width="14.42578125" style="167" customWidth="1"/>
    <col min="3" max="3" width="11.7109375" style="167" customWidth="1"/>
    <col min="4" max="4" width="9.140625" style="167"/>
    <col min="5" max="5" width="13.5703125" style="167" customWidth="1"/>
    <col min="6" max="7" width="9.140625" style="167"/>
    <col min="8" max="8" width="12.5703125" style="167" customWidth="1"/>
    <col min="9" max="9" width="12" style="167" customWidth="1"/>
    <col min="10" max="10" width="13" style="167" customWidth="1"/>
    <col min="11" max="11" width="10.140625" style="167" customWidth="1"/>
    <col min="12" max="12" width="15.28515625" style="167" customWidth="1"/>
    <col min="13" max="13" width="13" style="167" customWidth="1"/>
    <col min="14" max="14" width="9.140625" style="167"/>
    <col min="15" max="15" width="11.140625" style="167" customWidth="1"/>
    <col min="16" max="16" width="9.140625" style="167"/>
    <col min="17" max="17" width="11.140625" style="167" bestFit="1" customWidth="1"/>
    <col min="18" max="18" width="12.140625" style="167" customWidth="1"/>
    <col min="19" max="256" width="9.140625" style="167"/>
    <col min="257" max="257" width="11.7109375" style="167" customWidth="1"/>
    <col min="258" max="258" width="14.42578125" style="167" customWidth="1"/>
    <col min="259" max="259" width="11.7109375" style="167" customWidth="1"/>
    <col min="260" max="260" width="9.140625" style="167"/>
    <col min="261" max="261" width="13.5703125" style="167" customWidth="1"/>
    <col min="262" max="263" width="9.140625" style="167"/>
    <col min="264" max="264" width="12.5703125" style="167" customWidth="1"/>
    <col min="265" max="265" width="12" style="167" customWidth="1"/>
    <col min="266" max="266" width="13" style="167" customWidth="1"/>
    <col min="267" max="267" width="10.140625" style="167" customWidth="1"/>
    <col min="268" max="268" width="15.28515625" style="167" customWidth="1"/>
    <col min="269" max="269" width="13" style="167" customWidth="1"/>
    <col min="270" max="270" width="9.140625" style="167"/>
    <col min="271" max="271" width="11.140625" style="167" customWidth="1"/>
    <col min="272" max="272" width="9.140625" style="167"/>
    <col min="273" max="273" width="11.140625" style="167" bestFit="1" customWidth="1"/>
    <col min="274" max="274" width="12.140625" style="167" customWidth="1"/>
    <col min="275" max="512" width="9.140625" style="167"/>
    <col min="513" max="513" width="11.7109375" style="167" customWidth="1"/>
    <col min="514" max="514" width="14.42578125" style="167" customWidth="1"/>
    <col min="515" max="515" width="11.7109375" style="167" customWidth="1"/>
    <col min="516" max="516" width="9.140625" style="167"/>
    <col min="517" max="517" width="13.5703125" style="167" customWidth="1"/>
    <col min="518" max="519" width="9.140625" style="167"/>
    <col min="520" max="520" width="12.5703125" style="167" customWidth="1"/>
    <col min="521" max="521" width="12" style="167" customWidth="1"/>
    <col min="522" max="522" width="13" style="167" customWidth="1"/>
    <col min="523" max="523" width="10.140625" style="167" customWidth="1"/>
    <col min="524" max="524" width="15.28515625" style="167" customWidth="1"/>
    <col min="525" max="525" width="13" style="167" customWidth="1"/>
    <col min="526" max="526" width="9.140625" style="167"/>
    <col min="527" max="527" width="11.140625" style="167" customWidth="1"/>
    <col min="528" max="528" width="9.140625" style="167"/>
    <col min="529" max="529" width="11.140625" style="167" bestFit="1" customWidth="1"/>
    <col min="530" max="530" width="12.140625" style="167" customWidth="1"/>
    <col min="531" max="768" width="9.140625" style="167"/>
    <col min="769" max="769" width="11.7109375" style="167" customWidth="1"/>
    <col min="770" max="770" width="14.42578125" style="167" customWidth="1"/>
    <col min="771" max="771" width="11.7109375" style="167" customWidth="1"/>
    <col min="772" max="772" width="9.140625" style="167"/>
    <col min="773" max="773" width="13.5703125" style="167" customWidth="1"/>
    <col min="774" max="775" width="9.140625" style="167"/>
    <col min="776" max="776" width="12.5703125" style="167" customWidth="1"/>
    <col min="777" max="777" width="12" style="167" customWidth="1"/>
    <col min="778" max="778" width="13" style="167" customWidth="1"/>
    <col min="779" max="779" width="10.140625" style="167" customWidth="1"/>
    <col min="780" max="780" width="15.28515625" style="167" customWidth="1"/>
    <col min="781" max="781" width="13" style="167" customWidth="1"/>
    <col min="782" max="782" width="9.140625" style="167"/>
    <col min="783" max="783" width="11.140625" style="167" customWidth="1"/>
    <col min="784" max="784" width="9.140625" style="167"/>
    <col min="785" max="785" width="11.140625" style="167" bestFit="1" customWidth="1"/>
    <col min="786" max="786" width="12.140625" style="167" customWidth="1"/>
    <col min="787" max="1024" width="9.140625" style="167"/>
    <col min="1025" max="1025" width="11.7109375" style="167" customWidth="1"/>
    <col min="1026" max="1026" width="14.42578125" style="167" customWidth="1"/>
    <col min="1027" max="1027" width="11.7109375" style="167" customWidth="1"/>
    <col min="1028" max="1028" width="9.140625" style="167"/>
    <col min="1029" max="1029" width="13.5703125" style="167" customWidth="1"/>
    <col min="1030" max="1031" width="9.140625" style="167"/>
    <col min="1032" max="1032" width="12.5703125" style="167" customWidth="1"/>
    <col min="1033" max="1033" width="12" style="167" customWidth="1"/>
    <col min="1034" max="1034" width="13" style="167" customWidth="1"/>
    <col min="1035" max="1035" width="10.140625" style="167" customWidth="1"/>
    <col min="1036" max="1036" width="15.28515625" style="167" customWidth="1"/>
    <col min="1037" max="1037" width="13" style="167" customWidth="1"/>
    <col min="1038" max="1038" width="9.140625" style="167"/>
    <col min="1039" max="1039" width="11.140625" style="167" customWidth="1"/>
    <col min="1040" max="1040" width="9.140625" style="167"/>
    <col min="1041" max="1041" width="11.140625" style="167" bestFit="1" customWidth="1"/>
    <col min="1042" max="1042" width="12.140625" style="167" customWidth="1"/>
    <col min="1043" max="1280" width="9.140625" style="167"/>
    <col min="1281" max="1281" width="11.7109375" style="167" customWidth="1"/>
    <col min="1282" max="1282" width="14.42578125" style="167" customWidth="1"/>
    <col min="1283" max="1283" width="11.7109375" style="167" customWidth="1"/>
    <col min="1284" max="1284" width="9.140625" style="167"/>
    <col min="1285" max="1285" width="13.5703125" style="167" customWidth="1"/>
    <col min="1286" max="1287" width="9.140625" style="167"/>
    <col min="1288" max="1288" width="12.5703125" style="167" customWidth="1"/>
    <col min="1289" max="1289" width="12" style="167" customWidth="1"/>
    <col min="1290" max="1290" width="13" style="167" customWidth="1"/>
    <col min="1291" max="1291" width="10.140625" style="167" customWidth="1"/>
    <col min="1292" max="1292" width="15.28515625" style="167" customWidth="1"/>
    <col min="1293" max="1293" width="13" style="167" customWidth="1"/>
    <col min="1294" max="1294" width="9.140625" style="167"/>
    <col min="1295" max="1295" width="11.140625" style="167" customWidth="1"/>
    <col min="1296" max="1296" width="9.140625" style="167"/>
    <col min="1297" max="1297" width="11.140625" style="167" bestFit="1" customWidth="1"/>
    <col min="1298" max="1298" width="12.140625" style="167" customWidth="1"/>
    <col min="1299" max="1536" width="9.140625" style="167"/>
    <col min="1537" max="1537" width="11.7109375" style="167" customWidth="1"/>
    <col min="1538" max="1538" width="14.42578125" style="167" customWidth="1"/>
    <col min="1539" max="1539" width="11.7109375" style="167" customWidth="1"/>
    <col min="1540" max="1540" width="9.140625" style="167"/>
    <col min="1541" max="1541" width="13.5703125" style="167" customWidth="1"/>
    <col min="1542" max="1543" width="9.140625" style="167"/>
    <col min="1544" max="1544" width="12.5703125" style="167" customWidth="1"/>
    <col min="1545" max="1545" width="12" style="167" customWidth="1"/>
    <col min="1546" max="1546" width="13" style="167" customWidth="1"/>
    <col min="1547" max="1547" width="10.140625" style="167" customWidth="1"/>
    <col min="1548" max="1548" width="15.28515625" style="167" customWidth="1"/>
    <col min="1549" max="1549" width="13" style="167" customWidth="1"/>
    <col min="1550" max="1550" width="9.140625" style="167"/>
    <col min="1551" max="1551" width="11.140625" style="167" customWidth="1"/>
    <col min="1552" max="1552" width="9.140625" style="167"/>
    <col min="1553" max="1553" width="11.140625" style="167" bestFit="1" customWidth="1"/>
    <col min="1554" max="1554" width="12.140625" style="167" customWidth="1"/>
    <col min="1555" max="1792" width="9.140625" style="167"/>
    <col min="1793" max="1793" width="11.7109375" style="167" customWidth="1"/>
    <col min="1794" max="1794" width="14.42578125" style="167" customWidth="1"/>
    <col min="1795" max="1795" width="11.7109375" style="167" customWidth="1"/>
    <col min="1796" max="1796" width="9.140625" style="167"/>
    <col min="1797" max="1797" width="13.5703125" style="167" customWidth="1"/>
    <col min="1798" max="1799" width="9.140625" style="167"/>
    <col min="1800" max="1800" width="12.5703125" style="167" customWidth="1"/>
    <col min="1801" max="1801" width="12" style="167" customWidth="1"/>
    <col min="1802" max="1802" width="13" style="167" customWidth="1"/>
    <col min="1803" max="1803" width="10.140625" style="167" customWidth="1"/>
    <col min="1804" max="1804" width="15.28515625" style="167" customWidth="1"/>
    <col min="1805" max="1805" width="13" style="167" customWidth="1"/>
    <col min="1806" max="1806" width="9.140625" style="167"/>
    <col min="1807" max="1807" width="11.140625" style="167" customWidth="1"/>
    <col min="1808" max="1808" width="9.140625" style="167"/>
    <col min="1809" max="1809" width="11.140625" style="167" bestFit="1" customWidth="1"/>
    <col min="1810" max="1810" width="12.140625" style="167" customWidth="1"/>
    <col min="1811" max="2048" width="9.140625" style="167"/>
    <col min="2049" max="2049" width="11.7109375" style="167" customWidth="1"/>
    <col min="2050" max="2050" width="14.42578125" style="167" customWidth="1"/>
    <col min="2051" max="2051" width="11.7109375" style="167" customWidth="1"/>
    <col min="2052" max="2052" width="9.140625" style="167"/>
    <col min="2053" max="2053" width="13.5703125" style="167" customWidth="1"/>
    <col min="2054" max="2055" width="9.140625" style="167"/>
    <col min="2056" max="2056" width="12.5703125" style="167" customWidth="1"/>
    <col min="2057" max="2057" width="12" style="167" customWidth="1"/>
    <col min="2058" max="2058" width="13" style="167" customWidth="1"/>
    <col min="2059" max="2059" width="10.140625" style="167" customWidth="1"/>
    <col min="2060" max="2060" width="15.28515625" style="167" customWidth="1"/>
    <col min="2061" max="2061" width="13" style="167" customWidth="1"/>
    <col min="2062" max="2062" width="9.140625" style="167"/>
    <col min="2063" max="2063" width="11.140625" style="167" customWidth="1"/>
    <col min="2064" max="2064" width="9.140625" style="167"/>
    <col min="2065" max="2065" width="11.140625" style="167" bestFit="1" customWidth="1"/>
    <col min="2066" max="2066" width="12.140625" style="167" customWidth="1"/>
    <col min="2067" max="2304" width="9.140625" style="167"/>
    <col min="2305" max="2305" width="11.7109375" style="167" customWidth="1"/>
    <col min="2306" max="2306" width="14.42578125" style="167" customWidth="1"/>
    <col min="2307" max="2307" width="11.7109375" style="167" customWidth="1"/>
    <col min="2308" max="2308" width="9.140625" style="167"/>
    <col min="2309" max="2309" width="13.5703125" style="167" customWidth="1"/>
    <col min="2310" max="2311" width="9.140625" style="167"/>
    <col min="2312" max="2312" width="12.5703125" style="167" customWidth="1"/>
    <col min="2313" max="2313" width="12" style="167" customWidth="1"/>
    <col min="2314" max="2314" width="13" style="167" customWidth="1"/>
    <col min="2315" max="2315" width="10.140625" style="167" customWidth="1"/>
    <col min="2316" max="2316" width="15.28515625" style="167" customWidth="1"/>
    <col min="2317" max="2317" width="13" style="167" customWidth="1"/>
    <col min="2318" max="2318" width="9.140625" style="167"/>
    <col min="2319" max="2319" width="11.140625" style="167" customWidth="1"/>
    <col min="2320" max="2320" width="9.140625" style="167"/>
    <col min="2321" max="2321" width="11.140625" style="167" bestFit="1" customWidth="1"/>
    <col min="2322" max="2322" width="12.140625" style="167" customWidth="1"/>
    <col min="2323" max="2560" width="9.140625" style="167"/>
    <col min="2561" max="2561" width="11.7109375" style="167" customWidth="1"/>
    <col min="2562" max="2562" width="14.42578125" style="167" customWidth="1"/>
    <col min="2563" max="2563" width="11.7109375" style="167" customWidth="1"/>
    <col min="2564" max="2564" width="9.140625" style="167"/>
    <col min="2565" max="2565" width="13.5703125" style="167" customWidth="1"/>
    <col min="2566" max="2567" width="9.140625" style="167"/>
    <col min="2568" max="2568" width="12.5703125" style="167" customWidth="1"/>
    <col min="2569" max="2569" width="12" style="167" customWidth="1"/>
    <col min="2570" max="2570" width="13" style="167" customWidth="1"/>
    <col min="2571" max="2571" width="10.140625" style="167" customWidth="1"/>
    <col min="2572" max="2572" width="15.28515625" style="167" customWidth="1"/>
    <col min="2573" max="2573" width="13" style="167" customWidth="1"/>
    <col min="2574" max="2574" width="9.140625" style="167"/>
    <col min="2575" max="2575" width="11.140625" style="167" customWidth="1"/>
    <col min="2576" max="2576" width="9.140625" style="167"/>
    <col min="2577" max="2577" width="11.140625" style="167" bestFit="1" customWidth="1"/>
    <col min="2578" max="2578" width="12.140625" style="167" customWidth="1"/>
    <col min="2579" max="2816" width="9.140625" style="167"/>
    <col min="2817" max="2817" width="11.7109375" style="167" customWidth="1"/>
    <col min="2818" max="2818" width="14.42578125" style="167" customWidth="1"/>
    <col min="2819" max="2819" width="11.7109375" style="167" customWidth="1"/>
    <col min="2820" max="2820" width="9.140625" style="167"/>
    <col min="2821" max="2821" width="13.5703125" style="167" customWidth="1"/>
    <col min="2822" max="2823" width="9.140625" style="167"/>
    <col min="2824" max="2824" width="12.5703125" style="167" customWidth="1"/>
    <col min="2825" max="2825" width="12" style="167" customWidth="1"/>
    <col min="2826" max="2826" width="13" style="167" customWidth="1"/>
    <col min="2827" max="2827" width="10.140625" style="167" customWidth="1"/>
    <col min="2828" max="2828" width="15.28515625" style="167" customWidth="1"/>
    <col min="2829" max="2829" width="13" style="167" customWidth="1"/>
    <col min="2830" max="2830" width="9.140625" style="167"/>
    <col min="2831" max="2831" width="11.140625" style="167" customWidth="1"/>
    <col min="2832" max="2832" width="9.140625" style="167"/>
    <col min="2833" max="2833" width="11.140625" style="167" bestFit="1" customWidth="1"/>
    <col min="2834" max="2834" width="12.140625" style="167" customWidth="1"/>
    <col min="2835" max="3072" width="9.140625" style="167"/>
    <col min="3073" max="3073" width="11.7109375" style="167" customWidth="1"/>
    <col min="3074" max="3074" width="14.42578125" style="167" customWidth="1"/>
    <col min="3075" max="3075" width="11.7109375" style="167" customWidth="1"/>
    <col min="3076" max="3076" width="9.140625" style="167"/>
    <col min="3077" max="3077" width="13.5703125" style="167" customWidth="1"/>
    <col min="3078" max="3079" width="9.140625" style="167"/>
    <col min="3080" max="3080" width="12.5703125" style="167" customWidth="1"/>
    <col min="3081" max="3081" width="12" style="167" customWidth="1"/>
    <col min="3082" max="3082" width="13" style="167" customWidth="1"/>
    <col min="3083" max="3083" width="10.140625" style="167" customWidth="1"/>
    <col min="3084" max="3084" width="15.28515625" style="167" customWidth="1"/>
    <col min="3085" max="3085" width="13" style="167" customWidth="1"/>
    <col min="3086" max="3086" width="9.140625" style="167"/>
    <col min="3087" max="3087" width="11.140625" style="167" customWidth="1"/>
    <col min="3088" max="3088" width="9.140625" style="167"/>
    <col min="3089" max="3089" width="11.140625" style="167" bestFit="1" customWidth="1"/>
    <col min="3090" max="3090" width="12.140625" style="167" customWidth="1"/>
    <col min="3091" max="3328" width="9.140625" style="167"/>
    <col min="3329" max="3329" width="11.7109375" style="167" customWidth="1"/>
    <col min="3330" max="3330" width="14.42578125" style="167" customWidth="1"/>
    <col min="3331" max="3331" width="11.7109375" style="167" customWidth="1"/>
    <col min="3332" max="3332" width="9.140625" style="167"/>
    <col min="3333" max="3333" width="13.5703125" style="167" customWidth="1"/>
    <col min="3334" max="3335" width="9.140625" style="167"/>
    <col min="3336" max="3336" width="12.5703125" style="167" customWidth="1"/>
    <col min="3337" max="3337" width="12" style="167" customWidth="1"/>
    <col min="3338" max="3338" width="13" style="167" customWidth="1"/>
    <col min="3339" max="3339" width="10.140625" style="167" customWidth="1"/>
    <col min="3340" max="3340" width="15.28515625" style="167" customWidth="1"/>
    <col min="3341" max="3341" width="13" style="167" customWidth="1"/>
    <col min="3342" max="3342" width="9.140625" style="167"/>
    <col min="3343" max="3343" width="11.140625" style="167" customWidth="1"/>
    <col min="3344" max="3344" width="9.140625" style="167"/>
    <col min="3345" max="3345" width="11.140625" style="167" bestFit="1" customWidth="1"/>
    <col min="3346" max="3346" width="12.140625" style="167" customWidth="1"/>
    <col min="3347" max="3584" width="9.140625" style="167"/>
    <col min="3585" max="3585" width="11.7109375" style="167" customWidth="1"/>
    <col min="3586" max="3586" width="14.42578125" style="167" customWidth="1"/>
    <col min="3587" max="3587" width="11.7109375" style="167" customWidth="1"/>
    <col min="3588" max="3588" width="9.140625" style="167"/>
    <col min="3589" max="3589" width="13.5703125" style="167" customWidth="1"/>
    <col min="3590" max="3591" width="9.140625" style="167"/>
    <col min="3592" max="3592" width="12.5703125" style="167" customWidth="1"/>
    <col min="3593" max="3593" width="12" style="167" customWidth="1"/>
    <col min="3594" max="3594" width="13" style="167" customWidth="1"/>
    <col min="3595" max="3595" width="10.140625" style="167" customWidth="1"/>
    <col min="3596" max="3596" width="15.28515625" style="167" customWidth="1"/>
    <col min="3597" max="3597" width="13" style="167" customWidth="1"/>
    <col min="3598" max="3598" width="9.140625" style="167"/>
    <col min="3599" max="3599" width="11.140625" style="167" customWidth="1"/>
    <col min="3600" max="3600" width="9.140625" style="167"/>
    <col min="3601" max="3601" width="11.140625" style="167" bestFit="1" customWidth="1"/>
    <col min="3602" max="3602" width="12.140625" style="167" customWidth="1"/>
    <col min="3603" max="3840" width="9.140625" style="167"/>
    <col min="3841" max="3841" width="11.7109375" style="167" customWidth="1"/>
    <col min="3842" max="3842" width="14.42578125" style="167" customWidth="1"/>
    <col min="3843" max="3843" width="11.7109375" style="167" customWidth="1"/>
    <col min="3844" max="3844" width="9.140625" style="167"/>
    <col min="3845" max="3845" width="13.5703125" style="167" customWidth="1"/>
    <col min="3846" max="3847" width="9.140625" style="167"/>
    <col min="3848" max="3848" width="12.5703125" style="167" customWidth="1"/>
    <col min="3849" max="3849" width="12" style="167" customWidth="1"/>
    <col min="3850" max="3850" width="13" style="167" customWidth="1"/>
    <col min="3851" max="3851" width="10.140625" style="167" customWidth="1"/>
    <col min="3852" max="3852" width="15.28515625" style="167" customWidth="1"/>
    <col min="3853" max="3853" width="13" style="167" customWidth="1"/>
    <col min="3854" max="3854" width="9.140625" style="167"/>
    <col min="3855" max="3855" width="11.140625" style="167" customWidth="1"/>
    <col min="3856" max="3856" width="9.140625" style="167"/>
    <col min="3857" max="3857" width="11.140625" style="167" bestFit="1" customWidth="1"/>
    <col min="3858" max="3858" width="12.140625" style="167" customWidth="1"/>
    <col min="3859" max="4096" width="9.140625" style="167"/>
    <col min="4097" max="4097" width="11.7109375" style="167" customWidth="1"/>
    <col min="4098" max="4098" width="14.42578125" style="167" customWidth="1"/>
    <col min="4099" max="4099" width="11.7109375" style="167" customWidth="1"/>
    <col min="4100" max="4100" width="9.140625" style="167"/>
    <col min="4101" max="4101" width="13.5703125" style="167" customWidth="1"/>
    <col min="4102" max="4103" width="9.140625" style="167"/>
    <col min="4104" max="4104" width="12.5703125" style="167" customWidth="1"/>
    <col min="4105" max="4105" width="12" style="167" customWidth="1"/>
    <col min="4106" max="4106" width="13" style="167" customWidth="1"/>
    <col min="4107" max="4107" width="10.140625" style="167" customWidth="1"/>
    <col min="4108" max="4108" width="15.28515625" style="167" customWidth="1"/>
    <col min="4109" max="4109" width="13" style="167" customWidth="1"/>
    <col min="4110" max="4110" width="9.140625" style="167"/>
    <col min="4111" max="4111" width="11.140625" style="167" customWidth="1"/>
    <col min="4112" max="4112" width="9.140625" style="167"/>
    <col min="4113" max="4113" width="11.140625" style="167" bestFit="1" customWidth="1"/>
    <col min="4114" max="4114" width="12.140625" style="167" customWidth="1"/>
    <col min="4115" max="4352" width="9.140625" style="167"/>
    <col min="4353" max="4353" width="11.7109375" style="167" customWidth="1"/>
    <col min="4354" max="4354" width="14.42578125" style="167" customWidth="1"/>
    <col min="4355" max="4355" width="11.7109375" style="167" customWidth="1"/>
    <col min="4356" max="4356" width="9.140625" style="167"/>
    <col min="4357" max="4357" width="13.5703125" style="167" customWidth="1"/>
    <col min="4358" max="4359" width="9.140625" style="167"/>
    <col min="4360" max="4360" width="12.5703125" style="167" customWidth="1"/>
    <col min="4361" max="4361" width="12" style="167" customWidth="1"/>
    <col min="4362" max="4362" width="13" style="167" customWidth="1"/>
    <col min="4363" max="4363" width="10.140625" style="167" customWidth="1"/>
    <col min="4364" max="4364" width="15.28515625" style="167" customWidth="1"/>
    <col min="4365" max="4365" width="13" style="167" customWidth="1"/>
    <col min="4366" max="4366" width="9.140625" style="167"/>
    <col min="4367" max="4367" width="11.140625" style="167" customWidth="1"/>
    <col min="4368" max="4368" width="9.140625" style="167"/>
    <col min="4369" max="4369" width="11.140625" style="167" bestFit="1" customWidth="1"/>
    <col min="4370" max="4370" width="12.140625" style="167" customWidth="1"/>
    <col min="4371" max="4608" width="9.140625" style="167"/>
    <col min="4609" max="4609" width="11.7109375" style="167" customWidth="1"/>
    <col min="4610" max="4610" width="14.42578125" style="167" customWidth="1"/>
    <col min="4611" max="4611" width="11.7109375" style="167" customWidth="1"/>
    <col min="4612" max="4612" width="9.140625" style="167"/>
    <col min="4613" max="4613" width="13.5703125" style="167" customWidth="1"/>
    <col min="4614" max="4615" width="9.140625" style="167"/>
    <col min="4616" max="4616" width="12.5703125" style="167" customWidth="1"/>
    <col min="4617" max="4617" width="12" style="167" customWidth="1"/>
    <col min="4618" max="4618" width="13" style="167" customWidth="1"/>
    <col min="4619" max="4619" width="10.140625" style="167" customWidth="1"/>
    <col min="4620" max="4620" width="15.28515625" style="167" customWidth="1"/>
    <col min="4621" max="4621" width="13" style="167" customWidth="1"/>
    <col min="4622" max="4622" width="9.140625" style="167"/>
    <col min="4623" max="4623" width="11.140625" style="167" customWidth="1"/>
    <col min="4624" max="4624" width="9.140625" style="167"/>
    <col min="4625" max="4625" width="11.140625" style="167" bestFit="1" customWidth="1"/>
    <col min="4626" max="4626" width="12.140625" style="167" customWidth="1"/>
    <col min="4627" max="4864" width="9.140625" style="167"/>
    <col min="4865" max="4865" width="11.7109375" style="167" customWidth="1"/>
    <col min="4866" max="4866" width="14.42578125" style="167" customWidth="1"/>
    <col min="4867" max="4867" width="11.7109375" style="167" customWidth="1"/>
    <col min="4868" max="4868" width="9.140625" style="167"/>
    <col min="4869" max="4869" width="13.5703125" style="167" customWidth="1"/>
    <col min="4870" max="4871" width="9.140625" style="167"/>
    <col min="4872" max="4872" width="12.5703125" style="167" customWidth="1"/>
    <col min="4873" max="4873" width="12" style="167" customWidth="1"/>
    <col min="4874" max="4874" width="13" style="167" customWidth="1"/>
    <col min="4875" max="4875" width="10.140625" style="167" customWidth="1"/>
    <col min="4876" max="4876" width="15.28515625" style="167" customWidth="1"/>
    <col min="4877" max="4877" width="13" style="167" customWidth="1"/>
    <col min="4878" max="4878" width="9.140625" style="167"/>
    <col min="4879" max="4879" width="11.140625" style="167" customWidth="1"/>
    <col min="4880" max="4880" width="9.140625" style="167"/>
    <col min="4881" max="4881" width="11.140625" style="167" bestFit="1" customWidth="1"/>
    <col min="4882" max="4882" width="12.140625" style="167" customWidth="1"/>
    <col min="4883" max="5120" width="9.140625" style="167"/>
    <col min="5121" max="5121" width="11.7109375" style="167" customWidth="1"/>
    <col min="5122" max="5122" width="14.42578125" style="167" customWidth="1"/>
    <col min="5123" max="5123" width="11.7109375" style="167" customWidth="1"/>
    <col min="5124" max="5124" width="9.140625" style="167"/>
    <col min="5125" max="5125" width="13.5703125" style="167" customWidth="1"/>
    <col min="5126" max="5127" width="9.140625" style="167"/>
    <col min="5128" max="5128" width="12.5703125" style="167" customWidth="1"/>
    <col min="5129" max="5129" width="12" style="167" customWidth="1"/>
    <col min="5130" max="5130" width="13" style="167" customWidth="1"/>
    <col min="5131" max="5131" width="10.140625" style="167" customWidth="1"/>
    <col min="5132" max="5132" width="15.28515625" style="167" customWidth="1"/>
    <col min="5133" max="5133" width="13" style="167" customWidth="1"/>
    <col min="5134" max="5134" width="9.140625" style="167"/>
    <col min="5135" max="5135" width="11.140625" style="167" customWidth="1"/>
    <col min="5136" max="5136" width="9.140625" style="167"/>
    <col min="5137" max="5137" width="11.140625" style="167" bestFit="1" customWidth="1"/>
    <col min="5138" max="5138" width="12.140625" style="167" customWidth="1"/>
    <col min="5139" max="5376" width="9.140625" style="167"/>
    <col min="5377" max="5377" width="11.7109375" style="167" customWidth="1"/>
    <col min="5378" max="5378" width="14.42578125" style="167" customWidth="1"/>
    <col min="5379" max="5379" width="11.7109375" style="167" customWidth="1"/>
    <col min="5380" max="5380" width="9.140625" style="167"/>
    <col min="5381" max="5381" width="13.5703125" style="167" customWidth="1"/>
    <col min="5382" max="5383" width="9.140625" style="167"/>
    <col min="5384" max="5384" width="12.5703125" style="167" customWidth="1"/>
    <col min="5385" max="5385" width="12" style="167" customWidth="1"/>
    <col min="5386" max="5386" width="13" style="167" customWidth="1"/>
    <col min="5387" max="5387" width="10.140625" style="167" customWidth="1"/>
    <col min="5388" max="5388" width="15.28515625" style="167" customWidth="1"/>
    <col min="5389" max="5389" width="13" style="167" customWidth="1"/>
    <col min="5390" max="5390" width="9.140625" style="167"/>
    <col min="5391" max="5391" width="11.140625" style="167" customWidth="1"/>
    <col min="5392" max="5392" width="9.140625" style="167"/>
    <col min="5393" max="5393" width="11.140625" style="167" bestFit="1" customWidth="1"/>
    <col min="5394" max="5394" width="12.140625" style="167" customWidth="1"/>
    <col min="5395" max="5632" width="9.140625" style="167"/>
    <col min="5633" max="5633" width="11.7109375" style="167" customWidth="1"/>
    <col min="5634" max="5634" width="14.42578125" style="167" customWidth="1"/>
    <col min="5635" max="5635" width="11.7109375" style="167" customWidth="1"/>
    <col min="5636" max="5636" width="9.140625" style="167"/>
    <col min="5637" max="5637" width="13.5703125" style="167" customWidth="1"/>
    <col min="5638" max="5639" width="9.140625" style="167"/>
    <col min="5640" max="5640" width="12.5703125" style="167" customWidth="1"/>
    <col min="5641" max="5641" width="12" style="167" customWidth="1"/>
    <col min="5642" max="5642" width="13" style="167" customWidth="1"/>
    <col min="5643" max="5643" width="10.140625" style="167" customWidth="1"/>
    <col min="5644" max="5644" width="15.28515625" style="167" customWidth="1"/>
    <col min="5645" max="5645" width="13" style="167" customWidth="1"/>
    <col min="5646" max="5646" width="9.140625" style="167"/>
    <col min="5647" max="5647" width="11.140625" style="167" customWidth="1"/>
    <col min="5648" max="5648" width="9.140625" style="167"/>
    <col min="5649" max="5649" width="11.140625" style="167" bestFit="1" customWidth="1"/>
    <col min="5650" max="5650" width="12.140625" style="167" customWidth="1"/>
    <col min="5651" max="5888" width="9.140625" style="167"/>
    <col min="5889" max="5889" width="11.7109375" style="167" customWidth="1"/>
    <col min="5890" max="5890" width="14.42578125" style="167" customWidth="1"/>
    <col min="5891" max="5891" width="11.7109375" style="167" customWidth="1"/>
    <col min="5892" max="5892" width="9.140625" style="167"/>
    <col min="5893" max="5893" width="13.5703125" style="167" customWidth="1"/>
    <col min="5894" max="5895" width="9.140625" style="167"/>
    <col min="5896" max="5896" width="12.5703125" style="167" customWidth="1"/>
    <col min="5897" max="5897" width="12" style="167" customWidth="1"/>
    <col min="5898" max="5898" width="13" style="167" customWidth="1"/>
    <col min="5899" max="5899" width="10.140625" style="167" customWidth="1"/>
    <col min="5900" max="5900" width="15.28515625" style="167" customWidth="1"/>
    <col min="5901" max="5901" width="13" style="167" customWidth="1"/>
    <col min="5902" max="5902" width="9.140625" style="167"/>
    <col min="5903" max="5903" width="11.140625" style="167" customWidth="1"/>
    <col min="5904" max="5904" width="9.140625" style="167"/>
    <col min="5905" max="5905" width="11.140625" style="167" bestFit="1" customWidth="1"/>
    <col min="5906" max="5906" width="12.140625" style="167" customWidth="1"/>
    <col min="5907" max="6144" width="9.140625" style="167"/>
    <col min="6145" max="6145" width="11.7109375" style="167" customWidth="1"/>
    <col min="6146" max="6146" width="14.42578125" style="167" customWidth="1"/>
    <col min="6147" max="6147" width="11.7109375" style="167" customWidth="1"/>
    <col min="6148" max="6148" width="9.140625" style="167"/>
    <col min="6149" max="6149" width="13.5703125" style="167" customWidth="1"/>
    <col min="6150" max="6151" width="9.140625" style="167"/>
    <col min="6152" max="6152" width="12.5703125" style="167" customWidth="1"/>
    <col min="6153" max="6153" width="12" style="167" customWidth="1"/>
    <col min="6154" max="6154" width="13" style="167" customWidth="1"/>
    <col min="6155" max="6155" width="10.140625" style="167" customWidth="1"/>
    <col min="6156" max="6156" width="15.28515625" style="167" customWidth="1"/>
    <col min="6157" max="6157" width="13" style="167" customWidth="1"/>
    <col min="6158" max="6158" width="9.140625" style="167"/>
    <col min="6159" max="6159" width="11.140625" style="167" customWidth="1"/>
    <col min="6160" max="6160" width="9.140625" style="167"/>
    <col min="6161" max="6161" width="11.140625" style="167" bestFit="1" customWidth="1"/>
    <col min="6162" max="6162" width="12.140625" style="167" customWidth="1"/>
    <col min="6163" max="6400" width="9.140625" style="167"/>
    <col min="6401" max="6401" width="11.7109375" style="167" customWidth="1"/>
    <col min="6402" max="6402" width="14.42578125" style="167" customWidth="1"/>
    <col min="6403" max="6403" width="11.7109375" style="167" customWidth="1"/>
    <col min="6404" max="6404" width="9.140625" style="167"/>
    <col min="6405" max="6405" width="13.5703125" style="167" customWidth="1"/>
    <col min="6406" max="6407" width="9.140625" style="167"/>
    <col min="6408" max="6408" width="12.5703125" style="167" customWidth="1"/>
    <col min="6409" max="6409" width="12" style="167" customWidth="1"/>
    <col min="6410" max="6410" width="13" style="167" customWidth="1"/>
    <col min="6411" max="6411" width="10.140625" style="167" customWidth="1"/>
    <col min="6412" max="6412" width="15.28515625" style="167" customWidth="1"/>
    <col min="6413" max="6413" width="13" style="167" customWidth="1"/>
    <col min="6414" max="6414" width="9.140625" style="167"/>
    <col min="6415" max="6415" width="11.140625" style="167" customWidth="1"/>
    <col min="6416" max="6416" width="9.140625" style="167"/>
    <col min="6417" max="6417" width="11.140625" style="167" bestFit="1" customWidth="1"/>
    <col min="6418" max="6418" width="12.140625" style="167" customWidth="1"/>
    <col min="6419" max="6656" width="9.140625" style="167"/>
    <col min="6657" max="6657" width="11.7109375" style="167" customWidth="1"/>
    <col min="6658" max="6658" width="14.42578125" style="167" customWidth="1"/>
    <col min="6659" max="6659" width="11.7109375" style="167" customWidth="1"/>
    <col min="6660" max="6660" width="9.140625" style="167"/>
    <col min="6661" max="6661" width="13.5703125" style="167" customWidth="1"/>
    <col min="6662" max="6663" width="9.140625" style="167"/>
    <col min="6664" max="6664" width="12.5703125" style="167" customWidth="1"/>
    <col min="6665" max="6665" width="12" style="167" customWidth="1"/>
    <col min="6666" max="6666" width="13" style="167" customWidth="1"/>
    <col min="6667" max="6667" width="10.140625" style="167" customWidth="1"/>
    <col min="6668" max="6668" width="15.28515625" style="167" customWidth="1"/>
    <col min="6669" max="6669" width="13" style="167" customWidth="1"/>
    <col min="6670" max="6670" width="9.140625" style="167"/>
    <col min="6671" max="6671" width="11.140625" style="167" customWidth="1"/>
    <col min="6672" max="6672" width="9.140625" style="167"/>
    <col min="6673" max="6673" width="11.140625" style="167" bestFit="1" customWidth="1"/>
    <col min="6674" max="6674" width="12.140625" style="167" customWidth="1"/>
    <col min="6675" max="6912" width="9.140625" style="167"/>
    <col min="6913" max="6913" width="11.7109375" style="167" customWidth="1"/>
    <col min="6914" max="6914" width="14.42578125" style="167" customWidth="1"/>
    <col min="6915" max="6915" width="11.7109375" style="167" customWidth="1"/>
    <col min="6916" max="6916" width="9.140625" style="167"/>
    <col min="6917" max="6917" width="13.5703125" style="167" customWidth="1"/>
    <col min="6918" max="6919" width="9.140625" style="167"/>
    <col min="6920" max="6920" width="12.5703125" style="167" customWidth="1"/>
    <col min="6921" max="6921" width="12" style="167" customWidth="1"/>
    <col min="6922" max="6922" width="13" style="167" customWidth="1"/>
    <col min="6923" max="6923" width="10.140625" style="167" customWidth="1"/>
    <col min="6924" max="6924" width="15.28515625" style="167" customWidth="1"/>
    <col min="6925" max="6925" width="13" style="167" customWidth="1"/>
    <col min="6926" max="6926" width="9.140625" style="167"/>
    <col min="6927" max="6927" width="11.140625" style="167" customWidth="1"/>
    <col min="6928" max="6928" width="9.140625" style="167"/>
    <col min="6929" max="6929" width="11.140625" style="167" bestFit="1" customWidth="1"/>
    <col min="6930" max="6930" width="12.140625" style="167" customWidth="1"/>
    <col min="6931" max="7168" width="9.140625" style="167"/>
    <col min="7169" max="7169" width="11.7109375" style="167" customWidth="1"/>
    <col min="7170" max="7170" width="14.42578125" style="167" customWidth="1"/>
    <col min="7171" max="7171" width="11.7109375" style="167" customWidth="1"/>
    <col min="7172" max="7172" width="9.140625" style="167"/>
    <col min="7173" max="7173" width="13.5703125" style="167" customWidth="1"/>
    <col min="7174" max="7175" width="9.140625" style="167"/>
    <col min="7176" max="7176" width="12.5703125" style="167" customWidth="1"/>
    <col min="7177" max="7177" width="12" style="167" customWidth="1"/>
    <col min="7178" max="7178" width="13" style="167" customWidth="1"/>
    <col min="7179" max="7179" width="10.140625" style="167" customWidth="1"/>
    <col min="7180" max="7180" width="15.28515625" style="167" customWidth="1"/>
    <col min="7181" max="7181" width="13" style="167" customWidth="1"/>
    <col min="7182" max="7182" width="9.140625" style="167"/>
    <col min="7183" max="7183" width="11.140625" style="167" customWidth="1"/>
    <col min="7184" max="7184" width="9.140625" style="167"/>
    <col min="7185" max="7185" width="11.140625" style="167" bestFit="1" customWidth="1"/>
    <col min="7186" max="7186" width="12.140625" style="167" customWidth="1"/>
    <col min="7187" max="7424" width="9.140625" style="167"/>
    <col min="7425" max="7425" width="11.7109375" style="167" customWidth="1"/>
    <col min="7426" max="7426" width="14.42578125" style="167" customWidth="1"/>
    <col min="7427" max="7427" width="11.7109375" style="167" customWidth="1"/>
    <col min="7428" max="7428" width="9.140625" style="167"/>
    <col min="7429" max="7429" width="13.5703125" style="167" customWidth="1"/>
    <col min="7430" max="7431" width="9.140625" style="167"/>
    <col min="7432" max="7432" width="12.5703125" style="167" customWidth="1"/>
    <col min="7433" max="7433" width="12" style="167" customWidth="1"/>
    <col min="7434" max="7434" width="13" style="167" customWidth="1"/>
    <col min="7435" max="7435" width="10.140625" style="167" customWidth="1"/>
    <col min="7436" max="7436" width="15.28515625" style="167" customWidth="1"/>
    <col min="7437" max="7437" width="13" style="167" customWidth="1"/>
    <col min="7438" max="7438" width="9.140625" style="167"/>
    <col min="7439" max="7439" width="11.140625" style="167" customWidth="1"/>
    <col min="7440" max="7440" width="9.140625" style="167"/>
    <col min="7441" max="7441" width="11.140625" style="167" bestFit="1" customWidth="1"/>
    <col min="7442" max="7442" width="12.140625" style="167" customWidth="1"/>
    <col min="7443" max="7680" width="9.140625" style="167"/>
    <col min="7681" max="7681" width="11.7109375" style="167" customWidth="1"/>
    <col min="7682" max="7682" width="14.42578125" style="167" customWidth="1"/>
    <col min="7683" max="7683" width="11.7109375" style="167" customWidth="1"/>
    <col min="7684" max="7684" width="9.140625" style="167"/>
    <col min="7685" max="7685" width="13.5703125" style="167" customWidth="1"/>
    <col min="7686" max="7687" width="9.140625" style="167"/>
    <col min="7688" max="7688" width="12.5703125" style="167" customWidth="1"/>
    <col min="7689" max="7689" width="12" style="167" customWidth="1"/>
    <col min="7690" max="7690" width="13" style="167" customWidth="1"/>
    <col min="7691" max="7691" width="10.140625" style="167" customWidth="1"/>
    <col min="7692" max="7692" width="15.28515625" style="167" customWidth="1"/>
    <col min="7693" max="7693" width="13" style="167" customWidth="1"/>
    <col min="7694" max="7694" width="9.140625" style="167"/>
    <col min="7695" max="7695" width="11.140625" style="167" customWidth="1"/>
    <col min="7696" max="7696" width="9.140625" style="167"/>
    <col min="7697" max="7697" width="11.140625" style="167" bestFit="1" customWidth="1"/>
    <col min="7698" max="7698" width="12.140625" style="167" customWidth="1"/>
    <col min="7699" max="7936" width="9.140625" style="167"/>
    <col min="7937" max="7937" width="11.7109375" style="167" customWidth="1"/>
    <col min="7938" max="7938" width="14.42578125" style="167" customWidth="1"/>
    <col min="7939" max="7939" width="11.7109375" style="167" customWidth="1"/>
    <col min="7940" max="7940" width="9.140625" style="167"/>
    <col min="7941" max="7941" width="13.5703125" style="167" customWidth="1"/>
    <col min="7942" max="7943" width="9.140625" style="167"/>
    <col min="7944" max="7944" width="12.5703125" style="167" customWidth="1"/>
    <col min="7945" max="7945" width="12" style="167" customWidth="1"/>
    <col min="7946" max="7946" width="13" style="167" customWidth="1"/>
    <col min="7947" max="7947" width="10.140625" style="167" customWidth="1"/>
    <col min="7948" max="7948" width="15.28515625" style="167" customWidth="1"/>
    <col min="7949" max="7949" width="13" style="167" customWidth="1"/>
    <col min="7950" max="7950" width="9.140625" style="167"/>
    <col min="7951" max="7951" width="11.140625" style="167" customWidth="1"/>
    <col min="7952" max="7952" width="9.140625" style="167"/>
    <col min="7953" max="7953" width="11.140625" style="167" bestFit="1" customWidth="1"/>
    <col min="7954" max="7954" width="12.140625" style="167" customWidth="1"/>
    <col min="7955" max="8192" width="9.140625" style="167"/>
    <col min="8193" max="8193" width="11.7109375" style="167" customWidth="1"/>
    <col min="8194" max="8194" width="14.42578125" style="167" customWidth="1"/>
    <col min="8195" max="8195" width="11.7109375" style="167" customWidth="1"/>
    <col min="8196" max="8196" width="9.140625" style="167"/>
    <col min="8197" max="8197" width="13.5703125" style="167" customWidth="1"/>
    <col min="8198" max="8199" width="9.140625" style="167"/>
    <col min="8200" max="8200" width="12.5703125" style="167" customWidth="1"/>
    <col min="8201" max="8201" width="12" style="167" customWidth="1"/>
    <col min="8202" max="8202" width="13" style="167" customWidth="1"/>
    <col min="8203" max="8203" width="10.140625" style="167" customWidth="1"/>
    <col min="8204" max="8204" width="15.28515625" style="167" customWidth="1"/>
    <col min="8205" max="8205" width="13" style="167" customWidth="1"/>
    <col min="8206" max="8206" width="9.140625" style="167"/>
    <col min="8207" max="8207" width="11.140625" style="167" customWidth="1"/>
    <col min="8208" max="8208" width="9.140625" style="167"/>
    <col min="8209" max="8209" width="11.140625" style="167" bestFit="1" customWidth="1"/>
    <col min="8210" max="8210" width="12.140625" style="167" customWidth="1"/>
    <col min="8211" max="8448" width="9.140625" style="167"/>
    <col min="8449" max="8449" width="11.7109375" style="167" customWidth="1"/>
    <col min="8450" max="8450" width="14.42578125" style="167" customWidth="1"/>
    <col min="8451" max="8451" width="11.7109375" style="167" customWidth="1"/>
    <col min="8452" max="8452" width="9.140625" style="167"/>
    <col min="8453" max="8453" width="13.5703125" style="167" customWidth="1"/>
    <col min="8454" max="8455" width="9.140625" style="167"/>
    <col min="8456" max="8456" width="12.5703125" style="167" customWidth="1"/>
    <col min="8457" max="8457" width="12" style="167" customWidth="1"/>
    <col min="8458" max="8458" width="13" style="167" customWidth="1"/>
    <col min="8459" max="8459" width="10.140625" style="167" customWidth="1"/>
    <col min="8460" max="8460" width="15.28515625" style="167" customWidth="1"/>
    <col min="8461" max="8461" width="13" style="167" customWidth="1"/>
    <col min="8462" max="8462" width="9.140625" style="167"/>
    <col min="8463" max="8463" width="11.140625" style="167" customWidth="1"/>
    <col min="8464" max="8464" width="9.140625" style="167"/>
    <col min="8465" max="8465" width="11.140625" style="167" bestFit="1" customWidth="1"/>
    <col min="8466" max="8466" width="12.140625" style="167" customWidth="1"/>
    <col min="8467" max="8704" width="9.140625" style="167"/>
    <col min="8705" max="8705" width="11.7109375" style="167" customWidth="1"/>
    <col min="8706" max="8706" width="14.42578125" style="167" customWidth="1"/>
    <col min="8707" max="8707" width="11.7109375" style="167" customWidth="1"/>
    <col min="8708" max="8708" width="9.140625" style="167"/>
    <col min="8709" max="8709" width="13.5703125" style="167" customWidth="1"/>
    <col min="8710" max="8711" width="9.140625" style="167"/>
    <col min="8712" max="8712" width="12.5703125" style="167" customWidth="1"/>
    <col min="8713" max="8713" width="12" style="167" customWidth="1"/>
    <col min="8714" max="8714" width="13" style="167" customWidth="1"/>
    <col min="8715" max="8715" width="10.140625" style="167" customWidth="1"/>
    <col min="8716" max="8716" width="15.28515625" style="167" customWidth="1"/>
    <col min="8717" max="8717" width="13" style="167" customWidth="1"/>
    <col min="8718" max="8718" width="9.140625" style="167"/>
    <col min="8719" max="8719" width="11.140625" style="167" customWidth="1"/>
    <col min="8720" max="8720" width="9.140625" style="167"/>
    <col min="8721" max="8721" width="11.140625" style="167" bestFit="1" customWidth="1"/>
    <col min="8722" max="8722" width="12.140625" style="167" customWidth="1"/>
    <col min="8723" max="8960" width="9.140625" style="167"/>
    <col min="8961" max="8961" width="11.7109375" style="167" customWidth="1"/>
    <col min="8962" max="8962" width="14.42578125" style="167" customWidth="1"/>
    <col min="8963" max="8963" width="11.7109375" style="167" customWidth="1"/>
    <col min="8964" max="8964" width="9.140625" style="167"/>
    <col min="8965" max="8965" width="13.5703125" style="167" customWidth="1"/>
    <col min="8966" max="8967" width="9.140625" style="167"/>
    <col min="8968" max="8968" width="12.5703125" style="167" customWidth="1"/>
    <col min="8969" max="8969" width="12" style="167" customWidth="1"/>
    <col min="8970" max="8970" width="13" style="167" customWidth="1"/>
    <col min="8971" max="8971" width="10.140625" style="167" customWidth="1"/>
    <col min="8972" max="8972" width="15.28515625" style="167" customWidth="1"/>
    <col min="8973" max="8973" width="13" style="167" customWidth="1"/>
    <col min="8974" max="8974" width="9.140625" style="167"/>
    <col min="8975" max="8975" width="11.140625" style="167" customWidth="1"/>
    <col min="8976" max="8976" width="9.140625" style="167"/>
    <col min="8977" max="8977" width="11.140625" style="167" bestFit="1" customWidth="1"/>
    <col min="8978" max="8978" width="12.140625" style="167" customWidth="1"/>
    <col min="8979" max="9216" width="9.140625" style="167"/>
    <col min="9217" max="9217" width="11.7109375" style="167" customWidth="1"/>
    <col min="9218" max="9218" width="14.42578125" style="167" customWidth="1"/>
    <col min="9219" max="9219" width="11.7109375" style="167" customWidth="1"/>
    <col min="9220" max="9220" width="9.140625" style="167"/>
    <col min="9221" max="9221" width="13.5703125" style="167" customWidth="1"/>
    <col min="9222" max="9223" width="9.140625" style="167"/>
    <col min="9224" max="9224" width="12.5703125" style="167" customWidth="1"/>
    <col min="9225" max="9225" width="12" style="167" customWidth="1"/>
    <col min="9226" max="9226" width="13" style="167" customWidth="1"/>
    <col min="9227" max="9227" width="10.140625" style="167" customWidth="1"/>
    <col min="9228" max="9228" width="15.28515625" style="167" customWidth="1"/>
    <col min="9229" max="9229" width="13" style="167" customWidth="1"/>
    <col min="9230" max="9230" width="9.140625" style="167"/>
    <col min="9231" max="9231" width="11.140625" style="167" customWidth="1"/>
    <col min="9232" max="9232" width="9.140625" style="167"/>
    <col min="9233" max="9233" width="11.140625" style="167" bestFit="1" customWidth="1"/>
    <col min="9234" max="9234" width="12.140625" style="167" customWidth="1"/>
    <col min="9235" max="9472" width="9.140625" style="167"/>
    <col min="9473" max="9473" width="11.7109375" style="167" customWidth="1"/>
    <col min="9474" max="9474" width="14.42578125" style="167" customWidth="1"/>
    <col min="9475" max="9475" width="11.7109375" style="167" customWidth="1"/>
    <col min="9476" max="9476" width="9.140625" style="167"/>
    <col min="9477" max="9477" width="13.5703125" style="167" customWidth="1"/>
    <col min="9478" max="9479" width="9.140625" style="167"/>
    <col min="9480" max="9480" width="12.5703125" style="167" customWidth="1"/>
    <col min="9481" max="9481" width="12" style="167" customWidth="1"/>
    <col min="9482" max="9482" width="13" style="167" customWidth="1"/>
    <col min="9483" max="9483" width="10.140625" style="167" customWidth="1"/>
    <col min="9484" max="9484" width="15.28515625" style="167" customWidth="1"/>
    <col min="9485" max="9485" width="13" style="167" customWidth="1"/>
    <col min="9486" max="9486" width="9.140625" style="167"/>
    <col min="9487" max="9487" width="11.140625" style="167" customWidth="1"/>
    <col min="9488" max="9488" width="9.140625" style="167"/>
    <col min="9489" max="9489" width="11.140625" style="167" bestFit="1" customWidth="1"/>
    <col min="9490" max="9490" width="12.140625" style="167" customWidth="1"/>
    <col min="9491" max="9728" width="9.140625" style="167"/>
    <col min="9729" max="9729" width="11.7109375" style="167" customWidth="1"/>
    <col min="9730" max="9730" width="14.42578125" style="167" customWidth="1"/>
    <col min="9731" max="9731" width="11.7109375" style="167" customWidth="1"/>
    <col min="9732" max="9732" width="9.140625" style="167"/>
    <col min="9733" max="9733" width="13.5703125" style="167" customWidth="1"/>
    <col min="9734" max="9735" width="9.140625" style="167"/>
    <col min="9736" max="9736" width="12.5703125" style="167" customWidth="1"/>
    <col min="9737" max="9737" width="12" style="167" customWidth="1"/>
    <col min="9738" max="9738" width="13" style="167" customWidth="1"/>
    <col min="9739" max="9739" width="10.140625" style="167" customWidth="1"/>
    <col min="9740" max="9740" width="15.28515625" style="167" customWidth="1"/>
    <col min="9741" max="9741" width="13" style="167" customWidth="1"/>
    <col min="9742" max="9742" width="9.140625" style="167"/>
    <col min="9743" max="9743" width="11.140625" style="167" customWidth="1"/>
    <col min="9744" max="9744" width="9.140625" style="167"/>
    <col min="9745" max="9745" width="11.140625" style="167" bestFit="1" customWidth="1"/>
    <col min="9746" max="9746" width="12.140625" style="167" customWidth="1"/>
    <col min="9747" max="9984" width="9.140625" style="167"/>
    <col min="9985" max="9985" width="11.7109375" style="167" customWidth="1"/>
    <col min="9986" max="9986" width="14.42578125" style="167" customWidth="1"/>
    <col min="9987" max="9987" width="11.7109375" style="167" customWidth="1"/>
    <col min="9988" max="9988" width="9.140625" style="167"/>
    <col min="9989" max="9989" width="13.5703125" style="167" customWidth="1"/>
    <col min="9990" max="9991" width="9.140625" style="167"/>
    <col min="9992" max="9992" width="12.5703125" style="167" customWidth="1"/>
    <col min="9993" max="9993" width="12" style="167" customWidth="1"/>
    <col min="9994" max="9994" width="13" style="167" customWidth="1"/>
    <col min="9995" max="9995" width="10.140625" style="167" customWidth="1"/>
    <col min="9996" max="9996" width="15.28515625" style="167" customWidth="1"/>
    <col min="9997" max="9997" width="13" style="167" customWidth="1"/>
    <col min="9998" max="9998" width="9.140625" style="167"/>
    <col min="9999" max="9999" width="11.140625" style="167" customWidth="1"/>
    <col min="10000" max="10000" width="9.140625" style="167"/>
    <col min="10001" max="10001" width="11.140625" style="167" bestFit="1" customWidth="1"/>
    <col min="10002" max="10002" width="12.140625" style="167" customWidth="1"/>
    <col min="10003" max="10240" width="9.140625" style="167"/>
    <col min="10241" max="10241" width="11.7109375" style="167" customWidth="1"/>
    <col min="10242" max="10242" width="14.42578125" style="167" customWidth="1"/>
    <col min="10243" max="10243" width="11.7109375" style="167" customWidth="1"/>
    <col min="10244" max="10244" width="9.140625" style="167"/>
    <col min="10245" max="10245" width="13.5703125" style="167" customWidth="1"/>
    <col min="10246" max="10247" width="9.140625" style="167"/>
    <col min="10248" max="10248" width="12.5703125" style="167" customWidth="1"/>
    <col min="10249" max="10249" width="12" style="167" customWidth="1"/>
    <col min="10250" max="10250" width="13" style="167" customWidth="1"/>
    <col min="10251" max="10251" width="10.140625" style="167" customWidth="1"/>
    <col min="10252" max="10252" width="15.28515625" style="167" customWidth="1"/>
    <col min="10253" max="10253" width="13" style="167" customWidth="1"/>
    <col min="10254" max="10254" width="9.140625" style="167"/>
    <col min="10255" max="10255" width="11.140625" style="167" customWidth="1"/>
    <col min="10256" max="10256" width="9.140625" style="167"/>
    <col min="10257" max="10257" width="11.140625" style="167" bestFit="1" customWidth="1"/>
    <col min="10258" max="10258" width="12.140625" style="167" customWidth="1"/>
    <col min="10259" max="10496" width="9.140625" style="167"/>
    <col min="10497" max="10497" width="11.7109375" style="167" customWidth="1"/>
    <col min="10498" max="10498" width="14.42578125" style="167" customWidth="1"/>
    <col min="10499" max="10499" width="11.7109375" style="167" customWidth="1"/>
    <col min="10500" max="10500" width="9.140625" style="167"/>
    <col min="10501" max="10501" width="13.5703125" style="167" customWidth="1"/>
    <col min="10502" max="10503" width="9.140625" style="167"/>
    <col min="10504" max="10504" width="12.5703125" style="167" customWidth="1"/>
    <col min="10505" max="10505" width="12" style="167" customWidth="1"/>
    <col min="10506" max="10506" width="13" style="167" customWidth="1"/>
    <col min="10507" max="10507" width="10.140625" style="167" customWidth="1"/>
    <col min="10508" max="10508" width="15.28515625" style="167" customWidth="1"/>
    <col min="10509" max="10509" width="13" style="167" customWidth="1"/>
    <col min="10510" max="10510" width="9.140625" style="167"/>
    <col min="10511" max="10511" width="11.140625" style="167" customWidth="1"/>
    <col min="10512" max="10512" width="9.140625" style="167"/>
    <col min="10513" max="10513" width="11.140625" style="167" bestFit="1" customWidth="1"/>
    <col min="10514" max="10514" width="12.140625" style="167" customWidth="1"/>
    <col min="10515" max="10752" width="9.140625" style="167"/>
    <col min="10753" max="10753" width="11.7109375" style="167" customWidth="1"/>
    <col min="10754" max="10754" width="14.42578125" style="167" customWidth="1"/>
    <col min="10755" max="10755" width="11.7109375" style="167" customWidth="1"/>
    <col min="10756" max="10756" width="9.140625" style="167"/>
    <col min="10757" max="10757" width="13.5703125" style="167" customWidth="1"/>
    <col min="10758" max="10759" width="9.140625" style="167"/>
    <col min="10760" max="10760" width="12.5703125" style="167" customWidth="1"/>
    <col min="10761" max="10761" width="12" style="167" customWidth="1"/>
    <col min="10762" max="10762" width="13" style="167" customWidth="1"/>
    <col min="10763" max="10763" width="10.140625" style="167" customWidth="1"/>
    <col min="10764" max="10764" width="15.28515625" style="167" customWidth="1"/>
    <col min="10765" max="10765" width="13" style="167" customWidth="1"/>
    <col min="10766" max="10766" width="9.140625" style="167"/>
    <col min="10767" max="10767" width="11.140625" style="167" customWidth="1"/>
    <col min="10768" max="10768" width="9.140625" style="167"/>
    <col min="10769" max="10769" width="11.140625" style="167" bestFit="1" customWidth="1"/>
    <col min="10770" max="10770" width="12.140625" style="167" customWidth="1"/>
    <col min="10771" max="11008" width="9.140625" style="167"/>
    <col min="11009" max="11009" width="11.7109375" style="167" customWidth="1"/>
    <col min="11010" max="11010" width="14.42578125" style="167" customWidth="1"/>
    <col min="11011" max="11011" width="11.7109375" style="167" customWidth="1"/>
    <col min="11012" max="11012" width="9.140625" style="167"/>
    <col min="11013" max="11013" width="13.5703125" style="167" customWidth="1"/>
    <col min="11014" max="11015" width="9.140625" style="167"/>
    <col min="11016" max="11016" width="12.5703125" style="167" customWidth="1"/>
    <col min="11017" max="11017" width="12" style="167" customWidth="1"/>
    <col min="11018" max="11018" width="13" style="167" customWidth="1"/>
    <col min="11019" max="11019" width="10.140625" style="167" customWidth="1"/>
    <col min="11020" max="11020" width="15.28515625" style="167" customWidth="1"/>
    <col min="11021" max="11021" width="13" style="167" customWidth="1"/>
    <col min="11022" max="11022" width="9.140625" style="167"/>
    <col min="11023" max="11023" width="11.140625" style="167" customWidth="1"/>
    <col min="11024" max="11024" width="9.140625" style="167"/>
    <col min="11025" max="11025" width="11.140625" style="167" bestFit="1" customWidth="1"/>
    <col min="11026" max="11026" width="12.140625" style="167" customWidth="1"/>
    <col min="11027" max="11264" width="9.140625" style="167"/>
    <col min="11265" max="11265" width="11.7109375" style="167" customWidth="1"/>
    <col min="11266" max="11266" width="14.42578125" style="167" customWidth="1"/>
    <col min="11267" max="11267" width="11.7109375" style="167" customWidth="1"/>
    <col min="11268" max="11268" width="9.140625" style="167"/>
    <col min="11269" max="11269" width="13.5703125" style="167" customWidth="1"/>
    <col min="11270" max="11271" width="9.140625" style="167"/>
    <col min="11272" max="11272" width="12.5703125" style="167" customWidth="1"/>
    <col min="11273" max="11273" width="12" style="167" customWidth="1"/>
    <col min="11274" max="11274" width="13" style="167" customWidth="1"/>
    <col min="11275" max="11275" width="10.140625" style="167" customWidth="1"/>
    <col min="11276" max="11276" width="15.28515625" style="167" customWidth="1"/>
    <col min="11277" max="11277" width="13" style="167" customWidth="1"/>
    <col min="11278" max="11278" width="9.140625" style="167"/>
    <col min="11279" max="11279" width="11.140625" style="167" customWidth="1"/>
    <col min="11280" max="11280" width="9.140625" style="167"/>
    <col min="11281" max="11281" width="11.140625" style="167" bestFit="1" customWidth="1"/>
    <col min="11282" max="11282" width="12.140625" style="167" customWidth="1"/>
    <col min="11283" max="11520" width="9.140625" style="167"/>
    <col min="11521" max="11521" width="11.7109375" style="167" customWidth="1"/>
    <col min="11522" max="11522" width="14.42578125" style="167" customWidth="1"/>
    <col min="11523" max="11523" width="11.7109375" style="167" customWidth="1"/>
    <col min="11524" max="11524" width="9.140625" style="167"/>
    <col min="11525" max="11525" width="13.5703125" style="167" customWidth="1"/>
    <col min="11526" max="11527" width="9.140625" style="167"/>
    <col min="11528" max="11528" width="12.5703125" style="167" customWidth="1"/>
    <col min="11529" max="11529" width="12" style="167" customWidth="1"/>
    <col min="11530" max="11530" width="13" style="167" customWidth="1"/>
    <col min="11531" max="11531" width="10.140625" style="167" customWidth="1"/>
    <col min="11532" max="11532" width="15.28515625" style="167" customWidth="1"/>
    <col min="11533" max="11533" width="13" style="167" customWidth="1"/>
    <col min="11534" max="11534" width="9.140625" style="167"/>
    <col min="11535" max="11535" width="11.140625" style="167" customWidth="1"/>
    <col min="11536" max="11536" width="9.140625" style="167"/>
    <col min="11537" max="11537" width="11.140625" style="167" bestFit="1" customWidth="1"/>
    <col min="11538" max="11538" width="12.140625" style="167" customWidth="1"/>
    <col min="11539" max="11776" width="9.140625" style="167"/>
    <col min="11777" max="11777" width="11.7109375" style="167" customWidth="1"/>
    <col min="11778" max="11778" width="14.42578125" style="167" customWidth="1"/>
    <col min="11779" max="11779" width="11.7109375" style="167" customWidth="1"/>
    <col min="11780" max="11780" width="9.140625" style="167"/>
    <col min="11781" max="11781" width="13.5703125" style="167" customWidth="1"/>
    <col min="11782" max="11783" width="9.140625" style="167"/>
    <col min="11784" max="11784" width="12.5703125" style="167" customWidth="1"/>
    <col min="11785" max="11785" width="12" style="167" customWidth="1"/>
    <col min="11786" max="11786" width="13" style="167" customWidth="1"/>
    <col min="11787" max="11787" width="10.140625" style="167" customWidth="1"/>
    <col min="11788" max="11788" width="15.28515625" style="167" customWidth="1"/>
    <col min="11789" max="11789" width="13" style="167" customWidth="1"/>
    <col min="11790" max="11790" width="9.140625" style="167"/>
    <col min="11791" max="11791" width="11.140625" style="167" customWidth="1"/>
    <col min="11792" max="11792" width="9.140625" style="167"/>
    <col min="11793" max="11793" width="11.140625" style="167" bestFit="1" customWidth="1"/>
    <col min="11794" max="11794" width="12.140625" style="167" customWidth="1"/>
    <col min="11795" max="12032" width="9.140625" style="167"/>
    <col min="12033" max="12033" width="11.7109375" style="167" customWidth="1"/>
    <col min="12034" max="12034" width="14.42578125" style="167" customWidth="1"/>
    <col min="12035" max="12035" width="11.7109375" style="167" customWidth="1"/>
    <col min="12036" max="12036" width="9.140625" style="167"/>
    <col min="12037" max="12037" width="13.5703125" style="167" customWidth="1"/>
    <col min="12038" max="12039" width="9.140625" style="167"/>
    <col min="12040" max="12040" width="12.5703125" style="167" customWidth="1"/>
    <col min="12041" max="12041" width="12" style="167" customWidth="1"/>
    <col min="12042" max="12042" width="13" style="167" customWidth="1"/>
    <col min="12043" max="12043" width="10.140625" style="167" customWidth="1"/>
    <col min="12044" max="12044" width="15.28515625" style="167" customWidth="1"/>
    <col min="12045" max="12045" width="13" style="167" customWidth="1"/>
    <col min="12046" max="12046" width="9.140625" style="167"/>
    <col min="12047" max="12047" width="11.140625" style="167" customWidth="1"/>
    <col min="12048" max="12048" width="9.140625" style="167"/>
    <col min="12049" max="12049" width="11.140625" style="167" bestFit="1" customWidth="1"/>
    <col min="12050" max="12050" width="12.140625" style="167" customWidth="1"/>
    <col min="12051" max="12288" width="9.140625" style="167"/>
    <col min="12289" max="12289" width="11.7109375" style="167" customWidth="1"/>
    <col min="12290" max="12290" width="14.42578125" style="167" customWidth="1"/>
    <col min="12291" max="12291" width="11.7109375" style="167" customWidth="1"/>
    <col min="12292" max="12292" width="9.140625" style="167"/>
    <col min="12293" max="12293" width="13.5703125" style="167" customWidth="1"/>
    <col min="12294" max="12295" width="9.140625" style="167"/>
    <col min="12296" max="12296" width="12.5703125" style="167" customWidth="1"/>
    <col min="12297" max="12297" width="12" style="167" customWidth="1"/>
    <col min="12298" max="12298" width="13" style="167" customWidth="1"/>
    <col min="12299" max="12299" width="10.140625" style="167" customWidth="1"/>
    <col min="12300" max="12300" width="15.28515625" style="167" customWidth="1"/>
    <col min="12301" max="12301" width="13" style="167" customWidth="1"/>
    <col min="12302" max="12302" width="9.140625" style="167"/>
    <col min="12303" max="12303" width="11.140625" style="167" customWidth="1"/>
    <col min="12304" max="12304" width="9.140625" style="167"/>
    <col min="12305" max="12305" width="11.140625" style="167" bestFit="1" customWidth="1"/>
    <col min="12306" max="12306" width="12.140625" style="167" customWidth="1"/>
    <col min="12307" max="12544" width="9.140625" style="167"/>
    <col min="12545" max="12545" width="11.7109375" style="167" customWidth="1"/>
    <col min="12546" max="12546" width="14.42578125" style="167" customWidth="1"/>
    <col min="12547" max="12547" width="11.7109375" style="167" customWidth="1"/>
    <col min="12548" max="12548" width="9.140625" style="167"/>
    <col min="12549" max="12549" width="13.5703125" style="167" customWidth="1"/>
    <col min="12550" max="12551" width="9.140625" style="167"/>
    <col min="12552" max="12552" width="12.5703125" style="167" customWidth="1"/>
    <col min="12553" max="12553" width="12" style="167" customWidth="1"/>
    <col min="12554" max="12554" width="13" style="167" customWidth="1"/>
    <col min="12555" max="12555" width="10.140625" style="167" customWidth="1"/>
    <col min="12556" max="12556" width="15.28515625" style="167" customWidth="1"/>
    <col min="12557" max="12557" width="13" style="167" customWidth="1"/>
    <col min="12558" max="12558" width="9.140625" style="167"/>
    <col min="12559" max="12559" width="11.140625" style="167" customWidth="1"/>
    <col min="12560" max="12560" width="9.140625" style="167"/>
    <col min="12561" max="12561" width="11.140625" style="167" bestFit="1" customWidth="1"/>
    <col min="12562" max="12562" width="12.140625" style="167" customWidth="1"/>
    <col min="12563" max="12800" width="9.140625" style="167"/>
    <col min="12801" max="12801" width="11.7109375" style="167" customWidth="1"/>
    <col min="12802" max="12802" width="14.42578125" style="167" customWidth="1"/>
    <col min="12803" max="12803" width="11.7109375" style="167" customWidth="1"/>
    <col min="12804" max="12804" width="9.140625" style="167"/>
    <col min="12805" max="12805" width="13.5703125" style="167" customWidth="1"/>
    <col min="12806" max="12807" width="9.140625" style="167"/>
    <col min="12808" max="12808" width="12.5703125" style="167" customWidth="1"/>
    <col min="12809" max="12809" width="12" style="167" customWidth="1"/>
    <col min="12810" max="12810" width="13" style="167" customWidth="1"/>
    <col min="12811" max="12811" width="10.140625" style="167" customWidth="1"/>
    <col min="12812" max="12812" width="15.28515625" style="167" customWidth="1"/>
    <col min="12813" max="12813" width="13" style="167" customWidth="1"/>
    <col min="12814" max="12814" width="9.140625" style="167"/>
    <col min="12815" max="12815" width="11.140625" style="167" customWidth="1"/>
    <col min="12816" max="12816" width="9.140625" style="167"/>
    <col min="12817" max="12817" width="11.140625" style="167" bestFit="1" customWidth="1"/>
    <col min="12818" max="12818" width="12.140625" style="167" customWidth="1"/>
    <col min="12819" max="13056" width="9.140625" style="167"/>
    <col min="13057" max="13057" width="11.7109375" style="167" customWidth="1"/>
    <col min="13058" max="13058" width="14.42578125" style="167" customWidth="1"/>
    <col min="13059" max="13059" width="11.7109375" style="167" customWidth="1"/>
    <col min="13060" max="13060" width="9.140625" style="167"/>
    <col min="13061" max="13061" width="13.5703125" style="167" customWidth="1"/>
    <col min="13062" max="13063" width="9.140625" style="167"/>
    <col min="13064" max="13064" width="12.5703125" style="167" customWidth="1"/>
    <col min="13065" max="13065" width="12" style="167" customWidth="1"/>
    <col min="13066" max="13066" width="13" style="167" customWidth="1"/>
    <col min="13067" max="13067" width="10.140625" style="167" customWidth="1"/>
    <col min="13068" max="13068" width="15.28515625" style="167" customWidth="1"/>
    <col min="13069" max="13069" width="13" style="167" customWidth="1"/>
    <col min="13070" max="13070" width="9.140625" style="167"/>
    <col min="13071" max="13071" width="11.140625" style="167" customWidth="1"/>
    <col min="13072" max="13072" width="9.140625" style="167"/>
    <col min="13073" max="13073" width="11.140625" style="167" bestFit="1" customWidth="1"/>
    <col min="13074" max="13074" width="12.140625" style="167" customWidth="1"/>
    <col min="13075" max="13312" width="9.140625" style="167"/>
    <col min="13313" max="13313" width="11.7109375" style="167" customWidth="1"/>
    <col min="13314" max="13314" width="14.42578125" style="167" customWidth="1"/>
    <col min="13315" max="13315" width="11.7109375" style="167" customWidth="1"/>
    <col min="13316" max="13316" width="9.140625" style="167"/>
    <col min="13317" max="13317" width="13.5703125" style="167" customWidth="1"/>
    <col min="13318" max="13319" width="9.140625" style="167"/>
    <col min="13320" max="13320" width="12.5703125" style="167" customWidth="1"/>
    <col min="13321" max="13321" width="12" style="167" customWidth="1"/>
    <col min="13322" max="13322" width="13" style="167" customWidth="1"/>
    <col min="13323" max="13323" width="10.140625" style="167" customWidth="1"/>
    <col min="13324" max="13324" width="15.28515625" style="167" customWidth="1"/>
    <col min="13325" max="13325" width="13" style="167" customWidth="1"/>
    <col min="13326" max="13326" width="9.140625" style="167"/>
    <col min="13327" max="13327" width="11.140625" style="167" customWidth="1"/>
    <col min="13328" max="13328" width="9.140625" style="167"/>
    <col min="13329" max="13329" width="11.140625" style="167" bestFit="1" customWidth="1"/>
    <col min="13330" max="13330" width="12.140625" style="167" customWidth="1"/>
    <col min="13331" max="13568" width="9.140625" style="167"/>
    <col min="13569" max="13569" width="11.7109375" style="167" customWidth="1"/>
    <col min="13570" max="13570" width="14.42578125" style="167" customWidth="1"/>
    <col min="13571" max="13571" width="11.7109375" style="167" customWidth="1"/>
    <col min="13572" max="13572" width="9.140625" style="167"/>
    <col min="13573" max="13573" width="13.5703125" style="167" customWidth="1"/>
    <col min="13574" max="13575" width="9.140625" style="167"/>
    <col min="13576" max="13576" width="12.5703125" style="167" customWidth="1"/>
    <col min="13577" max="13577" width="12" style="167" customWidth="1"/>
    <col min="13578" max="13578" width="13" style="167" customWidth="1"/>
    <col min="13579" max="13579" width="10.140625" style="167" customWidth="1"/>
    <col min="13580" max="13580" width="15.28515625" style="167" customWidth="1"/>
    <col min="13581" max="13581" width="13" style="167" customWidth="1"/>
    <col min="13582" max="13582" width="9.140625" style="167"/>
    <col min="13583" max="13583" width="11.140625" style="167" customWidth="1"/>
    <col min="13584" max="13584" width="9.140625" style="167"/>
    <col min="13585" max="13585" width="11.140625" style="167" bestFit="1" customWidth="1"/>
    <col min="13586" max="13586" width="12.140625" style="167" customWidth="1"/>
    <col min="13587" max="13824" width="9.140625" style="167"/>
    <col min="13825" max="13825" width="11.7109375" style="167" customWidth="1"/>
    <col min="13826" max="13826" width="14.42578125" style="167" customWidth="1"/>
    <col min="13827" max="13827" width="11.7109375" style="167" customWidth="1"/>
    <col min="13828" max="13828" width="9.140625" style="167"/>
    <col min="13829" max="13829" width="13.5703125" style="167" customWidth="1"/>
    <col min="13830" max="13831" width="9.140625" style="167"/>
    <col min="13832" max="13832" width="12.5703125" style="167" customWidth="1"/>
    <col min="13833" max="13833" width="12" style="167" customWidth="1"/>
    <col min="13834" max="13834" width="13" style="167" customWidth="1"/>
    <col min="13835" max="13835" width="10.140625" style="167" customWidth="1"/>
    <col min="13836" max="13836" width="15.28515625" style="167" customWidth="1"/>
    <col min="13837" max="13837" width="13" style="167" customWidth="1"/>
    <col min="13838" max="13838" width="9.140625" style="167"/>
    <col min="13839" max="13839" width="11.140625" style="167" customWidth="1"/>
    <col min="13840" max="13840" width="9.140625" style="167"/>
    <col min="13841" max="13841" width="11.140625" style="167" bestFit="1" customWidth="1"/>
    <col min="13842" max="13842" width="12.140625" style="167" customWidth="1"/>
    <col min="13843" max="14080" width="9.140625" style="167"/>
    <col min="14081" max="14081" width="11.7109375" style="167" customWidth="1"/>
    <col min="14082" max="14082" width="14.42578125" style="167" customWidth="1"/>
    <col min="14083" max="14083" width="11.7109375" style="167" customWidth="1"/>
    <col min="14084" max="14084" width="9.140625" style="167"/>
    <col min="14085" max="14085" width="13.5703125" style="167" customWidth="1"/>
    <col min="14086" max="14087" width="9.140625" style="167"/>
    <col min="14088" max="14088" width="12.5703125" style="167" customWidth="1"/>
    <col min="14089" max="14089" width="12" style="167" customWidth="1"/>
    <col min="14090" max="14090" width="13" style="167" customWidth="1"/>
    <col min="14091" max="14091" width="10.140625" style="167" customWidth="1"/>
    <col min="14092" max="14092" width="15.28515625" style="167" customWidth="1"/>
    <col min="14093" max="14093" width="13" style="167" customWidth="1"/>
    <col min="14094" max="14094" width="9.140625" style="167"/>
    <col min="14095" max="14095" width="11.140625" style="167" customWidth="1"/>
    <col min="14096" max="14096" width="9.140625" style="167"/>
    <col min="14097" max="14097" width="11.140625" style="167" bestFit="1" customWidth="1"/>
    <col min="14098" max="14098" width="12.140625" style="167" customWidth="1"/>
    <col min="14099" max="14336" width="9.140625" style="167"/>
    <col min="14337" max="14337" width="11.7109375" style="167" customWidth="1"/>
    <col min="14338" max="14338" width="14.42578125" style="167" customWidth="1"/>
    <col min="14339" max="14339" width="11.7109375" style="167" customWidth="1"/>
    <col min="14340" max="14340" width="9.140625" style="167"/>
    <col min="14341" max="14341" width="13.5703125" style="167" customWidth="1"/>
    <col min="14342" max="14343" width="9.140625" style="167"/>
    <col min="14344" max="14344" width="12.5703125" style="167" customWidth="1"/>
    <col min="14345" max="14345" width="12" style="167" customWidth="1"/>
    <col min="14346" max="14346" width="13" style="167" customWidth="1"/>
    <col min="14347" max="14347" width="10.140625" style="167" customWidth="1"/>
    <col min="14348" max="14348" width="15.28515625" style="167" customWidth="1"/>
    <col min="14349" max="14349" width="13" style="167" customWidth="1"/>
    <col min="14350" max="14350" width="9.140625" style="167"/>
    <col min="14351" max="14351" width="11.140625" style="167" customWidth="1"/>
    <col min="14352" max="14352" width="9.140625" style="167"/>
    <col min="14353" max="14353" width="11.140625" style="167" bestFit="1" customWidth="1"/>
    <col min="14354" max="14354" width="12.140625" style="167" customWidth="1"/>
    <col min="14355" max="14592" width="9.140625" style="167"/>
    <col min="14593" max="14593" width="11.7109375" style="167" customWidth="1"/>
    <col min="14594" max="14594" width="14.42578125" style="167" customWidth="1"/>
    <col min="14595" max="14595" width="11.7109375" style="167" customWidth="1"/>
    <col min="14596" max="14596" width="9.140625" style="167"/>
    <col min="14597" max="14597" width="13.5703125" style="167" customWidth="1"/>
    <col min="14598" max="14599" width="9.140625" style="167"/>
    <col min="14600" max="14600" width="12.5703125" style="167" customWidth="1"/>
    <col min="14601" max="14601" width="12" style="167" customWidth="1"/>
    <col min="14602" max="14602" width="13" style="167" customWidth="1"/>
    <col min="14603" max="14603" width="10.140625" style="167" customWidth="1"/>
    <col min="14604" max="14604" width="15.28515625" style="167" customWidth="1"/>
    <col min="14605" max="14605" width="13" style="167" customWidth="1"/>
    <col min="14606" max="14606" width="9.140625" style="167"/>
    <col min="14607" max="14607" width="11.140625" style="167" customWidth="1"/>
    <col min="14608" max="14608" width="9.140625" style="167"/>
    <col min="14609" max="14609" width="11.140625" style="167" bestFit="1" customWidth="1"/>
    <col min="14610" max="14610" width="12.140625" style="167" customWidth="1"/>
    <col min="14611" max="14848" width="9.140625" style="167"/>
    <col min="14849" max="14849" width="11.7109375" style="167" customWidth="1"/>
    <col min="14850" max="14850" width="14.42578125" style="167" customWidth="1"/>
    <col min="14851" max="14851" width="11.7109375" style="167" customWidth="1"/>
    <col min="14852" max="14852" width="9.140625" style="167"/>
    <col min="14853" max="14853" width="13.5703125" style="167" customWidth="1"/>
    <col min="14854" max="14855" width="9.140625" style="167"/>
    <col min="14856" max="14856" width="12.5703125" style="167" customWidth="1"/>
    <col min="14857" max="14857" width="12" style="167" customWidth="1"/>
    <col min="14858" max="14858" width="13" style="167" customWidth="1"/>
    <col min="14859" max="14859" width="10.140625" style="167" customWidth="1"/>
    <col min="14860" max="14860" width="15.28515625" style="167" customWidth="1"/>
    <col min="14861" max="14861" width="13" style="167" customWidth="1"/>
    <col min="14862" max="14862" width="9.140625" style="167"/>
    <col min="14863" max="14863" width="11.140625" style="167" customWidth="1"/>
    <col min="14864" max="14864" width="9.140625" style="167"/>
    <col min="14865" max="14865" width="11.140625" style="167" bestFit="1" customWidth="1"/>
    <col min="14866" max="14866" width="12.140625" style="167" customWidth="1"/>
    <col min="14867" max="15104" width="9.140625" style="167"/>
    <col min="15105" max="15105" width="11.7109375" style="167" customWidth="1"/>
    <col min="15106" max="15106" width="14.42578125" style="167" customWidth="1"/>
    <col min="15107" max="15107" width="11.7109375" style="167" customWidth="1"/>
    <col min="15108" max="15108" width="9.140625" style="167"/>
    <col min="15109" max="15109" width="13.5703125" style="167" customWidth="1"/>
    <col min="15110" max="15111" width="9.140625" style="167"/>
    <col min="15112" max="15112" width="12.5703125" style="167" customWidth="1"/>
    <col min="15113" max="15113" width="12" style="167" customWidth="1"/>
    <col min="15114" max="15114" width="13" style="167" customWidth="1"/>
    <col min="15115" max="15115" width="10.140625" style="167" customWidth="1"/>
    <col min="15116" max="15116" width="15.28515625" style="167" customWidth="1"/>
    <col min="15117" max="15117" width="13" style="167" customWidth="1"/>
    <col min="15118" max="15118" width="9.140625" style="167"/>
    <col min="15119" max="15119" width="11.140625" style="167" customWidth="1"/>
    <col min="15120" max="15120" width="9.140625" style="167"/>
    <col min="15121" max="15121" width="11.140625" style="167" bestFit="1" customWidth="1"/>
    <col min="15122" max="15122" width="12.140625" style="167" customWidth="1"/>
    <col min="15123" max="15360" width="9.140625" style="167"/>
    <col min="15361" max="15361" width="11.7109375" style="167" customWidth="1"/>
    <col min="15362" max="15362" width="14.42578125" style="167" customWidth="1"/>
    <col min="15363" max="15363" width="11.7109375" style="167" customWidth="1"/>
    <col min="15364" max="15364" width="9.140625" style="167"/>
    <col min="15365" max="15365" width="13.5703125" style="167" customWidth="1"/>
    <col min="15366" max="15367" width="9.140625" style="167"/>
    <col min="15368" max="15368" width="12.5703125" style="167" customWidth="1"/>
    <col min="15369" max="15369" width="12" style="167" customWidth="1"/>
    <col min="15370" max="15370" width="13" style="167" customWidth="1"/>
    <col min="15371" max="15371" width="10.140625" style="167" customWidth="1"/>
    <col min="15372" max="15372" width="15.28515625" style="167" customWidth="1"/>
    <col min="15373" max="15373" width="13" style="167" customWidth="1"/>
    <col min="15374" max="15374" width="9.140625" style="167"/>
    <col min="15375" max="15375" width="11.140625" style="167" customWidth="1"/>
    <col min="15376" max="15376" width="9.140625" style="167"/>
    <col min="15377" max="15377" width="11.140625" style="167" bestFit="1" customWidth="1"/>
    <col min="15378" max="15378" width="12.140625" style="167" customWidth="1"/>
    <col min="15379" max="15616" width="9.140625" style="167"/>
    <col min="15617" max="15617" width="11.7109375" style="167" customWidth="1"/>
    <col min="15618" max="15618" width="14.42578125" style="167" customWidth="1"/>
    <col min="15619" max="15619" width="11.7109375" style="167" customWidth="1"/>
    <col min="15620" max="15620" width="9.140625" style="167"/>
    <col min="15621" max="15621" width="13.5703125" style="167" customWidth="1"/>
    <col min="15622" max="15623" width="9.140625" style="167"/>
    <col min="15624" max="15624" width="12.5703125" style="167" customWidth="1"/>
    <col min="15625" max="15625" width="12" style="167" customWidth="1"/>
    <col min="15626" max="15626" width="13" style="167" customWidth="1"/>
    <col min="15627" max="15627" width="10.140625" style="167" customWidth="1"/>
    <col min="15628" max="15628" width="15.28515625" style="167" customWidth="1"/>
    <col min="15629" max="15629" width="13" style="167" customWidth="1"/>
    <col min="15630" max="15630" width="9.140625" style="167"/>
    <col min="15631" max="15631" width="11.140625" style="167" customWidth="1"/>
    <col min="15632" max="15632" width="9.140625" style="167"/>
    <col min="15633" max="15633" width="11.140625" style="167" bestFit="1" customWidth="1"/>
    <col min="15634" max="15634" width="12.140625" style="167" customWidth="1"/>
    <col min="15635" max="15872" width="9.140625" style="167"/>
    <col min="15873" max="15873" width="11.7109375" style="167" customWidth="1"/>
    <col min="15874" max="15874" width="14.42578125" style="167" customWidth="1"/>
    <col min="15875" max="15875" width="11.7109375" style="167" customWidth="1"/>
    <col min="15876" max="15876" width="9.140625" style="167"/>
    <col min="15877" max="15877" width="13.5703125" style="167" customWidth="1"/>
    <col min="15878" max="15879" width="9.140625" style="167"/>
    <col min="15880" max="15880" width="12.5703125" style="167" customWidth="1"/>
    <col min="15881" max="15881" width="12" style="167" customWidth="1"/>
    <col min="15882" max="15882" width="13" style="167" customWidth="1"/>
    <col min="15883" max="15883" width="10.140625" style="167" customWidth="1"/>
    <col min="15884" max="15884" width="15.28515625" style="167" customWidth="1"/>
    <col min="15885" max="15885" width="13" style="167" customWidth="1"/>
    <col min="15886" max="15886" width="9.140625" style="167"/>
    <col min="15887" max="15887" width="11.140625" style="167" customWidth="1"/>
    <col min="15888" max="15888" width="9.140625" style="167"/>
    <col min="15889" max="15889" width="11.140625" style="167" bestFit="1" customWidth="1"/>
    <col min="15890" max="15890" width="12.140625" style="167" customWidth="1"/>
    <col min="15891" max="16128" width="9.140625" style="167"/>
    <col min="16129" max="16129" width="11.7109375" style="167" customWidth="1"/>
    <col min="16130" max="16130" width="14.42578125" style="167" customWidth="1"/>
    <col min="16131" max="16131" width="11.7109375" style="167" customWidth="1"/>
    <col min="16132" max="16132" width="9.140625" style="167"/>
    <col min="16133" max="16133" width="13.5703125" style="167" customWidth="1"/>
    <col min="16134" max="16135" width="9.140625" style="167"/>
    <col min="16136" max="16136" width="12.5703125" style="167" customWidth="1"/>
    <col min="16137" max="16137" width="12" style="167" customWidth="1"/>
    <col min="16138" max="16138" width="13" style="167" customWidth="1"/>
    <col min="16139" max="16139" width="10.140625" style="167" customWidth="1"/>
    <col min="16140" max="16140" width="15.28515625" style="167" customWidth="1"/>
    <col min="16141" max="16141" width="13" style="167" customWidth="1"/>
    <col min="16142" max="16142" width="9.140625" style="167"/>
    <col min="16143" max="16143" width="11.140625" style="167" customWidth="1"/>
    <col min="16144" max="16144" width="9.140625" style="167"/>
    <col min="16145" max="16145" width="11.140625" style="167" bestFit="1" customWidth="1"/>
    <col min="16146" max="16146" width="12.140625" style="167" customWidth="1"/>
    <col min="16147" max="16384" width="9.140625" style="167"/>
  </cols>
  <sheetData>
    <row r="1" spans="1:18">
      <c r="A1" s="217" t="s">
        <v>54</v>
      </c>
      <c r="B1" s="217"/>
      <c r="C1" s="217"/>
      <c r="D1" s="217"/>
      <c r="E1" s="217"/>
      <c r="H1" s="217" t="s">
        <v>54</v>
      </c>
      <c r="I1" s="217"/>
      <c r="J1" s="217"/>
      <c r="K1" s="217"/>
      <c r="L1" s="217"/>
      <c r="M1" s="217"/>
    </row>
    <row r="2" spans="1:18">
      <c r="A2" s="217" t="s">
        <v>152</v>
      </c>
      <c r="B2" s="217"/>
      <c r="C2" s="217"/>
      <c r="D2" s="217"/>
      <c r="E2" s="217"/>
      <c r="H2" s="217" t="s">
        <v>153</v>
      </c>
      <c r="I2" s="217"/>
      <c r="J2" s="217"/>
      <c r="K2" s="217"/>
      <c r="L2" s="217"/>
      <c r="M2" s="217"/>
    </row>
    <row r="3" spans="1:18">
      <c r="A3" s="217" t="s">
        <v>154</v>
      </c>
      <c r="B3" s="217"/>
      <c r="C3" s="217"/>
      <c r="D3" s="217"/>
      <c r="E3" s="217"/>
      <c r="H3" s="217" t="s">
        <v>154</v>
      </c>
      <c r="I3" s="217"/>
      <c r="J3" s="217"/>
      <c r="K3" s="217"/>
      <c r="L3" s="217"/>
      <c r="M3" s="217"/>
    </row>
    <row r="4" spans="1:18">
      <c r="L4" s="215" t="s">
        <v>155</v>
      </c>
      <c r="M4" s="168"/>
      <c r="O4" s="216" t="s">
        <v>156</v>
      </c>
      <c r="Q4" s="169"/>
    </row>
    <row r="5" spans="1:18">
      <c r="B5" s="170" t="s">
        <v>157</v>
      </c>
      <c r="C5" s="170"/>
      <c r="D5" s="170"/>
      <c r="E5" s="170" t="s">
        <v>158</v>
      </c>
      <c r="I5" s="170" t="s">
        <v>159</v>
      </c>
      <c r="J5" s="170"/>
      <c r="K5" s="170"/>
      <c r="L5" s="215"/>
      <c r="M5" s="168" t="s">
        <v>160</v>
      </c>
      <c r="O5" s="216"/>
      <c r="Q5" s="169"/>
      <c r="R5" s="168"/>
    </row>
    <row r="6" spans="1:18">
      <c r="B6" s="171" t="s">
        <v>161</v>
      </c>
      <c r="C6" s="171" t="s">
        <v>162</v>
      </c>
      <c r="D6" s="170"/>
      <c r="E6" s="171" t="s">
        <v>163</v>
      </c>
      <c r="I6" s="171" t="s">
        <v>164</v>
      </c>
      <c r="J6" s="171" t="s">
        <v>165</v>
      </c>
      <c r="K6" s="171" t="s">
        <v>166</v>
      </c>
      <c r="L6" s="215"/>
      <c r="M6" s="171" t="s">
        <v>163</v>
      </c>
      <c r="O6" s="216"/>
      <c r="Q6" s="169"/>
      <c r="R6" s="168"/>
    </row>
    <row r="7" spans="1:18">
      <c r="B7" s="171"/>
      <c r="C7" s="171"/>
      <c r="D7" s="170"/>
      <c r="E7" s="171"/>
      <c r="I7" s="171"/>
      <c r="J7" s="171"/>
      <c r="K7" s="171"/>
      <c r="L7" s="172"/>
      <c r="M7" s="171"/>
      <c r="O7" s="169"/>
    </row>
    <row r="8" spans="1:18">
      <c r="B8" s="173">
        <f>B10/E36</f>
        <v>2.240243886492251E-3</v>
      </c>
      <c r="C8" s="174" t="s">
        <v>167</v>
      </c>
      <c r="D8" s="170"/>
      <c r="E8" s="171"/>
      <c r="I8" s="175">
        <f>ROUND(C45,5)</f>
        <v>2.2699999999999999E-3</v>
      </c>
      <c r="J8" s="175"/>
      <c r="K8" s="176">
        <v>3.2500000000000001E-2</v>
      </c>
      <c r="L8" s="170"/>
    </row>
    <row r="10" spans="1:18">
      <c r="A10" s="177">
        <v>40848</v>
      </c>
      <c r="B10" s="178">
        <f>F61</f>
        <v>268626</v>
      </c>
      <c r="C10" s="179"/>
      <c r="E10" s="180">
        <v>14430759.345757073</v>
      </c>
      <c r="H10" s="181">
        <f>A10</f>
        <v>40848</v>
      </c>
      <c r="I10" s="178">
        <f>F59</f>
        <v>205773</v>
      </c>
      <c r="J10" s="178"/>
      <c r="K10" s="179"/>
      <c r="L10" s="176"/>
      <c r="M10" s="96">
        <f>15497294-841024</f>
        <v>14656270</v>
      </c>
      <c r="O10" s="182">
        <f>M10-E10</f>
        <v>225510.65424292721</v>
      </c>
      <c r="Q10" s="183"/>
      <c r="R10" s="184"/>
    </row>
    <row r="11" spans="1:18">
      <c r="B11" s="183"/>
      <c r="C11" s="183">
        <f>((B10+B12)/2)*(0.0325/12)</f>
        <v>683.75068070593215</v>
      </c>
      <c r="E11" s="180"/>
      <c r="H11" s="181"/>
      <c r="I11" s="183"/>
      <c r="J11" s="185">
        <f>-M10*I$8</f>
        <v>-33269.732899999995</v>
      </c>
      <c r="K11" s="183">
        <f>((I10+I10+J11)/2)*(L11/12)</f>
        <v>512.24911169791665</v>
      </c>
      <c r="L11" s="179">
        <f>K8</f>
        <v>3.2500000000000001E-2</v>
      </c>
      <c r="M11" s="186"/>
      <c r="O11" s="182">
        <f t="shared" ref="O11:O31" si="0">M11-E11</f>
        <v>0</v>
      </c>
      <c r="Q11" s="183"/>
      <c r="R11" s="186"/>
    </row>
    <row r="12" spans="1:18">
      <c r="A12" s="177">
        <f>A10+30</f>
        <v>40878</v>
      </c>
      <c r="B12" s="183">
        <f>B10-($B$8*E10)</f>
        <v>236297.57959822682</v>
      </c>
      <c r="E12" s="180">
        <v>21088624.868714862</v>
      </c>
      <c r="H12" s="181">
        <f t="shared" ref="H12:H34" si="1">A12</f>
        <v>40878</v>
      </c>
      <c r="I12" s="183">
        <f>I10+J11+K11</f>
        <v>173015.51621169792</v>
      </c>
      <c r="J12" s="183"/>
      <c r="L12" s="179"/>
      <c r="M12" s="187">
        <f>20471853-397169</f>
        <v>20074684</v>
      </c>
      <c r="O12" s="182">
        <f t="shared" si="0"/>
        <v>-1013940.8687148616</v>
      </c>
      <c r="Q12" s="183"/>
      <c r="R12" s="188"/>
    </row>
    <row r="13" spans="1:18">
      <c r="A13" s="177"/>
      <c r="B13" s="183"/>
      <c r="C13" s="183">
        <f>((B12+B14)/2)*(0.0325/12)</f>
        <v>575.9968178517945</v>
      </c>
      <c r="E13" s="180"/>
      <c r="H13" s="181"/>
      <c r="I13" s="183"/>
      <c r="J13" s="185">
        <f>-M12*I$8</f>
        <v>-45569.532679999997</v>
      </c>
      <c r="K13" s="183">
        <f>((I12+I12+J13)/2)*(L13/12)</f>
        <v>406.87494756918187</v>
      </c>
      <c r="L13" s="179">
        <f>L11</f>
        <v>3.2500000000000001E-2</v>
      </c>
      <c r="M13" s="187"/>
      <c r="O13" s="182">
        <f t="shared" si="0"/>
        <v>0</v>
      </c>
      <c r="R13" s="188"/>
    </row>
    <row r="14" spans="1:18">
      <c r="A14" s="177">
        <f>A12+31</f>
        <v>40909</v>
      </c>
      <c r="B14" s="183">
        <f>B12-(B8*E12)</f>
        <v>189053.9166615599</v>
      </c>
      <c r="C14" s="183"/>
      <c r="E14" s="180">
        <v>20840464.022885934</v>
      </c>
      <c r="H14" s="181">
        <f t="shared" si="1"/>
        <v>40909</v>
      </c>
      <c r="I14" s="183">
        <f>I12+J13+K13+F60+E45</f>
        <v>189910.38545977953</v>
      </c>
      <c r="J14" s="183"/>
      <c r="K14" s="183"/>
      <c r="L14" s="179"/>
      <c r="M14" s="96">
        <v>19612393</v>
      </c>
      <c r="O14" s="182">
        <f t="shared" si="0"/>
        <v>-1228071.0228859335</v>
      </c>
      <c r="R14" s="184"/>
    </row>
    <row r="15" spans="1:18">
      <c r="A15" s="177"/>
      <c r="B15" s="183"/>
      <c r="C15" s="183">
        <f>((B14+B16)/2)*(0.0325/12)</f>
        <v>448.79806725567107</v>
      </c>
      <c r="E15" s="180"/>
      <c r="H15" s="181"/>
      <c r="I15" s="183"/>
      <c r="J15" s="185">
        <f>-M14*I$8</f>
        <v>-44520.132109999999</v>
      </c>
      <c r="K15" s="183">
        <f>((I14+I14+J15)/2)*(L15/12)</f>
        <v>454.05294838794458</v>
      </c>
      <c r="L15" s="189">
        <v>3.2500000000000001E-2</v>
      </c>
      <c r="M15" s="187"/>
      <c r="O15" s="182">
        <f t="shared" si="0"/>
        <v>0</v>
      </c>
      <c r="R15" s="188"/>
    </row>
    <row r="16" spans="1:18">
      <c r="A16" s="177">
        <f>A14+31</f>
        <v>40940</v>
      </c>
      <c r="B16" s="183">
        <f>B14-(B8*E14)</f>
        <v>142366.19454262799</v>
      </c>
      <c r="C16" s="183"/>
      <c r="E16" s="180">
        <v>15953206.46213631</v>
      </c>
      <c r="H16" s="181">
        <f t="shared" si="1"/>
        <v>40940</v>
      </c>
      <c r="I16" s="183">
        <f>I14+J15+K15</f>
        <v>145844.30629816747</v>
      </c>
      <c r="J16" s="183"/>
      <c r="K16" s="183"/>
      <c r="L16" s="179"/>
      <c r="M16" s="96">
        <v>16815965</v>
      </c>
      <c r="O16" s="182">
        <f t="shared" si="0"/>
        <v>862758.53786369041</v>
      </c>
      <c r="R16" s="184"/>
    </row>
    <row r="17" spans="1:18">
      <c r="A17" s="177"/>
      <c r="B17" s="183"/>
      <c r="C17" s="183">
        <f>((B16+B18)/2)*(0.0325/12)</f>
        <v>337.17844853131083</v>
      </c>
      <c r="E17" s="180"/>
      <c r="H17" s="181"/>
      <c r="I17" s="183"/>
      <c r="J17" s="185">
        <f>-M16*I$8</f>
        <v>-38172.240549999995</v>
      </c>
      <c r="K17" s="183">
        <f>((I16+I16+J17)/2)*(L17/12)</f>
        <v>343.30342047941195</v>
      </c>
      <c r="L17" s="179">
        <f>L15</f>
        <v>3.2500000000000001E-2</v>
      </c>
      <c r="M17" s="187"/>
      <c r="O17" s="182">
        <f t="shared" si="0"/>
        <v>0</v>
      </c>
      <c r="R17" s="188"/>
    </row>
    <row r="18" spans="1:18">
      <c r="A18" s="177">
        <f>A16+29</f>
        <v>40969</v>
      </c>
      <c r="B18" s="183">
        <f>B16-(B8*E16)</f>
        <v>106627.12129587845</v>
      </c>
      <c r="C18" s="183"/>
      <c r="E18" s="180">
        <v>13556443.840826811</v>
      </c>
      <c r="H18" s="181">
        <f t="shared" si="1"/>
        <v>40969</v>
      </c>
      <c r="I18" s="183">
        <f>I16+J17+K17</f>
        <v>108015.3691686469</v>
      </c>
      <c r="J18" s="183"/>
      <c r="K18" s="183"/>
      <c r="L18" s="179"/>
      <c r="M18" s="96">
        <v>14014045</v>
      </c>
      <c r="O18" s="182">
        <f t="shared" si="0"/>
        <v>457601.15917318873</v>
      </c>
      <c r="R18" s="184"/>
    </row>
    <row r="19" spans="1:18">
      <c r="A19" s="177"/>
      <c r="B19" s="183"/>
      <c r="C19" s="183">
        <f>((B18+B20)/2)*(0.0325/12)</f>
        <v>247.65609666791647</v>
      </c>
      <c r="E19" s="180"/>
      <c r="H19" s="181"/>
      <c r="I19" s="183"/>
      <c r="J19" s="185">
        <f>-M18*I$8</f>
        <v>-31811.882149999998</v>
      </c>
      <c r="K19" s="183">
        <f>((I18+I18+J19)/2)*(L19/12)</f>
        <v>249.4630344202937</v>
      </c>
      <c r="L19" s="179">
        <f>L17</f>
        <v>3.2500000000000001E-2</v>
      </c>
      <c r="M19" s="187"/>
      <c r="O19" s="182">
        <f t="shared" si="0"/>
        <v>0</v>
      </c>
      <c r="R19" s="188"/>
    </row>
    <row r="20" spans="1:18">
      <c r="A20" s="177">
        <f>A18+31</f>
        <v>41000</v>
      </c>
      <c r="B20" s="183">
        <f>B18-(B8*E18)</f>
        <v>76257.380858890654</v>
      </c>
      <c r="C20" s="183"/>
      <c r="E20" s="180">
        <v>8928611.4698981475</v>
      </c>
      <c r="H20" s="181">
        <f t="shared" si="1"/>
        <v>41000</v>
      </c>
      <c r="I20" s="183">
        <f>I18+J19+K19</f>
        <v>76452.950053067194</v>
      </c>
      <c r="J20" s="183"/>
      <c r="K20" s="183"/>
      <c r="L20" s="179"/>
      <c r="M20" s="96">
        <v>7938194</v>
      </c>
      <c r="O20" s="182">
        <f t="shared" si="0"/>
        <v>-990417.46989814751</v>
      </c>
      <c r="R20" s="184"/>
    </row>
    <row r="21" spans="1:18">
      <c r="A21" s="177"/>
      <c r="B21" s="183"/>
      <c r="C21" s="183">
        <f>((B20+B22)/2)*(0.0325/12)</f>
        <v>179.4440029111673</v>
      </c>
      <c r="E21" s="180"/>
      <c r="H21" s="181"/>
      <c r="I21" s="183"/>
      <c r="J21" s="185">
        <f>-M20*I$8</f>
        <v>-18019.700379999998</v>
      </c>
      <c r="K21" s="183">
        <f>((I20+I20+J21)/2)*(L21/12)</f>
        <v>182.65839546247366</v>
      </c>
      <c r="L21" s="189">
        <v>3.2500000000000001E-2</v>
      </c>
      <c r="M21" s="187"/>
      <c r="O21" s="182">
        <f t="shared" si="0"/>
        <v>0</v>
      </c>
      <c r="R21" s="188"/>
    </row>
    <row r="22" spans="1:18">
      <c r="A22" s="177">
        <f>A20+30</f>
        <v>41030</v>
      </c>
      <c r="B22" s="183">
        <f>B20-(B8*E20)</f>
        <v>56255.113598586737</v>
      </c>
      <c r="C22" s="183"/>
      <c r="E22" s="180">
        <v>5150776.2753536562</v>
      </c>
      <c r="H22" s="181">
        <f t="shared" si="1"/>
        <v>41030</v>
      </c>
      <c r="I22" s="183">
        <f>I20+J21+K21</f>
        <v>58615.908068529672</v>
      </c>
      <c r="J22" s="183"/>
      <c r="K22" s="183"/>
      <c r="L22" s="179"/>
      <c r="M22" s="96">
        <v>5103815</v>
      </c>
      <c r="O22" s="182">
        <f t="shared" si="0"/>
        <v>-46961.27535365615</v>
      </c>
      <c r="R22" s="184"/>
    </row>
    <row r="23" spans="1:18">
      <c r="A23" s="177"/>
      <c r="B23" s="183"/>
      <c r="C23" s="183">
        <f>((B22+B24)/2)*(0.0325/12)</f>
        <v>136.73187685032298</v>
      </c>
      <c r="E23" s="180"/>
      <c r="H23" s="181"/>
      <c r="I23" s="183"/>
      <c r="J23" s="185">
        <f>-M22*I$8</f>
        <v>-11585.660049999999</v>
      </c>
      <c r="K23" s="183">
        <f>((I22+I22+J23)/2)*(L23/12)</f>
        <v>143.06250303455954</v>
      </c>
      <c r="L23" s="179">
        <f>L21</f>
        <v>3.2500000000000001E-2</v>
      </c>
      <c r="M23" s="187"/>
      <c r="O23" s="182">
        <f t="shared" si="0"/>
        <v>0</v>
      </c>
      <c r="R23" s="188"/>
    </row>
    <row r="24" spans="1:18">
      <c r="A24" s="177">
        <f>A22+31</f>
        <v>41061</v>
      </c>
      <c r="B24" s="183">
        <f>B22-(B8*E22)</f>
        <v>44716.118537036382</v>
      </c>
      <c r="C24" s="183"/>
      <c r="E24" s="180">
        <v>3295531.7803930459</v>
      </c>
      <c r="H24" s="181">
        <f t="shared" si="1"/>
        <v>41061</v>
      </c>
      <c r="I24" s="183">
        <f>I22+J23+K23</f>
        <v>47173.310521564235</v>
      </c>
      <c r="J24" s="183"/>
      <c r="K24" s="183"/>
      <c r="L24" s="179"/>
      <c r="M24" s="96">
        <v>3435044</v>
      </c>
      <c r="O24" s="182">
        <f t="shared" si="0"/>
        <v>139512.21960695414</v>
      </c>
      <c r="R24" s="184"/>
    </row>
    <row r="25" spans="1:18">
      <c r="A25" s="177"/>
      <c r="B25" s="183"/>
      <c r="C25" s="183">
        <f>((B24+B26)/2)*(0.0325/12)</f>
        <v>111.10861957853982</v>
      </c>
      <c r="E25" s="180"/>
      <c r="H25" s="181"/>
      <c r="I25" s="183"/>
      <c r="J25" s="185">
        <f>-M24*I$8</f>
        <v>-7797.5498799999996</v>
      </c>
      <c r="K25" s="183">
        <f>((I24+I24+J25)/2)*(L25/12)</f>
        <v>117.2018672000698</v>
      </c>
      <c r="L25" s="179">
        <f>L23</f>
        <v>3.2500000000000001E-2</v>
      </c>
      <c r="M25" s="187"/>
      <c r="O25" s="182">
        <f t="shared" si="0"/>
        <v>0</v>
      </c>
      <c r="R25" s="188"/>
    </row>
    <row r="26" spans="1:18">
      <c r="A26" s="177">
        <f>A24+30</f>
        <v>41091</v>
      </c>
      <c r="B26" s="183">
        <f>B24-(B8*E24)</f>
        <v>37333.323613269939</v>
      </c>
      <c r="C26" s="183"/>
      <c r="E26" s="180">
        <v>2570279.8929127483</v>
      </c>
      <c r="H26" s="181">
        <f t="shared" si="1"/>
        <v>41091</v>
      </c>
      <c r="I26" s="183">
        <f>I24+J25+K25</f>
        <v>39492.962508764307</v>
      </c>
      <c r="J26" s="183"/>
      <c r="K26" s="183"/>
      <c r="L26" s="179"/>
      <c r="M26" s="187">
        <v>2150246</v>
      </c>
      <c r="O26" s="182">
        <f t="shared" si="0"/>
        <v>-420033.89291274827</v>
      </c>
      <c r="R26" s="187"/>
    </row>
    <row r="27" spans="1:18">
      <c r="A27" s="177"/>
      <c r="B27" s="183"/>
      <c r="C27" s="183">
        <f>((B26+B28)/2)*(0.0325/12)</f>
        <v>93.313720242529769</v>
      </c>
      <c r="E27" s="180"/>
      <c r="H27" s="181"/>
      <c r="I27" s="183"/>
      <c r="J27" s="185">
        <f>-M26*I$8</f>
        <v>-4881.0584199999994</v>
      </c>
      <c r="K27" s="183">
        <f>((I26+I26+J27)/2)*(L27/12)</f>
        <v>100.35034018415334</v>
      </c>
      <c r="L27" s="189">
        <v>3.2500000000000001E-2</v>
      </c>
      <c r="M27" s="187"/>
      <c r="O27" s="182">
        <f t="shared" si="0"/>
        <v>0</v>
      </c>
      <c r="R27" s="187"/>
    </row>
    <row r="28" spans="1:18">
      <c r="A28" s="177">
        <f>A26+31</f>
        <v>41122</v>
      </c>
      <c r="B28" s="183">
        <f>B26-(B8*E26)</f>
        <v>31575.269796598197</v>
      </c>
      <c r="C28" s="183"/>
      <c r="E28" s="180">
        <v>2676994.2449148255</v>
      </c>
      <c r="H28" s="181">
        <f t="shared" si="1"/>
        <v>41122</v>
      </c>
      <c r="I28" s="183">
        <f>I26+J27+K27</f>
        <v>34712.254428948458</v>
      </c>
      <c r="J28" s="183"/>
      <c r="K28" s="183"/>
      <c r="L28" s="179"/>
      <c r="M28" s="187">
        <v>1991298</v>
      </c>
      <c r="O28" s="182">
        <f t="shared" si="0"/>
        <v>-685696.24491482554</v>
      </c>
      <c r="R28" s="187"/>
    </row>
    <row r="29" spans="1:18">
      <c r="A29" s="177"/>
      <c r="B29" s="183"/>
      <c r="C29" s="183">
        <f>((B28+B30)/2)*(0.0325/12)</f>
        <v>77.395255710839919</v>
      </c>
      <c r="E29" s="180"/>
      <c r="H29" s="181"/>
      <c r="I29" s="183"/>
      <c r="J29" s="185">
        <f>-M28*I$8</f>
        <v>-4520.2464599999994</v>
      </c>
      <c r="K29" s="183">
        <f>((I28+I28+J29)/2)*(L29/12)</f>
        <v>87.891188663818738</v>
      </c>
      <c r="L29" s="179">
        <f>L27</f>
        <v>3.2500000000000001E-2</v>
      </c>
      <c r="M29" s="187"/>
      <c r="O29" s="182">
        <f t="shared" si="0"/>
        <v>0</v>
      </c>
      <c r="R29" s="180"/>
    </row>
    <row r="30" spans="1:18">
      <c r="A30" s="177">
        <f>A28+31</f>
        <v>41153</v>
      </c>
      <c r="B30" s="183">
        <f>B28-(B8*E28)</f>
        <v>25578.149805252819</v>
      </c>
      <c r="C30" s="183"/>
      <c r="E30" s="180">
        <v>3486865.9176975247</v>
      </c>
      <c r="H30" s="181">
        <f t="shared" si="1"/>
        <v>41153</v>
      </c>
      <c r="I30" s="183">
        <f>I28+J29+K29</f>
        <v>30279.899157612279</v>
      </c>
      <c r="J30" s="183"/>
      <c r="K30" s="183"/>
      <c r="L30" s="179"/>
      <c r="M30" s="187">
        <v>2325300</v>
      </c>
      <c r="O30" s="182">
        <f t="shared" si="0"/>
        <v>-1161565.9176975247</v>
      </c>
      <c r="R30" s="180"/>
    </row>
    <row r="31" spans="1:18">
      <c r="A31" s="177"/>
      <c r="B31" s="183"/>
      <c r="C31" s="183">
        <f>((B30+B32)/2)*(0.0325/12)</f>
        <v>58.696177522890871</v>
      </c>
      <c r="E31" s="180"/>
      <c r="H31" s="181"/>
      <c r="I31" s="183"/>
      <c r="J31" s="185">
        <f>-M30*I$8</f>
        <v>-5278.4309999999996</v>
      </c>
      <c r="K31" s="183">
        <f>((I30+I30+J31)/2)*(L31/12)</f>
        <v>74.860184906033268</v>
      </c>
      <c r="L31" s="179">
        <f>L29</f>
        <v>3.2500000000000001E-2</v>
      </c>
      <c r="M31" s="187"/>
      <c r="O31" s="182">
        <f t="shared" si="0"/>
        <v>0</v>
      </c>
      <c r="R31" s="180"/>
    </row>
    <row r="32" spans="1:18" ht="15">
      <c r="A32" s="177">
        <f>A30+30</f>
        <v>41183</v>
      </c>
      <c r="B32" s="183">
        <f>B30-(B8*E30)</f>
        <v>17766.719750112745</v>
      </c>
      <c r="C32" s="183"/>
      <c r="E32" s="190">
        <v>7930708.8382129371</v>
      </c>
      <c r="H32" s="181">
        <f t="shared" si="1"/>
        <v>41183</v>
      </c>
      <c r="I32" s="183">
        <f>I30+J31+K31</f>
        <v>25076.328342518311</v>
      </c>
      <c r="J32" s="183"/>
      <c r="K32" s="183"/>
      <c r="L32" s="179"/>
      <c r="M32" s="187">
        <v>6572155</v>
      </c>
      <c r="O32" s="182">
        <f>M32+M34+M36-E32</f>
        <v>-68286.838212937117</v>
      </c>
      <c r="R32" s="190"/>
    </row>
    <row r="33" spans="1:15">
      <c r="A33" s="177"/>
      <c r="B33" s="183"/>
      <c r="C33" s="183">
        <f>((B32+B34)/2)*(0.0325/12)</f>
        <v>24.059096627947465</v>
      </c>
      <c r="E33" s="180"/>
      <c r="H33" s="181"/>
      <c r="I33" s="183"/>
      <c r="J33" s="185">
        <f>-M32*I$8</f>
        <v>-14918.79185</v>
      </c>
      <c r="K33" s="183">
        <f>((I32+I32+J33)/2)*(L33/12)</f>
        <v>47.712525297445424</v>
      </c>
      <c r="L33" s="189">
        <v>3.2500000000000001E-2</v>
      </c>
    </row>
    <row r="34" spans="1:15">
      <c r="A34" s="177">
        <f>A32+31</f>
        <v>41214</v>
      </c>
      <c r="B34" s="183">
        <f>B32-(B8*E32)</f>
        <v>-2.240243848063983E-3</v>
      </c>
      <c r="E34" s="180"/>
      <c r="H34" s="181">
        <f t="shared" si="1"/>
        <v>41214</v>
      </c>
      <c r="I34" s="183">
        <f>I32+J33+K33</f>
        <v>10205.249017815757</v>
      </c>
      <c r="J34" s="183"/>
      <c r="L34" s="179"/>
      <c r="M34" s="187">
        <v>764388</v>
      </c>
      <c r="N34" s="169" t="s">
        <v>168</v>
      </c>
    </row>
    <row r="35" spans="1:15">
      <c r="E35" s="180"/>
      <c r="H35" s="181"/>
      <c r="I35" s="183"/>
      <c r="J35" s="185">
        <f>-M34*I$8</f>
        <v>-1735.16076</v>
      </c>
      <c r="K35" s="183">
        <f>((I34+I34+J35)/2)*(L35/12)</f>
        <v>25.289519227417678</v>
      </c>
      <c r="L35" s="179">
        <f>L33</f>
        <v>3.2500000000000001E-2</v>
      </c>
    </row>
    <row r="36" spans="1:15">
      <c r="A36" s="167" t="s">
        <v>17</v>
      </c>
      <c r="C36" s="183">
        <f>SUM(C11:C33)</f>
        <v>2974.1288604568631</v>
      </c>
      <c r="E36" s="180">
        <f>SUM(E10:E32)-1</f>
        <v>119909265.95970388</v>
      </c>
      <c r="H36" s="181">
        <f>H34+30</f>
        <v>41244</v>
      </c>
      <c r="I36" s="183">
        <f>I34+J35+K35</f>
        <v>8495.3777770431734</v>
      </c>
      <c r="J36" s="183"/>
      <c r="L36" s="179"/>
      <c r="M36" s="187">
        <v>525879</v>
      </c>
      <c r="N36" s="169" t="s">
        <v>169</v>
      </c>
    </row>
    <row r="37" spans="1:15">
      <c r="E37" s="180"/>
      <c r="H37" s="181"/>
      <c r="I37" s="183"/>
      <c r="J37" s="185">
        <f>-M36*I$8</f>
        <v>-1193.74533</v>
      </c>
      <c r="K37" s="183">
        <f>((I36+I36+J37)/2)*(L37/12)</f>
        <v>21.391784678450261</v>
      </c>
      <c r="L37" s="179">
        <f>L35</f>
        <v>3.2500000000000001E-2</v>
      </c>
      <c r="M37" s="191"/>
    </row>
    <row r="38" spans="1:15">
      <c r="A38" s="167" t="s">
        <v>170</v>
      </c>
      <c r="E38" s="180"/>
      <c r="H38" s="181">
        <f>H36+31</f>
        <v>41275</v>
      </c>
      <c r="I38" s="183">
        <f>I36+J37+K37</f>
        <v>7323.0242317216243</v>
      </c>
      <c r="J38" s="183"/>
      <c r="L38" s="179"/>
    </row>
    <row r="39" spans="1:15">
      <c r="A39" s="167" t="s">
        <v>171</v>
      </c>
      <c r="C39" s="192">
        <f>C36/E36</f>
        <v>2.4803161262419321E-5</v>
      </c>
      <c r="E39" s="180"/>
    </row>
    <row r="40" spans="1:15">
      <c r="C40" s="193"/>
      <c r="E40" s="180"/>
      <c r="H40" s="167" t="s">
        <v>17</v>
      </c>
      <c r="J40" s="183">
        <f>SUM(J11:J37)</f>
        <v>-263273.86451999994</v>
      </c>
      <c r="K40" s="183">
        <f>SUM(K11:K37)</f>
        <v>2766.3617712091709</v>
      </c>
      <c r="M40" s="194">
        <f>SUM(M10:M37)</f>
        <v>115979676</v>
      </c>
      <c r="O40" s="194">
        <f>SUM(O10:O32)</f>
        <v>-3929590.9597038738</v>
      </c>
    </row>
    <row r="41" spans="1:15">
      <c r="A41" s="167" t="s">
        <v>172</v>
      </c>
      <c r="C41" s="193"/>
      <c r="E41" s="180">
        <f>M40</f>
        <v>115979676</v>
      </c>
      <c r="F41" s="169" t="s">
        <v>197</v>
      </c>
      <c r="M41" s="195">
        <f>M40*I8</f>
        <v>263273.86452</v>
      </c>
    </row>
    <row r="42" spans="1:15">
      <c r="A42" s="167" t="s">
        <v>173</v>
      </c>
      <c r="C42" s="196">
        <f>B8</f>
        <v>2.240243886492251E-3</v>
      </c>
      <c r="J42" s="183">
        <f>I10+F60+E45+K40+J40</f>
        <v>7323.0242317216471</v>
      </c>
      <c r="M42" s="195">
        <f>M40*C42</f>
        <v>259822.76011635203</v>
      </c>
      <c r="N42" s="169" t="s">
        <v>174</v>
      </c>
    </row>
    <row r="43" spans="1:15">
      <c r="C43" s="196"/>
      <c r="E43" s="183">
        <f>B10+K40</f>
        <v>271392.36177120917</v>
      </c>
      <c r="F43" s="169" t="s">
        <v>175</v>
      </c>
      <c r="M43" s="197">
        <f>M41-M42</f>
        <v>3451.1044036479725</v>
      </c>
      <c r="N43" s="169" t="s">
        <v>166</v>
      </c>
    </row>
    <row r="44" spans="1:15">
      <c r="A44" s="167" t="s">
        <v>176</v>
      </c>
      <c r="C44" s="193"/>
    </row>
    <row r="45" spans="1:15">
      <c r="A45" s="167" t="s">
        <v>177</v>
      </c>
      <c r="C45" s="192">
        <f>C39+C42</f>
        <v>2.2650470477546701E-3</v>
      </c>
      <c r="E45" s="183">
        <v>-795.47301948757377</v>
      </c>
      <c r="F45" s="169" t="s">
        <v>178</v>
      </c>
    </row>
    <row r="46" spans="1:15">
      <c r="C46" s="192"/>
    </row>
    <row r="47" spans="1:15">
      <c r="A47" s="167" t="s">
        <v>179</v>
      </c>
      <c r="E47" s="183">
        <f>E41*ROUND(C45,5)</f>
        <v>263273.86452</v>
      </c>
      <c r="F47" s="169" t="s">
        <v>180</v>
      </c>
    </row>
    <row r="48" spans="1:15">
      <c r="A48" s="167" t="s">
        <v>181</v>
      </c>
      <c r="C48" s="198">
        <v>1.0460229162700496</v>
      </c>
      <c r="E48" s="199"/>
    </row>
    <row r="49" spans="1:9">
      <c r="C49" s="200"/>
      <c r="E49" s="183">
        <f>E43+E45-E47</f>
        <v>7323.0242317215889</v>
      </c>
      <c r="F49" s="169" t="s">
        <v>182</v>
      </c>
    </row>
    <row r="50" spans="1:9">
      <c r="A50" s="201" t="s">
        <v>183</v>
      </c>
      <c r="B50" s="202"/>
      <c r="C50" s="203">
        <f>C45*C48</f>
        <v>2.3692911183812062E-3</v>
      </c>
    </row>
    <row r="51" spans="1:9">
      <c r="C51" s="200"/>
      <c r="E51" s="183">
        <f>E49-E45</f>
        <v>8118.4972512091626</v>
      </c>
      <c r="F51" s="169" t="s">
        <v>184</v>
      </c>
    </row>
    <row r="52" spans="1:9">
      <c r="C52" s="200"/>
    </row>
    <row r="53" spans="1:9">
      <c r="A53" s="169" t="s">
        <v>185</v>
      </c>
      <c r="I53" s="169" t="s">
        <v>186</v>
      </c>
    </row>
    <row r="54" spans="1:9">
      <c r="A54" s="169" t="s">
        <v>187</v>
      </c>
      <c r="F54" s="204"/>
      <c r="I54" s="169" t="s">
        <v>188</v>
      </c>
    </row>
    <row r="55" spans="1:9">
      <c r="A55" s="167" t="s">
        <v>189</v>
      </c>
      <c r="I55" s="169" t="s">
        <v>190</v>
      </c>
    </row>
    <row r="56" spans="1:9">
      <c r="A56" s="169" t="s">
        <v>191</v>
      </c>
    </row>
    <row r="57" spans="1:9" ht="15">
      <c r="A57" s="167" t="s">
        <v>192</v>
      </c>
      <c r="I57" s="208"/>
    </row>
    <row r="59" spans="1:9">
      <c r="B59" s="169" t="s">
        <v>193</v>
      </c>
      <c r="F59" s="183">
        <v>205773</v>
      </c>
    </row>
    <row r="60" spans="1:9">
      <c r="B60" s="205" t="s">
        <v>194</v>
      </c>
      <c r="C60" s="204"/>
      <c r="D60" s="204"/>
      <c r="E60" s="204"/>
      <c r="F60" s="183">
        <v>62853</v>
      </c>
      <c r="G60" s="169" t="s">
        <v>195</v>
      </c>
    </row>
    <row r="61" spans="1:9">
      <c r="B61" s="206" t="s">
        <v>196</v>
      </c>
      <c r="F61" s="207">
        <f>SUM(F59:F60)</f>
        <v>268626</v>
      </c>
    </row>
  </sheetData>
  <mergeCells count="8">
    <mergeCell ref="L4:L6"/>
    <mergeCell ref="O4:O6"/>
    <mergeCell ref="A1:E1"/>
    <mergeCell ref="H1:M1"/>
    <mergeCell ref="A2:E2"/>
    <mergeCell ref="H2:M2"/>
    <mergeCell ref="A3:E3"/>
    <mergeCell ref="H3:M3"/>
  </mergeCells>
  <printOptions horizontalCentered="1"/>
  <pageMargins left="0.25" right="0.25" top="1.2" bottom="0.73" header="0.5" footer="0.5"/>
  <pageSetup scale="60" orientation="landscape" r:id="rId1"/>
  <headerFooter scaleWithDoc="0" alignWithMargins="0">
    <oddHeader>&amp;CAvista Corporation Natural Gas Decoupling Mechanism
Washington Jurisdiction
Quarterly Report for 4rd Quarter 2012</oddHeader>
    <oddFooter>&amp;Cfile: &amp;F / &amp;A&amp;RPage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8C9261AECE84F42AEE70ECFF659B923" ma:contentTypeVersion="136" ma:contentTypeDescription="" ma:contentTypeScope="" ma:versionID="3e95fbabc3455d832f219d273500a5d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IsConfidential xmlns="dc463f71-b30c-4ab2-9473-d307f9d35888">false</IsConfidential>
    <AgendaOrder xmlns="dc463f71-b30c-4ab2-9473-d307f9d35888">false</AgendaOrder>
    <CaseType xmlns="dc463f71-b30c-4ab2-9473-d307f9d35888">Petition</CaseType>
    <IndustryCode xmlns="dc463f71-b30c-4ab2-9473-d307f9d35888">150</IndustryCode>
    <CaseStatus xmlns="dc463f71-b30c-4ab2-9473-d307f9d35888">Closed</CaseStatus>
    <OpenedDate xmlns="dc463f71-b30c-4ab2-9473-d307f9d35888">2006-04-05T07:00:00+00:00</OpenedDate>
    <Date1 xmlns="dc463f71-b30c-4ab2-9473-d307f9d35888">2013-02-08T08:00:00+00:00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060518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965A4770-64AD-4055-8AA6-4C6A3781501C}"/>
</file>

<file path=customXml/itemProps2.xml><?xml version="1.0" encoding="utf-8"?>
<ds:datastoreItem xmlns:ds="http://schemas.openxmlformats.org/officeDocument/2006/customXml" ds:itemID="{8271ABBE-70BA-464F-ACC7-CF826C57DB03}"/>
</file>

<file path=customXml/itemProps3.xml><?xml version="1.0" encoding="utf-8"?>
<ds:datastoreItem xmlns:ds="http://schemas.openxmlformats.org/officeDocument/2006/customXml" ds:itemID="{249AC36F-2247-4DD3-B6F4-EB1683ACE0A9}"/>
</file>

<file path=customXml/itemProps4.xml><?xml version="1.0" encoding="utf-8"?>
<ds:datastoreItem xmlns:ds="http://schemas.openxmlformats.org/officeDocument/2006/customXml" ds:itemID="{922DA95F-34C2-45FA-9B3D-9FFFA02B98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UG-110877 Base</vt:lpstr>
      <vt:lpstr>PTD 2013 Deferral Calc</vt:lpstr>
      <vt:lpstr>GL Accounts</vt:lpstr>
      <vt:lpstr>11-12 Surcharge</vt:lpstr>
      <vt:lpstr>Fiscal_Period_Report</vt:lpstr>
      <vt:lpstr>'GL Accounts'!Print_Area</vt:lpstr>
      <vt:lpstr>'PTD 2013 Deferral Calc'!Print_Area</vt:lpstr>
      <vt:lpstr>'UG-110877 Base'!Print_Titles</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gzhkw6</dc:creator>
  <cp:lastModifiedBy>gzhkw6</cp:lastModifiedBy>
  <cp:lastPrinted>2013-02-06T19:38:34Z</cp:lastPrinted>
  <dcterms:created xsi:type="dcterms:W3CDTF">2010-08-02T16:29:29Z</dcterms:created>
  <dcterms:modified xsi:type="dcterms:W3CDTF">2013-02-06T19:39:25Z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0x0101006E56B4D1795A2E4DB2F0B01679ED314A0038C9261AECE84F42AEE70ECFF659B923</vt:lpwstr>
  </property>
  <property fmtid="{D5CDD505-2E9C-101B-9397-08002B2CF9AE}" pid="3" name="_docset_NoMedatataSyncRequired">
    <vt:lpwstr>False</vt:lpwstr>
  </property>
</Properties>
</file>