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95" windowHeight="7680" activeTab="1"/>
  </bookViews>
  <sheets>
    <sheet name="Exhibit Workpaper" sheetId="1" r:id="rId1"/>
    <sheet name="Exhibit DWS-4" sheetId="2" r:id="rId2"/>
    <sheet name="Sheet3" sheetId="3" r:id="rId3"/>
  </sheets>
  <calcPr calcId="125725" calcMode="manual"/>
</workbook>
</file>

<file path=xl/calcChain.xml><?xml version="1.0" encoding="utf-8"?>
<calcChain xmlns="http://schemas.openxmlformats.org/spreadsheetml/2006/main">
  <c r="R25" i="1"/>
  <c r="R35"/>
  <c r="R34"/>
  <c r="R33"/>
  <c r="R32"/>
  <c r="R31"/>
  <c r="R24"/>
  <c r="R23"/>
  <c r="R22"/>
  <c r="R21"/>
  <c r="R20"/>
  <c r="R18"/>
  <c r="R12"/>
  <c r="M22" i="2"/>
  <c r="N22"/>
  <c r="H22"/>
  <c r="I22"/>
  <c r="O44" i="1"/>
  <c r="Q44" s="1"/>
  <c r="P44" s="1"/>
  <c r="Q40"/>
  <c r="P40" s="1"/>
  <c r="L44"/>
  <c r="L40"/>
  <c r="M40"/>
  <c r="J40"/>
  <c r="M44"/>
  <c r="J44"/>
  <c r="D22" i="2"/>
  <c r="E22" s="1"/>
  <c r="N21"/>
  <c r="M21"/>
  <c r="L21"/>
  <c r="I21"/>
  <c r="H21"/>
  <c r="G21"/>
  <c r="D21"/>
  <c r="E21" s="1"/>
  <c r="C21"/>
  <c r="N20"/>
  <c r="M20"/>
  <c r="L20"/>
  <c r="I20"/>
  <c r="H20"/>
  <c r="G20"/>
  <c r="D20"/>
  <c r="E20" s="1"/>
  <c r="C20"/>
  <c r="N19"/>
  <c r="M19"/>
  <c r="L19"/>
  <c r="I19"/>
  <c r="H19"/>
  <c r="G19"/>
  <c r="D19"/>
  <c r="E19" s="1"/>
  <c r="C19"/>
  <c r="N18"/>
  <c r="M18"/>
  <c r="L18"/>
  <c r="I18"/>
  <c r="H18"/>
  <c r="G18"/>
  <c r="D18"/>
  <c r="E18" s="1"/>
  <c r="C18"/>
  <c r="N17"/>
  <c r="M17"/>
  <c r="L17"/>
  <c r="I17"/>
  <c r="H17"/>
  <c r="G17"/>
  <c r="D17"/>
  <c r="E17" s="1"/>
  <c r="C17"/>
  <c r="N16"/>
  <c r="M16"/>
  <c r="L16"/>
  <c r="I16"/>
  <c r="H16"/>
  <c r="G16"/>
  <c r="D16"/>
  <c r="E16" s="1"/>
  <c r="C16"/>
  <c r="N15"/>
  <c r="M15"/>
  <c r="L15"/>
  <c r="I15"/>
  <c r="H15"/>
  <c r="G15"/>
  <c r="D15"/>
  <c r="E15" s="1"/>
  <c r="C15"/>
  <c r="N14"/>
  <c r="M14"/>
  <c r="L14"/>
  <c r="I14"/>
  <c r="H14"/>
  <c r="G14"/>
  <c r="D14"/>
  <c r="E14" s="1"/>
  <c r="C14"/>
  <c r="N13"/>
  <c r="M13"/>
  <c r="L13"/>
  <c r="I13"/>
  <c r="H13"/>
  <c r="G13"/>
  <c r="D13"/>
  <c r="E13" s="1"/>
  <c r="C13"/>
  <c r="N12"/>
  <c r="M12"/>
  <c r="L12"/>
  <c r="I12"/>
  <c r="H12"/>
  <c r="G12"/>
  <c r="D12"/>
  <c r="E12" s="1"/>
  <c r="C12"/>
  <c r="N11"/>
  <c r="M11"/>
  <c r="L11"/>
  <c r="I11"/>
  <c r="H11"/>
  <c r="G11"/>
  <c r="D11"/>
  <c r="E11" s="1"/>
  <c r="C11"/>
  <c r="N10"/>
  <c r="M10"/>
  <c r="L10"/>
  <c r="I10"/>
  <c r="H10"/>
  <c r="G10"/>
  <c r="D10"/>
  <c r="E10" s="1"/>
  <c r="C10"/>
  <c r="N9"/>
  <c r="M9"/>
  <c r="L9"/>
  <c r="L22" s="1"/>
  <c r="I9"/>
  <c r="H9"/>
  <c r="G9"/>
  <c r="G22" s="1"/>
  <c r="D9"/>
  <c r="E9" s="1"/>
  <c r="C9"/>
  <c r="C22" s="1"/>
  <c r="G53" i="1"/>
  <c r="L24"/>
  <c r="O17" i="2" l="1"/>
  <c r="O18"/>
  <c r="O19"/>
  <c r="O20"/>
  <c r="J17"/>
  <c r="J18"/>
  <c r="J19"/>
  <c r="J20"/>
  <c r="O10"/>
  <c r="O11"/>
  <c r="O12"/>
  <c r="O13"/>
  <c r="O14"/>
  <c r="O15"/>
  <c r="J10"/>
  <c r="J11"/>
  <c r="J12"/>
  <c r="J13"/>
  <c r="J14"/>
  <c r="J15"/>
  <c r="J16"/>
  <c r="J21"/>
  <c r="O9"/>
  <c r="O21"/>
  <c r="J9"/>
  <c r="O16"/>
  <c r="G52" i="1"/>
  <c r="M35"/>
  <c r="K35" s="1"/>
  <c r="M34"/>
  <c r="M33"/>
  <c r="K33" s="1"/>
  <c r="M32"/>
  <c r="M31"/>
  <c r="K31" s="1"/>
  <c r="M25"/>
  <c r="L23"/>
  <c r="L22"/>
  <c r="G50"/>
  <c r="L50" s="1"/>
  <c r="G48"/>
  <c r="G38"/>
  <c r="F38"/>
  <c r="E38"/>
  <c r="G28"/>
  <c r="F28"/>
  <c r="E28"/>
  <c r="B15"/>
  <c r="B18" s="1"/>
  <c r="G15"/>
  <c r="F15"/>
  <c r="E15"/>
  <c r="J22" i="2" l="1"/>
  <c r="O22"/>
  <c r="K25" i="1"/>
  <c r="K32"/>
  <c r="K34"/>
  <c r="E40"/>
  <c r="E44" s="1"/>
  <c r="G40"/>
  <c r="F40"/>
  <c r="F44" s="1"/>
  <c r="B19"/>
  <c r="K38" l="1"/>
  <c r="G44"/>
  <c r="B20"/>
  <c r="G54" l="1"/>
  <c r="G51"/>
  <c r="J46"/>
  <c r="J47"/>
  <c r="J48"/>
  <c r="B21"/>
  <c r="B22" s="1"/>
  <c r="Q21" l="1"/>
  <c r="Q20"/>
  <c r="Q18"/>
  <c r="M52"/>
  <c r="M53"/>
  <c r="M24" s="1"/>
  <c r="K24" s="1"/>
  <c r="L32"/>
  <c r="L33"/>
  <c r="L25"/>
  <c r="L34"/>
  <c r="L31"/>
  <c r="L35"/>
  <c r="J50"/>
  <c r="B24"/>
  <c r="B23"/>
  <c r="O18" l="1"/>
  <c r="P18"/>
  <c r="O21"/>
  <c r="P21"/>
  <c r="O20"/>
  <c r="P20"/>
  <c r="M22"/>
  <c r="K22" s="1"/>
  <c r="L53"/>
  <c r="M23"/>
  <c r="K23" s="1"/>
  <c r="L52"/>
  <c r="M12"/>
  <c r="K12" s="1"/>
  <c r="K15" s="1"/>
  <c r="J35"/>
  <c r="J33"/>
  <c r="J31"/>
  <c r="J34"/>
  <c r="J32"/>
  <c r="J25"/>
  <c r="I50"/>
  <c r="I51" s="1"/>
  <c r="J51" s="1"/>
  <c r="J24" s="1"/>
  <c r="I24" s="1"/>
  <c r="H24" s="1"/>
  <c r="B25"/>
  <c r="I25" l="1"/>
  <c r="N25" s="1"/>
  <c r="Q25"/>
  <c r="I34"/>
  <c r="N34" s="1"/>
  <c r="Q34"/>
  <c r="I33"/>
  <c r="N33" s="1"/>
  <c r="Q33"/>
  <c r="I32"/>
  <c r="H32" s="1"/>
  <c r="Q32"/>
  <c r="I31"/>
  <c r="Q31"/>
  <c r="I35"/>
  <c r="H35" s="1"/>
  <c r="Q35"/>
  <c r="N24"/>
  <c r="L54"/>
  <c r="M54" s="1"/>
  <c r="J23"/>
  <c r="I23" s="1"/>
  <c r="J21"/>
  <c r="I21" s="1"/>
  <c r="J19"/>
  <c r="I19" s="1"/>
  <c r="J12"/>
  <c r="I12" s="1"/>
  <c r="J22"/>
  <c r="I22" s="1"/>
  <c r="J20"/>
  <c r="I20" s="1"/>
  <c r="J18"/>
  <c r="I18" s="1"/>
  <c r="N32"/>
  <c r="N31"/>
  <c r="H25"/>
  <c r="H34"/>
  <c r="H33"/>
  <c r="B28"/>
  <c r="B31" s="1"/>
  <c r="B32" s="1"/>
  <c r="I38" l="1"/>
  <c r="N35"/>
  <c r="H31"/>
  <c r="P35"/>
  <c r="O35"/>
  <c r="P31"/>
  <c r="O31"/>
  <c r="P32"/>
  <c r="O32"/>
  <c r="P33"/>
  <c r="O33"/>
  <c r="P34"/>
  <c r="O34"/>
  <c r="P25"/>
  <c r="O25"/>
  <c r="M21"/>
  <c r="M20"/>
  <c r="M18"/>
  <c r="J38"/>
  <c r="H20"/>
  <c r="H12"/>
  <c r="H15" s="1"/>
  <c r="I15"/>
  <c r="N12"/>
  <c r="H21"/>
  <c r="H18"/>
  <c r="I28"/>
  <c r="J28" s="1"/>
  <c r="N22"/>
  <c r="H22"/>
  <c r="N19"/>
  <c r="H19"/>
  <c r="H23"/>
  <c r="N23"/>
  <c r="H38"/>
  <c r="N38"/>
  <c r="B33"/>
  <c r="B34" s="1"/>
  <c r="B35" s="1"/>
  <c r="B38" s="1"/>
  <c r="B40" s="1"/>
  <c r="O47" l="1"/>
  <c r="Q47" s="1"/>
  <c r="O38"/>
  <c r="K18"/>
  <c r="L18"/>
  <c r="K21"/>
  <c r="N21" s="1"/>
  <c r="L21"/>
  <c r="L20"/>
  <c r="K20"/>
  <c r="N20" s="1"/>
  <c r="J15"/>
  <c r="N15"/>
  <c r="H28"/>
  <c r="H40" s="1"/>
  <c r="H44" s="1"/>
  <c r="I40"/>
  <c r="Q24" l="1"/>
  <c r="Q22"/>
  <c r="Q23"/>
  <c r="Q12"/>
  <c r="K28"/>
  <c r="K40" s="1"/>
  <c r="K44" s="1"/>
  <c r="N18"/>
  <c r="N28" s="1"/>
  <c r="N40" s="1"/>
  <c r="I44"/>
  <c r="P23" l="1"/>
  <c r="O23"/>
  <c r="P24"/>
  <c r="O24"/>
  <c r="P12"/>
  <c r="O12"/>
  <c r="O15" s="1"/>
  <c r="P22"/>
  <c r="O22"/>
  <c r="O28" s="1"/>
  <c r="O40" s="1"/>
</calcChain>
</file>

<file path=xl/sharedStrings.xml><?xml version="1.0" encoding="utf-8"?>
<sst xmlns="http://schemas.openxmlformats.org/spreadsheetml/2006/main" count="158" uniqueCount="77">
  <si>
    <t xml:space="preserve"> </t>
  </si>
  <si>
    <t>PACIFIC POWER &amp; LIGHT COMPANY</t>
  </si>
  <si>
    <t>12 MONTHS ENDED DECEMBER 2009</t>
  </si>
  <si>
    <t>Present</t>
  </si>
  <si>
    <t>Proposed</t>
  </si>
  <si>
    <t>Curr.</t>
  </si>
  <si>
    <t>Avg.</t>
  </si>
  <si>
    <t>Base</t>
  </si>
  <si>
    <t>Line</t>
  </si>
  <si>
    <t>Sch.</t>
  </si>
  <si>
    <t>Cust.</t>
  </si>
  <si>
    <t>MWH</t>
  </si>
  <si>
    <t>Revenues</t>
  </si>
  <si>
    <t>Increase</t>
  </si>
  <si>
    <t>No.</t>
  </si>
  <si>
    <t>Description</t>
  </si>
  <si>
    <t>($000)</t>
  </si>
  <si>
    <t>%</t>
  </si>
  <si>
    <t>(1)</t>
  </si>
  <si>
    <t>(2)</t>
  </si>
  <si>
    <t>(3)</t>
  </si>
  <si>
    <t>(4)</t>
  </si>
  <si>
    <t>(5)</t>
  </si>
  <si>
    <t>(6)</t>
  </si>
  <si>
    <t>(7)</t>
  </si>
  <si>
    <t>(8)</t>
  </si>
  <si>
    <t>(5)+(7)</t>
  </si>
  <si>
    <t>(7)/(5)</t>
  </si>
  <si>
    <t>Residential</t>
  </si>
  <si>
    <t>Residential Service</t>
  </si>
  <si>
    <t>16/18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</si>
  <si>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</si>
  <si>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</si>
  <si>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</si>
  <si>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</si>
  <si>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</si>
  <si>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</si>
  <si>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</si>
  <si>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</si>
  <si>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</si>
  <si>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</si>
  <si>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</si>
  <si>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</si>
  <si>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</si>
  <si>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</si>
  <si>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</si>
  <si>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</si>
  <si>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</si>
  <si>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</si>
  <si>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</si>
  <si>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</si>
  <si>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</si>
  <si>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</si>
  <si>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Company Equal Percent</t>
  </si>
  <si>
    <t>Lighting:</t>
  </si>
  <si>
    <t>Company Full Request:</t>
  </si>
  <si>
    <t>Staff Amount:</t>
  </si>
  <si>
    <t>Non-Lighting</t>
  </si>
  <si>
    <t>Staff</t>
  </si>
  <si>
    <t>Residual</t>
  </si>
  <si>
    <t>48T</t>
  </si>
  <si>
    <t>Difference</t>
  </si>
  <si>
    <t>Input--&gt;&gt;</t>
  </si>
  <si>
    <t>Relative</t>
  </si>
  <si>
    <t>to Avg</t>
  </si>
  <si>
    <t>Percent</t>
  </si>
  <si>
    <t>Staff - Company</t>
  </si>
  <si>
    <t>Partial Requirements =&gt; 1,000 kW</t>
  </si>
  <si>
    <t>WASHINGTON</t>
  </si>
  <si>
    <t>Wal-Mart</t>
  </si>
  <si>
    <t>Large Power 48</t>
  </si>
  <si>
    <t>Remainder</t>
  </si>
  <si>
    <t>Lighting</t>
  </si>
  <si>
    <t>Company</t>
  </si>
  <si>
    <t>Pacific Power &amp; Light Company</t>
  </si>
  <si>
    <t>UE-100749</t>
  </si>
  <si>
    <t>Rate Spread Comparison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</si>
</sst>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_)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"/>
    <numFmt numFmtId="169" formatCode="0.00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101">
    <xf numFmtId="0" fontId="0" fillId="0" borderId="0" xfId="0"/>
    <xf numFmtId="0" fontId="2" fillId="0" borderId="0" xfId="4" applyFill="1"/>
    <xf numFmtId="0" fontId="3" fillId="0" borderId="0" xfId="4" applyFont="1" applyFill="1"/>
    <xf numFmtId="0" fontId="4" fillId="0" borderId="0" xfId="4" quotePrefix="1" applyFont="1" applyFill="1" applyAlignment="1">
      <alignment horizontal="centerContinuous"/>
    </xf>
    <xf numFmtId="0" fontId="4" fillId="0" borderId="0" xfId="4" applyFont="1" applyFill="1" applyAlignment="1">
      <alignment horizontal="centerContinuous"/>
    </xf>
    <xf numFmtId="0" fontId="2" fillId="0" borderId="0" xfId="4" applyFill="1" applyBorder="1"/>
    <xf numFmtId="0" fontId="4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2" fillId="0" borderId="0" xfId="4" quotePrefix="1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0" xfId="4" applyFill="1" applyAlignment="1">
      <alignment horizontal="center"/>
    </xf>
    <xf numFmtId="0" fontId="2" fillId="0" borderId="0" xfId="4" quotePrefix="1" applyFont="1" applyFill="1" applyAlignment="1">
      <alignment horizontal="center"/>
    </xf>
    <xf numFmtId="0" fontId="2" fillId="0" borderId="0" xfId="4" applyFill="1" applyBorder="1" applyAlignment="1">
      <alignment horizontal="center"/>
    </xf>
    <xf numFmtId="0" fontId="2" fillId="0" borderId="3" xfId="4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6" fontId="2" fillId="0" borderId="3" xfId="4" quotePrefix="1" applyNumberFormat="1" applyFont="1" applyFill="1" applyBorder="1" applyAlignment="1">
      <alignment horizontal="center"/>
    </xf>
    <xf numFmtId="0" fontId="2" fillId="0" borderId="1" xfId="4" quotePrefix="1" applyFont="1" applyFill="1" applyBorder="1" applyAlignment="1">
      <alignment horizontal="center"/>
    </xf>
    <xf numFmtId="0" fontId="2" fillId="0" borderId="0" xfId="4" quotePrefix="1" applyFont="1" applyFill="1"/>
    <xf numFmtId="0" fontId="6" fillId="0" borderId="0" xfId="4" applyFont="1" applyFill="1"/>
    <xf numFmtId="0" fontId="3" fillId="0" borderId="0" xfId="4" quotePrefix="1" applyFont="1" applyFill="1" applyAlignment="1">
      <alignment horizontal="center"/>
    </xf>
    <xf numFmtId="37" fontId="2" fillId="0" borderId="0" xfId="4" applyNumberFormat="1" applyFont="1" applyFill="1" applyProtection="1"/>
    <xf numFmtId="5" fontId="3" fillId="0" borderId="0" xfId="4" applyNumberFormat="1" applyFont="1" applyFill="1" applyProtection="1">
      <protection locked="0"/>
    </xf>
    <xf numFmtId="5" fontId="3" fillId="0" borderId="0" xfId="3" applyNumberFormat="1" applyFont="1" applyFill="1" applyProtection="1">
      <protection locked="0"/>
    </xf>
    <xf numFmtId="164" fontId="3" fillId="0" borderId="0" xfId="3" applyNumberFormat="1" applyFont="1" applyFill="1" applyProtection="1">
      <protection locked="0"/>
    </xf>
    <xf numFmtId="165" fontId="0" fillId="0" borderId="0" xfId="0" applyNumberFormat="1" applyFill="1" applyBorder="1" applyProtection="1"/>
    <xf numFmtId="0" fontId="2" fillId="0" borderId="0" xfId="4" applyFont="1" applyFill="1" applyBorder="1"/>
    <xf numFmtId="10" fontId="3" fillId="0" borderId="0" xfId="3" applyNumberFormat="1" applyFont="1" applyFill="1" applyBorder="1" applyProtection="1">
      <protection locked="0"/>
    </xf>
    <xf numFmtId="0" fontId="2" fillId="0" borderId="3" xfId="4" applyFill="1" applyBorder="1"/>
    <xf numFmtId="0" fontId="2" fillId="0" borderId="1" xfId="4" applyFill="1" applyBorder="1"/>
    <xf numFmtId="164" fontId="2" fillId="0" borderId="1" xfId="3" applyNumberFormat="1" applyFont="1" applyFill="1" applyBorder="1"/>
    <xf numFmtId="164" fontId="2" fillId="0" borderId="1" xfId="4" applyNumberFormat="1" applyFill="1" applyBorder="1"/>
    <xf numFmtId="0" fontId="0" fillId="0" borderId="0" xfId="0" applyFill="1" applyBorder="1"/>
    <xf numFmtId="164" fontId="2" fillId="0" borderId="0" xfId="4" applyNumberFormat="1" applyFill="1"/>
    <xf numFmtId="0" fontId="7" fillId="0" borderId="0" xfId="5" applyFont="1" applyFill="1" applyAlignment="1">
      <alignment horizontal="center"/>
    </xf>
    <xf numFmtId="37" fontId="2" fillId="0" borderId="0" xfId="4" applyNumberFormat="1" applyFill="1" applyProtection="1"/>
    <xf numFmtId="5" fontId="2" fillId="0" borderId="0" xfId="4" applyNumberFormat="1" applyFill="1" applyProtection="1"/>
    <xf numFmtId="37" fontId="2" fillId="0" borderId="0" xfId="4" applyNumberFormat="1" applyFill="1"/>
    <xf numFmtId="5" fontId="2" fillId="0" borderId="0" xfId="4" applyNumberFormat="1" applyFill="1"/>
    <xf numFmtId="164" fontId="2" fillId="0" borderId="0" xfId="3" applyNumberFormat="1" applyFont="1" applyFill="1"/>
    <xf numFmtId="0" fontId="7" fillId="0" borderId="0" xfId="5" applyFont="1" applyFill="1"/>
    <xf numFmtId="37" fontId="2" fillId="0" borderId="3" xfId="4" applyNumberFormat="1" applyFill="1" applyBorder="1" applyProtection="1"/>
    <xf numFmtId="5" fontId="2" fillId="0" borderId="3" xfId="4" applyNumberFormat="1" applyFill="1" applyBorder="1" applyProtection="1"/>
    <xf numFmtId="5" fontId="2" fillId="0" borderId="0" xfId="4" applyNumberFormat="1" applyFill="1" applyBorder="1" applyProtection="1"/>
    <xf numFmtId="164" fontId="3" fillId="0" borderId="1" xfId="3" applyNumberFormat="1" applyFont="1" applyFill="1" applyBorder="1" applyProtection="1">
      <protection locked="0"/>
    </xf>
    <xf numFmtId="37" fontId="2" fillId="0" borderId="0" xfId="4" applyNumberFormat="1" applyFill="1" applyBorder="1" applyProtection="1"/>
    <xf numFmtId="164" fontId="2" fillId="0" borderId="0" xfId="4" applyNumberFormat="1" applyFill="1" applyBorder="1" applyProtection="1"/>
    <xf numFmtId="0" fontId="8" fillId="0" borderId="0" xfId="4" applyFont="1" applyFill="1"/>
    <xf numFmtId="37" fontId="2" fillId="0" borderId="4" xfId="4" applyNumberFormat="1" applyFill="1" applyBorder="1"/>
    <xf numFmtId="5" fontId="2" fillId="0" borderId="4" xfId="4" applyNumberFormat="1" applyFill="1" applyBorder="1"/>
    <xf numFmtId="5" fontId="2" fillId="0" borderId="0" xfId="4" applyNumberFormat="1" applyFill="1" applyBorder="1"/>
    <xf numFmtId="164" fontId="3" fillId="0" borderId="4" xfId="3" applyNumberFormat="1" applyFont="1" applyFill="1" applyBorder="1" applyProtection="1">
      <protection locked="0"/>
    </xf>
    <xf numFmtId="37" fontId="2" fillId="0" borderId="0" xfId="4" applyNumberFormat="1" applyFill="1" applyBorder="1"/>
    <xf numFmtId="0" fontId="9" fillId="0" borderId="0" xfId="5" applyFont="1" applyFill="1"/>
    <xf numFmtId="37" fontId="2" fillId="0" borderId="4" xfId="4" applyNumberFormat="1" applyFont="1" applyFill="1" applyBorder="1" applyProtection="1"/>
    <xf numFmtId="5" fontId="3" fillId="0" borderId="4" xfId="3" applyNumberFormat="1" applyFont="1" applyFill="1" applyBorder="1" applyProtection="1">
      <protection locked="0"/>
    </xf>
    <xf numFmtId="5" fontId="2" fillId="0" borderId="0" xfId="4" applyNumberFormat="1" applyFont="1" applyFill="1"/>
    <xf numFmtId="10" fontId="2" fillId="0" borderId="0" xfId="3" applyNumberFormat="1" applyFont="1" applyFill="1"/>
    <xf numFmtId="167" fontId="10" fillId="0" borderId="0" xfId="2" applyNumberFormat="1" applyFont="1" applyFill="1"/>
    <xf numFmtId="164" fontId="10" fillId="0" borderId="0" xfId="3" applyNumberFormat="1" applyFont="1" applyFill="1" applyBorder="1" applyProtection="1">
      <protection locked="0"/>
    </xf>
    <xf numFmtId="1" fontId="2" fillId="0" borderId="0" xfId="4" applyNumberFormat="1" applyFill="1"/>
    <xf numFmtId="164" fontId="2" fillId="0" borderId="0" xfId="3" applyNumberFormat="1" applyFont="1" applyFill="1" applyBorder="1"/>
    <xf numFmtId="1" fontId="10" fillId="0" borderId="0" xfId="4" applyNumberFormat="1" applyFont="1" applyFill="1"/>
    <xf numFmtId="164" fontId="10" fillId="0" borderId="0" xfId="3" applyNumberFormat="1" applyFont="1" applyFill="1"/>
    <xf numFmtId="164" fontId="11" fillId="0" borderId="0" xfId="3" applyNumberFormat="1" applyFont="1" applyFill="1"/>
    <xf numFmtId="168" fontId="2" fillId="0" borderId="0" xfId="4" applyNumberFormat="1" applyFill="1"/>
    <xf numFmtId="9" fontId="2" fillId="0" borderId="0" xfId="4" applyNumberFormat="1" applyFont="1" applyFill="1"/>
    <xf numFmtId="164" fontId="2" fillId="0" borderId="0" xfId="1" applyNumberFormat="1" applyFont="1" applyFill="1"/>
    <xf numFmtId="10" fontId="2" fillId="0" borderId="0" xfId="4" applyNumberFormat="1" applyFill="1"/>
    <xf numFmtId="164" fontId="2" fillId="0" borderId="0" xfId="4" applyNumberFormat="1" applyFont="1" applyFill="1"/>
    <xf numFmtId="164" fontId="2" fillId="0" borderId="0" xfId="4" applyNumberFormat="1" applyFill="1" applyBorder="1"/>
    <xf numFmtId="7" fontId="2" fillId="0" borderId="0" xfId="4" applyNumberFormat="1" applyFill="1"/>
    <xf numFmtId="9" fontId="2" fillId="0" borderId="0" xfId="4" applyNumberFormat="1" applyFill="1"/>
    <xf numFmtId="9" fontId="3" fillId="0" borderId="0" xfId="3" applyNumberFormat="1" applyFont="1" applyFill="1" applyBorder="1" applyProtection="1">
      <protection locked="0"/>
    </xf>
    <xf numFmtId="5" fontId="2" fillId="0" borderId="0" xfId="4" applyNumberFormat="1" applyFont="1" applyFill="1" applyBorder="1"/>
    <xf numFmtId="0" fontId="2" fillId="0" borderId="0" xfId="4" applyFont="1" applyFill="1" applyBorder="1" applyAlignment="1">
      <alignment horizontal="centerContinuous"/>
    </xf>
    <xf numFmtId="0" fontId="2" fillId="0" borderId="0" xfId="4" applyFill="1" applyAlignment="1">
      <alignment horizontal="centerContinuous"/>
    </xf>
    <xf numFmtId="166" fontId="2" fillId="2" borderId="0" xfId="1" applyNumberFormat="1" applyFont="1" applyFill="1"/>
    <xf numFmtId="0" fontId="2" fillId="0" borderId="0" xfId="4" applyFill="1" applyAlignment="1">
      <alignment horizontal="right"/>
    </xf>
    <xf numFmtId="0" fontId="2" fillId="0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0" xfId="4" applyFill="1" applyAlignment="1">
      <alignment horizontal="left"/>
    </xf>
    <xf numFmtId="9" fontId="2" fillId="0" borderId="0" xfId="4" applyNumberFormat="1" applyFill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0" fontId="2" fillId="0" borderId="0" xfId="4" quotePrefix="1" applyFont="1" applyFill="1" applyAlignment="1">
      <alignment horizontal="left"/>
    </xf>
    <xf numFmtId="166" fontId="2" fillId="0" borderId="0" xfId="1" applyNumberFormat="1" applyFont="1" applyFill="1"/>
    <xf numFmtId="9" fontId="3" fillId="0" borderId="0" xfId="3" applyNumberFormat="1" applyFont="1" applyFill="1" applyAlignment="1" applyProtection="1">
      <alignment horizontal="center"/>
      <protection locked="0"/>
    </xf>
    <xf numFmtId="0" fontId="5" fillId="0" borderId="0" xfId="4" applyFont="1" applyFill="1" applyBorder="1" applyAlignment="1">
      <alignment horizontal="centerContinuous"/>
    </xf>
    <xf numFmtId="0" fontId="2" fillId="0" borderId="0" xfId="4" applyFill="1" applyBorder="1" applyAlignment="1">
      <alignment horizontal="centerContinuous"/>
    </xf>
    <xf numFmtId="164" fontId="3" fillId="0" borderId="0" xfId="3" applyNumberFormat="1" applyFont="1" applyFill="1" applyBorder="1" applyProtection="1">
      <protection locked="0"/>
    </xf>
    <xf numFmtId="5" fontId="2" fillId="0" borderId="0" xfId="4" applyNumberFormat="1" applyFill="1" applyAlignment="1">
      <alignment horizontal="center"/>
    </xf>
    <xf numFmtId="5" fontId="2" fillId="0" borderId="0" xfId="4" applyNumberFormat="1" applyFont="1" applyFill="1" applyAlignment="1">
      <alignment horizontal="center"/>
    </xf>
    <xf numFmtId="5" fontId="2" fillId="0" borderId="0" xfId="4" applyNumberFormat="1" applyFill="1" applyBorder="1" applyAlignment="1">
      <alignment horizontal="center"/>
    </xf>
    <xf numFmtId="0" fontId="5" fillId="0" borderId="5" xfId="4" applyFont="1" applyFill="1" applyBorder="1" applyAlignment="1">
      <alignment horizontal="centerContinuous"/>
    </xf>
    <xf numFmtId="0" fontId="2" fillId="0" borderId="5" xfId="4" applyFill="1" applyBorder="1" applyAlignment="1">
      <alignment horizontal="centerContinuous"/>
    </xf>
    <xf numFmtId="169" fontId="2" fillId="0" borderId="0" xfId="4" applyNumberFormat="1" applyFill="1"/>
    <xf numFmtId="0" fontId="3" fillId="0" borderId="0" xfId="4" applyFont="1" applyFill="1" applyAlignment="1">
      <alignment horizontal="centerContinuous"/>
    </xf>
  </cellXfs>
  <cellStyles count="6">
    <cellStyle name="Comma" xfId="1" builtinId="3"/>
    <cellStyle name="Currency" xfId="2" builtinId="4"/>
    <cellStyle name="Normal" xfId="0" builtinId="0"/>
    <cellStyle name="Normal_OR Blocking 04" xfId="5"/>
    <cellStyle name="Normal_WA98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56"/>
  <sheetViews>
    <sheetView topLeftCell="G1" workbookViewId="0">
      <selection activeCell="R1" sqref="R1"/>
    </sheetView>
  </sheetViews>
  <sheetFormatPr defaultColWidth="11.7109375" defaultRowHeight="15.75"/>
  <cols>
    <col min="1" max="1" width="0" style="1" hidden="1" customWidth="1"/>
    <col min="2" max="2" width="5.28515625" style="1" customWidth="1"/>
    <col min="3" max="3" width="33" style="2" customWidth="1"/>
    <col min="4" max="4" width="6.42578125" style="2" hidden="1" customWidth="1"/>
    <col min="5" max="5" width="10.5703125" style="1" hidden="1" customWidth="1"/>
    <col min="6" max="6" width="12.5703125" style="1" hidden="1" customWidth="1"/>
    <col min="7" max="7" width="11.7109375" style="1" bestFit="1" customWidth="1"/>
    <col min="8" max="8" width="14.42578125" style="1" customWidth="1"/>
    <col min="9" max="9" width="15.7109375" style="1" customWidth="1"/>
    <col min="10" max="10" width="9.85546875" style="1" customWidth="1"/>
    <col min="11" max="11" width="10.5703125" style="1" customWidth="1"/>
    <col min="12" max="12" width="9.28515625" style="1" customWidth="1"/>
    <col min="13" max="13" width="8.28515625" style="1" customWidth="1"/>
    <col min="14" max="14" width="15.42578125" style="1" bestFit="1" customWidth="1"/>
    <col min="15" max="16" width="9.85546875" style="1" customWidth="1"/>
    <col min="17" max="17" width="8.85546875" style="1" customWidth="1"/>
    <col min="18" max="16384" width="11.7109375" style="1"/>
  </cols>
  <sheetData>
    <row r="1" spans="2:18"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79"/>
      <c r="N1" s="79"/>
      <c r="O1" s="79"/>
      <c r="P1" s="79"/>
      <c r="Q1" s="79"/>
    </row>
    <row r="2" spans="2:18">
      <c r="B2" s="4" t="s">
        <v>68</v>
      </c>
      <c r="C2" s="4"/>
      <c r="D2" s="4"/>
      <c r="E2" s="4"/>
      <c r="F2" s="4"/>
      <c r="G2" s="4"/>
      <c r="H2" s="4"/>
      <c r="I2" s="4"/>
      <c r="J2" s="4"/>
      <c r="K2" s="4"/>
      <c r="L2" s="4"/>
      <c r="M2" s="79"/>
      <c r="N2" s="79"/>
      <c r="O2" s="79"/>
      <c r="P2" s="79"/>
      <c r="Q2" s="79"/>
    </row>
    <row r="3" spans="2:18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79"/>
      <c r="N3" s="79"/>
      <c r="O3" s="79"/>
      <c r="P3" s="79"/>
      <c r="Q3" s="79"/>
    </row>
    <row r="4" spans="2:18">
      <c r="G4" s="6"/>
      <c r="H4" s="7"/>
      <c r="I4" s="7"/>
      <c r="J4" s="7"/>
      <c r="K4" s="7"/>
      <c r="L4" s="7"/>
      <c r="M4" s="5"/>
      <c r="N4" s="5" t="s">
        <v>66</v>
      </c>
      <c r="O4" s="5"/>
    </row>
    <row r="5" spans="2:18">
      <c r="G5" s="9" t="s">
        <v>3</v>
      </c>
      <c r="H5" s="8" t="s">
        <v>4</v>
      </c>
      <c r="I5" s="86" t="s">
        <v>53</v>
      </c>
      <c r="J5" s="86"/>
      <c r="K5" s="78" t="s">
        <v>58</v>
      </c>
      <c r="L5" s="79"/>
      <c r="M5" s="79"/>
      <c r="N5" s="14" t="s">
        <v>61</v>
      </c>
      <c r="O5" s="78"/>
      <c r="P5" s="84" t="s">
        <v>69</v>
      </c>
      <c r="Q5" s="79"/>
    </row>
    <row r="6" spans="2:18">
      <c r="D6" s="11" t="s">
        <v>5</v>
      </c>
      <c r="G6" s="8" t="s">
        <v>7</v>
      </c>
      <c r="H6" s="8" t="s">
        <v>7</v>
      </c>
      <c r="I6" s="13" t="s">
        <v>7</v>
      </c>
      <c r="J6" s="13"/>
      <c r="K6" s="8" t="s">
        <v>7</v>
      </c>
      <c r="L6" s="14" t="s">
        <v>63</v>
      </c>
      <c r="M6" s="1" t="s">
        <v>65</v>
      </c>
      <c r="N6" s="8" t="s">
        <v>7</v>
      </c>
      <c r="O6" s="8" t="s">
        <v>7</v>
      </c>
      <c r="P6" s="14" t="s">
        <v>63</v>
      </c>
      <c r="Q6" s="14" t="s">
        <v>65</v>
      </c>
    </row>
    <row r="7" spans="2:18">
      <c r="B7" s="14" t="s">
        <v>8</v>
      </c>
      <c r="D7" s="11" t="s">
        <v>9</v>
      </c>
      <c r="E7" s="9" t="s">
        <v>6</v>
      </c>
      <c r="G7" s="9" t="s">
        <v>12</v>
      </c>
      <c r="H7" s="9" t="s">
        <v>12</v>
      </c>
      <c r="I7" s="15" t="s">
        <v>13</v>
      </c>
      <c r="J7" s="9" t="s">
        <v>7</v>
      </c>
      <c r="K7" s="8" t="s">
        <v>13</v>
      </c>
      <c r="L7" s="16" t="s">
        <v>64</v>
      </c>
      <c r="M7" s="5" t="s">
        <v>13</v>
      </c>
      <c r="N7" s="8" t="s">
        <v>13</v>
      </c>
      <c r="O7" s="8" t="s">
        <v>13</v>
      </c>
      <c r="P7" s="16" t="s">
        <v>64</v>
      </c>
      <c r="Q7" s="16" t="s">
        <v>13</v>
      </c>
    </row>
    <row r="8" spans="2:18">
      <c r="B8" s="17" t="s">
        <v>14</v>
      </c>
      <c r="C8" s="18" t="s">
        <v>15</v>
      </c>
      <c r="D8" s="18" t="s">
        <v>14</v>
      </c>
      <c r="E8" s="10" t="s">
        <v>10</v>
      </c>
      <c r="F8" s="10" t="s">
        <v>11</v>
      </c>
      <c r="G8" s="19" t="s">
        <v>16</v>
      </c>
      <c r="H8" s="19" t="s">
        <v>16</v>
      </c>
      <c r="I8" s="20" t="s">
        <v>16</v>
      </c>
      <c r="J8" s="10" t="s">
        <v>17</v>
      </c>
      <c r="K8" s="20" t="s">
        <v>16</v>
      </c>
      <c r="L8" s="10" t="s">
        <v>17</v>
      </c>
      <c r="M8" s="10" t="s">
        <v>17</v>
      </c>
      <c r="N8" s="20" t="s">
        <v>16</v>
      </c>
      <c r="O8" s="20" t="s">
        <v>16</v>
      </c>
      <c r="P8" s="82" t="s">
        <v>17</v>
      </c>
      <c r="Q8" s="82" t="s">
        <v>17</v>
      </c>
    </row>
    <row r="9" spans="2:18">
      <c r="B9" s="21"/>
      <c r="C9" s="15" t="s">
        <v>18</v>
      </c>
      <c r="D9" s="15" t="s">
        <v>19</v>
      </c>
      <c r="E9" s="15" t="s">
        <v>20</v>
      </c>
      <c r="F9" s="15" t="s">
        <v>21</v>
      </c>
      <c r="G9" s="15" t="s">
        <v>22</v>
      </c>
      <c r="H9" s="15" t="s">
        <v>23</v>
      </c>
      <c r="I9" s="15" t="s">
        <v>24</v>
      </c>
      <c r="J9" s="15" t="s">
        <v>25</v>
      </c>
      <c r="K9" s="12"/>
      <c r="L9" s="12"/>
      <c r="M9" s="5"/>
    </row>
    <row r="10" spans="2:18">
      <c r="H10" s="15" t="s">
        <v>26</v>
      </c>
      <c r="J10" s="15" t="s">
        <v>27</v>
      </c>
      <c r="K10" s="5"/>
      <c r="L10" s="5"/>
      <c r="M10" s="5"/>
    </row>
    <row r="11" spans="2:18">
      <c r="C11" s="22" t="s">
        <v>28</v>
      </c>
      <c r="K11" s="5"/>
      <c r="L11" s="5"/>
      <c r="M11" s="5"/>
    </row>
    <row r="12" spans="2:18">
      <c r="B12" s="14">
        <v>1</v>
      </c>
      <c r="C12" s="2" t="s">
        <v>29</v>
      </c>
      <c r="D12" s="23" t="s">
        <v>30</v>
      </c>
      <c r="E12" s="24">
        <v>103541.66666666667</v>
      </c>
      <c r="F12" s="24">
        <v>1583501.9389421977</v>
      </c>
      <c r="G12" s="25">
        <v>118412.0537907618</v>
      </c>
      <c r="H12" s="26">
        <f>G12+I12</f>
        <v>133770.42806055828</v>
      </c>
      <c r="I12" s="25">
        <f>G12*J12</f>
        <v>15358.374269796474</v>
      </c>
      <c r="J12" s="27">
        <f>$J$51</f>
        <v>0.12970279442104141</v>
      </c>
      <c r="K12" s="77">
        <f>M12*G12</f>
        <v>17421.028730225462</v>
      </c>
      <c r="L12" s="76">
        <v>1.1399999999999999</v>
      </c>
      <c r="M12" s="72">
        <f>M52</f>
        <v>0.14712208911610489</v>
      </c>
      <c r="N12" s="59">
        <f>K12-I12</f>
        <v>2062.6544604289884</v>
      </c>
      <c r="O12" s="41">
        <f t="shared" ref="O12" si="0">Q12*G12</f>
        <v>15410.75360749727</v>
      </c>
      <c r="P12" s="85">
        <f t="shared" ref="P12" si="1">Q12/$J$46</f>
        <v>1.0084513024231445</v>
      </c>
      <c r="Q12" s="71">
        <f>$Q$47</f>
        <v>0.13014514244241221</v>
      </c>
      <c r="R12" s="71">
        <f>Q12-J12</f>
        <v>4.4234802137080309E-4</v>
      </c>
    </row>
    <row r="13" spans="2:18">
      <c r="E13" s="31"/>
      <c r="F13" s="31"/>
      <c r="G13" s="31"/>
      <c r="H13" s="32"/>
      <c r="I13" s="31"/>
      <c r="J13" s="33"/>
      <c r="K13" s="35"/>
      <c r="L13" s="5"/>
      <c r="M13" s="73"/>
      <c r="R13" s="71"/>
    </row>
    <row r="14" spans="2:18">
      <c r="J14" s="36"/>
      <c r="K14" s="35"/>
      <c r="L14" s="5"/>
      <c r="M14" s="73"/>
      <c r="R14" s="71"/>
    </row>
    <row r="15" spans="2:18">
      <c r="B15" s="37">
        <f>MAX(B$9:B14)+1</f>
        <v>2</v>
      </c>
      <c r="C15" s="22" t="s">
        <v>31</v>
      </c>
      <c r="E15" s="38">
        <f>SUM(E12:E12)</f>
        <v>103541.66666666667</v>
      </c>
      <c r="F15" s="38">
        <f>SUM(F12:F12)</f>
        <v>1583501.9389421977</v>
      </c>
      <c r="G15" s="39">
        <f>SUM(G12:G12)</f>
        <v>118412.0537907618</v>
      </c>
      <c r="H15" s="39">
        <f>SUM(H12:H12)</f>
        <v>133770.42806055828</v>
      </c>
      <c r="I15" s="25">
        <f>SUM(I12)</f>
        <v>15358.374269796474</v>
      </c>
      <c r="J15" s="27">
        <f>I15/G15</f>
        <v>0.12970279442104141</v>
      </c>
      <c r="K15" s="25">
        <f>SUM(K12)</f>
        <v>17421.028730225462</v>
      </c>
      <c r="L15" s="30"/>
      <c r="M15" s="73"/>
      <c r="N15" s="59">
        <f>K15-I15</f>
        <v>2062.6544604289884</v>
      </c>
      <c r="O15" s="25">
        <f>SUM(O12)</f>
        <v>15410.75360749727</v>
      </c>
      <c r="R15" s="71"/>
    </row>
    <row r="16" spans="2:18">
      <c r="J16" s="36"/>
      <c r="K16" s="35"/>
      <c r="L16" s="5"/>
      <c r="M16" s="73"/>
      <c r="R16" s="71"/>
    </row>
    <row r="17" spans="2:18">
      <c r="C17" s="22" t="s">
        <v>32</v>
      </c>
      <c r="E17" s="40"/>
      <c r="J17" s="36"/>
      <c r="K17" s="35"/>
      <c r="L17" s="5"/>
      <c r="M17" s="73"/>
      <c r="R17" s="71"/>
    </row>
    <row r="18" spans="2:18">
      <c r="B18" s="37">
        <f>MAX(B$9:B17)+1</f>
        <v>3</v>
      </c>
      <c r="C18" s="2" t="s">
        <v>33</v>
      </c>
      <c r="D18" s="11">
        <v>24</v>
      </c>
      <c r="E18" s="24">
        <v>17994.416666666668</v>
      </c>
      <c r="F18" s="24">
        <v>537667.6823914923</v>
      </c>
      <c r="G18" s="39">
        <v>39618.396077282167</v>
      </c>
      <c r="H18" s="26">
        <f t="shared" ref="H18:H24" si="2">G18+I18</f>
        <v>44757.012758985285</v>
      </c>
      <c r="I18" s="25">
        <f t="shared" ref="I18:I25" si="3">G18*J18</f>
        <v>5138.6166817031217</v>
      </c>
      <c r="J18" s="27">
        <f t="shared" ref="J18:J24" si="4">$J$51</f>
        <v>0.12970279442104141</v>
      </c>
      <c r="K18" s="77">
        <f>M18*G18</f>
        <v>4140.5685720716447</v>
      </c>
      <c r="L18" s="76">
        <f>M18/J$46</f>
        <v>0.8098229122821492</v>
      </c>
      <c r="M18" s="73">
        <f>M54</f>
        <v>0.10451126199038416</v>
      </c>
      <c r="N18" s="59">
        <f t="shared" ref="N18:N25" si="5">K18-I18</f>
        <v>-998.04810963147702</v>
      </c>
      <c r="O18" s="41">
        <f t="shared" ref="O18:O21" si="6">Q18*G18</f>
        <v>5112.9308757184626</v>
      </c>
      <c r="P18" s="85">
        <f t="shared" ref="P18:P24" si="7">Q18/$J$46</f>
        <v>1</v>
      </c>
      <c r="Q18" s="71">
        <f>$J$46</f>
        <v>0.12905446413693411</v>
      </c>
      <c r="R18" s="71">
        <f t="shared" ref="R13:R35" si="8">Q18-J18</f>
        <v>-6.4833028410729576E-4</v>
      </c>
    </row>
    <row r="19" spans="2:18">
      <c r="B19" s="37">
        <f>MAX(B$9:B18)+1</f>
        <v>4</v>
      </c>
      <c r="C19" s="43" t="s">
        <v>34</v>
      </c>
      <c r="D19" s="37">
        <v>33</v>
      </c>
      <c r="E19" s="24">
        <v>0</v>
      </c>
      <c r="F19" s="24">
        <v>0</v>
      </c>
      <c r="G19" s="25">
        <v>0</v>
      </c>
      <c r="H19" s="26">
        <f t="shared" si="2"/>
        <v>0</v>
      </c>
      <c r="I19" s="25">
        <f t="shared" si="3"/>
        <v>0</v>
      </c>
      <c r="J19" s="27">
        <f t="shared" si="4"/>
        <v>0.12970279442104141</v>
      </c>
      <c r="K19" s="28"/>
      <c r="L19" s="30"/>
      <c r="M19" s="73"/>
      <c r="N19" s="59">
        <f t="shared" si="5"/>
        <v>0</v>
      </c>
      <c r="O19" s="42"/>
      <c r="Q19" s="71"/>
      <c r="R19" s="71"/>
    </row>
    <row r="20" spans="2:18">
      <c r="B20" s="37">
        <f>MAX(B$9:B19)+1</f>
        <v>5</v>
      </c>
      <c r="C20" s="2" t="s">
        <v>35</v>
      </c>
      <c r="D20" s="11">
        <v>36</v>
      </c>
      <c r="E20" s="24">
        <v>1079.8333333333333</v>
      </c>
      <c r="F20" s="24">
        <v>933466.39188154042</v>
      </c>
      <c r="G20" s="39">
        <v>58011.657992478227</v>
      </c>
      <c r="H20" s="26">
        <f t="shared" si="2"/>
        <v>65535.932143100392</v>
      </c>
      <c r="I20" s="25">
        <f t="shared" si="3"/>
        <v>7524.2741506221673</v>
      </c>
      <c r="J20" s="27">
        <f t="shared" si="4"/>
        <v>0.12970279442104141</v>
      </c>
      <c r="K20" s="77">
        <f t="shared" ref="K20:K25" si="9">M20*G20</f>
        <v>6062.8715869484549</v>
      </c>
      <c r="L20" s="76">
        <f t="shared" ref="L20:L21" si="10">M20/J$46</f>
        <v>0.8098229122821492</v>
      </c>
      <c r="M20" s="73">
        <f>M54</f>
        <v>0.10451126199038416</v>
      </c>
      <c r="N20" s="59">
        <f t="shared" si="5"/>
        <v>-1461.4025636737124</v>
      </c>
      <c r="O20" s="41">
        <f t="shared" si="6"/>
        <v>7486.6634359143682</v>
      </c>
      <c r="P20" s="85">
        <f t="shared" si="7"/>
        <v>1</v>
      </c>
      <c r="Q20" s="71">
        <f>$J$46</f>
        <v>0.12905446413693411</v>
      </c>
      <c r="R20" s="71">
        <f t="shared" si="8"/>
        <v>-6.4833028410729576E-4</v>
      </c>
    </row>
    <row r="21" spans="2:18">
      <c r="B21" s="37">
        <f>MAX(B$9:B20)+1</f>
        <v>6</v>
      </c>
      <c r="C21" s="2" t="s">
        <v>36</v>
      </c>
      <c r="D21" s="11" t="s">
        <v>37</v>
      </c>
      <c r="E21" s="24">
        <v>5303</v>
      </c>
      <c r="F21" s="24">
        <v>168577.99900000001</v>
      </c>
      <c r="G21" s="39">
        <v>11640.975</v>
      </c>
      <c r="H21" s="26">
        <f t="shared" si="2"/>
        <v>13150.841987285483</v>
      </c>
      <c r="I21" s="25">
        <f t="shared" si="3"/>
        <v>1509.8669872854825</v>
      </c>
      <c r="J21" s="27">
        <f t="shared" si="4"/>
        <v>0.12970279442104141</v>
      </c>
      <c r="K21" s="77">
        <f t="shared" si="9"/>
        <v>1216.6129880485123</v>
      </c>
      <c r="L21" s="76">
        <f t="shared" si="10"/>
        <v>0.8098229122821492</v>
      </c>
      <c r="M21" s="73">
        <f>M54</f>
        <v>0.10451126199038416</v>
      </c>
      <c r="N21" s="59">
        <f t="shared" si="5"/>
        <v>-293.25399923697023</v>
      </c>
      <c r="O21" s="41">
        <f t="shared" si="6"/>
        <v>1502.3197906564467</v>
      </c>
      <c r="P21" s="85">
        <f t="shared" si="7"/>
        <v>1</v>
      </c>
      <c r="Q21" s="71">
        <f>$J$46</f>
        <v>0.12905446413693411</v>
      </c>
      <c r="R21" s="71">
        <f t="shared" si="8"/>
        <v>-6.4833028410729576E-4</v>
      </c>
    </row>
    <row r="22" spans="2:18">
      <c r="B22" s="37">
        <f>MAX(B$9:B21)+1</f>
        <v>7</v>
      </c>
      <c r="C22" s="2" t="s">
        <v>67</v>
      </c>
      <c r="D22" s="11">
        <v>47</v>
      </c>
      <c r="E22" s="24">
        <v>1</v>
      </c>
      <c r="F22" s="24">
        <v>1856.9609784271436</v>
      </c>
      <c r="G22" s="39">
        <v>191.74796461833282</v>
      </c>
      <c r="H22" s="26">
        <f t="shared" si="2"/>
        <v>216.61821145387756</v>
      </c>
      <c r="I22" s="25">
        <f t="shared" si="3"/>
        <v>24.870246835544741</v>
      </c>
      <c r="J22" s="27">
        <f t="shared" si="4"/>
        <v>0.12970279442104141</v>
      </c>
      <c r="K22" s="77">
        <f t="shared" si="9"/>
        <v>28.210361138410086</v>
      </c>
      <c r="L22" s="76">
        <f>L12</f>
        <v>1.1399999999999999</v>
      </c>
      <c r="M22" s="73">
        <f>M53</f>
        <v>0.14712208911610489</v>
      </c>
      <c r="N22" s="59">
        <f t="shared" si="5"/>
        <v>3.3401143028653451</v>
      </c>
      <c r="O22" s="41">
        <f t="shared" ref="O22:O24" si="11">Q22*G22</f>
        <v>24.955066168295541</v>
      </c>
      <c r="P22" s="85">
        <f t="shared" si="7"/>
        <v>1.0084513024231445</v>
      </c>
      <c r="Q22" s="71">
        <f>$Q$47</f>
        <v>0.13014514244241221</v>
      </c>
      <c r="R22" s="71">
        <f t="shared" si="8"/>
        <v>4.4234802137080309E-4</v>
      </c>
    </row>
    <row r="23" spans="2:18">
      <c r="B23" s="37">
        <f>MAX(B$9:B22)+1</f>
        <v>8</v>
      </c>
      <c r="C23" s="2" t="s">
        <v>38</v>
      </c>
      <c r="D23" s="11">
        <v>48</v>
      </c>
      <c r="E23" s="24">
        <v>56.333333333333336</v>
      </c>
      <c r="F23" s="24">
        <v>813633.15502370417</v>
      </c>
      <c r="G23" s="39">
        <v>20765</v>
      </c>
      <c r="H23" s="26">
        <f t="shared" si="2"/>
        <v>23458.278526152924</v>
      </c>
      <c r="I23" s="25">
        <f t="shared" si="3"/>
        <v>2693.2785261529248</v>
      </c>
      <c r="J23" s="27">
        <f t="shared" si="4"/>
        <v>0.12970279442104141</v>
      </c>
      <c r="K23" s="77">
        <f t="shared" si="9"/>
        <v>3054.9901804959181</v>
      </c>
      <c r="L23" s="76">
        <f>L22</f>
        <v>1.1399999999999999</v>
      </c>
      <c r="M23" s="73">
        <f>M53</f>
        <v>0.14712208911610489</v>
      </c>
      <c r="N23" s="59">
        <f t="shared" si="5"/>
        <v>361.71165434299337</v>
      </c>
      <c r="O23" s="41">
        <f t="shared" si="11"/>
        <v>2702.4638828166894</v>
      </c>
      <c r="P23" s="85">
        <f t="shared" si="7"/>
        <v>1.0084513024231445</v>
      </c>
      <c r="Q23" s="71">
        <f>$Q$47</f>
        <v>0.13014514244241221</v>
      </c>
      <c r="R23" s="71">
        <f t="shared" si="8"/>
        <v>4.4234802137080309E-4</v>
      </c>
    </row>
    <row r="24" spans="2:18">
      <c r="B24" s="37">
        <f>MAX(B$9:B22)+1</f>
        <v>8</v>
      </c>
      <c r="C24" s="2" t="s">
        <v>39</v>
      </c>
      <c r="D24" s="23" t="s">
        <v>40</v>
      </c>
      <c r="E24" s="24">
        <v>0</v>
      </c>
      <c r="F24" s="24">
        <v>0</v>
      </c>
      <c r="G24" s="39">
        <v>20785</v>
      </c>
      <c r="H24" s="26">
        <f t="shared" si="2"/>
        <v>23480.872582041346</v>
      </c>
      <c r="I24" s="25">
        <f t="shared" si="3"/>
        <v>2695.8725820413456</v>
      </c>
      <c r="J24" s="27">
        <f t="shared" si="4"/>
        <v>0.12970279442104141</v>
      </c>
      <c r="K24" s="77">
        <f t="shared" si="9"/>
        <v>3057.9326222782402</v>
      </c>
      <c r="L24" s="76">
        <f>L23</f>
        <v>1.1399999999999999</v>
      </c>
      <c r="M24" s="73">
        <f>M53</f>
        <v>0.14712208911610489</v>
      </c>
      <c r="N24" s="59">
        <f t="shared" si="5"/>
        <v>362.06004023689457</v>
      </c>
      <c r="O24" s="41">
        <f t="shared" si="11"/>
        <v>2705.0667856655377</v>
      </c>
      <c r="P24" s="85">
        <f t="shared" si="7"/>
        <v>1.0084513024231445</v>
      </c>
      <c r="Q24" s="71">
        <f>$Q$47</f>
        <v>0.13014514244241221</v>
      </c>
      <c r="R24" s="71">
        <f t="shared" si="8"/>
        <v>4.4234802137080309E-4</v>
      </c>
    </row>
    <row r="25" spans="2:18">
      <c r="B25" s="37">
        <f>MAX(B$9:B24)+1</f>
        <v>9</v>
      </c>
      <c r="C25" s="2" t="s">
        <v>41</v>
      </c>
      <c r="D25" s="11" t="s">
        <v>42</v>
      </c>
      <c r="E25" s="24">
        <v>29.333333333333332</v>
      </c>
      <c r="F25" s="24">
        <v>262.45731854779115</v>
      </c>
      <c r="G25" s="39">
        <v>21.996457612204015</v>
      </c>
      <c r="H25" s="26">
        <f>G25+I25</f>
        <v>22.674800445962163</v>
      </c>
      <c r="I25" s="25">
        <f t="shared" si="3"/>
        <v>0.67834283375814641</v>
      </c>
      <c r="J25" s="27">
        <f>J50</f>
        <v>3.083873075007269E-2</v>
      </c>
      <c r="K25" s="77">
        <f t="shared" si="9"/>
        <v>0.21996457612204015</v>
      </c>
      <c r="L25" s="76">
        <f>M25/$J$46</f>
        <v>7.7486664772707381E-2</v>
      </c>
      <c r="M25" s="73">
        <f>M50</f>
        <v>0.01</v>
      </c>
      <c r="N25" s="59">
        <f t="shared" si="5"/>
        <v>-0.45837825763610629</v>
      </c>
      <c r="O25" s="41">
        <f>Q25*G25</f>
        <v>0.67834283375814641</v>
      </c>
      <c r="P25" s="85">
        <f>Q25/$J$46</f>
        <v>0.23895903916466651</v>
      </c>
      <c r="Q25" s="36">
        <f>J25</f>
        <v>3.083873075007269E-2</v>
      </c>
      <c r="R25" s="71">
        <f t="shared" si="8"/>
        <v>0</v>
      </c>
    </row>
    <row r="26" spans="2:18">
      <c r="B26" s="14"/>
      <c r="D26" s="11"/>
      <c r="E26" s="31"/>
      <c r="F26" s="31"/>
      <c r="G26" s="31"/>
      <c r="H26" s="32"/>
      <c r="I26" s="31"/>
      <c r="J26" s="34"/>
      <c r="K26" s="35"/>
      <c r="L26" s="5"/>
      <c r="M26" s="73"/>
      <c r="R26" s="71"/>
    </row>
    <row r="27" spans="2:18">
      <c r="B27" s="14"/>
      <c r="J27" s="36"/>
      <c r="K27" s="35"/>
      <c r="L27" s="5"/>
      <c r="M27" s="73"/>
      <c r="R27" s="71"/>
    </row>
    <row r="28" spans="2:18">
      <c r="B28" s="37">
        <f>MAX(B$9:B27)+1</f>
        <v>10</v>
      </c>
      <c r="C28" s="22" t="s">
        <v>43</v>
      </c>
      <c r="E28" s="38">
        <f>SUM(E18:E25)</f>
        <v>24463.916666666664</v>
      </c>
      <c r="F28" s="38">
        <f>SUM(F18:F25)</f>
        <v>2455464.6465937118</v>
      </c>
      <c r="G28" s="25">
        <f>SUM(G18:G25)</f>
        <v>151034.77349199093</v>
      </c>
      <c r="H28" s="26">
        <f>SUM(H18:H25)</f>
        <v>170622.23100946526</v>
      </c>
      <c r="I28" s="25">
        <f>SUM(I18:I25)</f>
        <v>19587.457517474344</v>
      </c>
      <c r="J28" s="27">
        <f>I28/G28</f>
        <v>0.1296883960203577</v>
      </c>
      <c r="K28" s="25">
        <f>SUM(K18:K25)</f>
        <v>17561.4062755573</v>
      </c>
      <c r="L28" s="30"/>
      <c r="M28" s="73"/>
      <c r="N28" s="25">
        <f>SUM(N18:N25)</f>
        <v>-2026.0512419170423</v>
      </c>
      <c r="O28" s="25">
        <f>SUM(O18:O25)</f>
        <v>19535.078179773558</v>
      </c>
      <c r="R28" s="71"/>
    </row>
    <row r="29" spans="2:18">
      <c r="B29" s="14"/>
      <c r="J29" s="36"/>
      <c r="K29" s="35"/>
      <c r="L29" s="5"/>
      <c r="M29" s="73"/>
      <c r="R29" s="71"/>
    </row>
    <row r="30" spans="2:18">
      <c r="B30" s="14"/>
      <c r="C30" s="22" t="s">
        <v>44</v>
      </c>
      <c r="J30" s="36"/>
      <c r="K30" s="35"/>
      <c r="L30" s="5"/>
      <c r="M30" s="73"/>
      <c r="R30" s="71"/>
    </row>
    <row r="31" spans="2:18">
      <c r="B31" s="37">
        <f>MAX(B$9:B30)+1</f>
        <v>11</v>
      </c>
      <c r="C31" s="2" t="s">
        <v>45</v>
      </c>
      <c r="D31" s="11" t="s">
        <v>46</v>
      </c>
      <c r="E31" s="24">
        <v>2670.25</v>
      </c>
      <c r="F31" s="24">
        <v>3565.3664640903753</v>
      </c>
      <c r="G31" s="39">
        <v>477.46648172303185</v>
      </c>
      <c r="H31" s="26">
        <f>G31+I31</f>
        <v>492.19094199507293</v>
      </c>
      <c r="I31" s="25">
        <f t="shared" ref="I31:I35" si="12">G31*J31</f>
        <v>14.724460272041082</v>
      </c>
      <c r="J31" s="27">
        <f>$J$50</f>
        <v>3.083873075007269E-2</v>
      </c>
      <c r="K31" s="77">
        <f t="shared" ref="K31:K35" si="13">M31*G31</f>
        <v>4.7746648172303185</v>
      </c>
      <c r="L31" s="76">
        <f>M31/$J$46</f>
        <v>7.7486664772707381E-2</v>
      </c>
      <c r="M31" s="73">
        <f>$M$50</f>
        <v>0.01</v>
      </c>
      <c r="N31" s="59">
        <f t="shared" ref="N31:N35" si="14">K31-I31</f>
        <v>-9.9497954548107632</v>
      </c>
      <c r="O31" s="41">
        <f t="shared" ref="O31:O35" si="15">Q31*G31</f>
        <v>14.724460272041082</v>
      </c>
      <c r="P31" s="85">
        <f t="shared" ref="P31:P35" si="16">Q31/$J$46</f>
        <v>0.23895903916466651</v>
      </c>
      <c r="Q31" s="36">
        <f>J31</f>
        <v>3.083873075007269E-2</v>
      </c>
      <c r="R31" s="71">
        <f t="shared" si="8"/>
        <v>0</v>
      </c>
    </row>
    <row r="32" spans="2:18">
      <c r="B32" s="37">
        <f>MAX(B$9:B31)+1</f>
        <v>12</v>
      </c>
      <c r="C32" s="2" t="s">
        <v>47</v>
      </c>
      <c r="D32" s="11" t="s">
        <v>48</v>
      </c>
      <c r="E32" s="24">
        <v>149</v>
      </c>
      <c r="F32" s="24">
        <v>3309.7490529634542</v>
      </c>
      <c r="G32" s="39">
        <v>623.42693801781672</v>
      </c>
      <c r="H32" s="26">
        <f>G32+I32</f>
        <v>642.65263350169039</v>
      </c>
      <c r="I32" s="25">
        <f t="shared" si="12"/>
        <v>19.225695483873704</v>
      </c>
      <c r="J32" s="27">
        <f t="shared" ref="J32:J35" si="17">$J$50</f>
        <v>3.083873075007269E-2</v>
      </c>
      <c r="K32" s="77">
        <f t="shared" si="13"/>
        <v>6.2342693801781675</v>
      </c>
      <c r="L32" s="76">
        <f t="shared" ref="L32:L35" si="18">M32/$J$46</f>
        <v>7.7486664772707381E-2</v>
      </c>
      <c r="M32" s="73">
        <f t="shared" ref="M32:M35" si="19">$M$50</f>
        <v>0.01</v>
      </c>
      <c r="N32" s="59">
        <f t="shared" si="14"/>
        <v>-12.991426103695536</v>
      </c>
      <c r="O32" s="41">
        <f t="shared" si="15"/>
        <v>19.225695483873704</v>
      </c>
      <c r="P32" s="85">
        <f t="shared" si="16"/>
        <v>0.23895903916466651</v>
      </c>
      <c r="Q32" s="36">
        <f t="shared" ref="Q32:Q35" si="20">J32</f>
        <v>3.083873075007269E-2</v>
      </c>
      <c r="R32" s="71">
        <f t="shared" si="8"/>
        <v>0</v>
      </c>
    </row>
    <row r="33" spans="2:18">
      <c r="B33" s="37">
        <f>MAX(B$9:B32)+1</f>
        <v>13</v>
      </c>
      <c r="C33" s="2" t="s">
        <v>47</v>
      </c>
      <c r="D33" s="11">
        <v>52</v>
      </c>
      <c r="E33" s="24">
        <v>20</v>
      </c>
      <c r="F33" s="24">
        <v>476.43765602695242</v>
      </c>
      <c r="G33" s="39">
        <v>65.578887734444322</v>
      </c>
      <c r="H33" s="26">
        <f>G33+I33</f>
        <v>67.601257396176095</v>
      </c>
      <c r="I33" s="25">
        <f t="shared" si="12"/>
        <v>2.0223696617317728</v>
      </c>
      <c r="J33" s="27">
        <f t="shared" si="17"/>
        <v>3.083873075007269E-2</v>
      </c>
      <c r="K33" s="77">
        <f t="shared" si="13"/>
        <v>0.65578887734444324</v>
      </c>
      <c r="L33" s="76">
        <f t="shared" si="18"/>
        <v>7.7486664772707381E-2</v>
      </c>
      <c r="M33" s="73">
        <f t="shared" si="19"/>
        <v>0.01</v>
      </c>
      <c r="N33" s="59">
        <f t="shared" si="14"/>
        <v>-1.3665807843873297</v>
      </c>
      <c r="O33" s="41">
        <f t="shared" si="15"/>
        <v>2.0223696617317728</v>
      </c>
      <c r="P33" s="85">
        <f t="shared" si="16"/>
        <v>0.23895903916466651</v>
      </c>
      <c r="Q33" s="36">
        <f t="shared" si="20"/>
        <v>3.083873075007269E-2</v>
      </c>
      <c r="R33" s="71">
        <f t="shared" si="8"/>
        <v>0</v>
      </c>
    </row>
    <row r="34" spans="2:18">
      <c r="B34" s="37">
        <f>MAX(B$9:B33)+1</f>
        <v>14</v>
      </c>
      <c r="C34" s="2" t="s">
        <v>47</v>
      </c>
      <c r="D34" s="11">
        <v>53</v>
      </c>
      <c r="E34" s="24">
        <v>200</v>
      </c>
      <c r="F34" s="24">
        <v>5190.0894733616351</v>
      </c>
      <c r="G34" s="24">
        <v>339.10690288734077</v>
      </c>
      <c r="H34" s="26">
        <f>G34+I34</f>
        <v>349.56452936097452</v>
      </c>
      <c r="I34" s="25">
        <f t="shared" si="12"/>
        <v>10.457626473633749</v>
      </c>
      <c r="J34" s="27">
        <f t="shared" si="17"/>
        <v>3.083873075007269E-2</v>
      </c>
      <c r="K34" s="77">
        <f t="shared" si="13"/>
        <v>3.3910690288734076</v>
      </c>
      <c r="L34" s="76">
        <f t="shared" si="18"/>
        <v>7.7486664772707381E-2</v>
      </c>
      <c r="M34" s="73">
        <f t="shared" si="19"/>
        <v>0.01</v>
      </c>
      <c r="N34" s="59">
        <f t="shared" si="14"/>
        <v>-7.066557444760341</v>
      </c>
      <c r="O34" s="41">
        <f t="shared" si="15"/>
        <v>10.457626473633749</v>
      </c>
      <c r="P34" s="85">
        <f t="shared" si="16"/>
        <v>0.23895903916466651</v>
      </c>
      <c r="Q34" s="36">
        <f t="shared" si="20"/>
        <v>3.083873075007269E-2</v>
      </c>
      <c r="R34" s="71">
        <f t="shared" si="8"/>
        <v>0</v>
      </c>
    </row>
    <row r="35" spans="2:18">
      <c r="B35" s="37">
        <f>MAX(B$9:B34)+1</f>
        <v>15</v>
      </c>
      <c r="C35" s="2" t="s">
        <v>47</v>
      </c>
      <c r="D35" s="11">
        <v>57</v>
      </c>
      <c r="E35" s="24">
        <v>33.416666666666664</v>
      </c>
      <c r="F35" s="24">
        <v>2163.5698176479586</v>
      </c>
      <c r="G35" s="24">
        <v>250.9202113603981</v>
      </c>
      <c r="H35" s="26">
        <f>G35+I35</f>
        <v>258.65827219829276</v>
      </c>
      <c r="I35" s="25">
        <f t="shared" si="12"/>
        <v>7.7380608378946478</v>
      </c>
      <c r="J35" s="27">
        <f t="shared" si="17"/>
        <v>3.083873075007269E-2</v>
      </c>
      <c r="K35" s="77">
        <f t="shared" si="13"/>
        <v>2.509202113603981</v>
      </c>
      <c r="L35" s="76">
        <f t="shared" si="18"/>
        <v>7.7486664772707381E-2</v>
      </c>
      <c r="M35" s="73">
        <f t="shared" si="19"/>
        <v>0.01</v>
      </c>
      <c r="N35" s="59">
        <f t="shared" si="14"/>
        <v>-5.2288587242906672</v>
      </c>
      <c r="O35" s="41">
        <f t="shared" si="15"/>
        <v>7.7380608378946478</v>
      </c>
      <c r="P35" s="85">
        <f t="shared" si="16"/>
        <v>0.23895903916466651</v>
      </c>
      <c r="Q35" s="36">
        <f t="shared" si="20"/>
        <v>3.083873075007269E-2</v>
      </c>
      <c r="R35" s="71">
        <f t="shared" si="8"/>
        <v>0</v>
      </c>
    </row>
    <row r="36" spans="2:18">
      <c r="B36" s="14"/>
      <c r="E36" s="31"/>
      <c r="F36" s="31"/>
      <c r="G36" s="31"/>
      <c r="H36" s="32"/>
      <c r="I36" s="31"/>
      <c r="J36" s="34"/>
      <c r="K36" s="35"/>
      <c r="L36" s="5"/>
      <c r="M36" s="73"/>
    </row>
    <row r="37" spans="2:18">
      <c r="B37" s="14"/>
      <c r="J37" s="36"/>
      <c r="K37" s="35"/>
      <c r="L37" s="5"/>
      <c r="M37" s="73"/>
    </row>
    <row r="38" spans="2:18">
      <c r="B38" s="37">
        <f>MAX(B$9:B37)+1</f>
        <v>16</v>
      </c>
      <c r="C38" s="22" t="s">
        <v>49</v>
      </c>
      <c r="E38" s="44">
        <f>SUM(E31:E35)</f>
        <v>3072.6666666666665</v>
      </c>
      <c r="F38" s="44">
        <f>SUM(F31:F35)</f>
        <v>14705.212464090375</v>
      </c>
      <c r="G38" s="45">
        <f>SUM(G31:G35)</f>
        <v>1756.4994217230317</v>
      </c>
      <c r="H38" s="45">
        <f>SUM(H31:H35)</f>
        <v>1810.6676344522068</v>
      </c>
      <c r="I38" s="45">
        <f>SUM(I31:I35)</f>
        <v>54.168212729174954</v>
      </c>
      <c r="J38" s="47">
        <f>I38/G38</f>
        <v>3.083873075007269E-2</v>
      </c>
      <c r="K38" s="45">
        <f>SUM(K31:K35)</f>
        <v>17.564994217230318</v>
      </c>
      <c r="L38" s="30"/>
      <c r="M38" s="73"/>
      <c r="N38" s="45">
        <f>SUM(N31:N35)</f>
        <v>-36.60321851194464</v>
      </c>
      <c r="O38" s="45">
        <f>SUM(O31:O35)</f>
        <v>54.168212729174954</v>
      </c>
    </row>
    <row r="39" spans="2:18">
      <c r="B39" s="14"/>
      <c r="C39" s="22"/>
      <c r="E39" s="48"/>
      <c r="F39" s="48"/>
      <c r="G39" s="46"/>
      <c r="H39" s="46"/>
      <c r="I39" s="46"/>
      <c r="J39" s="49"/>
      <c r="K39" s="35"/>
      <c r="L39" s="46"/>
      <c r="M39" s="73"/>
    </row>
    <row r="40" spans="2:18" ht="16.5" thickBot="1">
      <c r="B40" s="37">
        <f>MAX(B$9:B39)+1</f>
        <v>17</v>
      </c>
      <c r="C40" s="50" t="s">
        <v>50</v>
      </c>
      <c r="E40" s="51">
        <f>E38+E28+E15+1</f>
        <v>131079.25</v>
      </c>
      <c r="F40" s="51">
        <f>F38+F28+F15</f>
        <v>4053671.798</v>
      </c>
      <c r="G40" s="52">
        <f>G38+G28+G15</f>
        <v>271203.3267044758</v>
      </c>
      <c r="H40" s="52">
        <f>H38+H28+H15</f>
        <v>306203.32670447574</v>
      </c>
      <c r="I40" s="52">
        <f>I38+I28+I15</f>
        <v>34999.999999999993</v>
      </c>
      <c r="J40" s="54">
        <f>I40/$G40</f>
        <v>0.12905446413693408</v>
      </c>
      <c r="K40" s="52">
        <f>K38+K28+K15</f>
        <v>34999.999999999993</v>
      </c>
      <c r="L40" s="36">
        <f>M40/$M$40</f>
        <v>1</v>
      </c>
      <c r="M40" s="54">
        <f>K40/$G40</f>
        <v>0.12905446413693408</v>
      </c>
      <c r="N40" s="52">
        <f>N38+N28+N15</f>
        <v>0</v>
      </c>
      <c r="O40" s="52">
        <f>O38+O28+O15</f>
        <v>35000</v>
      </c>
      <c r="P40" s="36">
        <f>Q40/$M$40</f>
        <v>1.0000000000000002</v>
      </c>
      <c r="Q40" s="54">
        <f>O40/$G40</f>
        <v>0.12905446413693411</v>
      </c>
    </row>
    <row r="41" spans="2:18" ht="16.5" thickTop="1">
      <c r="B41" s="87" t="s">
        <v>0</v>
      </c>
      <c r="C41" s="88"/>
      <c r="E41" s="55"/>
      <c r="F41" s="55"/>
      <c r="G41" s="53"/>
      <c r="H41" s="53"/>
      <c r="I41" s="53"/>
      <c r="J41" s="36"/>
      <c r="K41" s="28"/>
      <c r="L41" s="30"/>
      <c r="M41" s="73"/>
    </row>
    <row r="42" spans="2:18">
      <c r="B42" s="37">
        <v>18</v>
      </c>
      <c r="C42" s="2" t="s">
        <v>51</v>
      </c>
      <c r="E42" s="55"/>
      <c r="F42" s="55"/>
      <c r="G42" s="53"/>
      <c r="H42" s="26"/>
      <c r="I42" s="41"/>
      <c r="J42" s="27"/>
      <c r="K42" s="28"/>
      <c r="L42" s="30"/>
      <c r="M42" s="73"/>
    </row>
    <row r="43" spans="2:18">
      <c r="B43" s="37"/>
      <c r="E43" s="55"/>
      <c r="F43" s="55"/>
      <c r="G43" s="53"/>
      <c r="H43" s="26"/>
      <c r="I43" s="41"/>
      <c r="J43" s="27"/>
      <c r="K43" s="28"/>
      <c r="L43" s="30"/>
      <c r="M43" s="73"/>
    </row>
    <row r="44" spans="2:18" ht="16.5" thickBot="1">
      <c r="B44" s="37">
        <v>19</v>
      </c>
      <c r="C44" s="56" t="s">
        <v>52</v>
      </c>
      <c r="E44" s="57">
        <f>SUM(E40:E42)</f>
        <v>131079.25</v>
      </c>
      <c r="F44" s="57">
        <f>SUM(F40:F42)</f>
        <v>4053671.798</v>
      </c>
      <c r="G44" s="52">
        <f>SUM(G40:G42)</f>
        <v>271203.3267044758</v>
      </c>
      <c r="H44" s="58">
        <f>SUM(H40:H42)</f>
        <v>306203.32670447574</v>
      </c>
      <c r="I44" s="52">
        <f>SUM(I40:I42)</f>
        <v>34999.999999999993</v>
      </c>
      <c r="J44" s="54">
        <f>I44/$G44</f>
        <v>0.12905446413693408</v>
      </c>
      <c r="K44" s="52">
        <f>SUM(K40:K42)</f>
        <v>34999.999999999993</v>
      </c>
      <c r="L44" s="36">
        <f>M44/$M$40</f>
        <v>1</v>
      </c>
      <c r="M44" s="54">
        <f>K44/$G44</f>
        <v>0.12905446413693408</v>
      </c>
      <c r="O44" s="41">
        <f>O40</f>
        <v>35000</v>
      </c>
      <c r="P44" s="36">
        <f>Q44/$M$40</f>
        <v>1.0000000000000002</v>
      </c>
      <c r="Q44" s="54">
        <f>O44/$G44</f>
        <v>0.12905446413693411</v>
      </c>
    </row>
    <row r="45" spans="2:18" ht="16.5" thickTop="1">
      <c r="J45" s="59" t="s">
        <v>0</v>
      </c>
    </row>
    <row r="46" spans="2:18">
      <c r="H46" s="81" t="s">
        <v>62</v>
      </c>
      <c r="I46" s="80">
        <v>35000</v>
      </c>
      <c r="J46" s="69">
        <f>I46/G44</f>
        <v>0.12905446413693411</v>
      </c>
    </row>
    <row r="47" spans="2:18" hidden="1">
      <c r="F47" s="1" t="s">
        <v>55</v>
      </c>
      <c r="G47" s="41">
        <v>56746.823148545926</v>
      </c>
      <c r="I47" s="41"/>
      <c r="J47" s="70">
        <f>G47/G44</f>
        <v>0.20924088151168466</v>
      </c>
      <c r="K47" s="5"/>
      <c r="L47" s="5"/>
      <c r="O47" s="41">
        <f>I46-SUM(O31:O35)-O25-O18-O20-O21</f>
        <v>20843.239342147794</v>
      </c>
      <c r="Q47" s="71">
        <f>O47/(G12+G22+G23+G24)</f>
        <v>0.13014514244241221</v>
      </c>
    </row>
    <row r="48" spans="2:18" hidden="1">
      <c r="F48" s="1" t="s">
        <v>56</v>
      </c>
      <c r="G48" s="68">
        <f>(303950715-271011109)/1000</f>
        <v>32939.606</v>
      </c>
      <c r="I48" s="60"/>
      <c r="J48" s="71">
        <f>G48/G44</f>
        <v>0.12145723432033544</v>
      </c>
      <c r="K48" s="5"/>
      <c r="L48" s="5"/>
    </row>
    <row r="49" spans="3:13" hidden="1">
      <c r="H49" s="29"/>
      <c r="I49" s="61"/>
      <c r="J49" s="62"/>
    </row>
    <row r="50" spans="3:13" hidden="1">
      <c r="C50" s="2" t="s">
        <v>72</v>
      </c>
      <c r="F50" s="5" t="s">
        <v>54</v>
      </c>
      <c r="G50" s="41">
        <f>G25+SUM(G31:G35)</f>
        <v>1778.4958793352357</v>
      </c>
      <c r="I50" s="63">
        <f>G50*J50</f>
        <v>54.846555562933105</v>
      </c>
      <c r="J50" s="64">
        <f>0.05*J46/J47</f>
        <v>3.083873075007269E-2</v>
      </c>
      <c r="L50" s="74">
        <f>M50*G50</f>
        <v>17.784958793352356</v>
      </c>
      <c r="M50" s="71">
        <v>0.01</v>
      </c>
    </row>
    <row r="51" spans="3:13" hidden="1">
      <c r="F51" s="1" t="s">
        <v>57</v>
      </c>
      <c r="G51" s="41">
        <f>G44-G50</f>
        <v>269424.83082514058</v>
      </c>
      <c r="H51" s="21"/>
      <c r="I51" s="65">
        <f>I46-I50</f>
        <v>34945.15344443707</v>
      </c>
      <c r="J51" s="66">
        <f>I51/G51</f>
        <v>0.12970279442104141</v>
      </c>
    </row>
    <row r="52" spans="3:13" hidden="1">
      <c r="C52" s="2" t="s">
        <v>28</v>
      </c>
      <c r="F52" s="1" t="s">
        <v>28</v>
      </c>
      <c r="G52" s="41">
        <f>G12</f>
        <v>118412.0537907618</v>
      </c>
      <c r="H52" s="75">
        <v>1.1399999999999999</v>
      </c>
      <c r="J52" s="36"/>
      <c r="L52" s="41">
        <f>M52*G52</f>
        <v>17421.028730225462</v>
      </c>
      <c r="M52" s="71">
        <f>H52*$J$46</f>
        <v>0.14712208911610489</v>
      </c>
    </row>
    <row r="53" spans="3:13" hidden="1">
      <c r="C53" s="2" t="s">
        <v>70</v>
      </c>
      <c r="F53" s="1" t="s">
        <v>60</v>
      </c>
      <c r="G53" s="41">
        <f>G23+G22+G24</f>
        <v>41741.747964618335</v>
      </c>
      <c r="H53" s="69">
        <v>1.1399999999999999</v>
      </c>
      <c r="J53" s="67"/>
      <c r="L53" s="41">
        <f>M53*G53</f>
        <v>6141.1331639125683</v>
      </c>
      <c r="M53" s="71">
        <f>H53*$J$46</f>
        <v>0.14712208911610489</v>
      </c>
    </row>
    <row r="54" spans="3:13" hidden="1">
      <c r="C54" s="2" t="s">
        <v>71</v>
      </c>
      <c r="F54" s="1" t="s">
        <v>59</v>
      </c>
      <c r="G54" s="41">
        <f>G44-G50-G52-G53</f>
        <v>109271.02906976045</v>
      </c>
      <c r="L54" s="41">
        <f>I46-L50-L52-L53</f>
        <v>11420.053147068618</v>
      </c>
      <c r="M54" s="71">
        <f>L54/G54</f>
        <v>0.10451126199038416</v>
      </c>
    </row>
    <row r="55" spans="3:13" hidden="1">
      <c r="H55" s="21"/>
    </row>
    <row r="56" spans="3:13" hidden="1"/>
  </sheetData>
  <mergeCells count="2">
    <mergeCell ref="I5:J5"/>
    <mergeCell ref="B41:C41"/>
  </mergeCells>
  <pageMargins left="0.23" right="0.18" top="0.36" bottom="0.24" header="0.3" footer="0.18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2"/>
  <sheetViews>
    <sheetView tabSelected="1" workbookViewId="0">
      <selection activeCell="A2" sqref="A2"/>
    </sheetView>
  </sheetViews>
  <sheetFormatPr defaultColWidth="9.140625" defaultRowHeight="15.75"/>
  <cols>
    <col min="1" max="1" width="5.28515625" style="1" customWidth="1"/>
    <col min="2" max="2" width="34.7109375" style="2" customWidth="1"/>
    <col min="3" max="3" width="11" style="1" customWidth="1"/>
    <col min="4" max="5" width="9.85546875" style="1" customWidth="1"/>
    <col min="6" max="6" width="1.28515625" style="1" customWidth="1"/>
    <col min="7" max="7" width="10.5703125" style="1" customWidth="1"/>
    <col min="8" max="8" width="9.28515625" style="1" customWidth="1"/>
    <col min="9" max="9" width="8.28515625" style="1" customWidth="1"/>
    <col min="10" max="10" width="12" style="1" customWidth="1"/>
    <col min="11" max="11" width="1.28515625" style="1" customWidth="1"/>
    <col min="12" max="13" width="9.85546875" style="1" customWidth="1"/>
    <col min="14" max="14" width="8.85546875" style="1" customWidth="1"/>
    <col min="15" max="15" width="10.7109375" style="1" customWidth="1"/>
    <col min="16" max="16384" width="9.140625" style="1"/>
  </cols>
  <sheetData>
    <row r="1" spans="1:16">
      <c r="A1" s="79" t="s">
        <v>74</v>
      </c>
      <c r="B1" s="100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>
      <c r="A2" s="79" t="s">
        <v>75</v>
      </c>
      <c r="B2" s="10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>
      <c r="A3" s="79" t="s">
        <v>76</v>
      </c>
      <c r="B3" s="10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>
      <c r="A4" s="3"/>
      <c r="B4" s="3"/>
      <c r="C4" s="3"/>
      <c r="D4" s="3"/>
      <c r="E4" s="3"/>
      <c r="F4" s="3"/>
      <c r="G4" s="3"/>
      <c r="H4" s="3"/>
      <c r="I4" s="79"/>
      <c r="J4" s="79"/>
      <c r="K4" s="79"/>
      <c r="L4" s="79"/>
      <c r="M4" s="79"/>
      <c r="N4" s="79"/>
    </row>
    <row r="5" spans="1:16" ht="16.5" thickBot="1">
      <c r="C5" s="97" t="s">
        <v>73</v>
      </c>
      <c r="D5" s="97"/>
      <c r="E5" s="97"/>
      <c r="F5" s="91"/>
      <c r="G5" s="97" t="s">
        <v>58</v>
      </c>
      <c r="H5" s="97"/>
      <c r="I5" s="98"/>
      <c r="J5" s="98"/>
      <c r="K5" s="92"/>
      <c r="L5" s="98" t="s">
        <v>69</v>
      </c>
      <c r="M5" s="98"/>
      <c r="N5" s="98"/>
      <c r="O5" s="98"/>
    </row>
    <row r="6" spans="1:16">
      <c r="C6" s="8" t="s">
        <v>7</v>
      </c>
      <c r="D6" s="8"/>
      <c r="E6" s="14" t="s">
        <v>63</v>
      </c>
      <c r="F6" s="14"/>
      <c r="G6" s="8" t="s">
        <v>7</v>
      </c>
      <c r="H6" s="14" t="s">
        <v>63</v>
      </c>
      <c r="I6" s="1" t="s">
        <v>65</v>
      </c>
      <c r="L6" s="8" t="s">
        <v>7</v>
      </c>
      <c r="M6" s="14" t="s">
        <v>63</v>
      </c>
      <c r="N6" s="14" t="s">
        <v>65</v>
      </c>
      <c r="O6" s="8"/>
    </row>
    <row r="7" spans="1:16">
      <c r="A7" s="14" t="s">
        <v>8</v>
      </c>
      <c r="C7" s="15" t="s">
        <v>13</v>
      </c>
      <c r="D7" s="9" t="s">
        <v>7</v>
      </c>
      <c r="E7" s="16" t="s">
        <v>64</v>
      </c>
      <c r="F7" s="16"/>
      <c r="G7" s="8" t="s">
        <v>13</v>
      </c>
      <c r="H7" s="16" t="s">
        <v>64</v>
      </c>
      <c r="I7" s="5" t="s">
        <v>13</v>
      </c>
      <c r="J7" s="14" t="s">
        <v>61</v>
      </c>
      <c r="K7" s="14"/>
      <c r="L7" s="8" t="s">
        <v>13</v>
      </c>
      <c r="M7" s="16" t="s">
        <v>64</v>
      </c>
      <c r="N7" s="16" t="s">
        <v>13</v>
      </c>
      <c r="O7" s="14" t="s">
        <v>61</v>
      </c>
    </row>
    <row r="8" spans="1:16">
      <c r="A8" s="17" t="s">
        <v>14</v>
      </c>
      <c r="B8" s="18" t="s">
        <v>15</v>
      </c>
      <c r="C8" s="20" t="s">
        <v>16</v>
      </c>
      <c r="D8" s="83" t="s">
        <v>17</v>
      </c>
      <c r="E8" s="83" t="s">
        <v>17</v>
      </c>
      <c r="F8" s="83"/>
      <c r="G8" s="20" t="s">
        <v>16</v>
      </c>
      <c r="H8" s="83" t="s">
        <v>17</v>
      </c>
      <c r="I8" s="83" t="s">
        <v>17</v>
      </c>
      <c r="J8" s="20" t="s">
        <v>16</v>
      </c>
      <c r="K8" s="20"/>
      <c r="L8" s="20" t="s">
        <v>16</v>
      </c>
      <c r="M8" s="83" t="s">
        <v>17</v>
      </c>
      <c r="N8" s="83" t="s">
        <v>17</v>
      </c>
      <c r="O8" s="20" t="s">
        <v>16</v>
      </c>
    </row>
    <row r="9" spans="1:16">
      <c r="A9" s="14">
        <v>1</v>
      </c>
      <c r="B9" s="2" t="s">
        <v>29</v>
      </c>
      <c r="C9" s="25">
        <f>'Exhibit Workpaper'!I12</f>
        <v>15358.374269796474</v>
      </c>
      <c r="D9" s="27">
        <f>'Exhibit Workpaper'!J12</f>
        <v>0.12970279442104141</v>
      </c>
      <c r="E9" s="90">
        <f>D9/$D$22</f>
        <v>1.0050236951386617</v>
      </c>
      <c r="F9" s="90"/>
      <c r="G9" s="77">
        <f>'Exhibit Workpaper'!K12</f>
        <v>17421.028730225462</v>
      </c>
      <c r="H9" s="76">
        <f>'Exhibit Workpaper'!L12</f>
        <v>1.1399999999999999</v>
      </c>
      <c r="I9" s="72">
        <f>'Exhibit Workpaper'!M12</f>
        <v>0.14712208911610489</v>
      </c>
      <c r="J9" s="95">
        <f>G9-C9</f>
        <v>2062.6544604289884</v>
      </c>
      <c r="K9" s="95"/>
      <c r="L9" s="41">
        <f>'Exhibit Workpaper'!O12</f>
        <v>15410.75360749727</v>
      </c>
      <c r="M9" s="85">
        <f>'Exhibit Workpaper'!P12</f>
        <v>1.0084513024231445</v>
      </c>
      <c r="N9" s="36">
        <f>'Exhibit Workpaper'!Q12</f>
        <v>0.13014514244241221</v>
      </c>
      <c r="O9" s="94">
        <f>L9-C9</f>
        <v>52.379337700796896</v>
      </c>
      <c r="P9" s="99"/>
    </row>
    <row r="10" spans="1:16">
      <c r="A10" s="37">
        <v>2</v>
      </c>
      <c r="B10" s="2" t="s">
        <v>33</v>
      </c>
      <c r="C10" s="25">
        <f>'Exhibit Workpaper'!I18</f>
        <v>5138.6166817031217</v>
      </c>
      <c r="D10" s="27">
        <f>'Exhibit Workpaper'!J18</f>
        <v>0.12970279442104141</v>
      </c>
      <c r="E10" s="90">
        <f>D10/$D$22</f>
        <v>1.0050236951386617</v>
      </c>
      <c r="F10" s="90"/>
      <c r="G10" s="77">
        <f>'Exhibit Workpaper'!K18</f>
        <v>4140.5685720716447</v>
      </c>
      <c r="H10" s="76">
        <f>'Exhibit Workpaper'!L18</f>
        <v>0.8098229122821492</v>
      </c>
      <c r="I10" s="72">
        <f>'Exhibit Workpaper'!M18</f>
        <v>0.10451126199038416</v>
      </c>
      <c r="J10" s="95">
        <f t="shared" ref="J10:J16" si="0">G10-C10</f>
        <v>-998.04810963147702</v>
      </c>
      <c r="K10" s="95"/>
      <c r="L10" s="41">
        <f>'Exhibit Workpaper'!O18</f>
        <v>5112.9308757184626</v>
      </c>
      <c r="M10" s="85">
        <f>'Exhibit Workpaper'!P18</f>
        <v>1</v>
      </c>
      <c r="N10" s="36">
        <f>'Exhibit Workpaper'!Q18</f>
        <v>0.12905446413693411</v>
      </c>
      <c r="O10" s="94">
        <f t="shared" ref="O10:O16" si="1">L10-C10</f>
        <v>-25.685805984659055</v>
      </c>
      <c r="P10" s="99"/>
    </row>
    <row r="11" spans="1:16">
      <c r="A11" s="37">
        <v>3</v>
      </c>
      <c r="B11" s="2" t="s">
        <v>35</v>
      </c>
      <c r="C11" s="25">
        <f>'Exhibit Workpaper'!I20</f>
        <v>7524.2741506221673</v>
      </c>
      <c r="D11" s="27">
        <f>'Exhibit Workpaper'!J20</f>
        <v>0.12970279442104141</v>
      </c>
      <c r="E11" s="90">
        <f>D11/$D$22</f>
        <v>1.0050236951386617</v>
      </c>
      <c r="F11" s="90"/>
      <c r="G11" s="77">
        <f>'Exhibit Workpaper'!K20</f>
        <v>6062.8715869484549</v>
      </c>
      <c r="H11" s="76">
        <f>'Exhibit Workpaper'!L20</f>
        <v>0.8098229122821492</v>
      </c>
      <c r="I11" s="72">
        <f>'Exhibit Workpaper'!M20</f>
        <v>0.10451126199038416</v>
      </c>
      <c r="J11" s="95">
        <f t="shared" si="0"/>
        <v>-1461.4025636737124</v>
      </c>
      <c r="K11" s="95"/>
      <c r="L11" s="41">
        <f>'Exhibit Workpaper'!O20</f>
        <v>7486.6634359143682</v>
      </c>
      <c r="M11" s="85">
        <f>'Exhibit Workpaper'!P20</f>
        <v>1</v>
      </c>
      <c r="N11" s="36">
        <f>'Exhibit Workpaper'!Q20</f>
        <v>0.12905446413693411</v>
      </c>
      <c r="O11" s="94">
        <f t="shared" si="1"/>
        <v>-37.610714707799161</v>
      </c>
      <c r="P11" s="99"/>
    </row>
    <row r="12" spans="1:16">
      <c r="A12" s="37">
        <v>4</v>
      </c>
      <c r="B12" s="2" t="s">
        <v>36</v>
      </c>
      <c r="C12" s="25">
        <f>'Exhibit Workpaper'!I21</f>
        <v>1509.8669872854825</v>
      </c>
      <c r="D12" s="27">
        <f>'Exhibit Workpaper'!J21</f>
        <v>0.12970279442104141</v>
      </c>
      <c r="E12" s="90">
        <f>D12/$D$22</f>
        <v>1.0050236951386617</v>
      </c>
      <c r="F12" s="90"/>
      <c r="G12" s="77">
        <f>'Exhibit Workpaper'!K21</f>
        <v>1216.6129880485123</v>
      </c>
      <c r="H12" s="76">
        <f>'Exhibit Workpaper'!L21</f>
        <v>0.8098229122821492</v>
      </c>
      <c r="I12" s="72">
        <f>'Exhibit Workpaper'!M21</f>
        <v>0.10451126199038416</v>
      </c>
      <c r="J12" s="95">
        <f t="shared" si="0"/>
        <v>-293.25399923697023</v>
      </c>
      <c r="K12" s="95"/>
      <c r="L12" s="41">
        <f>'Exhibit Workpaper'!O21</f>
        <v>1502.3197906564467</v>
      </c>
      <c r="M12" s="85">
        <f>'Exhibit Workpaper'!P21</f>
        <v>1</v>
      </c>
      <c r="N12" s="36">
        <f>'Exhibit Workpaper'!Q21</f>
        <v>0.12905446413693411</v>
      </c>
      <c r="O12" s="94">
        <f t="shared" si="1"/>
        <v>-7.5471966290358523</v>
      </c>
      <c r="P12" s="99"/>
    </row>
    <row r="13" spans="1:16">
      <c r="A13" s="37">
        <v>5</v>
      </c>
      <c r="B13" s="2" t="s">
        <v>67</v>
      </c>
      <c r="C13" s="25">
        <f>'Exhibit Workpaper'!I22</f>
        <v>24.870246835544741</v>
      </c>
      <c r="D13" s="27">
        <f>'Exhibit Workpaper'!J22</f>
        <v>0.12970279442104141</v>
      </c>
      <c r="E13" s="90">
        <f>D13/$D$22</f>
        <v>1.0050236951386617</v>
      </c>
      <c r="F13" s="90"/>
      <c r="G13" s="77">
        <f>'Exhibit Workpaper'!K22</f>
        <v>28.210361138410086</v>
      </c>
      <c r="H13" s="76">
        <f>'Exhibit Workpaper'!L22</f>
        <v>1.1399999999999999</v>
      </c>
      <c r="I13" s="72">
        <f>'Exhibit Workpaper'!M22</f>
        <v>0.14712208911610489</v>
      </c>
      <c r="J13" s="95">
        <f t="shared" si="0"/>
        <v>3.3401143028653451</v>
      </c>
      <c r="K13" s="95"/>
      <c r="L13" s="41">
        <f>'Exhibit Workpaper'!O22</f>
        <v>24.955066168295541</v>
      </c>
      <c r="M13" s="85">
        <f>'Exhibit Workpaper'!P22</f>
        <v>1.0084513024231445</v>
      </c>
      <c r="N13" s="36">
        <f>'Exhibit Workpaper'!Q22</f>
        <v>0.13014514244241221</v>
      </c>
      <c r="O13" s="94">
        <f t="shared" si="1"/>
        <v>8.4819332750800669E-2</v>
      </c>
      <c r="P13" s="99"/>
    </row>
    <row r="14" spans="1:16">
      <c r="A14" s="37">
        <v>6</v>
      </c>
      <c r="B14" s="2" t="s">
        <v>38</v>
      </c>
      <c r="C14" s="25">
        <f>'Exhibit Workpaper'!I23</f>
        <v>2693.2785261529248</v>
      </c>
      <c r="D14" s="27">
        <f>'Exhibit Workpaper'!J23</f>
        <v>0.12970279442104141</v>
      </c>
      <c r="E14" s="90">
        <f>D14/$D$22</f>
        <v>1.0050236951386617</v>
      </c>
      <c r="F14" s="90"/>
      <c r="G14" s="77">
        <f>'Exhibit Workpaper'!K23</f>
        <v>3054.9901804959181</v>
      </c>
      <c r="H14" s="76">
        <f>'Exhibit Workpaper'!L23</f>
        <v>1.1399999999999999</v>
      </c>
      <c r="I14" s="72">
        <f>'Exhibit Workpaper'!M23</f>
        <v>0.14712208911610489</v>
      </c>
      <c r="J14" s="95">
        <f t="shared" si="0"/>
        <v>361.71165434299337</v>
      </c>
      <c r="K14" s="95"/>
      <c r="L14" s="41">
        <f>'Exhibit Workpaper'!O23</f>
        <v>2702.4638828166894</v>
      </c>
      <c r="M14" s="85">
        <f>'Exhibit Workpaper'!P23</f>
        <v>1.0084513024231445</v>
      </c>
      <c r="N14" s="36">
        <f>'Exhibit Workpaper'!Q23</f>
        <v>0.13014514244241221</v>
      </c>
      <c r="O14" s="94">
        <f t="shared" si="1"/>
        <v>9.1853566637646509</v>
      </c>
      <c r="P14" s="99"/>
    </row>
    <row r="15" spans="1:16">
      <c r="A15" s="37">
        <v>7</v>
      </c>
      <c r="B15" s="2" t="s">
        <v>39</v>
      </c>
      <c r="C15" s="25">
        <f>'Exhibit Workpaper'!I24</f>
        <v>2695.8725820413456</v>
      </c>
      <c r="D15" s="27">
        <f>'Exhibit Workpaper'!J24</f>
        <v>0.12970279442104141</v>
      </c>
      <c r="E15" s="90">
        <f>D15/$D$22</f>
        <v>1.0050236951386617</v>
      </c>
      <c r="F15" s="90"/>
      <c r="G15" s="77">
        <f>'Exhibit Workpaper'!K24</f>
        <v>3057.9326222782402</v>
      </c>
      <c r="H15" s="76">
        <f>'Exhibit Workpaper'!L24</f>
        <v>1.1399999999999999</v>
      </c>
      <c r="I15" s="72">
        <f>'Exhibit Workpaper'!M24</f>
        <v>0.14712208911610489</v>
      </c>
      <c r="J15" s="95">
        <f t="shared" si="0"/>
        <v>362.06004023689457</v>
      </c>
      <c r="K15" s="95"/>
      <c r="L15" s="41">
        <f>'Exhibit Workpaper'!O24</f>
        <v>2705.0667856655377</v>
      </c>
      <c r="M15" s="85">
        <f>'Exhibit Workpaper'!P24</f>
        <v>1.0084513024231445</v>
      </c>
      <c r="N15" s="36">
        <f>'Exhibit Workpaper'!Q24</f>
        <v>0.13014514244241221</v>
      </c>
      <c r="O15" s="94">
        <f t="shared" si="1"/>
        <v>9.1942036241921414</v>
      </c>
      <c r="P15" s="99"/>
    </row>
    <row r="16" spans="1:16">
      <c r="A16" s="37">
        <v>8</v>
      </c>
      <c r="B16" s="2" t="s">
        <v>41</v>
      </c>
      <c r="C16" s="25">
        <f>'Exhibit Workpaper'!I25</f>
        <v>0.67834283375814641</v>
      </c>
      <c r="D16" s="27">
        <f>'Exhibit Workpaper'!J25</f>
        <v>3.083873075007269E-2</v>
      </c>
      <c r="E16" s="90">
        <f>D16/$D$22</f>
        <v>0.23895903916466657</v>
      </c>
      <c r="F16" s="90"/>
      <c r="G16" s="77">
        <f>'Exhibit Workpaper'!K25</f>
        <v>0.21996457612204015</v>
      </c>
      <c r="H16" s="76">
        <f>'Exhibit Workpaper'!L25</f>
        <v>7.7486664772707381E-2</v>
      </c>
      <c r="I16" s="72">
        <f>'Exhibit Workpaper'!M25</f>
        <v>0.01</v>
      </c>
      <c r="J16" s="95">
        <f t="shared" si="0"/>
        <v>-0.45837825763610629</v>
      </c>
      <c r="K16" s="95"/>
      <c r="L16" s="41">
        <f>'Exhibit Workpaper'!O25</f>
        <v>0.67834283375814641</v>
      </c>
      <c r="M16" s="85">
        <f>'Exhibit Workpaper'!P25</f>
        <v>0.23895903916466651</v>
      </c>
      <c r="N16" s="36">
        <f>'Exhibit Workpaper'!Q25</f>
        <v>3.083873075007269E-2</v>
      </c>
      <c r="O16" s="94">
        <f t="shared" si="1"/>
        <v>0</v>
      </c>
      <c r="P16" s="99"/>
    </row>
    <row r="17" spans="1:16">
      <c r="A17" s="37">
        <v>9</v>
      </c>
      <c r="B17" s="2" t="s">
        <v>45</v>
      </c>
      <c r="C17" s="25">
        <f>'Exhibit Workpaper'!I31</f>
        <v>14.724460272041082</v>
      </c>
      <c r="D17" s="27">
        <f>'Exhibit Workpaper'!J31</f>
        <v>3.083873075007269E-2</v>
      </c>
      <c r="E17" s="90">
        <f>D17/$D$22</f>
        <v>0.23895903916466657</v>
      </c>
      <c r="F17" s="90"/>
      <c r="G17" s="77">
        <f>'Exhibit Workpaper'!K31</f>
        <v>4.7746648172303185</v>
      </c>
      <c r="H17" s="76">
        <f>'Exhibit Workpaper'!L31</f>
        <v>7.7486664772707381E-2</v>
      </c>
      <c r="I17" s="72">
        <f>'Exhibit Workpaper'!M31</f>
        <v>0.01</v>
      </c>
      <c r="J17" s="95">
        <f t="shared" ref="J17:J21" si="2">G17-C17</f>
        <v>-9.9497954548107632</v>
      </c>
      <c r="K17" s="95"/>
      <c r="L17" s="41">
        <f>'Exhibit Workpaper'!O31</f>
        <v>14.724460272041082</v>
      </c>
      <c r="M17" s="85">
        <f>'Exhibit Workpaper'!P31</f>
        <v>0.23895903916466651</v>
      </c>
      <c r="N17" s="36">
        <f>'Exhibit Workpaper'!Q31</f>
        <v>3.083873075007269E-2</v>
      </c>
      <c r="O17" s="94">
        <f t="shared" ref="O17:O21" si="3">L17-C17</f>
        <v>0</v>
      </c>
      <c r="P17" s="99"/>
    </row>
    <row r="18" spans="1:16">
      <c r="A18" s="37">
        <v>10</v>
      </c>
      <c r="B18" s="2" t="s">
        <v>47</v>
      </c>
      <c r="C18" s="25">
        <f>'Exhibit Workpaper'!I32</f>
        <v>19.225695483873704</v>
      </c>
      <c r="D18" s="27">
        <f>'Exhibit Workpaper'!J32</f>
        <v>3.083873075007269E-2</v>
      </c>
      <c r="E18" s="90">
        <f>D18/$D$22</f>
        <v>0.23895903916466657</v>
      </c>
      <c r="F18" s="90"/>
      <c r="G18" s="77">
        <f>'Exhibit Workpaper'!K32</f>
        <v>6.2342693801781675</v>
      </c>
      <c r="H18" s="76">
        <f>'Exhibit Workpaper'!L32</f>
        <v>7.7486664772707381E-2</v>
      </c>
      <c r="I18" s="72">
        <f>'Exhibit Workpaper'!M32</f>
        <v>0.01</v>
      </c>
      <c r="J18" s="95">
        <f t="shared" si="2"/>
        <v>-12.991426103695536</v>
      </c>
      <c r="K18" s="95"/>
      <c r="L18" s="41">
        <f>'Exhibit Workpaper'!O32</f>
        <v>19.225695483873704</v>
      </c>
      <c r="M18" s="85">
        <f>'Exhibit Workpaper'!P32</f>
        <v>0.23895903916466651</v>
      </c>
      <c r="N18" s="36">
        <f>'Exhibit Workpaper'!Q32</f>
        <v>3.083873075007269E-2</v>
      </c>
      <c r="O18" s="94">
        <f t="shared" si="3"/>
        <v>0</v>
      </c>
      <c r="P18" s="99"/>
    </row>
    <row r="19" spans="1:16">
      <c r="A19" s="37">
        <v>11</v>
      </c>
      <c r="B19" s="2" t="s">
        <v>47</v>
      </c>
      <c r="C19" s="25">
        <f>'Exhibit Workpaper'!I33</f>
        <v>2.0223696617317728</v>
      </c>
      <c r="D19" s="27">
        <f>'Exhibit Workpaper'!J33</f>
        <v>3.083873075007269E-2</v>
      </c>
      <c r="E19" s="90">
        <f>D19/$D$22</f>
        <v>0.23895903916466657</v>
      </c>
      <c r="F19" s="90"/>
      <c r="G19" s="77">
        <f>'Exhibit Workpaper'!K33</f>
        <v>0.65578887734444324</v>
      </c>
      <c r="H19" s="76">
        <f>'Exhibit Workpaper'!L33</f>
        <v>7.7486664772707381E-2</v>
      </c>
      <c r="I19" s="72">
        <f>'Exhibit Workpaper'!M33</f>
        <v>0.01</v>
      </c>
      <c r="J19" s="95">
        <f t="shared" si="2"/>
        <v>-1.3665807843873297</v>
      </c>
      <c r="K19" s="95"/>
      <c r="L19" s="41">
        <f>'Exhibit Workpaper'!O33</f>
        <v>2.0223696617317728</v>
      </c>
      <c r="M19" s="85">
        <f>'Exhibit Workpaper'!P33</f>
        <v>0.23895903916466651</v>
      </c>
      <c r="N19" s="36">
        <f>'Exhibit Workpaper'!Q33</f>
        <v>3.083873075007269E-2</v>
      </c>
      <c r="O19" s="94">
        <f t="shared" si="3"/>
        <v>0</v>
      </c>
      <c r="P19" s="99"/>
    </row>
    <row r="20" spans="1:16">
      <c r="A20" s="37">
        <v>12</v>
      </c>
      <c r="B20" s="2" t="s">
        <v>47</v>
      </c>
      <c r="C20" s="25">
        <f>'Exhibit Workpaper'!I34</f>
        <v>10.457626473633749</v>
      </c>
      <c r="D20" s="27">
        <f>'Exhibit Workpaper'!J34</f>
        <v>3.083873075007269E-2</v>
      </c>
      <c r="E20" s="90">
        <f>D20/$D$22</f>
        <v>0.23895903916466657</v>
      </c>
      <c r="F20" s="90"/>
      <c r="G20" s="77">
        <f>'Exhibit Workpaper'!K34</f>
        <v>3.3910690288734076</v>
      </c>
      <c r="H20" s="76">
        <f>'Exhibit Workpaper'!L34</f>
        <v>7.7486664772707381E-2</v>
      </c>
      <c r="I20" s="72">
        <f>'Exhibit Workpaper'!M34</f>
        <v>0.01</v>
      </c>
      <c r="J20" s="95">
        <f t="shared" si="2"/>
        <v>-7.066557444760341</v>
      </c>
      <c r="K20" s="95"/>
      <c r="L20" s="41">
        <f>'Exhibit Workpaper'!O34</f>
        <v>10.457626473633749</v>
      </c>
      <c r="M20" s="85">
        <f>'Exhibit Workpaper'!P34</f>
        <v>0.23895903916466651</v>
      </c>
      <c r="N20" s="36">
        <f>'Exhibit Workpaper'!Q34</f>
        <v>3.083873075007269E-2</v>
      </c>
      <c r="O20" s="94">
        <f t="shared" si="3"/>
        <v>0</v>
      </c>
      <c r="P20" s="99"/>
    </row>
    <row r="21" spans="1:16">
      <c r="A21" s="37">
        <v>13</v>
      </c>
      <c r="B21" s="2" t="s">
        <v>47</v>
      </c>
      <c r="C21" s="25">
        <f>'Exhibit Workpaper'!I35</f>
        <v>7.7380608378946478</v>
      </c>
      <c r="D21" s="27">
        <f>'Exhibit Workpaper'!J35</f>
        <v>3.083873075007269E-2</v>
      </c>
      <c r="E21" s="90">
        <f>D21/$D$22</f>
        <v>0.23895903916466657</v>
      </c>
      <c r="F21" s="90"/>
      <c r="G21" s="77">
        <f>'Exhibit Workpaper'!K35</f>
        <v>2.509202113603981</v>
      </c>
      <c r="H21" s="76">
        <f>'Exhibit Workpaper'!L35</f>
        <v>7.7486664772707381E-2</v>
      </c>
      <c r="I21" s="72">
        <f>'Exhibit Workpaper'!M35</f>
        <v>0.01</v>
      </c>
      <c r="J21" s="95">
        <f t="shared" si="2"/>
        <v>-5.2288587242906672</v>
      </c>
      <c r="K21" s="95"/>
      <c r="L21" s="41">
        <f>'Exhibit Workpaper'!O35</f>
        <v>7.7380608378946478</v>
      </c>
      <c r="M21" s="85">
        <f>'Exhibit Workpaper'!P35</f>
        <v>0.23895903916466651</v>
      </c>
      <c r="N21" s="36">
        <f>'Exhibit Workpaper'!Q35</f>
        <v>3.083873075007269E-2</v>
      </c>
      <c r="O21" s="94">
        <f t="shared" si="3"/>
        <v>0</v>
      </c>
      <c r="P21" s="99"/>
    </row>
    <row r="22" spans="1:16">
      <c r="A22" s="37">
        <v>14</v>
      </c>
      <c r="B22" s="56" t="s">
        <v>52</v>
      </c>
      <c r="C22" s="53">
        <f>SUM(C9:C21)</f>
        <v>34999.999999999993</v>
      </c>
      <c r="D22" s="93">
        <f>'Exhibit Workpaper'!J44</f>
        <v>0.12905446413693408</v>
      </c>
      <c r="E22" s="93">
        <f>D22/$D$22</f>
        <v>1</v>
      </c>
      <c r="F22" s="93"/>
      <c r="G22" s="53">
        <f>SUM(G9:G21)</f>
        <v>35000</v>
      </c>
      <c r="H22" s="93">
        <f>'Exhibit Workpaper'!L44</f>
        <v>1</v>
      </c>
      <c r="I22" s="93">
        <f>'Exhibit Workpaper'!M44</f>
        <v>0.12905446413693408</v>
      </c>
      <c r="J22" s="96">
        <f>SUM(J9:J21)</f>
        <v>1.283417816466681E-12</v>
      </c>
      <c r="K22" s="96"/>
      <c r="L22" s="53">
        <f>SUM(L9:L21)</f>
        <v>35000</v>
      </c>
      <c r="M22" s="85">
        <f>'Exhibit Workpaper'!P44</f>
        <v>1.0000000000000002</v>
      </c>
      <c r="N22" s="36">
        <f>'Exhibit Workpaper'!Q44</f>
        <v>0.12905446413693411</v>
      </c>
      <c r="O22" s="94">
        <f>SUM(O9:O21)</f>
        <v>1.0420109219921869E-11</v>
      </c>
    </row>
    <row r="23" spans="1:16">
      <c r="D23" s="59" t="s">
        <v>0</v>
      </c>
      <c r="E23" s="59"/>
      <c r="F23" s="59"/>
    </row>
    <row r="24" spans="1:16">
      <c r="C24" s="89"/>
      <c r="D24" s="69"/>
      <c r="E24" s="69"/>
      <c r="F24" s="69"/>
    </row>
    <row r="25" spans="1:16" hidden="1">
      <c r="C25" s="41"/>
      <c r="D25" s="70"/>
      <c r="E25" s="70"/>
      <c r="F25" s="70"/>
      <c r="G25" s="5"/>
      <c r="H25" s="5"/>
      <c r="L25" s="41"/>
      <c r="N25" s="71"/>
    </row>
    <row r="26" spans="1:16" hidden="1">
      <c r="C26" s="60"/>
      <c r="D26" s="71"/>
      <c r="E26" s="71"/>
      <c r="F26" s="71"/>
      <c r="G26" s="5"/>
      <c r="H26" s="5"/>
    </row>
    <row r="27" spans="1:16">
      <c r="C27" s="61"/>
      <c r="D27" s="62"/>
      <c r="E27" s="62"/>
      <c r="F27" s="62"/>
    </row>
    <row r="28" spans="1:16">
      <c r="C28" s="63"/>
      <c r="D28" s="64"/>
      <c r="E28" s="64"/>
      <c r="F28" s="64"/>
      <c r="H28" s="74"/>
      <c r="I28" s="71"/>
    </row>
    <row r="29" spans="1:16">
      <c r="C29" s="65"/>
      <c r="D29" s="66"/>
      <c r="E29" s="66"/>
      <c r="F29" s="66"/>
    </row>
    <row r="30" spans="1:16">
      <c r="D30" s="36"/>
      <c r="E30" s="36"/>
      <c r="F30" s="36"/>
      <c r="H30" s="41"/>
      <c r="I30" s="71"/>
    </row>
    <row r="31" spans="1:16">
      <c r="D31" s="67"/>
      <c r="E31" s="67"/>
      <c r="F31" s="67"/>
      <c r="H31" s="41"/>
      <c r="I31" s="71"/>
    </row>
    <row r="32" spans="1:16">
      <c r="H32" s="41"/>
      <c r="I32" s="71"/>
    </row>
  </sheetData>
  <pageMargins left="0.23" right="0.18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697F8C-1143-473A-AC0A-D5B22DB32E81}"/>
</file>

<file path=customXml/itemProps2.xml><?xml version="1.0" encoding="utf-8"?>
<ds:datastoreItem xmlns:ds="http://schemas.openxmlformats.org/officeDocument/2006/customXml" ds:itemID="{EE3821FB-0DB5-4AC0-8D15-43845E416FCA}"/>
</file>

<file path=customXml/itemProps3.xml><?xml version="1.0" encoding="utf-8"?>
<ds:datastoreItem xmlns:ds="http://schemas.openxmlformats.org/officeDocument/2006/customXml" ds:itemID="{F38A49C7-B87D-4511-B9B1-52AB270281D6}"/>
</file>

<file path=customXml/itemProps4.xml><?xml version="1.0" encoding="utf-8"?>
<ds:datastoreItem xmlns:ds="http://schemas.openxmlformats.org/officeDocument/2006/customXml" ds:itemID="{AE3D6C85-4235-49D6-91EB-919123C37F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 Workpaper</vt:lpstr>
      <vt:lpstr>Exhibit DWS-4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Schoenbeck</dc:creator>
  <cp:lastModifiedBy>Don Schoenbeck</cp:lastModifiedBy>
  <cp:lastPrinted>2010-10-29T21:52:54Z</cp:lastPrinted>
  <dcterms:created xsi:type="dcterms:W3CDTF">2010-10-11T19:37:33Z</dcterms:created>
  <dcterms:modified xsi:type="dcterms:W3CDTF">2010-10-29T21:52:57Z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