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3\2023 WA Sch 66 Insurance Tracker\For Filing\"/>
    </mc:Choice>
  </mc:AlternateContent>
  <xr:revisionPtr revIDLastSave="0" documentId="13_ncr:1_{80D68A8D-D4A0-4C0D-AE68-7FC515F3A9D5}" xr6:coauthVersionLast="47" xr6:coauthVersionMax="47" xr10:uidLastSave="{00000000-0000-0000-0000-000000000000}"/>
  <bookViews>
    <workbookView xWindow="28680" yWindow="-90" windowWidth="29040" windowHeight="16440" xr2:uid="{1FA0B0A0-6986-41C4-A6DD-5AFE1D5CCAEF}"/>
  </bookViews>
  <sheets>
    <sheet name="Rate Design" sheetId="2" r:id="rId1"/>
    <sheet name="Deferral Balance" sheetId="1" r:id="rId2"/>
    <sheet name="Deferral Schedule" sheetId="11" r:id="rId3"/>
    <sheet name="Forecasted Revenue" sheetId="6" r:id="rId4"/>
    <sheet name="kWh Forecast" sheetId="3" r:id="rId5"/>
    <sheet name="CF WA Elec" sheetId="9" r:id="rId6"/>
    <sheet name="Tables for Cust Notice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ual">#REF!</definedName>
    <definedName name="AllocFactors">[1]Factors!$D$111:$AP$120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g1Row">MAX([2]Detail!$A:$A)</definedName>
    <definedName name="_xlnm.Print_Area" localSheetId="3">'Forecasted Revenue'!$A$1:$S$47</definedName>
    <definedName name="_xlnm.Print_Area" localSheetId="4">'kWh Forecast'!$A$1:$N$64</definedName>
    <definedName name="_xlnm.Print_Area" localSheetId="0">'Rate Design'!$A$1:$K$47</definedName>
    <definedName name="PrintAll">#REF!</definedName>
    <definedName name="Recover">[3]Macro1!$A$85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6" l="1"/>
  <c r="H26" i="6"/>
  <c r="U43" i="6"/>
  <c r="D20" i="10"/>
  <c r="D21" i="10"/>
  <c r="D22" i="10"/>
  <c r="D23" i="10"/>
  <c r="D24" i="10"/>
  <c r="D25" i="10"/>
  <c r="D45" i="2"/>
  <c r="C53" i="2"/>
  <c r="D8" i="2"/>
  <c r="J8" i="2"/>
  <c r="J9" i="2" s="1"/>
  <c r="D10" i="2"/>
  <c r="D9" i="11"/>
  <c r="C30" i="2"/>
  <c r="J16" i="1"/>
  <c r="J15" i="1"/>
  <c r="B15" i="1"/>
  <c r="J14" i="1"/>
  <c r="B14" i="1"/>
  <c r="J13" i="1"/>
  <c r="B13" i="1"/>
  <c r="J12" i="1"/>
  <c r="B12" i="1"/>
  <c r="B11" i="1"/>
  <c r="J11" i="1" s="1"/>
  <c r="B10" i="1"/>
  <c r="B9" i="1"/>
  <c r="AH8" i="1"/>
  <c r="AD8" i="1"/>
  <c r="B8" i="1"/>
  <c r="N7" i="1"/>
  <c r="B7" i="1"/>
  <c r="B6" i="1"/>
  <c r="B5" i="1"/>
  <c r="K4" i="1"/>
  <c r="K5" i="1" s="1"/>
  <c r="K6" i="1" s="1"/>
  <c r="K7" i="1" s="1"/>
  <c r="K8" i="1" s="1"/>
  <c r="K9" i="1" s="1"/>
  <c r="K10" i="1" s="1"/>
  <c r="B4" i="1"/>
  <c r="H8" i="2" l="1"/>
  <c r="H9" i="2" s="1"/>
  <c r="G8" i="2"/>
  <c r="G9" i="2" s="1"/>
  <c r="F8" i="2"/>
  <c r="F9" i="2" s="1"/>
  <c r="E8" i="2"/>
  <c r="E9" i="2" s="1"/>
  <c r="D9" i="2"/>
  <c r="I8" i="2"/>
  <c r="I9" i="2" s="1"/>
  <c r="H32" i="11"/>
  <c r="C22" i="2" l="1"/>
  <c r="I31" i="11"/>
  <c r="G34" i="11" l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D20" i="6" l="1"/>
  <c r="E20" i="6"/>
  <c r="F20" i="6"/>
  <c r="G20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9" i="6"/>
  <c r="H8" i="6"/>
  <c r="G23" i="11"/>
  <c r="T9" i="6" l="1"/>
  <c r="D16" i="11"/>
  <c r="F16" i="11" s="1"/>
  <c r="D6" i="11" l="1"/>
  <c r="D8" i="11" s="1"/>
  <c r="N29" i="3" l="1"/>
  <c r="N59" i="3"/>
  <c r="N38" i="3"/>
  <c r="N39" i="3"/>
  <c r="N40" i="3"/>
  <c r="N41" i="3"/>
  <c r="N42" i="3"/>
  <c r="N43" i="3"/>
  <c r="N44" i="3"/>
  <c r="N45" i="3"/>
  <c r="G12" i="2" s="1"/>
  <c r="N46" i="3"/>
  <c r="N47" i="3"/>
  <c r="N48" i="3"/>
  <c r="N49" i="3"/>
  <c r="H12" i="2" s="1"/>
  <c r="N37" i="3"/>
  <c r="B50" i="3"/>
  <c r="C50" i="3"/>
  <c r="D50" i="3"/>
  <c r="E50" i="3"/>
  <c r="F50" i="3"/>
  <c r="G50" i="3"/>
  <c r="H50" i="3"/>
  <c r="I50" i="3"/>
  <c r="J50" i="3"/>
  <c r="K50" i="3"/>
  <c r="L50" i="3"/>
  <c r="M50" i="3"/>
  <c r="B52" i="3"/>
  <c r="N52" i="3" s="1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N53" i="3" s="1"/>
  <c r="H53" i="3"/>
  <c r="I53" i="3"/>
  <c r="J53" i="3"/>
  <c r="K53" i="3"/>
  <c r="L53" i="3"/>
  <c r="M53" i="3"/>
  <c r="B54" i="3"/>
  <c r="N54" i="3" s="1"/>
  <c r="C54" i="3"/>
  <c r="D54" i="3"/>
  <c r="E54" i="3"/>
  <c r="F54" i="3"/>
  <c r="G54" i="3"/>
  <c r="H54" i="3"/>
  <c r="I54" i="3"/>
  <c r="J54" i="3"/>
  <c r="K54" i="3"/>
  <c r="L54" i="3"/>
  <c r="M54" i="3"/>
  <c r="B22" i="3"/>
  <c r="H5" i="6" s="1"/>
  <c r="N8" i="3"/>
  <c r="N9" i="3"/>
  <c r="N10" i="3"/>
  <c r="N11" i="3"/>
  <c r="N12" i="3"/>
  <c r="N13" i="3"/>
  <c r="N14" i="3"/>
  <c r="N15" i="3"/>
  <c r="G10" i="2" s="1"/>
  <c r="N16" i="3"/>
  <c r="N17" i="3"/>
  <c r="N18" i="3"/>
  <c r="N19" i="3"/>
  <c r="H10" i="2" s="1"/>
  <c r="N7" i="3"/>
  <c r="G19" i="11" l="1"/>
  <c r="C33" i="2" l="1"/>
  <c r="C43" i="2"/>
  <c r="C8" i="2" l="1"/>
  <c r="C55" i="3" l="1"/>
  <c r="D55" i="3"/>
  <c r="E55" i="3"/>
  <c r="F55" i="3"/>
  <c r="G55" i="3"/>
  <c r="H55" i="3"/>
  <c r="H60" i="3" s="1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B57" i="3"/>
  <c r="B56" i="3"/>
  <c r="B55" i="3"/>
  <c r="C22" i="3"/>
  <c r="D22" i="3"/>
  <c r="J5" i="6" s="1"/>
  <c r="E22" i="3"/>
  <c r="K5" i="6" s="1"/>
  <c r="F22" i="3"/>
  <c r="L5" i="6" s="1"/>
  <c r="G22" i="3"/>
  <c r="M5" i="6" s="1"/>
  <c r="H22" i="3"/>
  <c r="N5" i="6" s="1"/>
  <c r="I22" i="3"/>
  <c r="O5" i="6" s="1"/>
  <c r="J22" i="3"/>
  <c r="P5" i="6" s="1"/>
  <c r="K22" i="3"/>
  <c r="Q5" i="6" s="1"/>
  <c r="L22" i="3"/>
  <c r="R5" i="6" s="1"/>
  <c r="M22" i="3"/>
  <c r="S5" i="6" s="1"/>
  <c r="C23" i="3"/>
  <c r="I6" i="6" s="1"/>
  <c r="D23" i="3"/>
  <c r="J6" i="6" s="1"/>
  <c r="E23" i="3"/>
  <c r="K6" i="6" s="1"/>
  <c r="F23" i="3"/>
  <c r="L6" i="6" s="1"/>
  <c r="G23" i="3"/>
  <c r="M6" i="6" s="1"/>
  <c r="H23" i="3"/>
  <c r="N6" i="6" s="1"/>
  <c r="I23" i="3"/>
  <c r="O6" i="6" s="1"/>
  <c r="J23" i="3"/>
  <c r="P6" i="6" s="1"/>
  <c r="K23" i="3"/>
  <c r="Q6" i="6" s="1"/>
  <c r="L23" i="3"/>
  <c r="R6" i="6" s="1"/>
  <c r="M23" i="3"/>
  <c r="S6" i="6" s="1"/>
  <c r="C24" i="3"/>
  <c r="I7" i="6" s="1"/>
  <c r="D24" i="3"/>
  <c r="J7" i="6" s="1"/>
  <c r="E24" i="3"/>
  <c r="K7" i="6" s="1"/>
  <c r="F24" i="3"/>
  <c r="L7" i="6" s="1"/>
  <c r="G24" i="3"/>
  <c r="M7" i="6" s="1"/>
  <c r="H24" i="3"/>
  <c r="N7" i="6" s="1"/>
  <c r="I24" i="3"/>
  <c r="O7" i="6" s="1"/>
  <c r="J24" i="3"/>
  <c r="P7" i="6" s="1"/>
  <c r="K24" i="3"/>
  <c r="Q7" i="6" s="1"/>
  <c r="L24" i="3"/>
  <c r="R7" i="6" s="1"/>
  <c r="M24" i="3"/>
  <c r="S7" i="6" s="1"/>
  <c r="C25" i="3"/>
  <c r="D25" i="3"/>
  <c r="E25" i="3"/>
  <c r="F25" i="3"/>
  <c r="G25" i="3"/>
  <c r="H25" i="3"/>
  <c r="I25" i="3"/>
  <c r="J25" i="3"/>
  <c r="K25" i="3"/>
  <c r="L25" i="3"/>
  <c r="M25" i="3"/>
  <c r="C26" i="3"/>
  <c r="I10" i="6" s="1"/>
  <c r="D26" i="3"/>
  <c r="J10" i="6" s="1"/>
  <c r="E26" i="3"/>
  <c r="K10" i="6" s="1"/>
  <c r="F26" i="3"/>
  <c r="L10" i="6" s="1"/>
  <c r="G26" i="3"/>
  <c r="M10" i="6" s="1"/>
  <c r="H26" i="3"/>
  <c r="N10" i="6" s="1"/>
  <c r="I26" i="3"/>
  <c r="O10" i="6" s="1"/>
  <c r="J26" i="3"/>
  <c r="P10" i="6" s="1"/>
  <c r="K26" i="3"/>
  <c r="Q10" i="6" s="1"/>
  <c r="L26" i="3"/>
  <c r="R10" i="6" s="1"/>
  <c r="M26" i="3"/>
  <c r="S10" i="6" s="1"/>
  <c r="C27" i="3"/>
  <c r="D27" i="3"/>
  <c r="J11" i="6" s="1"/>
  <c r="E27" i="3"/>
  <c r="K11" i="6" s="1"/>
  <c r="F27" i="3"/>
  <c r="L11" i="6" s="1"/>
  <c r="G27" i="3"/>
  <c r="M11" i="6" s="1"/>
  <c r="H27" i="3"/>
  <c r="N11" i="6" s="1"/>
  <c r="I27" i="3"/>
  <c r="O11" i="6" s="1"/>
  <c r="J27" i="3"/>
  <c r="P11" i="6" s="1"/>
  <c r="K27" i="3"/>
  <c r="L27" i="3"/>
  <c r="R11" i="6" s="1"/>
  <c r="M27" i="3"/>
  <c r="S11" i="6" s="1"/>
  <c r="L30" i="3"/>
  <c r="B20" i="3"/>
  <c r="C20" i="3"/>
  <c r="D20" i="3"/>
  <c r="E20" i="3"/>
  <c r="F20" i="3"/>
  <c r="G20" i="3"/>
  <c r="H20" i="3"/>
  <c r="I20" i="3"/>
  <c r="J20" i="3"/>
  <c r="K20" i="3"/>
  <c r="L20" i="3"/>
  <c r="M20" i="3"/>
  <c r="B27" i="3"/>
  <c r="B26" i="3"/>
  <c r="B25" i="3"/>
  <c r="N25" i="3" s="1"/>
  <c r="B24" i="3"/>
  <c r="B23" i="3"/>
  <c r="B58" i="3" l="1"/>
  <c r="N56" i="3"/>
  <c r="N57" i="3"/>
  <c r="N55" i="3"/>
  <c r="B60" i="3"/>
  <c r="H7" i="6"/>
  <c r="N24" i="3"/>
  <c r="H10" i="6"/>
  <c r="N26" i="3"/>
  <c r="I5" i="6"/>
  <c r="N22" i="3"/>
  <c r="H11" i="6"/>
  <c r="N27" i="3"/>
  <c r="C30" i="3"/>
  <c r="I11" i="6"/>
  <c r="H6" i="6"/>
  <c r="N23" i="3"/>
  <c r="K30" i="3"/>
  <c r="Q11" i="6"/>
  <c r="J60" i="3"/>
  <c r="K60" i="3"/>
  <c r="C60" i="3"/>
  <c r="G30" i="3"/>
  <c r="F60" i="3"/>
  <c r="B30" i="3"/>
  <c r="I60" i="3"/>
  <c r="G60" i="3"/>
  <c r="M60" i="3"/>
  <c r="E60" i="3"/>
  <c r="D30" i="3"/>
  <c r="L60" i="3"/>
  <c r="D60" i="3"/>
  <c r="H30" i="3"/>
  <c r="B28" i="3"/>
  <c r="I30" i="3"/>
  <c r="F30" i="3"/>
  <c r="M30" i="3"/>
  <c r="E30" i="3"/>
  <c r="J30" i="3"/>
  <c r="N60" i="3" l="1"/>
  <c r="N30" i="3"/>
  <c r="N50" i="3"/>
  <c r="E19" i="9" l="1"/>
  <c r="E21" i="9" s="1"/>
  <c r="C35" i="6" s="1"/>
  <c r="E25" i="9" l="1"/>
  <c r="S35" i="6" l="1"/>
  <c r="A1" i="9" l="1"/>
  <c r="M36" i="3" l="1"/>
  <c r="L36" i="3"/>
  <c r="K36" i="3"/>
  <c r="J36" i="3"/>
  <c r="I36" i="3"/>
  <c r="H36" i="3"/>
  <c r="G36" i="3"/>
  <c r="F36" i="3"/>
  <c r="E36" i="3"/>
  <c r="D36" i="3"/>
  <c r="C36" i="3"/>
  <c r="B36" i="3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G22" i="6"/>
  <c r="F22" i="6"/>
  <c r="E22" i="6"/>
  <c r="D22" i="6"/>
  <c r="G21" i="6"/>
  <c r="F21" i="6"/>
  <c r="E21" i="6"/>
  <c r="D21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A19" i="2"/>
  <c r="N20" i="3" l="1"/>
  <c r="I58" i="3"/>
  <c r="M58" i="3"/>
  <c r="H58" i="3"/>
  <c r="L58" i="3"/>
  <c r="P12" i="6"/>
  <c r="E10" i="2"/>
  <c r="J28" i="3"/>
  <c r="L12" i="6"/>
  <c r="E12" i="2"/>
  <c r="F12" i="2"/>
  <c r="I12" i="2"/>
  <c r="F58" i="3"/>
  <c r="J58" i="3"/>
  <c r="G58" i="3"/>
  <c r="K58" i="3"/>
  <c r="D12" i="2"/>
  <c r="I12" i="6"/>
  <c r="Q12" i="6"/>
  <c r="F10" i="2"/>
  <c r="M12" i="6"/>
  <c r="M13" i="6" s="1"/>
  <c r="G28" i="3"/>
  <c r="K28" i="3"/>
  <c r="I10" i="2"/>
  <c r="J10" i="2"/>
  <c r="F28" i="3"/>
  <c r="H28" i="3"/>
  <c r="L28" i="3"/>
  <c r="I28" i="3"/>
  <c r="M28" i="3"/>
  <c r="K12" i="6"/>
  <c r="O12" i="6"/>
  <c r="O13" i="6" s="1"/>
  <c r="S12" i="6"/>
  <c r="P13" i="6" l="1"/>
  <c r="Q13" i="6"/>
  <c r="S13" i="6"/>
  <c r="L13" i="6"/>
  <c r="C12" i="2"/>
  <c r="H12" i="6"/>
  <c r="H13" i="6" s="1"/>
  <c r="N58" i="3"/>
  <c r="N28" i="3"/>
  <c r="C10" i="2"/>
  <c r="R12" i="6"/>
  <c r="R13" i="6" s="1"/>
  <c r="J12" i="6"/>
  <c r="N12" i="6"/>
  <c r="N13" i="6" s="1"/>
  <c r="F32" i="6"/>
  <c r="F42" i="6" s="1"/>
  <c r="F27" i="6"/>
  <c r="F37" i="6" s="1"/>
  <c r="E31" i="6"/>
  <c r="E41" i="6" s="1"/>
  <c r="E29" i="6"/>
  <c r="E39" i="6" s="1"/>
  <c r="G32" i="6"/>
  <c r="G42" i="6" s="1"/>
  <c r="G28" i="6"/>
  <c r="G38" i="6" s="1"/>
  <c r="F31" i="6"/>
  <c r="F41" i="6" s="1"/>
  <c r="G29" i="6"/>
  <c r="G39" i="6" s="1"/>
  <c r="F28" i="6"/>
  <c r="F38" i="6" s="1"/>
  <c r="E32" i="6"/>
  <c r="E42" i="6" s="1"/>
  <c r="E28" i="6"/>
  <c r="E38" i="6" s="1"/>
  <c r="F29" i="6"/>
  <c r="F39" i="6" s="1"/>
  <c r="G31" i="6"/>
  <c r="G41" i="6" s="1"/>
  <c r="G27" i="6"/>
  <c r="G37" i="6" s="1"/>
  <c r="E27" i="6" l="1"/>
  <c r="E37" i="6" s="1"/>
  <c r="D28" i="6"/>
  <c r="D38" i="6" s="1"/>
  <c r="T7" i="6"/>
  <c r="D29" i="6"/>
  <c r="D39" i="6" s="1"/>
  <c r="T8" i="6"/>
  <c r="D31" i="6"/>
  <c r="D41" i="6" s="1"/>
  <c r="T10" i="6"/>
  <c r="D32" i="6"/>
  <c r="D42" i="6" s="1"/>
  <c r="T11" i="6"/>
  <c r="G26" i="6"/>
  <c r="E12" i="6"/>
  <c r="E26" i="6"/>
  <c r="E36" i="6" s="1"/>
  <c r="F12" i="6"/>
  <c r="E28" i="3"/>
  <c r="K13" i="6" s="1"/>
  <c r="C28" i="3"/>
  <c r="I13" i="6" s="1"/>
  <c r="D28" i="3"/>
  <c r="J13" i="6" s="1"/>
  <c r="D26" i="6"/>
  <c r="D36" i="6" s="1"/>
  <c r="F26" i="6"/>
  <c r="G12" i="6" l="1"/>
  <c r="T5" i="6"/>
  <c r="D27" i="6"/>
  <c r="D37" i="6" s="1"/>
  <c r="D43" i="6" s="1"/>
  <c r="T6" i="6"/>
  <c r="G36" i="6"/>
  <c r="G43" i="6" s="1"/>
  <c r="G33" i="6"/>
  <c r="F33" i="6"/>
  <c r="F36" i="6"/>
  <c r="F43" i="6" s="1"/>
  <c r="D12" i="6"/>
  <c r="E33" i="6"/>
  <c r="E43" i="6"/>
  <c r="T12" i="6" l="1"/>
  <c r="D33" i="6"/>
  <c r="E58" i="3" l="1"/>
  <c r="C58" i="3"/>
  <c r="D58" i="3"/>
  <c r="G11" i="2" l="1"/>
  <c r="I11" i="2"/>
  <c r="H11" i="2"/>
  <c r="H13" i="2" s="1"/>
  <c r="F11" i="2"/>
  <c r="F13" i="2" s="1"/>
  <c r="J11" i="2"/>
  <c r="D11" i="2"/>
  <c r="E11" i="2"/>
  <c r="J16" i="2" l="1"/>
  <c r="M22" i="6" s="1"/>
  <c r="M32" i="6" s="1"/>
  <c r="M42" i="6" s="1"/>
  <c r="J27" i="2"/>
  <c r="I13" i="2"/>
  <c r="I14" i="2"/>
  <c r="E14" i="2"/>
  <c r="E13" i="2"/>
  <c r="R22" i="6"/>
  <c r="R32" i="6" s="1"/>
  <c r="R42" i="6" s="1"/>
  <c r="P22" i="6"/>
  <c r="P32" i="6" s="1"/>
  <c r="P42" i="6" s="1"/>
  <c r="G13" i="2"/>
  <c r="G16" i="2"/>
  <c r="G14" i="2"/>
  <c r="D16" i="2"/>
  <c r="D13" i="2"/>
  <c r="D14" i="2"/>
  <c r="K20" i="6"/>
  <c r="K30" i="6" s="1"/>
  <c r="K40" i="6" s="1"/>
  <c r="O20" i="6"/>
  <c r="O30" i="6" s="1"/>
  <c r="O40" i="6" s="1"/>
  <c r="M20" i="6"/>
  <c r="M30" i="6" s="1"/>
  <c r="M40" i="6" s="1"/>
  <c r="H20" i="6"/>
  <c r="H30" i="6" s="1"/>
  <c r="H40" i="6" s="1"/>
  <c r="H16" i="2"/>
  <c r="H18" i="2" s="1"/>
  <c r="H19" i="2" s="1"/>
  <c r="H23" i="2" s="1"/>
  <c r="R20" i="6"/>
  <c r="R30" i="6" s="1"/>
  <c r="R40" i="6" s="1"/>
  <c r="H14" i="2"/>
  <c r="P20" i="6"/>
  <c r="P30" i="6" s="1"/>
  <c r="P40" i="6" s="1"/>
  <c r="Q20" i="6"/>
  <c r="Q30" i="6" s="1"/>
  <c r="Q40" i="6" s="1"/>
  <c r="J20" i="6"/>
  <c r="J30" i="6" s="1"/>
  <c r="J40" i="6" s="1"/>
  <c r="N20" i="6"/>
  <c r="N30" i="6" s="1"/>
  <c r="N40" i="6" s="1"/>
  <c r="L20" i="6"/>
  <c r="L30" i="6" s="1"/>
  <c r="L40" i="6" s="1"/>
  <c r="I20" i="6"/>
  <c r="I30" i="6" s="1"/>
  <c r="I40" i="6" s="1"/>
  <c r="S20" i="6"/>
  <c r="S30" i="6" s="1"/>
  <c r="S40" i="6" s="1"/>
  <c r="I16" i="2"/>
  <c r="F14" i="2"/>
  <c r="F16" i="2"/>
  <c r="E16" i="2"/>
  <c r="L22" i="6" l="1"/>
  <c r="L32" i="6" s="1"/>
  <c r="L42" i="6" s="1"/>
  <c r="J22" i="6"/>
  <c r="J32" i="6" s="1"/>
  <c r="J42" i="6" s="1"/>
  <c r="I22" i="6"/>
  <c r="I32" i="6" s="1"/>
  <c r="I42" i="6" s="1"/>
  <c r="N22" i="6"/>
  <c r="N32" i="6" s="1"/>
  <c r="N42" i="6" s="1"/>
  <c r="K22" i="6"/>
  <c r="K32" i="6" s="1"/>
  <c r="K42" i="6" s="1"/>
  <c r="Q22" i="6"/>
  <c r="Q32" i="6" s="1"/>
  <c r="Q42" i="6" s="1"/>
  <c r="J18" i="2"/>
  <c r="J19" i="2" s="1"/>
  <c r="J23" i="2" s="1"/>
  <c r="S22" i="6"/>
  <c r="S32" i="6" s="1"/>
  <c r="S42" i="6" s="1"/>
  <c r="O22" i="6"/>
  <c r="O32" i="6" s="1"/>
  <c r="O42" i="6" s="1"/>
  <c r="H22" i="6"/>
  <c r="H32" i="6" s="1"/>
  <c r="H42" i="6" s="1"/>
  <c r="S19" i="6"/>
  <c r="S29" i="6" s="1"/>
  <c r="S39" i="6" s="1"/>
  <c r="O19" i="6"/>
  <c r="O29" i="6" s="1"/>
  <c r="O39" i="6" s="1"/>
  <c r="J19" i="6"/>
  <c r="J29" i="6" s="1"/>
  <c r="J39" i="6" s="1"/>
  <c r="M19" i="6"/>
  <c r="M29" i="6" s="1"/>
  <c r="M39" i="6" s="1"/>
  <c r="H19" i="6"/>
  <c r="H29" i="6" s="1"/>
  <c r="H39" i="6" s="1"/>
  <c r="I19" i="6"/>
  <c r="I29" i="6" s="1"/>
  <c r="I39" i="6" s="1"/>
  <c r="N19" i="6"/>
  <c r="N29" i="6" s="1"/>
  <c r="N39" i="6" s="1"/>
  <c r="Q19" i="6"/>
  <c r="Q29" i="6" s="1"/>
  <c r="Q39" i="6" s="1"/>
  <c r="P19" i="6"/>
  <c r="P29" i="6" s="1"/>
  <c r="P39" i="6" s="1"/>
  <c r="G18" i="2"/>
  <c r="G19" i="2" s="1"/>
  <c r="G23" i="2" s="1"/>
  <c r="L19" i="6"/>
  <c r="L29" i="6" s="1"/>
  <c r="L39" i="6" s="1"/>
  <c r="R19" i="6"/>
  <c r="R29" i="6" s="1"/>
  <c r="R39" i="6" s="1"/>
  <c r="K19" i="6"/>
  <c r="K29" i="6" s="1"/>
  <c r="K39" i="6" s="1"/>
  <c r="H18" i="6"/>
  <c r="H28" i="6" s="1"/>
  <c r="H38" i="6" s="1"/>
  <c r="N18" i="6"/>
  <c r="N28" i="6" s="1"/>
  <c r="N38" i="6" s="1"/>
  <c r="F18" i="2"/>
  <c r="F19" i="2" s="1"/>
  <c r="F23" i="2" s="1"/>
  <c r="J18" i="6"/>
  <c r="J28" i="6" s="1"/>
  <c r="J38" i="6" s="1"/>
  <c r="L18" i="6"/>
  <c r="L28" i="6" s="1"/>
  <c r="L38" i="6" s="1"/>
  <c r="I18" i="6"/>
  <c r="I28" i="6" s="1"/>
  <c r="I38" i="6" s="1"/>
  <c r="P18" i="6"/>
  <c r="P28" i="6" s="1"/>
  <c r="P38" i="6" s="1"/>
  <c r="K18" i="6"/>
  <c r="K28" i="6" s="1"/>
  <c r="K38" i="6" s="1"/>
  <c r="R18" i="6"/>
  <c r="R28" i="6" s="1"/>
  <c r="R38" i="6" s="1"/>
  <c r="Q18" i="6"/>
  <c r="Q28" i="6" s="1"/>
  <c r="Q38" i="6" s="1"/>
  <c r="M18" i="6"/>
  <c r="M28" i="6" s="1"/>
  <c r="M38" i="6" s="1"/>
  <c r="S18" i="6"/>
  <c r="S28" i="6" s="1"/>
  <c r="S38" i="6" s="1"/>
  <c r="O18" i="6"/>
  <c r="O28" i="6" s="1"/>
  <c r="O38" i="6" s="1"/>
  <c r="N17" i="6"/>
  <c r="N27" i="6" s="1"/>
  <c r="N37" i="6" s="1"/>
  <c r="M17" i="6"/>
  <c r="M27" i="6" s="1"/>
  <c r="M37" i="6" s="1"/>
  <c r="S17" i="6"/>
  <c r="S27" i="6" s="1"/>
  <c r="S37" i="6" s="1"/>
  <c r="K17" i="6"/>
  <c r="K27" i="6" s="1"/>
  <c r="K37" i="6" s="1"/>
  <c r="Q17" i="6"/>
  <c r="Q27" i="6" s="1"/>
  <c r="Q37" i="6" s="1"/>
  <c r="L17" i="6"/>
  <c r="L27" i="6" s="1"/>
  <c r="L37" i="6" s="1"/>
  <c r="I17" i="6"/>
  <c r="I27" i="6" s="1"/>
  <c r="I37" i="6" s="1"/>
  <c r="H17" i="6"/>
  <c r="H27" i="6" s="1"/>
  <c r="H37" i="6" s="1"/>
  <c r="P17" i="6"/>
  <c r="P27" i="6" s="1"/>
  <c r="P37" i="6" s="1"/>
  <c r="E18" i="2"/>
  <c r="E19" i="2" s="1"/>
  <c r="E23" i="2" s="1"/>
  <c r="R17" i="6"/>
  <c r="R27" i="6" s="1"/>
  <c r="R37" i="6" s="1"/>
  <c r="O17" i="6"/>
  <c r="O27" i="6" s="1"/>
  <c r="O37" i="6" s="1"/>
  <c r="J17" i="6"/>
  <c r="J27" i="6" s="1"/>
  <c r="J37" i="6" s="1"/>
  <c r="M21" i="6"/>
  <c r="M31" i="6" s="1"/>
  <c r="M41" i="6" s="1"/>
  <c r="O21" i="6"/>
  <c r="O31" i="6" s="1"/>
  <c r="O41" i="6" s="1"/>
  <c r="I18" i="2"/>
  <c r="I19" i="2" s="1"/>
  <c r="I23" i="2" s="1"/>
  <c r="Q21" i="6"/>
  <c r="Q31" i="6" s="1"/>
  <c r="Q41" i="6" s="1"/>
  <c r="R21" i="6"/>
  <c r="R31" i="6" s="1"/>
  <c r="R41" i="6" s="1"/>
  <c r="S21" i="6"/>
  <c r="S31" i="6" s="1"/>
  <c r="S41" i="6" s="1"/>
  <c r="H21" i="6"/>
  <c r="H31" i="6" s="1"/>
  <c r="H41" i="6" s="1"/>
  <c r="L21" i="6"/>
  <c r="L31" i="6" s="1"/>
  <c r="L41" i="6" s="1"/>
  <c r="P21" i="6"/>
  <c r="P31" i="6" s="1"/>
  <c r="P41" i="6" s="1"/>
  <c r="J21" i="6"/>
  <c r="J31" i="6" s="1"/>
  <c r="J41" i="6" s="1"/>
  <c r="K21" i="6"/>
  <c r="K31" i="6" s="1"/>
  <c r="K41" i="6" s="1"/>
  <c r="N21" i="6"/>
  <c r="N31" i="6" s="1"/>
  <c r="N41" i="6" s="1"/>
  <c r="I21" i="6"/>
  <c r="I31" i="6" s="1"/>
  <c r="I41" i="6" s="1"/>
  <c r="J16" i="6"/>
  <c r="J26" i="6" s="1"/>
  <c r="P16" i="6"/>
  <c r="P26" i="6" s="1"/>
  <c r="R16" i="6"/>
  <c r="R26" i="6" s="1"/>
  <c r="L16" i="6"/>
  <c r="L26" i="6" s="1"/>
  <c r="Q16" i="6"/>
  <c r="Q26" i="6" s="1"/>
  <c r="K16" i="6"/>
  <c r="K26" i="6" s="1"/>
  <c r="I16" i="6"/>
  <c r="I26" i="6" s="1"/>
  <c r="N16" i="6"/>
  <c r="N26" i="6" s="1"/>
  <c r="H16" i="6"/>
  <c r="D18" i="2"/>
  <c r="D19" i="2" s="1"/>
  <c r="D23" i="2" s="1"/>
  <c r="O16" i="6"/>
  <c r="O26" i="6" s="1"/>
  <c r="M16" i="6"/>
  <c r="M26" i="6" s="1"/>
  <c r="S16" i="6"/>
  <c r="S26" i="6" s="1"/>
  <c r="D25" i="2"/>
  <c r="M33" i="6" l="1"/>
  <c r="M36" i="6"/>
  <c r="M43" i="6" s="1"/>
  <c r="O36" i="6"/>
  <c r="O43" i="6" s="1"/>
  <c r="O33" i="6"/>
  <c r="P36" i="6"/>
  <c r="P43" i="6" s="1"/>
  <c r="P33" i="6"/>
  <c r="L36" i="6"/>
  <c r="L43" i="6" s="1"/>
  <c r="L33" i="6"/>
  <c r="R36" i="6"/>
  <c r="R43" i="6" s="1"/>
  <c r="R33" i="6"/>
  <c r="H33" i="6"/>
  <c r="H43" i="6"/>
  <c r="C19" i="2"/>
  <c r="C23" i="2" s="1"/>
  <c r="D26" i="10" s="1"/>
  <c r="D19" i="10"/>
  <c r="J36" i="6"/>
  <c r="J43" i="6" s="1"/>
  <c r="J33" i="6"/>
  <c r="N36" i="6"/>
  <c r="N43" i="6" s="1"/>
  <c r="N33" i="6"/>
  <c r="I36" i="6"/>
  <c r="I43" i="6" s="1"/>
  <c r="I33" i="6"/>
  <c r="C45" i="2"/>
  <c r="D26" i="2"/>
  <c r="K36" i="6"/>
  <c r="K43" i="6" s="1"/>
  <c r="K33" i="6"/>
  <c r="S33" i="6"/>
  <c r="S36" i="6"/>
  <c r="S43" i="6" s="1"/>
  <c r="Q33" i="6"/>
  <c r="Q36" i="6"/>
  <c r="Q43" i="6" s="1"/>
  <c r="N6" i="11" l="1"/>
  <c r="J41" i="11"/>
  <c r="I6" i="11"/>
  <c r="J36" i="11"/>
  <c r="J42" i="11"/>
  <c r="O6" i="11"/>
  <c r="F6" i="11"/>
  <c r="J33" i="11"/>
  <c r="J35" i="11"/>
  <c r="H6" i="11"/>
  <c r="C47" i="2"/>
  <c r="U33" i="6"/>
  <c r="J40" i="11"/>
  <c r="M6" i="11"/>
  <c r="J37" i="11"/>
  <c r="J6" i="11"/>
  <c r="G6" i="11"/>
  <c r="J34" i="11"/>
  <c r="J38" i="11"/>
  <c r="K6" i="11"/>
  <c r="Q6" i="11"/>
  <c r="J44" i="11"/>
  <c r="L6" i="11"/>
  <c r="J39" i="11"/>
  <c r="P6" i="11"/>
  <c r="J43" i="11"/>
  <c r="U45" i="6" l="1"/>
  <c r="F7" i="11"/>
  <c r="F8" i="11" s="1"/>
  <c r="F9" i="11" s="1"/>
  <c r="R6" i="11"/>
  <c r="I33" i="11"/>
  <c r="J46" i="11"/>
  <c r="G7" i="11" l="1"/>
  <c r="G8" i="11" s="1"/>
  <c r="G9" i="11" s="1"/>
  <c r="H33" i="11"/>
  <c r="H7" i="11" l="1"/>
  <c r="I34" i="11"/>
  <c r="H34" i="11" l="1"/>
  <c r="H8" i="11"/>
  <c r="H9" i="11" s="1"/>
  <c r="I7" i="11" l="1"/>
  <c r="I35" i="11"/>
  <c r="H35" i="11" s="1"/>
  <c r="I36" i="11" l="1"/>
  <c r="H36" i="11" s="1"/>
  <c r="I8" i="11"/>
  <c r="I9" i="11" s="1"/>
  <c r="I37" i="11" l="1"/>
  <c r="H37" i="11" s="1"/>
  <c r="J7" i="11"/>
  <c r="I38" i="11" l="1"/>
  <c r="H38" i="11" s="1"/>
  <c r="J8" i="11"/>
  <c r="J9" i="11" s="1"/>
  <c r="I39" i="11" l="1"/>
  <c r="H39" i="11" s="1"/>
  <c r="K7" i="11"/>
  <c r="I40" i="11" l="1"/>
  <c r="H40" i="11" s="1"/>
  <c r="K8" i="11"/>
  <c r="K9" i="11" s="1"/>
  <c r="I41" i="11" l="1"/>
  <c r="H41" i="11" s="1"/>
  <c r="L7" i="11"/>
  <c r="L8" i="11" s="1"/>
  <c r="L9" i="11" s="1"/>
  <c r="M7" i="11" l="1"/>
  <c r="M8" i="11" s="1"/>
  <c r="M9" i="11" s="1"/>
  <c r="I42" i="11"/>
  <c r="H42" i="11" s="1"/>
  <c r="I43" i="11" l="1"/>
  <c r="H43" i="11" s="1"/>
  <c r="N7" i="11"/>
  <c r="N8" i="11" s="1"/>
  <c r="N9" i="11" s="1"/>
  <c r="O7" i="11" l="1"/>
  <c r="O8" i="11" s="1"/>
  <c r="O9" i="11" s="1"/>
  <c r="I44" i="11"/>
  <c r="I46" i="11" s="1"/>
  <c r="P7" i="11" l="1"/>
  <c r="P8" i="11" s="1"/>
  <c r="P9" i="11" s="1"/>
  <c r="H44" i="11"/>
  <c r="Q7" i="11" l="1"/>
  <c r="Q8" i="11" l="1"/>
  <c r="Q9" i="11" s="1"/>
  <c r="R7" i="11"/>
  <c r="C31" i="2" s="1"/>
  <c r="G20" i="11"/>
  <c r="G21" i="11" s="1"/>
  <c r="G24" i="11" s="1"/>
  <c r="C32" i="2" l="1"/>
  <c r="C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Anderson, Joel</author>
  </authors>
  <commentList>
    <comment ref="J53" authorId="0" shapeId="0" xr:uid="{574F8022-D43A-42F0-ADF7-914110E4623A}">
      <text>
        <r>
          <rPr>
            <b/>
            <sz val="9"/>
            <color indexed="81"/>
            <rFont val="Tahoma"/>
            <charset val="1"/>
          </rPr>
          <t>Anderson, Joel:</t>
        </r>
        <r>
          <rPr>
            <sz val="9"/>
            <color indexed="81"/>
            <rFont val="Tahoma"/>
            <charset val="1"/>
          </rPr>
          <t xml:space="preserve">
Street and Area Lights are excluded. The deferral is spread the remaining schedules.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Pan, Alan</author>
  </authors>
  <commentList>
    <comment ref="L9" authorId="0" shapeId="0" xr:uid="{CD62016A-4FF1-45FA-AF7D-9BE747FDC833}">
      <text>
        <r>
          <rPr>
            <b/>
            <sz val="9"/>
            <color indexed="81"/>
            <rFont val="Tahoma"/>
            <charset val="1"/>
          </rPr>
          <t>Pan, Alan:</t>
        </r>
        <r>
          <rPr>
            <sz val="9"/>
            <color indexed="81"/>
            <rFont val="Tahoma"/>
            <charset val="1"/>
          </rPr>
          <t xml:space="preserve">
Adjustment made in July to correct deferral balances. Calculations prior to July were made using incorrect allocation rates</t>
        </r>
      </text>
    </comment>
  </commentList>
</comments>
</file>

<file path=xl/sharedStrings.xml><?xml version="1.0" encoding="utf-8"?>
<sst xmlns="http://schemas.openxmlformats.org/spreadsheetml/2006/main" count="260" uniqueCount="204">
  <si>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</si>
  <si>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</si>
  <si>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</si>
  <si>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</si>
  <si>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</si>
  <si>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</si>
  <si>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</si>
  <si>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</si>
  <si>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</si>
  <si>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</si>
  <si>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</si>
  <si>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</si>
  <si>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</si>
  <si>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</si>
  <si>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</si>
  <si>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</si>
  <si>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</si>
  <si>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</si>
  <si>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</si>
  <si>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</si>
  <si>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</si>
  <si>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</si>
  <si>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(1)</t>
  </si>
  <si>
    <t>Annual Load (Rate Year)</t>
  </si>
  <si>
    <t>(2)</t>
  </si>
  <si>
    <t>Cents Per kWh Rate</t>
  </si>
  <si>
    <t>Total Bills</t>
  </si>
  <si>
    <t>Proposed Cents per kWh Rate</t>
  </si>
  <si>
    <t>Present Cents per kWh Rate</t>
  </si>
  <si>
    <t>Difference in Rate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</si>
  <si>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</si>
  <si>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</si>
  <si>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</si>
  <si>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</si>
  <si>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</si>
  <si>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</si>
  <si>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</si>
  <si>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</si>
  <si>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</si>
  <si>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</si>
  <si>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</si>
  <si>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</si>
  <si>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</si>
  <si>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</si>
  <si>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</si>
  <si>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</si>
  <si>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</si>
  <si>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</si>
  <si>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</si>
  <si>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</si>
  <si>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</si>
  <si>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</si>
  <si>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</si>
  <si>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</si>
  <si>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</si>
  <si>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</si>
  <si>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</si>
  <si>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</si>
  <si>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</si>
  <si>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</si>
  <si>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</si>
  <si>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</si>
  <si>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</si>
  <si>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</si>
  <si>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</si>
  <si>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</si>
  <si>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</si>
  <si>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</si>
  <si>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</si>
  <si>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</si>
  <si>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</si>
  <si>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</si>
  <si>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</si>
  <si>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SCHEDULE 1, 2</t>
  </si>
  <si>
    <t>WA001/WA002</t>
  </si>
  <si>
    <t>Residential Schedule 001/002</t>
  </si>
  <si>
    <t>Schedule No.</t>
  </si>
  <si>
    <t>1/2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</si>
  <si>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</si>
  <si>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</si>
  <si>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</si>
  <si>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</si>
  <si>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</si>
  <si>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</si>
  <si>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</si>
  <si>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</si>
  <si>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</si>
  <si>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</si>
  <si>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</si>
  <si>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Change in Billed Revenue</t>
  </si>
  <si>
    <t>Plus Bill Impact</t>
  </si>
  <si>
    <t>SCH. 21,22,23</t>
  </si>
  <si>
    <t>SCH. 11,12,13</t>
  </si>
  <si>
    <t>WA002</t>
  </si>
  <si>
    <t>WA025I</t>
  </si>
  <si>
    <t>WA023</t>
  </si>
  <si>
    <t>WA013</t>
  </si>
  <si>
    <t>WA011/012/013</t>
  </si>
  <si>
    <t>WA025/025I</t>
  </si>
  <si>
    <t>WA021/022/023</t>
  </si>
  <si>
    <t>Residential Bill Impact (932 kWh's)</t>
  </si>
  <si>
    <t>Bill at 932 kWhs</t>
  </si>
  <si>
    <t>Amortization</t>
  </si>
  <si>
    <t>11/12/13</t>
  </si>
  <si>
    <t>21/22/23</t>
  </si>
  <si>
    <t>Conversion Factor</t>
  </si>
  <si>
    <t>Wildfire Amortization Rates</t>
  </si>
  <si>
    <t xml:space="preserve">Gross Wildfire Amortization </t>
  </si>
  <si>
    <t xml:space="preserve">Net Wildfire Amortization  </t>
  </si>
  <si>
    <t xml:space="preserve">  </t>
  </si>
  <si>
    <t>Avg Monthly Impact Per Customer</t>
  </si>
  <si>
    <t>Avg Annual Impact Per Customer</t>
  </si>
  <si>
    <t>SCHEDULE 25</t>
  </si>
  <si>
    <t>SCHEDULE 25I</t>
  </si>
  <si>
    <t>SP. CONTRACT</t>
  </si>
  <si>
    <t>Table 1 - Impact by Rate Schedule</t>
  </si>
  <si>
    <t>25I</t>
  </si>
  <si>
    <t>Special Contract</t>
  </si>
  <si>
    <t>25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</si>
  <si>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</si>
  <si>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</si>
  <si>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</si>
  <si>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</si>
  <si>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</si>
  <si>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</si>
  <si>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</si>
  <si>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</si>
  <si>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</si>
  <si>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</si>
  <si>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</si>
  <si>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</si>
  <si>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</si>
  <si>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Monthly Rate</t>
  </si>
  <si>
    <t>Revenue Conversion</t>
  </si>
  <si>
    <t>Total to Recover</t>
  </si>
  <si>
    <t>Total To Collect</t>
  </si>
  <si>
    <t>Special Contract Schedule 25I</t>
  </si>
  <si>
    <t>July 31 Balance</t>
  </si>
  <si>
    <t>Date</t>
  </si>
  <si>
    <t>Unamortized Balance (1)</t>
  </si>
  <si>
    <t>Interest (2)</t>
  </si>
  <si>
    <t>Annual Total</t>
  </si>
  <si>
    <t>2A</t>
  </si>
  <si>
    <t>Allocation</t>
  </si>
  <si>
    <t>Sch 1-2</t>
  </si>
  <si>
    <t>Sch 11-12</t>
  </si>
  <si>
    <t>Sch 21-22</t>
  </si>
  <si>
    <t>Sch 25</t>
  </si>
  <si>
    <t>Sch 30-32</t>
  </si>
  <si>
    <t>Sch 41-48</t>
  </si>
  <si>
    <t>Sch 25I</t>
  </si>
  <si>
    <t>Line</t>
  </si>
  <si>
    <t xml:space="preserve">Change in Revenue </t>
  </si>
  <si>
    <t>Total Surcharge Amount (Grossed Up)</t>
  </si>
  <si>
    <t>Weighted Average Cost of Debt</t>
  </si>
  <si>
    <t>Actual Cost of Debt</t>
  </si>
  <si>
    <t>Tax Rate</t>
  </si>
  <si>
    <t>Monthly After Tax Rate</t>
  </si>
  <si>
    <t>TWELVE MONTHS ENDED SEPTEMBER 30, 2021</t>
  </si>
  <si>
    <t>EREV Feb Mid-month 06.14.23</t>
  </si>
  <si>
    <t>{a}</t>
  </si>
  <si>
    <t>{b}</t>
  </si>
  <si>
    <t>{c}</t>
  </si>
  <si>
    <t>As of 6/30/2023</t>
  </si>
  <si>
    <t xml:space="preserve">Insurance Allocation </t>
  </si>
  <si>
    <t>Insurance Deferral</t>
  </si>
  <si>
    <t>[1]</t>
  </si>
  <si>
    <t>[2] = [1]*[3]*[4]</t>
  </si>
  <si>
    <t>[5]</t>
  </si>
  <si>
    <t>[6]</t>
  </si>
  <si>
    <t>[7]</t>
  </si>
  <si>
    <t>[9]=(([6]+[7])*[8])</t>
  </si>
  <si>
    <t>[10]=[2]+[5]+[9]</t>
  </si>
  <si>
    <r>
      <t>ED.WA Insurance Expense Base</t>
    </r>
    <r>
      <rPr>
        <b/>
        <sz val="11"/>
        <color rgb="FFFF0000"/>
        <rFont val="Calibri"/>
        <family val="2"/>
        <scheme val="minor"/>
      </rPr>
      <t xml:space="preserve"> {a}</t>
    </r>
  </si>
  <si>
    <t>Total Monthly Insurance Expense (CD.AA)</t>
  </si>
  <si>
    <t xml:space="preserve">Monthly ED.WA. Insurance Allocation </t>
  </si>
  <si>
    <t>Monthly ED.WA Wildfire Insurance</t>
  </si>
  <si>
    <r>
      <t xml:space="preserve">Reclamation Bond </t>
    </r>
    <r>
      <rPr>
        <b/>
        <sz val="11"/>
        <color rgb="FFFF0000"/>
        <rFont val="Calibri"/>
        <family val="2"/>
        <scheme val="minor"/>
      </rPr>
      <t>{b}</t>
    </r>
  </si>
  <si>
    <r>
      <t xml:space="preserve">Colstrip  </t>
    </r>
    <r>
      <rPr>
        <b/>
        <sz val="11"/>
        <color rgb="FFFF0000"/>
        <rFont val="Calibri"/>
        <family val="2"/>
        <scheme val="minor"/>
      </rPr>
      <t>{b}</t>
    </r>
  </si>
  <si>
    <t xml:space="preserve">Monthly ED.AN. Insurance Allocation </t>
  </si>
  <si>
    <t xml:space="preserve">Total ED.WA Insurance </t>
  </si>
  <si>
    <r>
      <t xml:space="preserve">Insurance Deferral </t>
    </r>
    <r>
      <rPr>
        <b/>
        <sz val="11"/>
        <color rgb="FFFF0000"/>
        <rFont val="Calibri"/>
        <family val="2"/>
        <scheme val="minor"/>
      </rPr>
      <t>{c}</t>
    </r>
  </si>
  <si>
    <t>182359.ED.WA Balance</t>
  </si>
  <si>
    <t>Allocated to Washington Electric (per Rates - see allocation tabs)</t>
  </si>
  <si>
    <t>[3]</t>
  </si>
  <si>
    <t>[4]</t>
  </si>
  <si>
    <t xml:space="preserve">PT Ratio - WA </t>
  </si>
  <si>
    <t>[8]</t>
  </si>
  <si>
    <t>Total WA</t>
  </si>
  <si>
    <t>Note 4</t>
  </si>
  <si>
    <t>adjustment with 2023 rates</t>
  </si>
  <si>
    <t xml:space="preserve">Annual total per approved Order 10/04. Per Liz Andrews, spread the approved baseline straightline over 12-months consistent with how prepaid insurance is expensed throughout the year. </t>
  </si>
  <si>
    <t xml:space="preserve">The following insurance premiums are ED.AN, therefore, we used the P/T ratio with 2022 data to calculate ED.WA portion of expense. </t>
  </si>
  <si>
    <t xml:space="preserve">Currently debit 182.3 and credit 407.4 consistent with Order 10/04. </t>
  </si>
  <si>
    <t>Cells contains formulas that link to JET tab. Copy and paste values before proceeding on to next months calculations to preserve historical record</t>
  </si>
  <si>
    <t>Return on Insurance Costs</t>
  </si>
  <si>
    <t>Total Insurance Costs</t>
  </si>
  <si>
    <t>Grossed up Insurance Deferral Costs</t>
  </si>
  <si>
    <t>Expected Insurance tariff rider amortization revenue</t>
  </si>
  <si>
    <t>Expected Insurance interest</t>
  </si>
  <si>
    <t>Elec Insurance deferral balance</t>
  </si>
  <si>
    <t>Current Rate Revenue</t>
  </si>
  <si>
    <t>Source: COS Results tab, UE-220053 Property Insurance Rate Base, Electric COS Model.xlsm</t>
  </si>
  <si>
    <t>Property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</si>
</sst>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mmm\ yy"/>
    <numFmt numFmtId="170" formatCode="0.000000"/>
    <numFmt numFmtId="171" formatCode="0.0%"/>
    <numFmt numFmtId="172" formatCode="0.00000"/>
    <numFmt numFmtId="173" formatCode="0.0000000"/>
    <numFmt numFmtId="174" formatCode="0.000%"/>
    <numFmt numFmtId="175" formatCode="_(&quot;$&quot;* #,##0.000_);_(&quot;$&quot;* \(#,##0.000\);_(&quot;$&quot;* &quot;-&quot;??_);_(@_)"/>
    <numFmt numFmtId="176" formatCode="_(* #,##0.00000_);_(* \(#,##0.00000\);_(* &quot;-&quot;??_);_(@_)"/>
    <numFmt numFmtId="177" formatCode="0000"/>
    <numFmt numFmtId="178" formatCode="000000"/>
    <numFmt numFmtId="179" formatCode="d\.mmm\.yy"/>
    <numFmt numFmtId="180" formatCode="_-* #,##0.00\ _D_M_-;\-* #,##0.00\ _D_M_-;_-* &quot;-&quot;??\ _D_M_-;_-@_-"/>
    <numFmt numFmtId="181" formatCode="_(* #,##0.000_);_(* \(#,##0.000\);_(* &quot;-&quot;??_);_(@_)"/>
    <numFmt numFmtId="182" formatCode="#."/>
    <numFmt numFmtId="183" formatCode="_-* #,##0.00\ &quot;DM&quot;_-;\-* #,##0.00\ &quot;DM&quot;_-;_-* &quot;-&quot;??\ &quot;DM&quot;_-;_-@_-"/>
    <numFmt numFmtId="184" formatCode="_(* ###0_);_(* \(###0\);_(* &quot;-&quot;_);_(@_)"/>
    <numFmt numFmtId="185" formatCode="&quot;$&quot;#,##0\ ;\(&quot;$&quot;#,##0\)"/>
    <numFmt numFmtId="186" formatCode="mmmm\ d\,\ yyyy"/>
    <numFmt numFmtId="187" formatCode="[Blue]#,##0_);[Magenta]\(#,##0\)"/>
    <numFmt numFmtId="188" formatCode="_([$€-2]* #,##0.00_);_([$€-2]* \(#,##0.00\);_([$€-2]* &quot;-&quot;??_)"/>
    <numFmt numFmtId="189" formatCode="_(&quot;$&quot;* #,##0.0_);_(&quot;$&quot;* \(#,##0.0\);_(&quot;$&quot;* &quot;-&quot;??_);_(@_)"/>
    <numFmt numFmtId="190" formatCode="0.0000_);\(0.0000\)"/>
    <numFmt numFmtId="191" formatCode="0.00_)"/>
    <numFmt numFmtId="192" formatCode="&quot;$&quot;#,##0;\-&quot;$&quot;#,##0"/>
    <numFmt numFmtId="193" formatCode="_(&quot;$&quot;* #,##0.000000_);_(&quot;$&quot;* \(#,##0.000000\);_(&quot;$&quot;* &quot;-&quot;??????_);_(@_)"/>
    <numFmt numFmtId="194" formatCode="#,##0.00\ ;\(#,##0.00\)"/>
    <numFmt numFmtId="195" formatCode="0\ &quot; HR&quot;"/>
    <numFmt numFmtId="196" formatCode="0000000"/>
    <numFmt numFmtId="197" formatCode="0.0000%"/>
    <numFmt numFmtId="198" formatCode="0.00000%"/>
    <numFmt numFmtId="199" formatCode="mmm\-yyyy"/>
    <numFmt numFmtId="200" formatCode="m/yy"/>
    <numFmt numFmtId="201" formatCode="_(&quot;$&quot;* #,##0.0000_);_(&quot;$&quot;* \(#,##0.0000\);_(&quot;$&quot;* &quot;-&quot;????_);_(@_)"/>
    <numFmt numFmtId="202" formatCode="_(* #,##0.0_);_(* \(#,##0.0\);_(* &quot;-&quot;_);_(@_)"/>
    <numFmt numFmtId="203" formatCode="0.000000%"/>
  </numFmts>
  <fonts count="148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9"/>
      <name val="Arial"/>
      <family val="2"/>
    </font>
    <font>
      <b/>
      <sz val="12"/>
      <color rgb="FF0000FF"/>
      <name val="Times New Roman"/>
      <family val="1"/>
    </font>
    <font>
      <b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491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0" fontId="11" fillId="0" borderId="0"/>
    <xf numFmtId="3" fontId="16" fillId="0" borderId="0"/>
    <xf numFmtId="3" fontId="16" fillId="0" borderId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52" fillId="0" borderId="0"/>
    <xf numFmtId="0" fontId="52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177" fontId="54" fillId="0" borderId="0">
      <alignment horizontal="left"/>
    </xf>
    <xf numFmtId="178" fontId="55" fillId="0" borderId="0">
      <alignment horizontal="left"/>
    </xf>
    <xf numFmtId="0" fontId="56" fillId="0" borderId="28"/>
    <xf numFmtId="0" fontId="57" fillId="0" borderId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70" fontId="53" fillId="0" borderId="0">
      <alignment horizontal="left" wrapText="1"/>
    </xf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170" fontId="53" fillId="0" borderId="0">
      <alignment horizontal="left" wrapText="1"/>
    </xf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170" fontId="53" fillId="0" borderId="0">
      <alignment horizontal="left" wrapText="1"/>
    </xf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170" fontId="53" fillId="0" borderId="0">
      <alignment horizontal="left" wrapText="1"/>
    </xf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170" fontId="53" fillId="0" borderId="0">
      <alignment horizontal="left" wrapText="1"/>
    </xf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170" fontId="53" fillId="0" borderId="0">
      <alignment horizontal="left" wrapText="1"/>
    </xf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170" fontId="53" fillId="0" borderId="0">
      <alignment horizontal="left" wrapText="1"/>
    </xf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28" fillId="13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28" fillId="21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5" borderId="0" applyNumberFormat="0" applyBorder="0" applyAlignment="0" applyProtection="0"/>
    <xf numFmtId="0" fontId="28" fillId="37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9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9" fillId="63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3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170" fontId="53" fillId="0" borderId="0">
      <alignment horizontal="left" wrapText="1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66" borderId="0" applyNumberFormat="0" applyBorder="0" applyAlignment="0" applyProtection="0"/>
    <xf numFmtId="0" fontId="58" fillId="66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67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37" fillId="4" borderId="0" applyNumberFormat="0" applyBorder="0" applyAlignment="0" applyProtection="0"/>
    <xf numFmtId="0" fontId="37" fillId="41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0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7" fillId="0" borderId="28"/>
    <xf numFmtId="179" fontId="61" fillId="0" borderId="0" applyFill="0" applyBorder="0" applyAlignment="0"/>
    <xf numFmtId="179" fontId="61" fillId="0" borderId="0" applyFill="0" applyBorder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179" fontId="61" fillId="0" borderId="0" applyFill="0" applyBorder="0" applyAlignment="0"/>
    <xf numFmtId="41" fontId="17" fillId="68" borderId="0"/>
    <xf numFmtId="0" fontId="62" fillId="69" borderId="29" applyNumberFormat="0" applyAlignment="0" applyProtection="0"/>
    <xf numFmtId="170" fontId="53" fillId="0" borderId="0">
      <alignment horizontal="left" wrapText="1"/>
    </xf>
    <xf numFmtId="0" fontId="62" fillId="69" borderId="29" applyNumberFormat="0" applyAlignment="0" applyProtection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41" fontId="17" fillId="68" borderId="0"/>
    <xf numFmtId="41" fontId="17" fillId="68" borderId="0"/>
    <xf numFmtId="0" fontId="63" fillId="70" borderId="22" applyNumberFormat="0" applyAlignment="0" applyProtection="0"/>
    <xf numFmtId="0" fontId="40" fillId="7" borderId="22" applyNumberFormat="0" applyAlignment="0" applyProtection="0"/>
    <xf numFmtId="0" fontId="64" fillId="71" borderId="30" applyNumberFormat="0" applyAlignment="0" applyProtection="0"/>
    <xf numFmtId="0" fontId="64" fillId="71" borderId="30" applyNumberFormat="0" applyAlignment="0" applyProtection="0"/>
    <xf numFmtId="170" fontId="53" fillId="0" borderId="0">
      <alignment horizontal="left" wrapText="1"/>
    </xf>
    <xf numFmtId="0" fontId="64" fillId="71" borderId="30" applyNumberFormat="0" applyAlignment="0" applyProtection="0"/>
    <xf numFmtId="170" fontId="53" fillId="0" borderId="0">
      <alignment horizontal="left" wrapText="1"/>
    </xf>
    <xf numFmtId="0" fontId="29" fillId="8" borderId="25" applyNumberFormat="0" applyAlignment="0" applyProtection="0"/>
    <xf numFmtId="0" fontId="64" fillId="71" borderId="30" applyNumberFormat="0" applyAlignment="0" applyProtection="0"/>
    <xf numFmtId="41" fontId="17" fillId="34" borderId="0"/>
    <xf numFmtId="41" fontId="17" fillId="34" borderId="0"/>
    <xf numFmtId="170" fontId="53" fillId="0" borderId="0">
      <alignment horizontal="left" wrapText="1"/>
    </xf>
    <xf numFmtId="41" fontId="17" fillId="34" borderId="0"/>
    <xf numFmtId="41" fontId="17" fillId="34" borderId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0" fontId="6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8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3" fontId="68" fillId="0" borderId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70" fontId="53" fillId="0" borderId="0">
      <alignment horizontal="left" wrapText="1"/>
    </xf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82" fontId="75" fillId="0" borderId="0">
      <protection locked="0"/>
    </xf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76" fillId="0" borderId="0" applyNumberFormat="0" applyAlignment="0">
      <alignment horizontal="left"/>
    </xf>
    <xf numFmtId="0" fontId="77" fillId="0" borderId="0" applyNumberFormat="0" applyAlignment="0"/>
    <xf numFmtId="0" fontId="77" fillId="0" borderId="0" applyNumberFormat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0" fontId="77" fillId="0" borderId="0" applyNumberFormat="0" applyAlignment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78" fillId="0" borderId="0" applyFont="0" applyFill="0" applyBorder="0" applyAlignment="0" applyProtection="0"/>
    <xf numFmtId="44" fontId="79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8" fontId="6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6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8" fontId="65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6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84" fontId="17" fillId="0" borderId="0" applyFont="0" applyFill="0" applyBorder="0" applyAlignment="0" applyProtection="0"/>
    <xf numFmtId="185" fontId="8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5" fontId="68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170" fontId="53" fillId="0" borderId="0">
      <alignment horizontal="left" wrapText="1"/>
    </xf>
    <xf numFmtId="186" fontId="68" fillId="0" borderId="0" applyFill="0" applyBorder="0" applyAlignment="0" applyProtection="0"/>
    <xf numFmtId="0" fontId="73" fillId="0" borderId="0" applyFont="0" applyFill="0" applyBorder="0" applyAlignment="0" applyProtection="0"/>
    <xf numFmtId="0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80" fillId="0" borderId="0" applyFont="0" applyFill="0" applyBorder="0" applyAlignment="0" applyProtection="0"/>
    <xf numFmtId="0" fontId="57" fillId="0" borderId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3" borderId="0" applyNumberFormat="0" applyBorder="0" applyAlignment="0" applyProtection="0"/>
    <xf numFmtId="0" fontId="81" fillId="73" borderId="0" applyNumberFormat="0" applyBorder="0" applyAlignment="0" applyProtection="0"/>
    <xf numFmtId="0" fontId="81" fillId="74" borderId="0" applyNumberFormat="0" applyBorder="0" applyAlignment="0" applyProtection="0"/>
    <xf numFmtId="0" fontId="81" fillId="74" borderId="0" applyNumberFormat="0" applyBorder="0" applyAlignment="0" applyProtection="0"/>
    <xf numFmtId="170" fontId="17" fillId="0" borderId="0"/>
    <xf numFmtId="170" fontId="17" fillId="0" borderId="0"/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87" fontId="82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17" fillId="0" borderId="0"/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0" fontId="53" fillId="0" borderId="0">
      <alignment horizontal="left" wrapText="1"/>
    </xf>
    <xf numFmtId="0" fontId="4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2" fontId="68" fillId="0" borderId="0" applyFont="0" applyFill="0" applyBorder="0" applyAlignment="0" applyProtection="0"/>
    <xf numFmtId="2" fontId="68" fillId="0" borderId="0" applyFon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0" fontId="69" fillId="0" borderId="0"/>
    <xf numFmtId="0" fontId="69" fillId="0" borderId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36" fillId="3" borderId="0" applyNumberFormat="0" applyBorder="0" applyAlignment="0" applyProtection="0"/>
    <xf numFmtId="0" fontId="36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4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170" fontId="53" fillId="0" borderId="0">
      <alignment horizontal="left" wrapText="1"/>
    </xf>
    <xf numFmtId="38" fontId="48" fillId="34" borderId="0" applyNumberFormat="0" applyBorder="0" applyAlignment="0" applyProtection="0"/>
    <xf numFmtId="0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85" fillId="0" borderId="28"/>
    <xf numFmtId="189" fontId="46" fillId="0" borderId="0" applyNumberFormat="0" applyFill="0" applyBorder="0" applyProtection="0">
      <alignment horizontal="right"/>
    </xf>
    <xf numFmtId="0" fontId="86" fillId="0" borderId="1" applyNumberFormat="0" applyAlignment="0" applyProtection="0">
      <alignment horizontal="left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4" fontId="45" fillId="75" borderId="31">
      <alignment horizontal="center" vertical="center" wrapText="1"/>
    </xf>
    <xf numFmtId="0" fontId="73" fillId="0" borderId="0" applyNumberFormat="0" applyFill="0" applyBorder="0" applyAlignment="0" applyProtection="0"/>
    <xf numFmtId="0" fontId="87" fillId="0" borderId="32" applyNumberFormat="0" applyFill="0" applyAlignment="0" applyProtection="0"/>
    <xf numFmtId="0" fontId="87" fillId="0" borderId="32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9" fillId="0" borderId="0" applyNumberFormat="0" applyFill="0" applyBorder="0" applyAlignment="0" applyProtection="0"/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89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90" fillId="0" borderId="34" applyNumberFormat="0" applyFill="0" applyAlignment="0" applyProtection="0"/>
    <xf numFmtId="0" fontId="90" fillId="0" borderId="34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48" fillId="0" borderId="0" applyNumberFormat="0" applyFill="0" applyBorder="0" applyAlignment="0" applyProtection="0"/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48" fillId="0" borderId="0" applyNumberFormat="0" applyFill="0" applyBorder="0" applyAlignment="0" applyProtection="0"/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35" fillId="0" borderId="21" applyNumberFormat="0" applyFill="0" applyAlignment="0" applyProtection="0"/>
    <xf numFmtId="0" fontId="93" fillId="0" borderId="37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4" fillId="0" borderId="0"/>
    <xf numFmtId="38" fontId="94" fillId="0" borderId="0"/>
    <xf numFmtId="38" fontId="94" fillId="0" borderId="0"/>
    <xf numFmtId="38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38" fontId="94" fillId="0" borderId="0"/>
    <xf numFmtId="38" fontId="94" fillId="0" borderId="0"/>
    <xf numFmtId="38" fontId="94" fillId="0" borderId="0"/>
    <xf numFmtId="40" fontId="94" fillId="0" borderId="0"/>
    <xf numFmtId="40" fontId="94" fillId="0" borderId="0"/>
    <xf numFmtId="40" fontId="94" fillId="0" borderId="0"/>
    <xf numFmtId="40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40" fontId="94" fillId="0" borderId="0"/>
    <xf numFmtId="40" fontId="94" fillId="0" borderId="0"/>
    <xf numFmtId="40" fontId="94" fillId="0" borderId="0"/>
    <xf numFmtId="0" fontId="47" fillId="0" borderId="0" applyNumberFormat="0" applyFill="0" applyBorder="0" applyAlignment="0" applyProtection="0">
      <alignment vertical="top"/>
      <protection locked="0"/>
    </xf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1" fontId="44" fillId="76" borderId="38">
      <alignment horizontal="lef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0" fontId="85" fillId="0" borderId="39"/>
    <xf numFmtId="0" fontId="48" fillId="34" borderId="0"/>
    <xf numFmtId="0" fontId="48" fillId="34" borderId="0"/>
    <xf numFmtId="0" fontId="48" fillId="34" borderId="0"/>
    <xf numFmtId="0" fontId="48" fillId="34" borderId="0"/>
    <xf numFmtId="170" fontId="53" fillId="0" borderId="0">
      <alignment horizontal="left" wrapText="1"/>
    </xf>
    <xf numFmtId="3" fontId="96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96" fillId="0" borderId="0" applyFill="0" applyBorder="0" applyAlignment="0" applyProtection="0"/>
    <xf numFmtId="3" fontId="96" fillId="0" borderId="0" applyFill="0" applyBorder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41" fillId="0" borderId="24" applyNumberFormat="0" applyFill="0" applyAlignment="0" applyProtection="0"/>
    <xf numFmtId="0" fontId="98" fillId="0" borderId="41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19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50" fillId="5" borderId="0" applyNumberFormat="0" applyBorder="0" applyAlignment="0" applyProtection="0"/>
    <xf numFmtId="0" fontId="100" fillId="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1" fillId="4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37" fontId="102" fillId="0" borderId="0"/>
    <xf numFmtId="37" fontId="102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37" fontId="102" fillId="0" borderId="0"/>
    <xf numFmtId="191" fontId="103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3" fontId="53" fillId="0" borderId="0"/>
    <xf numFmtId="193" fontId="53" fillId="0" borderId="0"/>
    <xf numFmtId="191" fontId="103" fillId="0" borderId="0"/>
    <xf numFmtId="0" fontId="17" fillId="0" borderId="0"/>
    <xf numFmtId="191" fontId="103" fillId="0" borderId="0"/>
    <xf numFmtId="194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3" fontId="53" fillId="0" borderId="0"/>
    <xf numFmtId="195" fontId="17" fillId="0" borderId="0"/>
    <xf numFmtId="196" fontId="6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17" fillId="0" borderId="0" applyFill="0" applyBorder="0" applyAlignment="0" applyProtection="0"/>
    <xf numFmtId="0" fontId="11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7" fillId="0" borderId="0"/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192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170" fontId="17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04" fillId="0" borderId="0"/>
    <xf numFmtId="0" fontId="58" fillId="0" borderId="0"/>
    <xf numFmtId="0" fontId="58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0" fontId="58" fillId="0" borderId="0"/>
    <xf numFmtId="0" fontId="58" fillId="0" borderId="0"/>
    <xf numFmtId="0" fontId="58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8" fillId="0" borderId="0"/>
    <xf numFmtId="0" fontId="66" fillId="0" borderId="0"/>
    <xf numFmtId="170" fontId="53" fillId="0" borderId="0">
      <alignment horizontal="left" wrapText="1"/>
    </xf>
    <xf numFmtId="0" fontId="58" fillId="0" borderId="0"/>
    <xf numFmtId="0" fontId="58" fillId="0" borderId="0"/>
    <xf numFmtId="0" fontId="66" fillId="0" borderId="0"/>
    <xf numFmtId="0" fontId="58" fillId="0" borderId="0"/>
    <xf numFmtId="0" fontId="58" fillId="0" borderId="0"/>
    <xf numFmtId="0" fontId="66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97" fontId="17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8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53" fillId="0" borderId="0"/>
    <xf numFmtId="199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5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7" fillId="0" borderId="0"/>
    <xf numFmtId="166" fontId="17" fillId="0" borderId="0">
      <alignment horizontal="left" wrapText="1"/>
    </xf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53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78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200" fontId="17" fillId="0" borderId="0">
      <alignment horizontal="left" wrapText="1"/>
    </xf>
    <xf numFmtId="0" fontId="17" fillId="0" borderId="0"/>
    <xf numFmtId="0" fontId="11" fillId="0" borderId="0"/>
    <xf numFmtId="0" fontId="17" fillId="0" borderId="0"/>
    <xf numFmtId="0" fontId="17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3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0" fontId="104" fillId="0" borderId="0"/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170" fontId="53" fillId="0" borderId="0">
      <alignment horizontal="left" wrapText="1"/>
    </xf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70" fontId="53" fillId="0" borderId="0">
      <alignment horizontal="left" wrapTex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39" fillId="7" borderId="23" applyNumberFormat="0" applyAlignment="0" applyProtection="0"/>
    <xf numFmtId="0" fontId="39" fillId="70" borderId="23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6" fillId="70" borderId="45" applyNumberFormat="0" applyAlignment="0" applyProtection="0"/>
    <xf numFmtId="0" fontId="39" fillId="70" borderId="23" applyNumberFormat="0" applyAlignment="0" applyProtection="0"/>
    <xf numFmtId="0" fontId="39" fillId="70" borderId="23" applyNumberFormat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17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41" fontId="17" fillId="77" borderId="38"/>
    <xf numFmtId="41" fontId="17" fillId="77" borderId="38"/>
    <xf numFmtId="170" fontId="53" fillId="0" borderId="0">
      <alignment horizontal="left" wrapText="1"/>
    </xf>
    <xf numFmtId="41" fontId="17" fillId="77" borderId="38"/>
    <xf numFmtId="41" fontId="17" fillId="77" borderId="38"/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0" fontId="66" fillId="0" borderId="0" applyNumberFormat="0" applyFont="0" applyFill="0" applyBorder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15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" fontId="66" fillId="0" borderId="0" applyFont="0" applyFill="0" applyBorder="0" applyAlignment="0" applyProtection="0"/>
    <xf numFmtId="0" fontId="107" fillId="0" borderId="31">
      <alignment horizontal="center"/>
    </xf>
    <xf numFmtId="0" fontId="107" fillId="0" borderId="31">
      <alignment horizontal="center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07" fillId="0" borderId="31">
      <alignment horizontal="center"/>
    </xf>
    <xf numFmtId="3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66" fillId="0" borderId="0" applyFont="0" applyFill="0" applyBorder="0" applyAlignment="0" applyProtection="0"/>
    <xf numFmtId="0" fontId="66" fillId="78" borderId="0" applyNumberFormat="0" applyFont="0" applyBorder="0" applyAlignment="0" applyProtection="0"/>
    <xf numFmtId="0" fontId="66" fillId="78" borderId="0" applyNumberFormat="0" applyFon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78" borderId="0" applyNumberFormat="0" applyFont="0" applyBorder="0" applyAlignment="0" applyProtection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108" fillId="0" borderId="0" applyFill="0" applyBorder="0" applyAlignment="0" applyProtection="0"/>
    <xf numFmtId="0" fontId="109" fillId="0" borderId="0"/>
    <xf numFmtId="0" fontId="110" fillId="0" borderId="0"/>
    <xf numFmtId="0" fontId="110" fillId="0" borderId="0"/>
    <xf numFmtId="0" fontId="109" fillId="0" borderId="0"/>
    <xf numFmtId="0" fontId="110" fillId="0" borderId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42" fontId="17" fillId="68" borderId="0"/>
    <xf numFmtId="0" fontId="70" fillId="79" borderId="0"/>
    <xf numFmtId="0" fontId="111" fillId="79" borderId="39"/>
    <xf numFmtId="0" fontId="112" fillId="80" borderId="46"/>
    <xf numFmtId="0" fontId="113" fillId="79" borderId="47"/>
    <xf numFmtId="42" fontId="17" fillId="68" borderId="0"/>
    <xf numFmtId="170" fontId="53" fillId="0" borderId="0">
      <alignment horizontal="left" wrapText="1"/>
    </xf>
    <xf numFmtId="42" fontId="17" fillId="68" borderId="0"/>
    <xf numFmtId="170" fontId="53" fillId="0" borderId="0">
      <alignment horizontal="left" wrapText="1"/>
    </xf>
    <xf numFmtId="42" fontId="17" fillId="68" borderId="0"/>
    <xf numFmtId="42" fontId="17" fillId="68" borderId="0"/>
    <xf numFmtId="42" fontId="17" fillId="68" borderId="48">
      <alignment vertical="center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201" fontId="17" fillId="68" borderId="0"/>
    <xf numFmtId="201" fontId="17" fillId="68" borderId="0"/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201" fontId="17" fillId="68" borderId="0"/>
    <xf numFmtId="42" fontId="17" fillId="68" borderId="0"/>
    <xf numFmtId="168" fontId="94" fillId="0" borderId="0" applyBorder="0" applyAlignment="0"/>
    <xf numFmtId="168" fontId="94" fillId="0" borderId="0" applyBorder="0" applyAlignment="0"/>
    <xf numFmtId="168" fontId="94" fillId="0" borderId="0" applyBorder="0" applyAlignment="0"/>
    <xf numFmtId="42" fontId="17" fillId="68" borderId="3">
      <alignment horizontal="left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68" fontId="94" fillId="0" borderId="0" applyBorder="0" applyAlignment="0"/>
    <xf numFmtId="14" fontId="53" fillId="0" borderId="0" applyNumberFormat="0" applyFill="0" applyBorder="0" applyAlignment="0" applyProtection="0">
      <alignment horizontal="left"/>
    </xf>
    <xf numFmtId="14" fontId="53" fillId="0" borderId="0" applyNumberFormat="0" applyFill="0" applyBorder="0" applyAlignment="0" applyProtection="0">
      <alignment horizontal="lef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4" fontId="115" fillId="76" borderId="45" applyNumberFormat="0" applyProtection="0">
      <alignment vertical="center"/>
    </xf>
    <xf numFmtId="170" fontId="53" fillId="0" borderId="0">
      <alignment horizontal="left" wrapTex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170" fontId="53" fillId="0" borderId="0">
      <alignment horizontal="left" wrapTex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2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4" fillId="65" borderId="50" applyBorder="0"/>
    <xf numFmtId="4" fontId="115" fillId="98" borderId="45" applyNumberFormat="0" applyProtection="0">
      <alignment vertical="center"/>
    </xf>
    <xf numFmtId="170" fontId="53" fillId="0" borderId="0">
      <alignment horizontal="left" wrapTex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170" fontId="53" fillId="0" borderId="0">
      <alignment horizontal="left" wrapTex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20" fillId="0" borderId="0"/>
    <xf numFmtId="0" fontId="120" fillId="0" borderId="0"/>
    <xf numFmtId="0" fontId="121" fillId="0" borderId="0" applyNumberFormat="0" applyProtection="0">
      <alignment horizontal="left" indent="5"/>
    </xf>
    <xf numFmtId="0" fontId="48" fillId="99" borderId="15"/>
    <xf numFmtId="4" fontId="122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22" fillId="94" borderId="45" applyNumberFormat="0" applyProtection="0">
      <alignment horizontal="right" vertical="center"/>
    </xf>
    <xf numFmtId="39" fontId="17" fillId="100" borderId="0"/>
    <xf numFmtId="39" fontId="17" fillId="100" borderId="0"/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39" fontId="17" fillId="100" borderId="0"/>
    <xf numFmtId="0" fontId="123" fillId="0" borderId="0" applyNumberFormat="0" applyFill="0" applyBorder="0" applyAlignment="0" applyProtection="0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170" fontId="53" fillId="0" borderId="0">
      <alignment horizontal="left" wrapText="1"/>
    </xf>
    <xf numFmtId="38" fontId="48" fillId="0" borderId="51"/>
    <xf numFmtId="0" fontId="48" fillId="0" borderId="51"/>
    <xf numFmtId="38" fontId="48" fillId="0" borderId="51"/>
    <xf numFmtId="38" fontId="48" fillId="0" borderId="51"/>
    <xf numFmtId="38" fontId="48" fillId="0" borderId="51"/>
    <xf numFmtId="38" fontId="94" fillId="0" borderId="3"/>
    <xf numFmtId="38" fontId="94" fillId="0" borderId="3"/>
    <xf numFmtId="38" fontId="94" fillId="0" borderId="3"/>
    <xf numFmtId="38" fontId="94" fillId="0" borderId="3"/>
    <xf numFmtId="170" fontId="53" fillId="0" borderId="0">
      <alignment horizontal="left" wrapText="1"/>
    </xf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38" fontId="94" fillId="0" borderId="3"/>
    <xf numFmtId="39" fontId="53" fillId="101" borderId="0"/>
    <xf numFmtId="39" fontId="53" fillId="101" borderId="0"/>
    <xf numFmtId="170" fontId="17" fillId="0" borderId="0">
      <alignment horizontal="left" wrapText="1"/>
    </xf>
    <xf numFmtId="174" fontId="17" fillId="0" borderId="0">
      <alignment horizontal="left" wrapText="1"/>
    </xf>
    <xf numFmtId="197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5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0" fontId="53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71" fontId="17" fillId="0" borderId="0">
      <alignment horizontal="left" wrapText="1"/>
    </xf>
    <xf numFmtId="171" fontId="17" fillId="0" borderId="0">
      <alignment horizontal="left" wrapText="1"/>
    </xf>
    <xf numFmtId="198" fontId="17" fillId="0" borderId="0">
      <alignment horizontal="left" wrapText="1"/>
    </xf>
    <xf numFmtId="170" fontId="17" fillId="0" borderId="0">
      <alignment horizontal="left" wrapText="1"/>
    </xf>
    <xf numFmtId="171" fontId="17" fillId="0" borderId="0">
      <alignment horizontal="left" wrapText="1"/>
    </xf>
    <xf numFmtId="170" fontId="17" fillId="0" borderId="0">
      <alignment horizontal="left" wrapText="1"/>
    </xf>
    <xf numFmtId="0" fontId="17" fillId="0" borderId="0">
      <alignment horizontal="left" wrapText="1"/>
    </xf>
    <xf numFmtId="0" fontId="115" fillId="0" borderId="0" applyNumberFormat="0" applyBorder="0" applyAlignment="0"/>
    <xf numFmtId="0" fontId="124" fillId="0" borderId="0" applyNumberFormat="0" applyBorder="0" applyAlignment="0"/>
    <xf numFmtId="0" fontId="117" fillId="0" borderId="0" applyNumberFormat="0" applyBorder="0" applyAlignment="0"/>
    <xf numFmtId="0" fontId="125" fillId="0" borderId="0"/>
    <xf numFmtId="0" fontId="85" fillId="0" borderId="47"/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0" fontId="128" fillId="0" borderId="0"/>
    <xf numFmtId="0" fontId="17" fillId="0" borderId="0" applyNumberFormat="0" applyBorder="0" applyAlignment="0"/>
    <xf numFmtId="0" fontId="129" fillId="0" borderId="0" applyFill="0" applyBorder="0" applyProtection="0">
      <alignment horizontal="left" vertical="top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0" fillId="0" borderId="0"/>
    <xf numFmtId="0" fontId="111" fillId="79" borderId="0"/>
    <xf numFmtId="165" fontId="131" fillId="68" borderId="0">
      <alignment horizontal="left" vertical="center"/>
    </xf>
    <xf numFmtId="165" fontId="132" fillId="0" borderId="0">
      <alignment horizontal="left" vertical="center"/>
    </xf>
    <xf numFmtId="165" fontId="132" fillId="0" borderId="0">
      <alignment horizontal="left" vertical="center"/>
    </xf>
    <xf numFmtId="0" fontId="45" fillId="68" borderId="0">
      <alignment horizontal="left" wrapText="1"/>
    </xf>
    <xf numFmtId="0" fontId="45" fillId="68" borderId="0">
      <alignment horizontal="left" wrapText="1"/>
    </xf>
    <xf numFmtId="0" fontId="45" fillId="68" borderId="0">
      <alignment horizontal="left" wrapText="1"/>
    </xf>
    <xf numFmtId="170" fontId="53" fillId="0" borderId="0">
      <alignment horizontal="left" wrapText="1"/>
    </xf>
    <xf numFmtId="0" fontId="133" fillId="0" borderId="0">
      <alignment horizontal="left" vertical="center"/>
    </xf>
    <xf numFmtId="0" fontId="133" fillId="0" borderId="0">
      <alignment horizontal="left" vertical="center"/>
    </xf>
    <xf numFmtId="0" fontId="73" fillId="0" borderId="52" applyNumberFormat="0" applyFon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71" fillId="0" borderId="55"/>
    <xf numFmtId="0" fontId="72" fillId="0" borderId="55"/>
    <xf numFmtId="0" fontId="72" fillId="0" borderId="55"/>
    <xf numFmtId="0" fontId="71" fillId="0" borderId="55"/>
    <xf numFmtId="0" fontId="72" fillId="0" borderId="55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53" fillId="0" borderId="0">
      <alignment horizontal="left" wrapText="1"/>
    </xf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5" fillId="68" borderId="9" applyNumberFormat="0">
      <alignment horizontal="center" vertical="center" wrapText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readingOrder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3" fontId="16" fillId="0" borderId="0"/>
    <xf numFmtId="9" fontId="17" fillId="0" borderId="0" applyFont="0" applyFill="0" applyBorder="0" applyAlignment="0" applyProtection="0"/>
    <xf numFmtId="0" fontId="17" fillId="89" borderId="0" applyNumberFormat="0" applyFont="0" applyFill="0" applyBorder="0" applyAlignment="0" applyProtection="0"/>
    <xf numFmtId="168" fontId="68" fillId="76" borderId="0" applyFont="0" applyFill="0" applyBorder="0" applyAlignment="0" applyProtection="0">
      <alignment wrapText="1"/>
    </xf>
    <xf numFmtId="3" fontId="16" fillId="0" borderId="0"/>
    <xf numFmtId="0" fontId="17" fillId="0" borderId="0">
      <alignment readingOrder="1"/>
    </xf>
    <xf numFmtId="38" fontId="136" fillId="0" borderId="0" applyNumberFormat="0" applyFont="0" applyFill="0" applyBorder="0">
      <alignment horizontal="left" indent="4"/>
      <protection locked="0"/>
    </xf>
    <xf numFmtId="9" fontId="6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35" fillId="0" borderId="0"/>
    <xf numFmtId="0" fontId="68" fillId="0" borderId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34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7" fillId="0" borderId="0" applyFont="0" applyFill="0" applyBorder="0" applyAlignment="0" applyProtection="0"/>
    <xf numFmtId="0" fontId="52" fillId="0" borderId="0"/>
    <xf numFmtId="0" fontId="138" fillId="77" borderId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70" borderId="15" applyNumberFormat="0">
      <protection locked="0"/>
    </xf>
    <xf numFmtId="0" fontId="17" fillId="70" borderId="15" applyNumberFormat="0">
      <protection locked="0"/>
    </xf>
    <xf numFmtId="0" fontId="48" fillId="99" borderId="15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0" fontId="48" fillId="68" borderId="56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17" fillId="92" borderId="45" applyNumberFormat="0" applyProtection="0">
      <alignment horizontal="left" vertical="center" indent="1"/>
    </xf>
    <xf numFmtId="38" fontId="94" fillId="0" borderId="3"/>
    <xf numFmtId="38" fontId="94" fillId="0" borderId="3"/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38" fontId="94" fillId="0" borderId="3"/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38" fontId="94" fillId="0" borderId="3"/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201" fontId="114" fillId="68" borderId="3">
      <alignment horizontal="left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42" fontId="17" fillId="68" borderId="3">
      <alignment horizontal="left"/>
    </xf>
    <xf numFmtId="4" fontId="122" fillId="94" borderId="45" applyNumberFormat="0" applyProtection="0">
      <alignment horizontal="right" vertical="center"/>
    </xf>
    <xf numFmtId="42" fontId="17" fillId="68" borderId="3">
      <alignment horizontal="left"/>
    </xf>
    <xf numFmtId="0" fontId="48" fillId="99" borderId="15"/>
    <xf numFmtId="42" fontId="17" fillId="68" borderId="3">
      <alignment horizontal="left"/>
    </xf>
    <xf numFmtId="42" fontId="17" fillId="68" borderId="3">
      <alignment horizontal="left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13" fillId="79" borderId="47"/>
    <xf numFmtId="0" fontId="112" fillId="80" borderId="46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38" fontId="94" fillId="0" borderId="3"/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5" fillId="96" borderId="45" applyNumberFormat="0" applyProtection="0">
      <alignment horizontal="left" vertical="center" indent="1"/>
    </xf>
    <xf numFmtId="38" fontId="94" fillId="0" borderId="3"/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38" fontId="94" fillId="0" borderId="3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201" fontId="114" fillId="68" borderId="3">
      <alignment horizontal="left"/>
    </xf>
    <xf numFmtId="4" fontId="117" fillId="92" borderId="45" applyNumberFormat="0" applyProtection="0">
      <alignment horizontal="left" vertical="center" indent="1"/>
    </xf>
    <xf numFmtId="38" fontId="94" fillId="0" borderId="3"/>
    <xf numFmtId="42" fontId="17" fillId="68" borderId="3">
      <alignment horizontal="left"/>
    </xf>
    <xf numFmtId="42" fontId="17" fillId="68" borderId="3">
      <alignment horizontal="left"/>
    </xf>
    <xf numFmtId="4" fontId="117" fillId="92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13" fillId="79" borderId="47"/>
    <xf numFmtId="0" fontId="112" fillId="80" borderId="46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0" fontId="48" fillId="99" borderId="15"/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70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201" fontId="114" fillId="68" borderId="3">
      <alignment horizontal="left"/>
    </xf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0" fontId="58" fillId="40" borderId="44" applyNumberFormat="0" applyFont="0" applyAlignment="0" applyProtection="0"/>
    <xf numFmtId="0" fontId="17" fillId="40" borderId="44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9" fontId="11" fillId="0" borderId="0" applyFont="0" applyFill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9" fontId="11" fillId="0" borderId="0" applyFont="0" applyFill="0" applyBorder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2" fillId="80" borderId="46"/>
    <xf numFmtId="0" fontId="113" fillId="79" borderId="47"/>
    <xf numFmtId="4" fontId="115" fillId="94" borderId="49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201" fontId="114" fillId="68" borderId="3">
      <alignment horizontal="left"/>
    </xf>
    <xf numFmtId="201" fontId="114" fillId="68" borderId="3">
      <alignment horizontal="left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12" fillId="80" borderId="46"/>
    <xf numFmtId="0" fontId="113" fillId="79" borderId="47"/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94" borderId="49" applyNumberFormat="0" applyProtection="0">
      <alignment horizontal="left" vertical="center" indent="1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94" fillId="65" borderId="50" applyBorder="0"/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94" fillId="65" borderId="50" applyBorder="0"/>
    <xf numFmtId="4" fontId="115" fillId="76" borderId="45" applyNumberFormat="0" applyProtection="0">
      <alignment vertical="center"/>
    </xf>
    <xf numFmtId="0" fontId="17" fillId="34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94" fillId="65" borderId="50" applyBorder="0"/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7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4" fontId="115" fillId="83" borderId="45" applyNumberFormat="0" applyProtection="0">
      <alignment horizontal="right" vertical="center"/>
    </xf>
    <xf numFmtId="0" fontId="58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0" fontId="48" fillId="68" borderId="56" applyNumberFormat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48" fillId="99" borderId="15"/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22" fillId="94" borderId="45" applyNumberFormat="0" applyProtection="0">
      <alignment horizontal="right" vertical="center"/>
    </xf>
    <xf numFmtId="38" fontId="94" fillId="0" borderId="3"/>
    <xf numFmtId="4" fontId="122" fillId="94" borderId="45" applyNumberFormat="0" applyProtection="0">
      <alignment horizontal="right" vertical="center"/>
    </xf>
    <xf numFmtId="38" fontId="94" fillId="0" borderId="3"/>
    <xf numFmtId="38" fontId="94" fillId="0" borderId="3"/>
    <xf numFmtId="0" fontId="94" fillId="0" borderId="3"/>
    <xf numFmtId="0" fontId="94" fillId="0" borderId="3"/>
    <xf numFmtId="0" fontId="85" fillId="0" borderId="47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58" fillId="40" borderId="44" applyNumberFormat="0" applyFont="0" applyAlignment="0" applyProtection="0"/>
    <xf numFmtId="4" fontId="117" fillId="92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85" fillId="0" borderId="47"/>
    <xf numFmtId="0" fontId="62" fillId="69" borderId="29" applyNumberFormat="0" applyAlignment="0" applyProtection="0"/>
    <xf numFmtId="0" fontId="62" fillId="69" borderId="29" applyNumberForma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4" fontId="116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201" fontId="114" fillId="68" borderId="3">
      <alignment horizontal="left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7" fillId="97" borderId="45" applyNumberFormat="0" applyProtection="0">
      <alignment horizontal="left" vertical="center" inden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10" fontId="48" fillId="68" borderId="15" applyNumberFormat="0" applyBorder="0" applyAlignment="0" applyProtection="0"/>
    <xf numFmtId="0" fontId="17" fillId="81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2" fontId="17" fillId="68" borderId="3">
      <alignment horizontal="left"/>
    </xf>
    <xf numFmtId="0" fontId="106" fillId="69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10" fontId="48" fillId="68" borderId="56" applyNumberFormat="0" applyBorder="0" applyAlignment="0" applyProtection="0"/>
    <xf numFmtId="38" fontId="94" fillId="0" borderId="3"/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56" applyNumberFormat="0">
      <protection locked="0"/>
    </xf>
    <xf numFmtId="0" fontId="17" fillId="70" borderId="56" applyNumberFormat="0">
      <protection locked="0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0" fontId="106" fillId="69" borderId="45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18" fillId="0" borderId="54" applyNumberFormat="0" applyFill="0" applyAlignment="0" applyProtection="0"/>
    <xf numFmtId="0" fontId="17" fillId="40" borderId="44" applyNumberFormat="0" applyFont="0" applyAlignment="0" applyProtection="0"/>
    <xf numFmtId="0" fontId="85" fillId="0" borderId="47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8" fillId="0" borderId="54" applyNumberFormat="0" applyFill="0" applyAlignment="0" applyProtection="0"/>
    <xf numFmtId="10" fontId="48" fillId="68" borderId="15" applyNumberFormat="0" applyBorder="0" applyAlignment="0" applyProtection="0"/>
    <xf numFmtId="4" fontId="115" fillId="91" borderId="45" applyNumberFormat="0" applyProtection="0">
      <alignment horizontal="right" vertical="center"/>
    </xf>
    <xf numFmtId="0" fontId="62" fillId="69" borderId="29" applyNumberFormat="0" applyAlignment="0" applyProtection="0"/>
    <xf numFmtId="0" fontId="62" fillId="69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85" fillId="0" borderId="47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3" fillId="0" borderId="0">
      <alignment readingOrder="1"/>
    </xf>
    <xf numFmtId="0" fontId="43" fillId="0" borderId="0">
      <alignment readingOrder="1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39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31" fillId="0" borderId="0"/>
  </cellStyleXfs>
  <cellXfs count="186">
    <xf numFmtId="0" fontId="0" fillId="0" borderId="0" xfId="0"/>
    <xf numFmtId="0" fontId="15" fillId="0" borderId="0" xfId="0" applyFont="1"/>
    <xf numFmtId="0" fontId="18" fillId="0" borderId="0" xfId="0" applyFont="1"/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0" xfId="0" applyFont="1"/>
    <xf numFmtId="0" fontId="19" fillId="0" borderId="7" xfId="4" applyFont="1" applyBorder="1" applyAlignment="1">
      <alignment horizontal="center"/>
    </xf>
    <xf numFmtId="0" fontId="19" fillId="0" borderId="8" xfId="4" applyFont="1" applyBorder="1" applyAlignment="1">
      <alignment horizontal="center"/>
    </xf>
    <xf numFmtId="0" fontId="19" fillId="0" borderId="8" xfId="0" applyFont="1" applyBorder="1"/>
    <xf numFmtId="0" fontId="19" fillId="0" borderId="9" xfId="4" applyFont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12" xfId="4" applyFont="1" applyBorder="1" applyAlignment="1">
      <alignment horizontal="center"/>
    </xf>
    <xf numFmtId="0" fontId="19" fillId="0" borderId="13" xfId="4" applyFont="1" applyBorder="1" applyAlignment="1">
      <alignment horizontal="center" wrapText="1"/>
    </xf>
    <xf numFmtId="0" fontId="19" fillId="0" borderId="14" xfId="4" applyFont="1" applyBorder="1" applyAlignment="1">
      <alignment horizontal="center"/>
    </xf>
    <xf numFmtId="0" fontId="19" fillId="0" borderId="15" xfId="4" applyFont="1" applyBorder="1" applyAlignment="1">
      <alignment horizontal="center"/>
    </xf>
    <xf numFmtId="0" fontId="19" fillId="0" borderId="16" xfId="4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/>
    <xf numFmtId="10" fontId="19" fillId="0" borderId="7" xfId="0" applyNumberFormat="1" applyFont="1" applyBorder="1"/>
    <xf numFmtId="49" fontId="18" fillId="0" borderId="8" xfId="0" applyNumberFormat="1" applyFont="1" applyBorder="1" applyAlignment="1">
      <alignment horizontal="center"/>
    </xf>
    <xf numFmtId="37" fontId="19" fillId="0" borderId="7" xfId="5" applyNumberFormat="1" applyFont="1" applyBorder="1"/>
    <xf numFmtId="0" fontId="19" fillId="0" borderId="7" xfId="0" applyFont="1" applyBorder="1"/>
    <xf numFmtId="37" fontId="19" fillId="0" borderId="7" xfId="6" applyNumberFormat="1" applyFont="1" applyBorder="1"/>
    <xf numFmtId="167" fontId="19" fillId="0" borderId="7" xfId="0" applyNumberFormat="1" applyFont="1" applyBorder="1"/>
    <xf numFmtId="166" fontId="19" fillId="0" borderId="11" xfId="0" applyNumberFormat="1" applyFont="1" applyBorder="1"/>
    <xf numFmtId="166" fontId="19" fillId="0" borderId="10" xfId="0" applyNumberFormat="1" applyFont="1" applyBorder="1"/>
    <xf numFmtId="0" fontId="19" fillId="0" borderId="10" xfId="0" applyFont="1" applyBorder="1"/>
    <xf numFmtId="0" fontId="19" fillId="0" borderId="0" xfId="0" applyFont="1" applyAlignment="1">
      <alignment horizontal="center"/>
    </xf>
    <xf numFmtId="166" fontId="23" fillId="0" borderId="0" xfId="2" applyNumberFormat="1" applyFont="1"/>
    <xf numFmtId="171" fontId="15" fillId="0" borderId="0" xfId="3" applyNumberFormat="1" applyFont="1"/>
    <xf numFmtId="44" fontId="15" fillId="0" borderId="0" xfId="2" applyFont="1"/>
    <xf numFmtId="44" fontId="15" fillId="0" borderId="0" xfId="0" applyNumberFormat="1" applyFont="1"/>
    <xf numFmtId="0" fontId="21" fillId="0" borderId="0" xfId="0" applyFont="1"/>
    <xf numFmtId="17" fontId="15" fillId="0" borderId="0" xfId="0" applyNumberFormat="1" applyFont="1" applyAlignment="1">
      <alignment horizontal="center"/>
    </xf>
    <xf numFmtId="168" fontId="15" fillId="0" borderId="0" xfId="0" applyNumberFormat="1" applyFont="1"/>
    <xf numFmtId="168" fontId="15" fillId="0" borderId="3" xfId="0" applyNumberFormat="1" applyFont="1" applyBorder="1"/>
    <xf numFmtId="172" fontId="15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/>
    <xf numFmtId="166" fontId="15" fillId="0" borderId="0" xfId="0" applyNumberFormat="1" applyFont="1"/>
    <xf numFmtId="166" fontId="15" fillId="0" borderId="9" xfId="2" applyNumberFormat="1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166" fontId="19" fillId="0" borderId="7" xfId="2" applyNumberFormat="1" applyFont="1" applyFill="1" applyBorder="1"/>
    <xf numFmtId="44" fontId="19" fillId="0" borderId="7" xfId="2" applyFont="1" applyFill="1" applyBorder="1"/>
    <xf numFmtId="0" fontId="14" fillId="0" borderId="0" xfId="0" applyFont="1"/>
    <xf numFmtId="169" fontId="22" fillId="0" borderId="0" xfId="0" applyNumberFormat="1" applyFont="1" applyAlignment="1">
      <alignment readingOrder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indent="1" readingOrder="1"/>
    </xf>
    <xf numFmtId="168" fontId="14" fillId="0" borderId="0" xfId="0" applyNumberFormat="1" applyFont="1"/>
    <xf numFmtId="168" fontId="19" fillId="0" borderId="0" xfId="0" applyNumberFormat="1" applyFont="1"/>
    <xf numFmtId="9" fontId="14" fillId="0" borderId="0" xfId="3" applyFont="1"/>
    <xf numFmtId="0" fontId="22" fillId="0" borderId="0" xfId="5" applyFont="1"/>
    <xf numFmtId="170" fontId="19" fillId="0" borderId="0" xfId="5" applyNumberFormat="1" applyFont="1"/>
    <xf numFmtId="0" fontId="19" fillId="0" borderId="0" xfId="5" applyFont="1"/>
    <xf numFmtId="0" fontId="25" fillId="0" borderId="0" xfId="5" applyFont="1"/>
    <xf numFmtId="44" fontId="19" fillId="0" borderId="0" xfId="2" applyFont="1"/>
    <xf numFmtId="167" fontId="15" fillId="0" borderId="0" xfId="2" applyNumberFormat="1" applyFont="1"/>
    <xf numFmtId="167" fontId="19" fillId="0" borderId="0" xfId="2" applyNumberFormat="1" applyFont="1"/>
    <xf numFmtId="0" fontId="24" fillId="0" borderId="0" xfId="0" applyFont="1"/>
    <xf numFmtId="0" fontId="24" fillId="0" borderId="0" xfId="5" applyFont="1"/>
    <xf numFmtId="0" fontId="27" fillId="0" borderId="0" xfId="0" applyFont="1"/>
    <xf numFmtId="0" fontId="27" fillId="0" borderId="0" xfId="5" applyFont="1"/>
    <xf numFmtId="171" fontId="13" fillId="0" borderId="0" xfId="3" applyNumberFormat="1" applyFont="1"/>
    <xf numFmtId="168" fontId="14" fillId="0" borderId="0" xfId="1" applyNumberFormat="1" applyFont="1"/>
    <xf numFmtId="168" fontId="23" fillId="0" borderId="0" xfId="1" applyNumberFormat="1" applyFont="1" applyFill="1"/>
    <xf numFmtId="2" fontId="14" fillId="0" borderId="0" xfId="0" applyNumberFormat="1" applyFont="1"/>
    <xf numFmtId="3" fontId="23" fillId="0" borderId="0" xfId="4" applyNumberFormat="1" applyFont="1"/>
    <xf numFmtId="167" fontId="22" fillId="0" borderId="15" xfId="2" applyNumberFormat="1" applyFont="1" applyFill="1" applyBorder="1"/>
    <xf numFmtId="0" fontId="15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/>
    <xf numFmtId="44" fontId="28" fillId="0" borderId="0" xfId="2" applyFont="1"/>
    <xf numFmtId="10" fontId="19" fillId="0" borderId="0" xfId="5" applyNumberFormat="1" applyFont="1"/>
    <xf numFmtId="10" fontId="19" fillId="0" borderId="7" xfId="3" applyNumberFormat="1" applyFont="1" applyFill="1" applyBorder="1"/>
    <xf numFmtId="0" fontId="30" fillId="0" borderId="0" xfId="0" applyFont="1"/>
    <xf numFmtId="0" fontId="30" fillId="0" borderId="0" xfId="0" applyFont="1" applyAlignment="1">
      <alignment wrapText="1"/>
    </xf>
    <xf numFmtId="170" fontId="15" fillId="0" borderId="0" xfId="0" applyNumberFormat="1" applyFont="1"/>
    <xf numFmtId="170" fontId="26" fillId="0" borderId="18" xfId="5" applyNumberFormat="1" applyFont="1" applyBorder="1"/>
    <xf numFmtId="170" fontId="22" fillId="0" borderId="0" xfId="5" applyNumberFormat="1" applyFont="1"/>
    <xf numFmtId="0" fontId="30" fillId="2" borderId="6" xfId="0" quotePrefix="1" applyFont="1" applyFill="1" applyBorder="1" applyAlignment="1">
      <alignment horizontal="center"/>
    </xf>
    <xf numFmtId="0" fontId="30" fillId="2" borderId="0" xfId="0" applyFont="1" applyFill="1"/>
    <xf numFmtId="0" fontId="30" fillId="2" borderId="6" xfId="0" applyFont="1" applyFill="1" applyBorder="1" applyAlignment="1">
      <alignment horizontal="center"/>
    </xf>
    <xf numFmtId="0" fontId="31" fillId="2" borderId="13" xfId="0" applyFont="1" applyFill="1" applyBorder="1"/>
    <xf numFmtId="0" fontId="32" fillId="2" borderId="14" xfId="0" applyFont="1" applyFill="1" applyBorder="1"/>
    <xf numFmtId="0" fontId="12" fillId="0" borderId="0" xfId="0" applyFont="1"/>
    <xf numFmtId="3" fontId="14" fillId="0" borderId="0" xfId="0" applyNumberFormat="1" applyFont="1"/>
    <xf numFmtId="0" fontId="10" fillId="0" borderId="0" xfId="0" applyFont="1"/>
    <xf numFmtId="175" fontId="15" fillId="0" borderId="0" xfId="0" applyNumberFormat="1" applyFont="1"/>
    <xf numFmtId="14" fontId="22" fillId="0" borderId="0" xfId="5" applyNumberFormat="1" applyFont="1"/>
    <xf numFmtId="170" fontId="19" fillId="0" borderId="14" xfId="5" applyNumberFormat="1" applyFont="1" applyBorder="1"/>
    <xf numFmtId="4" fontId="26" fillId="0" borderId="0" xfId="5" applyNumberFormat="1" applyFont="1" applyAlignment="1">
      <alignment horizontal="left"/>
    </xf>
    <xf numFmtId="166" fontId="23" fillId="0" borderId="0" xfId="2" applyNumberFormat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" fontId="19" fillId="0" borderId="0" xfId="0" quotePrefix="1" applyNumberFormat="1" applyFont="1" applyAlignment="1">
      <alignment horizontal="center"/>
    </xf>
    <xf numFmtId="171" fontId="19" fillId="0" borderId="0" xfId="0" applyNumberFormat="1" applyFont="1"/>
    <xf numFmtId="0" fontId="19" fillId="0" borderId="0" xfId="0" quotePrefix="1" applyFont="1" applyAlignment="1">
      <alignment horizontal="center"/>
    </xf>
    <xf numFmtId="0" fontId="9" fillId="0" borderId="0" xfId="0" applyFont="1"/>
    <xf numFmtId="0" fontId="8" fillId="0" borderId="0" xfId="0" applyFont="1"/>
    <xf numFmtId="0" fontId="30" fillId="2" borderId="14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0" xfId="0" applyFont="1" applyFill="1"/>
    <xf numFmtId="171" fontId="32" fillId="2" borderId="0" xfId="0" applyNumberFormat="1" applyFont="1" applyFill="1"/>
    <xf numFmtId="0" fontId="7" fillId="0" borderId="0" xfId="0" applyFont="1"/>
    <xf numFmtId="166" fontId="15" fillId="0" borderId="48" xfId="2" applyNumberFormat="1" applyFont="1" applyBorder="1"/>
    <xf numFmtId="0" fontId="18" fillId="102" borderId="9" xfId="8436" applyFont="1" applyFill="1" applyBorder="1" applyAlignment="1">
      <alignment horizontal="center" wrapText="1"/>
    </xf>
    <xf numFmtId="17" fontId="18" fillId="0" borderId="0" xfId="8436" applyNumberFormat="1" applyFont="1"/>
    <xf numFmtId="43" fontId="0" fillId="0" borderId="0" xfId="7203" applyFont="1"/>
    <xf numFmtId="43" fontId="0" fillId="0" borderId="0" xfId="0" applyNumberFormat="1"/>
    <xf numFmtId="17" fontId="18" fillId="0" borderId="0" xfId="8436" applyNumberFormat="1" applyFont="1" applyAlignment="1">
      <alignment horizontal="right"/>
    </xf>
    <xf numFmtId="166" fontId="15" fillId="0" borderId="0" xfId="2" applyNumberFormat="1" applyFont="1" applyBorder="1"/>
    <xf numFmtId="0" fontId="6" fillId="0" borderId="0" xfId="0" applyFont="1"/>
    <xf numFmtId="0" fontId="141" fillId="0" borderId="0" xfId="0" applyFont="1"/>
    <xf numFmtId="0" fontId="141" fillId="0" borderId="9" xfId="0" applyFont="1" applyBorder="1"/>
    <xf numFmtId="166" fontId="141" fillId="0" borderId="0" xfId="2" applyNumberFormat="1" applyFont="1"/>
    <xf numFmtId="166" fontId="141" fillId="0" borderId="0" xfId="2" applyNumberFormat="1" applyFont="1" applyBorder="1"/>
    <xf numFmtId="166" fontId="141" fillId="0" borderId="0" xfId="0" applyNumberFormat="1" applyFont="1"/>
    <xf numFmtId="166" fontId="141" fillId="0" borderId="0" xfId="2" applyNumberFormat="1" applyFont="1" applyFill="1"/>
    <xf numFmtId="166" fontId="141" fillId="0" borderId="0" xfId="2" applyNumberFormat="1" applyFont="1" applyFill="1" applyBorder="1"/>
    <xf numFmtId="166" fontId="142" fillId="0" borderId="0" xfId="2" applyNumberFormat="1" applyFont="1" applyFill="1"/>
    <xf numFmtId="10" fontId="141" fillId="0" borderId="0" xfId="3" applyNumberFormat="1" applyFont="1"/>
    <xf numFmtId="203" fontId="141" fillId="0" borderId="0" xfId="3" applyNumberFormat="1" applyFont="1"/>
    <xf numFmtId="166" fontId="141" fillId="0" borderId="9" xfId="2" applyNumberFormat="1" applyFont="1" applyFill="1" applyBorder="1"/>
    <xf numFmtId="172" fontId="141" fillId="0" borderId="9" xfId="0" applyNumberFormat="1" applyFont="1" applyBorder="1"/>
    <xf numFmtId="0" fontId="141" fillId="0" borderId="0" xfId="0" applyFont="1" applyAlignment="1">
      <alignment horizontal="center" wrapText="1"/>
    </xf>
    <xf numFmtId="0" fontId="141" fillId="0" borderId="0" xfId="0" applyFont="1" applyAlignment="1">
      <alignment horizontal="center"/>
    </xf>
    <xf numFmtId="166" fontId="141" fillId="0" borderId="0" xfId="2" applyNumberFormat="1" applyFont="1" applyAlignment="1">
      <alignment horizontal="center" wrapText="1"/>
    </xf>
    <xf numFmtId="10" fontId="142" fillId="0" borderId="0" xfId="0" applyNumberFormat="1" applyFont="1" applyAlignment="1">
      <alignment horizontal="center" wrapText="1"/>
    </xf>
    <xf numFmtId="17" fontId="142" fillId="0" borderId="0" xfId="0" applyNumberFormat="1" applyFont="1"/>
    <xf numFmtId="5" fontId="141" fillId="0" borderId="0" xfId="0" applyNumberFormat="1" applyFont="1"/>
    <xf numFmtId="17" fontId="141" fillId="0" borderId="0" xfId="0" applyNumberFormat="1" applyFont="1"/>
    <xf numFmtId="168" fontId="141" fillId="0" borderId="0" xfId="1" applyNumberFormat="1" applyFont="1" applyFill="1" applyBorder="1"/>
    <xf numFmtId="168" fontId="141" fillId="0" borderId="0" xfId="0" applyNumberFormat="1" applyFont="1"/>
    <xf numFmtId="0" fontId="19" fillId="0" borderId="6" xfId="0" quotePrefix="1" applyFont="1" applyBorder="1" applyAlignment="1">
      <alignment horizontal="center"/>
    </xf>
    <xf numFmtId="0" fontId="5" fillId="0" borderId="0" xfId="0" applyFont="1"/>
    <xf numFmtId="43" fontId="0" fillId="0" borderId="0" xfId="1" applyFont="1"/>
    <xf numFmtId="0" fontId="143" fillId="0" borderId="0" xfId="0" applyFont="1" applyAlignment="1">
      <alignment horizontal="center"/>
    </xf>
    <xf numFmtId="0" fontId="4" fillId="0" borderId="0" xfId="0" applyFont="1"/>
    <xf numFmtId="166" fontId="19" fillId="0" borderId="0" xfId="2" applyNumberFormat="1" applyFont="1"/>
    <xf numFmtId="44" fontId="141" fillId="0" borderId="0" xfId="0" applyNumberFormat="1" applyFont="1"/>
    <xf numFmtId="198" fontId="141" fillId="0" borderId="56" xfId="8693" applyNumberFormat="1" applyFont="1" applyBorder="1"/>
    <xf numFmtId="0" fontId="0" fillId="0" borderId="56" xfId="0" applyBorder="1" applyAlignment="1">
      <alignment wrapText="1"/>
    </xf>
    <xf numFmtId="174" fontId="144" fillId="0" borderId="56" xfId="8693" applyNumberFormat="1" applyFont="1" applyFill="1" applyBorder="1"/>
    <xf numFmtId="10" fontId="141" fillId="0" borderId="58" xfId="3" applyNumberFormat="1" applyFont="1" applyFill="1" applyBorder="1"/>
    <xf numFmtId="203" fontId="141" fillId="0" borderId="57" xfId="3" applyNumberFormat="1" applyFont="1" applyBorder="1"/>
    <xf numFmtId="3" fontId="23" fillId="0" borderId="0" xfId="4" applyNumberFormat="1" applyFont="1" applyFill="1"/>
    <xf numFmtId="0" fontId="3" fillId="0" borderId="0" xfId="0" applyFont="1"/>
    <xf numFmtId="167" fontId="23" fillId="0" borderId="7" xfId="0" applyNumberFormat="1" applyFont="1" applyFill="1" applyBorder="1"/>
    <xf numFmtId="44" fontId="23" fillId="0" borderId="0" xfId="2" applyFont="1"/>
    <xf numFmtId="167" fontId="23" fillId="0" borderId="0" xfId="2" applyNumberFormat="1" applyFont="1" applyFill="1"/>
    <xf numFmtId="0" fontId="0" fillId="0" borderId="0" xfId="0"/>
    <xf numFmtId="0" fontId="2" fillId="0" borderId="0" xfId="0" applyFont="1"/>
    <xf numFmtId="0" fontId="27" fillId="0" borderId="0" xfId="0" applyFont="1" applyAlignment="1">
      <alignment horizontal="center"/>
    </xf>
    <xf numFmtId="4" fontId="0" fillId="0" borderId="0" xfId="0" applyNumberFormat="1"/>
    <xf numFmtId="0" fontId="27" fillId="0" borderId="0" xfId="12490" applyFont="1"/>
    <xf numFmtId="10" fontId="0" fillId="0" borderId="0" xfId="0" applyNumberFormat="1"/>
    <xf numFmtId="0" fontId="143" fillId="0" borderId="0" xfId="0" applyFont="1"/>
    <xf numFmtId="0" fontId="143" fillId="0" borderId="59" xfId="0" applyFont="1" applyBorder="1"/>
    <xf numFmtId="0" fontId="143" fillId="0" borderId="0" xfId="0" applyFont="1" applyAlignment="1">
      <alignment horizontal="right"/>
    </xf>
    <xf numFmtId="166" fontId="143" fillId="0" borderId="48" xfId="2" applyNumberFormat="1" applyFont="1" applyBorder="1"/>
    <xf numFmtId="0" fontId="145" fillId="0" borderId="0" xfId="0" applyFont="1"/>
    <xf numFmtId="0" fontId="19" fillId="0" borderId="0" xfId="12490" applyFont="1"/>
    <xf numFmtId="43" fontId="18" fillId="0" borderId="0" xfId="0" applyNumberFormat="1" applyFont="1"/>
    <xf numFmtId="43" fontId="0" fillId="0" borderId="48" xfId="1" applyFont="1" applyBorder="1"/>
    <xf numFmtId="0" fontId="26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 wrapText="1"/>
    </xf>
    <xf numFmtId="43" fontId="0" fillId="103" borderId="60" xfId="0" applyNumberFormat="1" applyFill="1" applyBorder="1"/>
    <xf numFmtId="166" fontId="21" fillId="0" borderId="17" xfId="2" applyNumberFormat="1" applyFont="1" applyFill="1" applyBorder="1"/>
    <xf numFmtId="166" fontId="142" fillId="0" borderId="0" xfId="0" applyNumberFormat="1" applyFont="1" applyFill="1"/>
    <xf numFmtId="0" fontId="1" fillId="0" borderId="0" xfId="0" applyFont="1"/>
    <xf numFmtId="0" fontId="15" fillId="0" borderId="0" xfId="0" applyFont="1" applyAlignment="1">
      <alignment horizontal="center"/>
    </xf>
    <xf numFmtId="10" fontId="30" fillId="2" borderId="8" xfId="3" applyNumberFormat="1" applyFont="1" applyFill="1" applyBorder="1"/>
    <xf numFmtId="10" fontId="32" fillId="2" borderId="16" xfId="0" applyNumberFormat="1" applyFont="1" applyFill="1" applyBorder="1"/>
    <xf numFmtId="10" fontId="15" fillId="0" borderId="0" xfId="3" applyNumberFormat="1" applyFont="1"/>
    <xf numFmtId="0" fontId="0" fillId="0" borderId="0" xfId="0" applyAlignment="1">
      <alignment horizontal="left" vertical="top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40" fillId="2" borderId="9" xfId="0" applyFont="1" applyFill="1" applyBorder="1" applyAlignment="1">
      <alignment horizontal="center" vertical="center"/>
    </xf>
  </cellXfs>
  <cellStyles count="12491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rmal_Incent2007recon" xfId="12490" xr:uid="{5D9E49F6-E92A-44E1-AB5A-2ADCD9E7E5CC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2%20Base%20Case%20Electric%20CO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00900%20Allowed%20Revenue%20Electric%20COS%20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L%20Desk%20Main\Misc%20Journals\DJ103%20Prepaid%20Insurance\2023\202307\Deferral%20adjustment%20with%202023%20allocation%20ra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ID%20DSM/2022.07.29%20ID%20DSM%20Schedule%2091%20(AVU-E-22-09)/For%20Filing/Avista%20Electric%20DSM%20Sch%2091%20Workpapers%20(July202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WP%20CBR\WWP%202016-12%20CBR\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-RR Cross-Reference "/>
      <sheetName val="B - COS Results"/>
      <sheetName val="C-COS Allocation Factors"/>
      <sheetName val="D-Summary of Adjustments"/>
      <sheetName val="E-Summary of Results"/>
      <sheetName val="E2-Summary of Avg Cust Unit"/>
      <sheetName val="Index"/>
      <sheetName val="Print"/>
      <sheetName val="Detail"/>
      <sheetName val="Summary"/>
      <sheetName val="Factors"/>
      <sheetName val="Allocator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Substations "/>
      <sheetName val="DA Sch 25"/>
      <sheetName val="Area Lights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AMI Costs and Benefit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WA Ins Def w updated rates"/>
      <sheetName val="EDWA Ins Def w updated rates"/>
      <sheetName val="JET"/>
      <sheetName val="Prepaid Insurance Policies"/>
      <sheetName val="ED.WA Insur Deferral Baseli"/>
      <sheetName val="GD.WA Insur Deferral Baseli"/>
      <sheetName val="Avista Stadium Amort Schedule"/>
      <sheetName val="Colstrip 202306"/>
      <sheetName val="PT Ratio with 2022 Data"/>
      <sheetName val="WA Electric - Gas Spli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5">
          <cell r="D35">
            <v>0.64400000000000002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 Electric - Sched 91"/>
      <sheetName val="Revenue By Month"/>
      <sheetName val="DSM Balance"/>
      <sheetName val="Rev Conv Factor"/>
      <sheetName val="Billing Determinants"/>
      <sheetName val="Base Revenu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54"/>
  <sheetViews>
    <sheetView tabSelected="1" topLeftCell="A28" workbookViewId="0">
      <selection activeCell="D16" sqref="D16"/>
    </sheetView>
  </sheetViews>
  <sheetFormatPr defaultColWidth="9.140625" defaultRowHeight="15"/>
  <cols>
    <col min="1" max="1" width="9.140625" style="1"/>
    <col min="2" max="2" width="43.5703125" style="1" customWidth="1"/>
    <col min="3" max="3" width="17.85546875" style="1" customWidth="1"/>
    <col min="4" max="6" width="17" style="1" customWidth="1"/>
    <col min="7" max="8" width="15.85546875" style="1" bestFit="1" customWidth="1"/>
    <col min="9" max="10" width="17" style="1" customWidth="1"/>
    <col min="11" max="11" width="4.85546875" style="1" customWidth="1"/>
    <col min="12" max="13" width="9.140625" style="1"/>
    <col min="14" max="14" width="10.5703125" style="1" customWidth="1"/>
    <col min="15" max="15" width="30" style="1" customWidth="1"/>
    <col min="16" max="16" width="15.5703125" style="1" customWidth="1"/>
    <col min="17" max="17" width="13.140625" style="1" customWidth="1"/>
    <col min="18" max="16384" width="9.140625" style="1"/>
  </cols>
  <sheetData>
    <row r="1" spans="1:13">
      <c r="C1" s="2" t="s">
        <v>164</v>
      </c>
      <c r="D1" s="2"/>
    </row>
    <row r="3" spans="1:13">
      <c r="A3" s="3"/>
      <c r="B3" s="4"/>
      <c r="C3" s="5"/>
      <c r="D3" s="5"/>
      <c r="E3" s="5"/>
      <c r="F3" s="5"/>
      <c r="G3" s="5"/>
      <c r="H3" s="5"/>
      <c r="I3" s="5"/>
      <c r="J3" s="5"/>
      <c r="K3" s="6"/>
    </row>
    <row r="4" spans="1:13">
      <c r="A4" s="7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114</v>
      </c>
      <c r="I4" s="9" t="s">
        <v>6</v>
      </c>
      <c r="J4" s="9" t="s">
        <v>7</v>
      </c>
      <c r="K4" s="11"/>
    </row>
    <row r="5" spans="1:13">
      <c r="A5" s="7"/>
      <c r="B5" s="12" t="s">
        <v>8</v>
      </c>
      <c r="C5" s="13" t="s">
        <v>9</v>
      </c>
      <c r="D5" s="13" t="s">
        <v>73</v>
      </c>
      <c r="E5" s="13" t="s">
        <v>92</v>
      </c>
      <c r="F5" s="13" t="s">
        <v>91</v>
      </c>
      <c r="G5" s="13" t="s">
        <v>112</v>
      </c>
      <c r="H5" s="13" t="s">
        <v>113</v>
      </c>
      <c r="I5" s="13" t="s">
        <v>10</v>
      </c>
      <c r="J5" s="13" t="s">
        <v>11</v>
      </c>
      <c r="K5" s="14"/>
    </row>
    <row r="6" spans="1:13">
      <c r="A6" s="15" t="s">
        <v>12</v>
      </c>
      <c r="B6" s="16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18</v>
      </c>
      <c r="I6" s="17" t="s">
        <v>19</v>
      </c>
      <c r="J6" s="17" t="s">
        <v>20</v>
      </c>
      <c r="K6" s="18" t="s">
        <v>21</v>
      </c>
    </row>
    <row r="7" spans="1:13">
      <c r="A7" s="19">
        <v>1</v>
      </c>
      <c r="B7" s="20" t="s">
        <v>143</v>
      </c>
      <c r="C7" s="9"/>
      <c r="D7" s="9"/>
      <c r="E7" s="9"/>
      <c r="F7" s="9"/>
      <c r="G7" s="9"/>
      <c r="H7" s="9"/>
      <c r="I7" s="9"/>
      <c r="J7" s="9"/>
      <c r="K7" s="10"/>
    </row>
    <row r="8" spans="1:13" ht="15.75" thickBot="1">
      <c r="A8" s="140" t="s">
        <v>142</v>
      </c>
      <c r="B8" s="8" t="s">
        <v>201</v>
      </c>
      <c r="C8" s="21">
        <f>SUM(D8:J8)</f>
        <v>0.99999999999999978</v>
      </c>
      <c r="D8" s="78">
        <f>D53/$C$53</f>
        <v>0.54700341556721099</v>
      </c>
      <c r="E8" s="78">
        <f t="shared" ref="E8:I8" si="0">E53/$C$53</f>
        <v>0.12866464525545346</v>
      </c>
      <c r="F8" s="78">
        <f t="shared" si="0"/>
        <v>0.2023864239596688</v>
      </c>
      <c r="G8" s="78">
        <f t="shared" si="0"/>
        <v>5.9627714380929661E-2</v>
      </c>
      <c r="H8" s="78">
        <f t="shared" si="0"/>
        <v>3.5855198224058547E-2</v>
      </c>
      <c r="I8" s="78">
        <f t="shared" si="0"/>
        <v>2.6462602612678465E-2</v>
      </c>
      <c r="J8" s="78">
        <f>J53/$C$53</f>
        <v>0</v>
      </c>
      <c r="K8" s="22" t="s">
        <v>22</v>
      </c>
      <c r="L8" s="32">
        <v>1</v>
      </c>
      <c r="M8" s="141"/>
    </row>
    <row r="9" spans="1:13" ht="15.75" thickBot="1">
      <c r="A9" s="19">
        <v>3</v>
      </c>
      <c r="B9" s="8" t="s">
        <v>153</v>
      </c>
      <c r="C9" s="174">
        <v>86620</v>
      </c>
      <c r="D9" s="46">
        <f t="shared" ref="D9:I9" si="1">$C$9*D8</f>
        <v>47381.435856431817</v>
      </c>
      <c r="E9" s="46">
        <f t="shared" si="1"/>
        <v>11144.931572027379</v>
      </c>
      <c r="F9" s="46">
        <f t="shared" si="1"/>
        <v>17530.712043386513</v>
      </c>
      <c r="G9" s="46">
        <f t="shared" si="1"/>
        <v>5164.9526196761271</v>
      </c>
      <c r="H9" s="46">
        <f t="shared" si="1"/>
        <v>3105.7772701679514</v>
      </c>
      <c r="I9" s="46">
        <f t="shared" si="1"/>
        <v>2292.1906383102087</v>
      </c>
      <c r="J9" s="46">
        <f>$C$9*J8</f>
        <v>0</v>
      </c>
      <c r="K9" s="11"/>
    </row>
    <row r="10" spans="1:13">
      <c r="A10" s="19">
        <v>5</v>
      </c>
      <c r="B10" s="8" t="s">
        <v>23</v>
      </c>
      <c r="C10" s="23">
        <f>SUM(D10:J10)</f>
        <v>5755232347.9334755</v>
      </c>
      <c r="D10" s="23">
        <f>'kWh Forecast'!N22</f>
        <v>2566593571.0473332</v>
      </c>
      <c r="E10" s="23">
        <f>'kWh Forecast'!N23</f>
        <v>681083760.79192913</v>
      </c>
      <c r="F10" s="23">
        <f>'kWh Forecast'!N24</f>
        <v>1311256847.2120991</v>
      </c>
      <c r="G10" s="23">
        <f>'kWh Forecast'!N15</f>
        <v>617609505</v>
      </c>
      <c r="H10" s="23">
        <f>'kWh Forecast'!N19</f>
        <v>415386285</v>
      </c>
      <c r="I10" s="23">
        <f>'kWh Forecast'!N26</f>
        <v>147533673.28433281</v>
      </c>
      <c r="J10" s="23">
        <f>'kWh Forecast'!N27</f>
        <v>15768705.597780734</v>
      </c>
      <c r="K10" s="22" t="s">
        <v>24</v>
      </c>
    </row>
    <row r="11" spans="1:13">
      <c r="A11" s="19">
        <v>6</v>
      </c>
      <c r="B11" s="8" t="s">
        <v>25</v>
      </c>
      <c r="C11" s="24"/>
      <c r="D11" s="71">
        <f t="shared" ref="D11:J11" si="2">D9/D10</f>
        <v>1.8460825426714202E-5</v>
      </c>
      <c r="E11" s="71">
        <f t="shared" si="2"/>
        <v>1.6363525624320608E-5</v>
      </c>
      <c r="F11" s="71">
        <f t="shared" si="2"/>
        <v>1.3369395996412956E-5</v>
      </c>
      <c r="G11" s="71">
        <f t="shared" si="2"/>
        <v>8.3628127123401821E-6</v>
      </c>
      <c r="H11" s="71">
        <f t="shared" si="2"/>
        <v>7.4768411532122476E-6</v>
      </c>
      <c r="I11" s="71">
        <f t="shared" si="2"/>
        <v>1.5536728580549927E-5</v>
      </c>
      <c r="J11" s="71">
        <f t="shared" si="2"/>
        <v>0</v>
      </c>
      <c r="K11" s="11"/>
    </row>
    <row r="12" spans="1:13">
      <c r="A12" s="19">
        <v>7</v>
      </c>
      <c r="B12" s="8" t="s">
        <v>26</v>
      </c>
      <c r="C12" s="25">
        <f>SUM(D12:J12)</f>
        <v>3240259.268781967</v>
      </c>
      <c r="D12" s="25">
        <f>'kWh Forecast'!N52</f>
        <v>2762334.6976744183</v>
      </c>
      <c r="E12" s="25">
        <f>'kWh Forecast'!N53</f>
        <v>427031.87787822075</v>
      </c>
      <c r="F12" s="25">
        <f>'kWh Forecast'!N54</f>
        <v>20331.21792545704</v>
      </c>
      <c r="G12" s="25">
        <f>'kWh Forecast'!N45</f>
        <v>252</v>
      </c>
      <c r="H12" s="25">
        <f>'kWh Forecast'!N49</f>
        <v>12</v>
      </c>
      <c r="I12" s="25">
        <f>'kWh Forecast'!N56</f>
        <v>30297.475303871302</v>
      </c>
      <c r="J12" s="25"/>
      <c r="K12" s="22"/>
    </row>
    <row r="13" spans="1:13">
      <c r="A13" s="19">
        <v>8</v>
      </c>
      <c r="B13" s="8" t="s">
        <v>110</v>
      </c>
      <c r="C13" s="24"/>
      <c r="D13" s="47">
        <f t="shared" ref="D13:I13" si="3">(D10/D12)*D11</f>
        <v>1.7152677369734293E-2</v>
      </c>
      <c r="E13" s="47">
        <f t="shared" si="3"/>
        <v>2.6098593920910157E-2</v>
      </c>
      <c r="F13" s="47">
        <f t="shared" si="3"/>
        <v>0.8622558721106437</v>
      </c>
      <c r="G13" s="47">
        <f t="shared" si="3"/>
        <v>20.49584372887352</v>
      </c>
      <c r="H13" s="47">
        <f t="shared" si="3"/>
        <v>258.81477251399593</v>
      </c>
      <c r="I13" s="47">
        <f t="shared" si="3"/>
        <v>7.565615997110231E-2</v>
      </c>
      <c r="J13" s="47"/>
      <c r="K13" s="11"/>
    </row>
    <row r="14" spans="1:13">
      <c r="A14" s="19">
        <v>9</v>
      </c>
      <c r="B14" s="8" t="s">
        <v>111</v>
      </c>
      <c r="C14" s="24"/>
      <c r="D14" s="47">
        <f t="shared" ref="D14:I14" si="4">(D10/(D12/12))*D11</f>
        <v>0.20583212843681151</v>
      </c>
      <c r="E14" s="47">
        <f t="shared" si="4"/>
        <v>0.31318312705092188</v>
      </c>
      <c r="F14" s="47">
        <f t="shared" si="4"/>
        <v>10.347070465327725</v>
      </c>
      <c r="G14" s="47">
        <f t="shared" si="4"/>
        <v>245.95012474648226</v>
      </c>
      <c r="H14" s="47">
        <f t="shared" si="4"/>
        <v>3105.7772701679514</v>
      </c>
      <c r="I14" s="47">
        <f t="shared" si="4"/>
        <v>0.90787391965322772</v>
      </c>
      <c r="J14" s="47"/>
      <c r="K14" s="11"/>
    </row>
    <row r="15" spans="1:13">
      <c r="A15" s="19">
        <v>10</v>
      </c>
      <c r="B15" s="8"/>
      <c r="C15" s="7"/>
      <c r="D15" s="24"/>
      <c r="E15" s="24"/>
      <c r="F15" s="24"/>
      <c r="G15" s="24"/>
      <c r="H15" s="24"/>
      <c r="I15" s="24"/>
      <c r="J15" s="24"/>
      <c r="K15" s="24"/>
    </row>
    <row r="16" spans="1:13">
      <c r="A16" s="19">
        <v>11</v>
      </c>
      <c r="B16" s="8" t="s">
        <v>27</v>
      </c>
      <c r="C16" s="7"/>
      <c r="D16" s="26">
        <f>D11</f>
        <v>1.8460825426714202E-5</v>
      </c>
      <c r="E16" s="26">
        <f t="shared" ref="E16:J16" si="5">E11</f>
        <v>1.6363525624320608E-5</v>
      </c>
      <c r="F16" s="26">
        <f t="shared" si="5"/>
        <v>1.3369395996412956E-5</v>
      </c>
      <c r="G16" s="26">
        <f t="shared" si="5"/>
        <v>8.3628127123401821E-6</v>
      </c>
      <c r="H16" s="26">
        <f t="shared" ref="H16" si="6">H11</f>
        <v>7.4768411532122476E-6</v>
      </c>
      <c r="I16" s="26">
        <f t="shared" si="5"/>
        <v>1.5536728580549927E-5</v>
      </c>
      <c r="J16" s="26">
        <f t="shared" si="5"/>
        <v>0</v>
      </c>
      <c r="K16" s="24"/>
    </row>
    <row r="17" spans="1:14">
      <c r="A17" s="19">
        <v>12</v>
      </c>
      <c r="B17" s="8" t="s">
        <v>28</v>
      </c>
      <c r="C17" s="7"/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24"/>
    </row>
    <row r="18" spans="1:14">
      <c r="A18" s="19">
        <v>13</v>
      </c>
      <c r="B18" s="8" t="s">
        <v>29</v>
      </c>
      <c r="C18" s="7"/>
      <c r="D18" s="26">
        <f t="shared" ref="D18:J18" si="7">D16-D17</f>
        <v>1.8460825426714202E-5</v>
      </c>
      <c r="E18" s="26">
        <f t="shared" si="7"/>
        <v>1.6363525624320608E-5</v>
      </c>
      <c r="F18" s="26">
        <f t="shared" si="7"/>
        <v>1.3369395996412956E-5</v>
      </c>
      <c r="G18" s="26">
        <f t="shared" si="7"/>
        <v>8.3628127123401821E-6</v>
      </c>
      <c r="H18" s="26">
        <f t="shared" ref="H18" si="8">H16-H17</f>
        <v>7.4768411532122476E-6</v>
      </c>
      <c r="I18" s="26">
        <f t="shared" si="7"/>
        <v>1.5536728580549927E-5</v>
      </c>
      <c r="J18" s="26">
        <f t="shared" si="7"/>
        <v>0</v>
      </c>
      <c r="K18" s="24"/>
      <c r="N18" s="32"/>
    </row>
    <row r="19" spans="1:14">
      <c r="A19" s="44">
        <f t="shared" ref="A19" si="9">A18+1</f>
        <v>14</v>
      </c>
      <c r="B19" s="45" t="s">
        <v>152</v>
      </c>
      <c r="C19" s="27">
        <f>SUM(D19:J19)</f>
        <v>86619.999999999985</v>
      </c>
      <c r="D19" s="28">
        <f>D18*D10</f>
        <v>47381.43585643181</v>
      </c>
      <c r="E19" s="28">
        <f t="shared" ref="E19:J19" si="10">E18*E10</f>
        <v>11144.931572027379</v>
      </c>
      <c r="F19" s="28">
        <f t="shared" si="10"/>
        <v>17530.712043386513</v>
      </c>
      <c r="G19" s="28">
        <f t="shared" si="10"/>
        <v>5164.9526196761271</v>
      </c>
      <c r="H19" s="28">
        <f t="shared" ref="H19" si="11">H18*H10</f>
        <v>3105.7772701679514</v>
      </c>
      <c r="I19" s="28">
        <f t="shared" si="10"/>
        <v>2292.1906383102087</v>
      </c>
      <c r="J19" s="28">
        <f t="shared" si="10"/>
        <v>0</v>
      </c>
      <c r="K19" s="29"/>
    </row>
    <row r="20" spans="1:14">
      <c r="A20" s="19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4">
      <c r="A21" s="30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4">
      <c r="B22" s="8" t="s">
        <v>46</v>
      </c>
      <c r="C22" s="31">
        <f>SUM(D22:J22)</f>
        <v>576920000</v>
      </c>
      <c r="D22" s="96">
        <v>252270000</v>
      </c>
      <c r="E22" s="96">
        <v>89268000</v>
      </c>
      <c r="F22" s="96">
        <v>141148000</v>
      </c>
      <c r="G22" s="96">
        <v>54855000</v>
      </c>
      <c r="H22" s="96">
        <v>18659000</v>
      </c>
      <c r="I22" s="96">
        <v>13888000</v>
      </c>
      <c r="J22" s="96">
        <v>6832000</v>
      </c>
      <c r="K22" s="8"/>
    </row>
    <row r="23" spans="1:14">
      <c r="B23" s="8" t="s">
        <v>47</v>
      </c>
      <c r="C23" s="180">
        <f t="shared" ref="C23:I23" si="12">C19/C22</f>
        <v>1.501421340913818E-4</v>
      </c>
      <c r="D23" s="180">
        <f>D19/D22</f>
        <v>1.8782033478587153E-4</v>
      </c>
      <c r="E23" s="180">
        <f t="shared" si="12"/>
        <v>1.2484800345059123E-4</v>
      </c>
      <c r="F23" s="180">
        <f t="shared" si="12"/>
        <v>1.2420092416036015E-4</v>
      </c>
      <c r="G23" s="180">
        <f t="shared" si="12"/>
        <v>9.415646011623603E-5</v>
      </c>
      <c r="H23" s="180">
        <f t="shared" si="12"/>
        <v>1.6644928828811573E-4</v>
      </c>
      <c r="I23" s="180">
        <f t="shared" si="12"/>
        <v>1.6504828904883415E-4</v>
      </c>
      <c r="J23" s="180">
        <f>J19/J22</f>
        <v>0</v>
      </c>
    </row>
    <row r="25" spans="1:14">
      <c r="B25" s="102" t="s">
        <v>100</v>
      </c>
      <c r="D25" s="155">
        <f>ROUND((ROUND(D16,5)-ROUND(D17,5))*932,2)</f>
        <v>0.02</v>
      </c>
    </row>
    <row r="26" spans="1:14">
      <c r="B26" s="1" t="s">
        <v>48</v>
      </c>
      <c r="D26" s="66">
        <f>D25/C43</f>
        <v>2.2849308808408546E-4</v>
      </c>
    </row>
    <row r="27" spans="1:14">
      <c r="J27" s="34">
        <f>40*J11</f>
        <v>0</v>
      </c>
    </row>
    <row r="28" spans="1:14">
      <c r="D28" s="92"/>
      <c r="F28" s="34"/>
    </row>
    <row r="30" spans="1:14">
      <c r="B30" s="158" t="s">
        <v>165</v>
      </c>
      <c r="C30" s="41">
        <f>'Deferral Balance'!K10</f>
        <v>82814.932472731016</v>
      </c>
      <c r="H30" s="60"/>
    </row>
    <row r="31" spans="1:14">
      <c r="B31" s="158" t="s">
        <v>195</v>
      </c>
      <c r="C31" s="41">
        <f>'Deferral Schedule'!R7</f>
        <v>0</v>
      </c>
      <c r="D31" s="34"/>
      <c r="H31" s="60"/>
    </row>
    <row r="32" spans="1:14">
      <c r="B32" s="158" t="s">
        <v>196</v>
      </c>
      <c r="C32" s="41">
        <f>SUM(C30:C31)</f>
        <v>82814.932472731016</v>
      </c>
      <c r="H32" s="60"/>
    </row>
    <row r="33" spans="2:23">
      <c r="B33" s="110" t="s">
        <v>105</v>
      </c>
      <c r="C33" s="39">
        <f>'CF WA Elec'!E21</f>
        <v>0.95606855188236617</v>
      </c>
      <c r="F33" s="103"/>
    </row>
    <row r="34" spans="2:23" ht="15.75" thickBot="1">
      <c r="B34" s="158" t="s">
        <v>197</v>
      </c>
      <c r="C34" s="111">
        <f>(C32)/C33</f>
        <v>86620.287122382506</v>
      </c>
      <c r="D34" s="42"/>
      <c r="E34" s="110" t="s">
        <v>109</v>
      </c>
      <c r="F34" s="103"/>
      <c r="H34" s="33"/>
    </row>
    <row r="35" spans="2:23" ht="15.75" thickTop="1">
      <c r="B35" s="110"/>
      <c r="C35" s="117"/>
      <c r="E35" s="110"/>
      <c r="F35" s="103"/>
      <c r="H35" s="33"/>
    </row>
    <row r="36" spans="2:23">
      <c r="B36" s="110"/>
      <c r="C36" s="117"/>
      <c r="E36" s="110"/>
      <c r="F36" s="103"/>
      <c r="H36" s="33"/>
    </row>
    <row r="37" spans="2:23">
      <c r="B37" s="110"/>
      <c r="C37" s="117"/>
      <c r="E37" s="110"/>
      <c r="F37" s="103"/>
      <c r="H37" s="33"/>
    </row>
    <row r="38" spans="2:23">
      <c r="F38" s="103"/>
    </row>
    <row r="39" spans="2:23">
      <c r="B39" s="62" t="s">
        <v>58</v>
      </c>
      <c r="N39" s="73"/>
      <c r="O39" s="74"/>
      <c r="P39" s="74"/>
      <c r="Q39" s="73"/>
    </row>
    <row r="40" spans="2:23">
      <c r="B40" s="1" t="s">
        <v>59</v>
      </c>
      <c r="C40" s="155">
        <v>9</v>
      </c>
      <c r="N40" s="75"/>
      <c r="O40" s="76"/>
      <c r="P40" s="76"/>
      <c r="Q40" s="76"/>
    </row>
    <row r="41" spans="2:23">
      <c r="B41" s="1" t="s">
        <v>60</v>
      </c>
      <c r="C41" s="156">
        <v>8.2159999999999997E-2</v>
      </c>
      <c r="G41" s="8"/>
      <c r="H41" s="8"/>
      <c r="I41" s="8"/>
      <c r="J41" s="8"/>
      <c r="K41" s="8"/>
      <c r="L41" s="8"/>
      <c r="M41" s="8"/>
      <c r="N41" s="8"/>
      <c r="O41" s="61"/>
      <c r="P41" s="61"/>
      <c r="Q41" s="61"/>
      <c r="R41" s="8"/>
      <c r="S41" s="8"/>
      <c r="T41" s="8"/>
      <c r="U41" s="8"/>
      <c r="V41" s="8"/>
      <c r="W41" s="8"/>
    </row>
    <row r="42" spans="2:23">
      <c r="B42" s="1" t="s">
        <v>61</v>
      </c>
      <c r="C42" s="156">
        <v>9.6970000000000001E-2</v>
      </c>
      <c r="G42" s="8"/>
      <c r="H42" s="8"/>
      <c r="I42" s="8"/>
      <c r="J42" s="8"/>
      <c r="K42" s="8"/>
      <c r="L42" s="8"/>
      <c r="M42" s="8"/>
      <c r="N42" s="8"/>
      <c r="O42" s="61"/>
      <c r="P42" s="61"/>
      <c r="Q42" s="61"/>
      <c r="R42" s="8"/>
      <c r="S42" s="8"/>
      <c r="T42" s="8"/>
      <c r="U42" s="8"/>
      <c r="V42" s="8"/>
      <c r="W42" s="8"/>
    </row>
    <row r="43" spans="2:23">
      <c r="B43" s="102" t="s">
        <v>101</v>
      </c>
      <c r="C43" s="33">
        <f>C40+ROUND((800*C41),2)+ROUND(((932-800)*C42),2)</f>
        <v>87.53</v>
      </c>
      <c r="G43" s="8"/>
      <c r="H43" s="8"/>
      <c r="I43" s="8"/>
      <c r="J43" s="8"/>
      <c r="K43" s="8"/>
      <c r="L43" s="8"/>
      <c r="M43" s="8"/>
      <c r="N43" s="8"/>
      <c r="O43" s="61"/>
      <c r="P43" s="61"/>
      <c r="Q43" s="61"/>
      <c r="R43" s="8"/>
      <c r="S43" s="8"/>
      <c r="T43" s="8"/>
      <c r="U43" s="8"/>
      <c r="V43" s="8"/>
      <c r="W43" s="8"/>
    </row>
    <row r="44" spans="2:23"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2:23">
      <c r="B45" s="91" t="s">
        <v>90</v>
      </c>
      <c r="C45" s="34">
        <f>D25</f>
        <v>0.02</v>
      </c>
      <c r="D45" s="180">
        <f>C45/C43</f>
        <v>2.2849308808408546E-4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2:23">
      <c r="G46" s="8"/>
      <c r="H46" s="8"/>
      <c r="I46" s="8"/>
      <c r="J46" s="8"/>
      <c r="K46" s="8"/>
      <c r="L46" s="8"/>
      <c r="M46" s="8"/>
      <c r="N46" s="97"/>
      <c r="O46" s="98"/>
      <c r="P46" s="97"/>
      <c r="Q46" s="8"/>
      <c r="R46" s="8"/>
      <c r="S46" s="8"/>
      <c r="T46" s="8"/>
      <c r="U46" s="8"/>
      <c r="V46" s="8"/>
      <c r="W46" s="8"/>
    </row>
    <row r="47" spans="2:23">
      <c r="B47" s="1" t="s">
        <v>72</v>
      </c>
      <c r="C47" s="34">
        <f>SUM(C43:C46)</f>
        <v>87.55</v>
      </c>
      <c r="G47" s="8"/>
      <c r="H47" s="8"/>
      <c r="I47" s="8"/>
      <c r="J47" s="8"/>
      <c r="K47" s="8"/>
      <c r="L47" s="8"/>
      <c r="M47" s="8"/>
      <c r="N47" s="99"/>
      <c r="O47" s="8"/>
      <c r="P47" s="100"/>
      <c r="Q47" s="8"/>
      <c r="R47" s="8"/>
      <c r="S47" s="8"/>
      <c r="T47" s="8"/>
      <c r="U47" s="8"/>
      <c r="V47" s="8"/>
      <c r="W47" s="8"/>
    </row>
    <row r="48" spans="2:23">
      <c r="G48" s="8"/>
      <c r="H48" s="8"/>
      <c r="I48" s="8"/>
      <c r="J48" s="8"/>
      <c r="K48" s="8"/>
      <c r="L48" s="8"/>
      <c r="M48" s="8"/>
      <c r="N48" s="101"/>
      <c r="O48" s="8"/>
      <c r="P48" s="100"/>
      <c r="Q48" s="8"/>
      <c r="R48" s="8"/>
      <c r="S48" s="8"/>
      <c r="T48" s="8"/>
      <c r="U48" s="8"/>
      <c r="V48" s="8"/>
      <c r="W48" s="8"/>
    </row>
    <row r="49" spans="1:23">
      <c r="A49" s="176" t="s">
        <v>202</v>
      </c>
      <c r="G49" s="8"/>
      <c r="H49" s="8"/>
      <c r="I49" s="8"/>
      <c r="J49" s="8"/>
      <c r="K49" s="8"/>
      <c r="L49" s="8"/>
      <c r="M49" s="8"/>
      <c r="N49" s="101"/>
      <c r="O49" s="8"/>
      <c r="P49" s="100"/>
      <c r="Q49" s="8"/>
      <c r="R49" s="8"/>
      <c r="S49" s="8"/>
      <c r="T49" s="8"/>
      <c r="U49" s="8"/>
      <c r="V49" s="8"/>
      <c r="W49" s="8"/>
    </row>
    <row r="50" spans="1:23">
      <c r="A50" s="144" t="s">
        <v>151</v>
      </c>
      <c r="G50" s="8"/>
      <c r="H50" s="8"/>
      <c r="I50" s="8"/>
      <c r="J50" s="8"/>
      <c r="K50" s="8"/>
      <c r="L50" s="8"/>
      <c r="M50" s="8"/>
      <c r="N50" s="101"/>
      <c r="O50" s="8"/>
      <c r="P50" s="100"/>
      <c r="Q50" s="8"/>
      <c r="R50" s="8"/>
      <c r="S50" s="8"/>
      <c r="T50" s="8"/>
      <c r="U50" s="8"/>
      <c r="V50" s="8"/>
      <c r="W50" s="8"/>
    </row>
    <row r="51" spans="1:23">
      <c r="A51" s="143">
        <v>864</v>
      </c>
      <c r="C51" s="177" t="s">
        <v>0</v>
      </c>
      <c r="D51" s="177" t="s">
        <v>144</v>
      </c>
      <c r="E51" s="177" t="s">
        <v>145</v>
      </c>
      <c r="F51" s="177" t="s">
        <v>146</v>
      </c>
      <c r="G51" s="30" t="s">
        <v>147</v>
      </c>
      <c r="H51" s="30" t="s">
        <v>150</v>
      </c>
      <c r="I51" s="30" t="s">
        <v>148</v>
      </c>
      <c r="J51" s="30" t="s">
        <v>149</v>
      </c>
      <c r="K51" s="8"/>
      <c r="L51" s="8"/>
      <c r="M51" s="8"/>
      <c r="N51" s="101"/>
      <c r="O51" s="8"/>
      <c r="P51" s="100"/>
      <c r="Q51" s="8"/>
      <c r="R51" s="8"/>
      <c r="S51" s="8"/>
      <c r="T51" s="8"/>
      <c r="U51" s="8"/>
      <c r="V51" s="8"/>
      <c r="W51" s="8"/>
    </row>
    <row r="52" spans="1:23">
      <c r="A52" s="143"/>
      <c r="G52" s="8"/>
      <c r="H52" s="8"/>
      <c r="I52" s="8"/>
      <c r="J52" s="8"/>
      <c r="K52" s="8"/>
      <c r="L52" s="8"/>
      <c r="M52" s="8"/>
      <c r="N52" s="101"/>
      <c r="O52" s="8"/>
      <c r="P52" s="100"/>
      <c r="Q52" s="8"/>
      <c r="R52" s="8"/>
      <c r="S52" s="8"/>
      <c r="T52" s="8"/>
      <c r="U52" s="8"/>
      <c r="V52" s="8"/>
      <c r="W52" s="8"/>
    </row>
    <row r="53" spans="1:23">
      <c r="A53" s="143">
        <v>142</v>
      </c>
      <c r="B53" s="176" t="s">
        <v>203</v>
      </c>
      <c r="C53" s="41">
        <f>SUM(D53:J53)</f>
        <v>2550479.9120298368</v>
      </c>
      <c r="D53" s="41">
        <v>1395121.2232158806</v>
      </c>
      <c r="E53" s="41">
        <v>328156.59311247908</v>
      </c>
      <c r="F53" s="41">
        <v>516182.5087766893</v>
      </c>
      <c r="G53" s="145">
        <v>152079.28772881371</v>
      </c>
      <c r="H53" s="145">
        <v>91447.962812309212</v>
      </c>
      <c r="I53" s="145">
        <v>67492.336383664704</v>
      </c>
      <c r="J53" s="145">
        <v>0</v>
      </c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</sheetData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43"/>
  <sheetViews>
    <sheetView workbookViewId="0">
      <selection activeCell="N18" sqref="N18"/>
    </sheetView>
  </sheetViews>
  <sheetFormatPr defaultColWidth="8.7109375" defaultRowHeight="12.75"/>
  <cols>
    <col min="1" max="1" width="8.7109375" style="157"/>
    <col min="2" max="2" width="15.7109375" style="157" customWidth="1"/>
    <col min="3" max="3" width="19.5703125" style="157" customWidth="1"/>
    <col min="4" max="4" width="16.42578125" style="157" customWidth="1"/>
    <col min="5" max="5" width="12.85546875" style="157" customWidth="1"/>
    <col min="6" max="6" width="15.140625" style="157" customWidth="1"/>
    <col min="7" max="7" width="12.85546875" style="157" customWidth="1"/>
    <col min="8" max="8" width="19.7109375" style="157" customWidth="1"/>
    <col min="9" max="9" width="17.7109375" style="157" customWidth="1"/>
    <col min="10" max="10" width="12.140625" style="157" customWidth="1"/>
    <col min="11" max="11" width="12.28515625" style="157" bestFit="1" customWidth="1"/>
    <col min="12" max="12" width="11.28515625" style="157" bestFit="1" customWidth="1"/>
    <col min="13" max="13" width="10.85546875" style="157" customWidth="1"/>
    <col min="14" max="14" width="35.140625" style="157" customWidth="1"/>
    <col min="15" max="16384" width="8.7109375" style="157"/>
  </cols>
  <sheetData>
    <row r="1" spans="1:36" ht="15">
      <c r="C1" s="159" t="s">
        <v>166</v>
      </c>
      <c r="D1" s="159" t="s">
        <v>167</v>
      </c>
      <c r="E1" s="159" t="s">
        <v>168</v>
      </c>
      <c r="F1" s="159" t="s">
        <v>169</v>
      </c>
      <c r="G1" s="159" t="s">
        <v>170</v>
      </c>
      <c r="H1" s="159" t="s">
        <v>171</v>
      </c>
      <c r="I1" s="159" t="s">
        <v>172</v>
      </c>
    </row>
    <row r="2" spans="1:36" ht="60">
      <c r="B2" s="112" t="s">
        <v>173</v>
      </c>
      <c r="C2" s="112" t="s">
        <v>174</v>
      </c>
      <c r="D2" s="112" t="s">
        <v>175</v>
      </c>
      <c r="E2" s="112" t="s">
        <v>176</v>
      </c>
      <c r="F2" s="112" t="s">
        <v>177</v>
      </c>
      <c r="G2" s="112" t="s">
        <v>178</v>
      </c>
      <c r="H2" s="112" t="s">
        <v>179</v>
      </c>
      <c r="I2" s="112" t="s">
        <v>180</v>
      </c>
      <c r="J2" s="112" t="s">
        <v>181</v>
      </c>
      <c r="K2" s="112" t="s">
        <v>182</v>
      </c>
    </row>
    <row r="3" spans="1:36" ht="15">
      <c r="J3" s="115"/>
      <c r="N3" s="2" t="s">
        <v>183</v>
      </c>
    </row>
    <row r="4" spans="1:36" ht="15">
      <c r="A4" s="113">
        <v>44927</v>
      </c>
      <c r="B4" s="114">
        <f t="shared" ref="B4:B15" si="0">$B$16/12</f>
        <v>689277.5</v>
      </c>
      <c r="C4" s="160">
        <v>964891.24000000011</v>
      </c>
      <c r="D4" s="142">
        <v>461071.68387580215</v>
      </c>
      <c r="E4" s="160">
        <v>200204.77</v>
      </c>
      <c r="F4" s="160">
        <v>12968.37</v>
      </c>
      <c r="G4" s="160">
        <v>56247.199999999997</v>
      </c>
      <c r="H4" s="160">
        <v>44574.801319999999</v>
      </c>
      <c r="I4" s="115">
        <v>705851.25519580208</v>
      </c>
      <c r="J4" s="115">
        <v>16573.78</v>
      </c>
      <c r="K4" s="115">
        <f>J4</f>
        <v>16573.78</v>
      </c>
      <c r="N4" s="157">
        <v>0.70111999999999997</v>
      </c>
      <c r="O4" s="161" t="s">
        <v>184</v>
      </c>
    </row>
    <row r="5" spans="1:36" ht="15">
      <c r="A5" s="113">
        <v>44958</v>
      </c>
      <c r="B5" s="114">
        <f t="shared" si="0"/>
        <v>689277.5</v>
      </c>
      <c r="C5" s="160">
        <v>964891.24000000011</v>
      </c>
      <c r="D5" s="142">
        <v>461071.68387580215</v>
      </c>
      <c r="E5" s="160">
        <v>200204.77</v>
      </c>
      <c r="F5" s="160">
        <v>12968.33</v>
      </c>
      <c r="G5" s="160">
        <v>56247.199999999997</v>
      </c>
      <c r="H5" s="160">
        <v>44574.801319999999</v>
      </c>
      <c r="I5" s="115">
        <v>705851.25519580208</v>
      </c>
      <c r="J5" s="115">
        <v>16573.755195802078</v>
      </c>
      <c r="K5" s="115">
        <f>K4+J5</f>
        <v>33147.535195802076</v>
      </c>
      <c r="N5" s="157">
        <v>0.66942999999999997</v>
      </c>
      <c r="O5" s="161" t="s">
        <v>185</v>
      </c>
    </row>
    <row r="6" spans="1:36" ht="15">
      <c r="A6" s="113">
        <v>44986</v>
      </c>
      <c r="B6" s="114">
        <f t="shared" si="0"/>
        <v>689277.5</v>
      </c>
      <c r="C6" s="160">
        <v>964891.17000000016</v>
      </c>
      <c r="D6" s="142">
        <v>461071.65042641788</v>
      </c>
      <c r="E6" s="160">
        <v>200204.77</v>
      </c>
      <c r="F6" s="160">
        <v>12968.33</v>
      </c>
      <c r="G6" s="160">
        <v>56247.20199999999</v>
      </c>
      <c r="H6" s="160">
        <v>44574.802607999998</v>
      </c>
      <c r="I6" s="115">
        <v>705851.22303441784</v>
      </c>
      <c r="J6" s="115">
        <v>16573.723034417839</v>
      </c>
      <c r="K6" s="115">
        <f>K5+J6</f>
        <v>49721.258230219915</v>
      </c>
      <c r="N6" s="2" t="s">
        <v>186</v>
      </c>
    </row>
    <row r="7" spans="1:36" ht="15">
      <c r="A7" s="113">
        <v>45017</v>
      </c>
      <c r="B7" s="114">
        <f t="shared" si="0"/>
        <v>689277.5</v>
      </c>
      <c r="C7" s="160">
        <v>964818.71</v>
      </c>
      <c r="D7" s="142">
        <v>461037.0255352087</v>
      </c>
      <c r="E7" s="160">
        <v>200204.77</v>
      </c>
      <c r="F7" s="160">
        <v>12968.33</v>
      </c>
      <c r="G7" s="160">
        <v>56247.20199999999</v>
      </c>
      <c r="H7" s="160">
        <v>44574.802607999998</v>
      </c>
      <c r="I7" s="115">
        <v>705816.59814320866</v>
      </c>
      <c r="J7" s="115">
        <v>16539.098143208656</v>
      </c>
      <c r="K7" s="115">
        <f>K6+J7</f>
        <v>66260.356373428571</v>
      </c>
      <c r="N7" s="162">
        <f>'[4]PT Ratio with 2022 Data'!D35</f>
        <v>0.64400000000000002</v>
      </c>
      <c r="O7" s="161" t="s">
        <v>187</v>
      </c>
    </row>
    <row r="8" spans="1:36" ht="15.75" thickBot="1">
      <c r="A8" s="113">
        <v>45047</v>
      </c>
      <c r="B8" s="114">
        <f t="shared" si="0"/>
        <v>689277.5</v>
      </c>
      <c r="C8" s="160">
        <v>987237.11</v>
      </c>
      <c r="D8" s="142">
        <v>471749.6209131098</v>
      </c>
      <c r="E8" s="160">
        <v>209919.41999999998</v>
      </c>
      <c r="F8" s="160">
        <v>12968.33</v>
      </c>
      <c r="G8" s="160">
        <v>58726.791868749999</v>
      </c>
      <c r="H8" s="160">
        <v>46171.658483474996</v>
      </c>
      <c r="I8" s="115">
        <v>727840.69939658477</v>
      </c>
      <c r="J8" s="115">
        <v>38563.199396584765</v>
      </c>
      <c r="K8" s="115">
        <f>K7+J8</f>
        <v>104823.55577001334</v>
      </c>
      <c r="N8" s="162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4"/>
      <c r="AC8" s="165" t="s">
        <v>188</v>
      </c>
      <c r="AD8" s="166">
        <f>SUM(AD6:AD7)</f>
        <v>0</v>
      </c>
      <c r="AE8" s="163"/>
      <c r="AF8" s="167"/>
      <c r="AG8" s="163"/>
      <c r="AH8" s="166">
        <f>SUM(AH6:AH7)</f>
        <v>0</v>
      </c>
      <c r="AI8" s="163"/>
      <c r="AJ8" s="168" t="s">
        <v>189</v>
      </c>
    </row>
    <row r="9" spans="1:36" ht="16.5" thickTop="1" thickBot="1">
      <c r="A9" s="113">
        <v>45078</v>
      </c>
      <c r="B9" s="114">
        <f t="shared" si="0"/>
        <v>689277.5</v>
      </c>
      <c r="C9" s="160">
        <v>969302.32</v>
      </c>
      <c r="D9" s="142">
        <v>463179.5111614046</v>
      </c>
      <c r="E9" s="160">
        <v>202147.69999999998</v>
      </c>
      <c r="F9" s="160">
        <v>12968.33</v>
      </c>
      <c r="G9" s="160">
        <v>58726.791868749999</v>
      </c>
      <c r="H9" s="160">
        <v>46171.658483474996</v>
      </c>
      <c r="I9" s="115">
        <v>711498.8696448796</v>
      </c>
      <c r="J9" s="115">
        <v>22221.369644879596</v>
      </c>
      <c r="K9" s="115">
        <f>K8+J9</f>
        <v>127044.92541489293</v>
      </c>
      <c r="L9" s="169">
        <v>-49422.224705631903</v>
      </c>
      <c r="M9" s="115" t="s">
        <v>190</v>
      </c>
    </row>
    <row r="10" spans="1:36" ht="15.75" thickBot="1">
      <c r="A10" s="113">
        <v>45108</v>
      </c>
      <c r="B10" s="114">
        <f t="shared" si="0"/>
        <v>689277.5</v>
      </c>
      <c r="C10" s="160">
        <v>950569.19</v>
      </c>
      <c r="D10" s="142">
        <v>446150.37327999505</v>
      </c>
      <c r="E10" s="160">
        <v>202147.69999999998</v>
      </c>
      <c r="F10" s="160">
        <v>12968.33</v>
      </c>
      <c r="G10" s="160">
        <v>58726.791868749999</v>
      </c>
      <c r="H10" s="160">
        <v>46171.658483474996</v>
      </c>
      <c r="I10" s="115">
        <v>694469.73176346999</v>
      </c>
      <c r="J10" s="115">
        <v>5192.2317634699866</v>
      </c>
      <c r="K10" s="173">
        <f>K9+J10+L9</f>
        <v>82814.932472731016</v>
      </c>
    </row>
    <row r="11" spans="1:36" ht="15">
      <c r="A11" s="113">
        <v>45139</v>
      </c>
      <c r="B11" s="114">
        <f t="shared" si="0"/>
        <v>689277.5</v>
      </c>
      <c r="C11" s="160"/>
      <c r="D11" s="142"/>
      <c r="E11" s="160"/>
      <c r="G11" s="160"/>
      <c r="J11" s="115">
        <f t="shared" ref="J11:J16" ca="1" si="1">IF(A11&lt;(TODAY()-15),I11-B11," ")</f>
        <v>-689277.5</v>
      </c>
      <c r="K11" s="115"/>
    </row>
    <row r="12" spans="1:36" ht="15">
      <c r="A12" s="113">
        <v>45170</v>
      </c>
      <c r="B12" s="114">
        <f t="shared" si="0"/>
        <v>689277.5</v>
      </c>
      <c r="C12" s="160"/>
      <c r="D12" s="142"/>
      <c r="E12" s="160"/>
      <c r="G12" s="160"/>
      <c r="J12" s="115" t="str">
        <f t="shared" ca="1" si="1"/>
        <v xml:space="preserve"> </v>
      </c>
      <c r="K12" s="115"/>
    </row>
    <row r="13" spans="1:36" ht="15">
      <c r="A13" s="113">
        <v>45200</v>
      </c>
      <c r="B13" s="114">
        <f t="shared" si="0"/>
        <v>689277.5</v>
      </c>
      <c r="C13" s="160"/>
      <c r="D13" s="142"/>
      <c r="E13" s="160"/>
      <c r="G13" s="160"/>
      <c r="J13" s="115" t="str">
        <f t="shared" ca="1" si="1"/>
        <v xml:space="preserve"> </v>
      </c>
      <c r="K13" s="115"/>
    </row>
    <row r="14" spans="1:36" ht="15">
      <c r="A14" s="113">
        <v>45231</v>
      </c>
      <c r="B14" s="114">
        <f t="shared" si="0"/>
        <v>689277.5</v>
      </c>
      <c r="C14" s="160"/>
      <c r="D14" s="142"/>
      <c r="E14" s="160"/>
      <c r="G14" s="160"/>
      <c r="J14" s="115" t="str">
        <f t="shared" ca="1" si="1"/>
        <v xml:space="preserve"> </v>
      </c>
      <c r="K14" s="115"/>
    </row>
    <row r="15" spans="1:36" ht="15">
      <c r="A15" s="113">
        <v>45261</v>
      </c>
      <c r="B15" s="114">
        <f t="shared" si="0"/>
        <v>689277.5</v>
      </c>
      <c r="C15" s="160"/>
      <c r="D15" s="142"/>
      <c r="E15" s="160"/>
      <c r="G15" s="160"/>
      <c r="J15" s="115" t="str">
        <f t="shared" ca="1" si="1"/>
        <v xml:space="preserve"> </v>
      </c>
      <c r="K15" s="115"/>
    </row>
    <row r="16" spans="1:36" ht="15.75" thickBot="1">
      <c r="A16" s="116" t="s">
        <v>0</v>
      </c>
      <c r="B16" s="170">
        <v>8271330</v>
      </c>
      <c r="G16" s="160"/>
      <c r="J16" s="115" t="str">
        <f t="shared" ca="1" si="1"/>
        <v xml:space="preserve"> </v>
      </c>
    </row>
    <row r="17" spans="1:10" ht="13.5" thickTop="1">
      <c r="J17" s="115"/>
    </row>
    <row r="18" spans="1:10">
      <c r="J18" s="115"/>
    </row>
    <row r="19" spans="1:10" ht="15">
      <c r="A19" s="171" t="s">
        <v>160</v>
      </c>
      <c r="B19" s="181" t="s">
        <v>191</v>
      </c>
      <c r="C19" s="181"/>
      <c r="D19" s="181"/>
      <c r="E19" s="181"/>
      <c r="F19" s="181"/>
      <c r="G19" s="181"/>
      <c r="H19" s="181"/>
      <c r="I19" s="181"/>
      <c r="J19" s="181"/>
    </row>
    <row r="20" spans="1:10" ht="15">
      <c r="A20" s="171" t="s">
        <v>161</v>
      </c>
      <c r="B20" s="181" t="s">
        <v>192</v>
      </c>
      <c r="C20" s="181"/>
      <c r="D20" s="181"/>
      <c r="E20" s="181"/>
      <c r="F20" s="181"/>
      <c r="G20" s="181"/>
      <c r="H20" s="181"/>
      <c r="I20" s="181"/>
      <c r="J20" s="181"/>
    </row>
    <row r="21" spans="1:10" ht="15">
      <c r="A21" s="172" t="s">
        <v>162</v>
      </c>
      <c r="B21" s="181" t="s">
        <v>193</v>
      </c>
      <c r="C21" s="181"/>
      <c r="D21" s="181"/>
      <c r="E21" s="181"/>
      <c r="F21" s="181"/>
      <c r="G21" s="181"/>
      <c r="H21" s="181"/>
      <c r="I21" s="181"/>
      <c r="J21" s="181"/>
    </row>
    <row r="22" spans="1:10">
      <c r="B22" s="181"/>
      <c r="C22" s="181"/>
      <c r="D22" s="181"/>
      <c r="E22" s="181"/>
      <c r="F22" s="181"/>
      <c r="G22" s="181"/>
      <c r="H22" s="181"/>
      <c r="I22" s="181"/>
      <c r="J22" s="181"/>
    </row>
    <row r="23" spans="1:10">
      <c r="B23" s="157" t="s">
        <v>194</v>
      </c>
    </row>
    <row r="39" ht="14.45" customHeight="1"/>
    <row r="43" ht="14.45" customHeight="1"/>
  </sheetData>
  <mergeCells count="4">
    <mergeCell ref="B19:J19"/>
    <mergeCell ref="B20:J20"/>
    <mergeCell ref="B21:J21"/>
    <mergeCell ref="B22:J22"/>
  </mergeCells>
  <pageMargins left="0.7" right="0.7" top="0.75" bottom="0.75" header="0.3" footer="0.3"/>
  <pageSetup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dimension ref="B4:R46"/>
  <sheetViews>
    <sheetView zoomScale="85" zoomScaleNormal="85" workbookViewId="0">
      <selection activeCell="D9" sqref="D9"/>
    </sheetView>
  </sheetViews>
  <sheetFormatPr defaultColWidth="9.140625" defaultRowHeight="15.75"/>
  <cols>
    <col min="1" max="1" width="9.140625" style="119"/>
    <col min="2" max="2" width="41.28515625" style="119" bestFit="1" customWidth="1"/>
    <col min="3" max="3" width="10.5703125" style="119" bestFit="1" customWidth="1"/>
    <col min="4" max="4" width="14.140625" style="119" bestFit="1" customWidth="1"/>
    <col min="5" max="5" width="10.42578125" style="119" bestFit="1" customWidth="1"/>
    <col min="6" max="6" width="15.5703125" style="119" bestFit="1" customWidth="1"/>
    <col min="7" max="7" width="15.42578125" style="119" bestFit="1" customWidth="1"/>
    <col min="8" max="8" width="14.140625" style="119" bestFit="1" customWidth="1"/>
    <col min="9" max="9" width="14.28515625" style="119" bestFit="1" customWidth="1"/>
    <col min="10" max="14" width="13.7109375" style="119" bestFit="1" customWidth="1"/>
    <col min="15" max="15" width="13.140625" style="119" bestFit="1" customWidth="1"/>
    <col min="16" max="16" width="15" style="119" bestFit="1" customWidth="1"/>
    <col min="17" max="17" width="14.140625" style="119" bestFit="1" customWidth="1"/>
    <col min="18" max="18" width="13.7109375" style="119" bestFit="1" customWidth="1"/>
    <col min="19" max="16384" width="9.140625" style="119"/>
  </cols>
  <sheetData>
    <row r="4" spans="2:18">
      <c r="D4" s="119">
        <v>2023</v>
      </c>
      <c r="H4" s="119">
        <v>2024</v>
      </c>
    </row>
    <row r="5" spans="2:18">
      <c r="B5" s="120"/>
      <c r="C5" s="120"/>
      <c r="D5" s="120" t="s">
        <v>125</v>
      </c>
      <c r="F5" s="120" t="s">
        <v>129</v>
      </c>
      <c r="G5" s="120" t="s">
        <v>130</v>
      </c>
      <c r="H5" s="120" t="s">
        <v>119</v>
      </c>
      <c r="I5" s="120" t="s">
        <v>120</v>
      </c>
      <c r="J5" s="120" t="s">
        <v>121</v>
      </c>
      <c r="K5" s="120" t="s">
        <v>122</v>
      </c>
      <c r="L5" s="120" t="s">
        <v>123</v>
      </c>
      <c r="M5" s="120" t="s">
        <v>124</v>
      </c>
      <c r="N5" s="120" t="s">
        <v>125</v>
      </c>
      <c r="O5" s="120" t="s">
        <v>126</v>
      </c>
      <c r="P5" s="120" t="s">
        <v>127</v>
      </c>
      <c r="Q5" s="120" t="s">
        <v>128</v>
      </c>
      <c r="R5" s="119" t="s">
        <v>0</v>
      </c>
    </row>
    <row r="6" spans="2:18">
      <c r="B6" s="119" t="s">
        <v>198</v>
      </c>
      <c r="C6" s="121"/>
      <c r="D6" s="124">
        <f>-'[5]Revenue By Month'!H44</f>
        <v>0</v>
      </c>
      <c r="E6" s="122"/>
      <c r="F6" s="121">
        <f>'Forecasted Revenue'!H43</f>
        <v>7280.616902164832</v>
      </c>
      <c r="G6" s="121">
        <f>'Forecasted Revenue'!I43</f>
        <v>8450.0592281842528</v>
      </c>
      <c r="H6" s="121">
        <f>'Forecasted Revenue'!J43</f>
        <v>8513.4453329655498</v>
      </c>
      <c r="I6" s="121">
        <f>'Forecasted Revenue'!K43</f>
        <v>7510.2525965471386</v>
      </c>
      <c r="J6" s="121">
        <f>'Forecasted Revenue'!L43</f>
        <v>6942.5093672692101</v>
      </c>
      <c r="K6" s="121">
        <f>'Forecasted Revenue'!M43</f>
        <v>6051.2231411900129</v>
      </c>
      <c r="L6" s="121">
        <f>'Forecasted Revenue'!N43</f>
        <v>5846.676491453436</v>
      </c>
      <c r="M6" s="121">
        <f>'Forecasted Revenue'!O43</f>
        <v>6013.0756777752631</v>
      </c>
      <c r="N6" s="121">
        <f>'Forecasted Revenue'!P43</f>
        <v>6852.2578801864111</v>
      </c>
      <c r="O6" s="121">
        <f>'Forecasted Revenue'!Q43</f>
        <v>7158.2708843092796</v>
      </c>
      <c r="P6" s="121">
        <f>'Forecasted Revenue'!R43</f>
        <v>5982.5315879925074</v>
      </c>
      <c r="Q6" s="121">
        <f>'Forecasted Revenue'!S43</f>
        <v>6213.7388740126571</v>
      </c>
      <c r="R6" s="123">
        <f>SUM(F6:Q6)</f>
        <v>82814.657964050566</v>
      </c>
    </row>
    <row r="7" spans="2:18">
      <c r="B7" s="119" t="s">
        <v>199</v>
      </c>
      <c r="C7" s="124"/>
      <c r="D7" s="124"/>
      <c r="E7" s="125"/>
      <c r="F7" s="125">
        <f>(D9-(0.5*F6))*$F$16</f>
        <v>0</v>
      </c>
      <c r="G7" s="125">
        <f>(F9-(0.5*G6))*$F$16</f>
        <v>0</v>
      </c>
      <c r="H7" s="125">
        <f t="shared" ref="H7:Q7" si="0">(G9-(0.5*H6))*$F$16</f>
        <v>0</v>
      </c>
      <c r="I7" s="125">
        <f t="shared" si="0"/>
        <v>0</v>
      </c>
      <c r="J7" s="125">
        <f t="shared" si="0"/>
        <v>0</v>
      </c>
      <c r="K7" s="125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 s="125">
        <f t="shared" si="0"/>
        <v>0</v>
      </c>
      <c r="P7" s="125">
        <f>(O9-(0.5*P6))*$F$16</f>
        <v>0</v>
      </c>
      <c r="Q7" s="125">
        <f t="shared" si="0"/>
        <v>0</v>
      </c>
      <c r="R7" s="123">
        <f>SUM(F7:Q7)</f>
        <v>0</v>
      </c>
    </row>
    <row r="8" spans="2:18">
      <c r="B8" s="119" t="s">
        <v>131</v>
      </c>
      <c r="C8" s="124"/>
      <c r="D8" s="124">
        <f>D6+D7</f>
        <v>0</v>
      </c>
      <c r="E8" s="125"/>
      <c r="F8" s="124">
        <f>F6-F7</f>
        <v>7280.616902164832</v>
      </c>
      <c r="G8" s="124">
        <f t="shared" ref="G8:Q8" si="1">G6-G7</f>
        <v>8450.0592281842528</v>
      </c>
      <c r="H8" s="124">
        <f t="shared" si="1"/>
        <v>8513.4453329655498</v>
      </c>
      <c r="I8" s="124">
        <f t="shared" si="1"/>
        <v>7510.2525965471386</v>
      </c>
      <c r="J8" s="124">
        <f t="shared" si="1"/>
        <v>6942.5093672692101</v>
      </c>
      <c r="K8" s="124">
        <f t="shared" si="1"/>
        <v>6051.2231411900129</v>
      </c>
      <c r="L8" s="124">
        <f t="shared" si="1"/>
        <v>5846.676491453436</v>
      </c>
      <c r="M8" s="124">
        <f t="shared" si="1"/>
        <v>6013.0756777752631</v>
      </c>
      <c r="N8" s="124">
        <f t="shared" si="1"/>
        <v>6852.2578801864111</v>
      </c>
      <c r="O8" s="124">
        <f t="shared" si="1"/>
        <v>7158.2708843092796</v>
      </c>
      <c r="P8" s="124">
        <f t="shared" si="1"/>
        <v>5982.5315879925074</v>
      </c>
      <c r="Q8" s="124">
        <f t="shared" si="1"/>
        <v>6213.7388740126571</v>
      </c>
    </row>
    <row r="9" spans="2:18">
      <c r="B9" s="119" t="s">
        <v>200</v>
      </c>
      <c r="C9" s="126"/>
      <c r="D9" s="126">
        <f>'Deferral Balance'!K10</f>
        <v>82814.932472731016</v>
      </c>
      <c r="E9" s="122"/>
      <c r="F9" s="121">
        <f>D9-F8</f>
        <v>75534.315570566177</v>
      </c>
      <c r="G9" s="121">
        <f t="shared" ref="G9:Q9" si="2">F9-G8</f>
        <v>67084.256342381923</v>
      </c>
      <c r="H9" s="121">
        <f t="shared" si="2"/>
        <v>58570.811009416371</v>
      </c>
      <c r="I9" s="121">
        <f t="shared" si="2"/>
        <v>51060.558412869235</v>
      </c>
      <c r="J9" s="121">
        <f t="shared" si="2"/>
        <v>44118.049045600026</v>
      </c>
      <c r="K9" s="121">
        <f t="shared" si="2"/>
        <v>38066.825904410012</v>
      </c>
      <c r="L9" s="121">
        <f t="shared" si="2"/>
        <v>32220.149412956576</v>
      </c>
      <c r="M9" s="121">
        <f t="shared" si="2"/>
        <v>26207.073735181315</v>
      </c>
      <c r="N9" s="121">
        <f t="shared" si="2"/>
        <v>19354.815854994904</v>
      </c>
      <c r="O9" s="121">
        <f t="shared" si="2"/>
        <v>12196.544970685623</v>
      </c>
      <c r="P9" s="121">
        <f t="shared" si="2"/>
        <v>6214.013382693116</v>
      </c>
      <c r="Q9" s="121">
        <f t="shared" si="2"/>
        <v>0.27450868045889365</v>
      </c>
    </row>
    <row r="15" spans="2:18" ht="39">
      <c r="C15" s="148" t="s">
        <v>155</v>
      </c>
      <c r="D15" s="148" t="s">
        <v>132</v>
      </c>
      <c r="E15" s="148" t="s">
        <v>156</v>
      </c>
      <c r="F15" s="148" t="s">
        <v>157</v>
      </c>
    </row>
    <row r="16" spans="2:18">
      <c r="B16" s="119" t="s">
        <v>154</v>
      </c>
      <c r="C16" s="150">
        <v>0</v>
      </c>
      <c r="D16" s="151">
        <f>C16/12</f>
        <v>0</v>
      </c>
      <c r="E16" s="149">
        <v>0.21</v>
      </c>
      <c r="F16" s="147">
        <f>D16*(1-E16)</f>
        <v>0</v>
      </c>
      <c r="G16" s="119" t="s">
        <v>163</v>
      </c>
      <c r="R16" s="146"/>
    </row>
    <row r="17" spans="3:10">
      <c r="C17" s="127"/>
      <c r="D17" s="128"/>
    </row>
    <row r="19" spans="3:10">
      <c r="F19" s="119" t="s">
        <v>137</v>
      </c>
      <c r="G19" s="124">
        <f>D9</f>
        <v>82814.932472731016</v>
      </c>
    </row>
    <row r="20" spans="3:10">
      <c r="F20" s="119" t="s">
        <v>57</v>
      </c>
      <c r="G20" s="129">
        <f>SUM(F7:Q7)</f>
        <v>0</v>
      </c>
    </row>
    <row r="21" spans="3:10">
      <c r="F21" s="119" t="s">
        <v>134</v>
      </c>
      <c r="G21" s="124">
        <f>SUM(G19:G20)</f>
        <v>82814.932472731016</v>
      </c>
    </row>
    <row r="22" spans="3:10">
      <c r="G22" s="124"/>
    </row>
    <row r="23" spans="3:10">
      <c r="F23" s="119" t="s">
        <v>133</v>
      </c>
      <c r="G23" s="130">
        <f>'CF WA Elec'!E21</f>
        <v>0.95606855188236617</v>
      </c>
    </row>
    <row r="24" spans="3:10">
      <c r="F24" s="119" t="s">
        <v>135</v>
      </c>
      <c r="G24" s="124">
        <f>G21/G23</f>
        <v>86620.287122382506</v>
      </c>
    </row>
    <row r="30" spans="3:10" ht="31.5">
      <c r="F30" s="131" t="s">
        <v>12</v>
      </c>
      <c r="G30" s="131" t="s">
        <v>138</v>
      </c>
      <c r="H30" s="131" t="s">
        <v>139</v>
      </c>
      <c r="I30" s="131" t="s">
        <v>140</v>
      </c>
      <c r="J30" s="131" t="s">
        <v>102</v>
      </c>
    </row>
    <row r="31" spans="3:10">
      <c r="F31" s="132">
        <v>1</v>
      </c>
      <c r="G31" s="131"/>
      <c r="H31" s="133"/>
      <c r="I31" s="134">
        <f>C16*(1-E16)</f>
        <v>0</v>
      </c>
      <c r="J31" s="131"/>
    </row>
    <row r="32" spans="3:10">
      <c r="F32" s="132">
        <v>2</v>
      </c>
      <c r="G32" s="135"/>
      <c r="H32" s="175">
        <f>D9</f>
        <v>82814.932472731016</v>
      </c>
      <c r="I32" s="136"/>
    </row>
    <row r="33" spans="6:10">
      <c r="F33" s="132">
        <v>3</v>
      </c>
      <c r="G33" s="137">
        <v>45231</v>
      </c>
      <c r="H33" s="136">
        <f>H32+I33-J33</f>
        <v>75534.315570566177</v>
      </c>
      <c r="I33" s="136">
        <f>(H32-(J33*0.5))*($I$31/12)</f>
        <v>0</v>
      </c>
      <c r="J33" s="138">
        <f>'Forecasted Revenue'!H43</f>
        <v>7280.616902164832</v>
      </c>
    </row>
    <row r="34" spans="6:10">
      <c r="F34" s="132">
        <v>4</v>
      </c>
      <c r="G34" s="137">
        <f t="shared" ref="G34:G44" si="3">G33+31</f>
        <v>45262</v>
      </c>
      <c r="H34" s="136">
        <f t="shared" ref="H34:H44" si="4">H33+I34-J34</f>
        <v>67084.256342381923</v>
      </c>
      <c r="I34" s="136">
        <f t="shared" ref="I34:I44" si="5">(H33-J34*0.5)*($I$31/12)</f>
        <v>0</v>
      </c>
      <c r="J34" s="138">
        <f>'Forecasted Revenue'!I43</f>
        <v>8450.0592281842528</v>
      </c>
    </row>
    <row r="35" spans="6:10">
      <c r="F35" s="132">
        <v>5</v>
      </c>
      <c r="G35" s="137">
        <f t="shared" si="3"/>
        <v>45293</v>
      </c>
      <c r="H35" s="136">
        <f t="shared" si="4"/>
        <v>58570.811009416371</v>
      </c>
      <c r="I35" s="136">
        <f t="shared" si="5"/>
        <v>0</v>
      </c>
      <c r="J35" s="138">
        <f>'Forecasted Revenue'!J43</f>
        <v>8513.4453329655498</v>
      </c>
    </row>
    <row r="36" spans="6:10">
      <c r="F36" s="132">
        <v>6</v>
      </c>
      <c r="G36" s="137">
        <f t="shared" si="3"/>
        <v>45324</v>
      </c>
      <c r="H36" s="136">
        <f t="shared" si="4"/>
        <v>51060.558412869235</v>
      </c>
      <c r="I36" s="136">
        <f t="shared" si="5"/>
        <v>0</v>
      </c>
      <c r="J36" s="138">
        <f>'Forecasted Revenue'!K43</f>
        <v>7510.2525965471386</v>
      </c>
    </row>
    <row r="37" spans="6:10">
      <c r="F37" s="132">
        <v>7</v>
      </c>
      <c r="G37" s="137">
        <f t="shared" si="3"/>
        <v>45355</v>
      </c>
      <c r="H37" s="136">
        <f t="shared" si="4"/>
        <v>44118.049045600026</v>
      </c>
      <c r="I37" s="136">
        <f t="shared" si="5"/>
        <v>0</v>
      </c>
      <c r="J37" s="138">
        <f>'Forecasted Revenue'!L43</f>
        <v>6942.5093672692101</v>
      </c>
    </row>
    <row r="38" spans="6:10">
      <c r="F38" s="132">
        <v>8</v>
      </c>
      <c r="G38" s="137">
        <f t="shared" si="3"/>
        <v>45386</v>
      </c>
      <c r="H38" s="136">
        <f t="shared" si="4"/>
        <v>38066.825904410012</v>
      </c>
      <c r="I38" s="136">
        <f t="shared" si="5"/>
        <v>0</v>
      </c>
      <c r="J38" s="138">
        <f>'Forecasted Revenue'!M43</f>
        <v>6051.2231411900129</v>
      </c>
    </row>
    <row r="39" spans="6:10">
      <c r="F39" s="132">
        <v>9</v>
      </c>
      <c r="G39" s="137">
        <f t="shared" si="3"/>
        <v>45417</v>
      </c>
      <c r="H39" s="136">
        <f t="shared" si="4"/>
        <v>32220.149412956576</v>
      </c>
      <c r="I39" s="136">
        <f t="shared" si="5"/>
        <v>0</v>
      </c>
      <c r="J39" s="138">
        <f>'Forecasted Revenue'!N43</f>
        <v>5846.676491453436</v>
      </c>
    </row>
    <row r="40" spans="6:10">
      <c r="F40" s="132">
        <v>10</v>
      </c>
      <c r="G40" s="137">
        <f t="shared" si="3"/>
        <v>45448</v>
      </c>
      <c r="H40" s="136">
        <f t="shared" si="4"/>
        <v>26207.073735181315</v>
      </c>
      <c r="I40" s="136">
        <f t="shared" si="5"/>
        <v>0</v>
      </c>
      <c r="J40" s="138">
        <f>'Forecasted Revenue'!O43</f>
        <v>6013.0756777752631</v>
      </c>
    </row>
    <row r="41" spans="6:10">
      <c r="F41" s="132">
        <v>11</v>
      </c>
      <c r="G41" s="137">
        <f t="shared" si="3"/>
        <v>45479</v>
      </c>
      <c r="H41" s="136">
        <f t="shared" si="4"/>
        <v>19354.815854994904</v>
      </c>
      <c r="I41" s="136">
        <f t="shared" si="5"/>
        <v>0</v>
      </c>
      <c r="J41" s="138">
        <f>'Forecasted Revenue'!P43</f>
        <v>6852.2578801864111</v>
      </c>
    </row>
    <row r="42" spans="6:10">
      <c r="F42" s="132">
        <v>12</v>
      </c>
      <c r="G42" s="137">
        <f t="shared" si="3"/>
        <v>45510</v>
      </c>
      <c r="H42" s="136">
        <f t="shared" si="4"/>
        <v>12196.544970685623</v>
      </c>
      <c r="I42" s="136">
        <f t="shared" si="5"/>
        <v>0</v>
      </c>
      <c r="J42" s="138">
        <f>'Forecasted Revenue'!Q43</f>
        <v>7158.2708843092796</v>
      </c>
    </row>
    <row r="43" spans="6:10">
      <c r="F43" s="132">
        <v>13</v>
      </c>
      <c r="G43" s="137">
        <f t="shared" si="3"/>
        <v>45541</v>
      </c>
      <c r="H43" s="136">
        <f>H42+I43-J43</f>
        <v>6214.013382693116</v>
      </c>
      <c r="I43" s="136">
        <f t="shared" si="5"/>
        <v>0</v>
      </c>
      <c r="J43" s="138">
        <f>'Forecasted Revenue'!R43</f>
        <v>5982.5315879925074</v>
      </c>
    </row>
    <row r="44" spans="6:10">
      <c r="F44" s="132">
        <v>14</v>
      </c>
      <c r="G44" s="137">
        <f t="shared" si="3"/>
        <v>45572</v>
      </c>
      <c r="H44" s="136">
        <f t="shared" si="4"/>
        <v>0.27450868045889365</v>
      </c>
      <c r="I44" s="136">
        <f t="shared" si="5"/>
        <v>0</v>
      </c>
      <c r="J44" s="138">
        <f>'Forecasted Revenue'!S43</f>
        <v>6213.7388740126571</v>
      </c>
    </row>
    <row r="46" spans="6:10">
      <c r="F46" s="132">
        <v>15</v>
      </c>
      <c r="G46" s="119" t="s">
        <v>141</v>
      </c>
      <c r="I46" s="136">
        <f>SUM(I33:I45)</f>
        <v>0</v>
      </c>
      <c r="J46" s="139">
        <f>SUM(J33:J45)</f>
        <v>82814.657964050566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7"/>
  <sheetViews>
    <sheetView workbookViewId="0">
      <selection activeCell="H37" sqref="H37"/>
    </sheetView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7" width="13.42578125" style="1" bestFit="1" customWidth="1"/>
    <col min="8" max="8" width="14.28515625" style="1" bestFit="1" customWidth="1"/>
    <col min="9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35" t="s">
        <v>64</v>
      </c>
      <c r="B1" s="35"/>
    </row>
    <row r="4" spans="1:20">
      <c r="A4" s="1" t="s">
        <v>49</v>
      </c>
      <c r="D4" s="36">
        <v>44743</v>
      </c>
      <c r="E4" s="36">
        <v>44774</v>
      </c>
      <c r="F4" s="36">
        <v>44805</v>
      </c>
      <c r="G4" s="36">
        <v>44835</v>
      </c>
      <c r="H4" s="36">
        <v>45231</v>
      </c>
      <c r="I4" s="36">
        <v>45261</v>
      </c>
      <c r="J4" s="36">
        <v>45292</v>
      </c>
      <c r="K4" s="36">
        <v>45323</v>
      </c>
      <c r="L4" s="36">
        <v>45352</v>
      </c>
      <c r="M4" s="36">
        <v>45383</v>
      </c>
      <c r="N4" s="36">
        <v>45413</v>
      </c>
      <c r="O4" s="36">
        <v>45444</v>
      </c>
      <c r="P4" s="36">
        <v>45474</v>
      </c>
      <c r="Q4" s="36">
        <v>45505</v>
      </c>
      <c r="R4" s="36">
        <v>45536</v>
      </c>
      <c r="S4" s="36">
        <v>45566</v>
      </c>
    </row>
    <row r="5" spans="1:20">
      <c r="B5" s="1" t="s">
        <v>75</v>
      </c>
      <c r="D5" s="37"/>
      <c r="E5" s="37"/>
      <c r="F5" s="37"/>
      <c r="G5" s="37"/>
      <c r="H5" s="37">
        <f>'kWh Forecast'!B22</f>
        <v>235946007.98693439</v>
      </c>
      <c r="I5" s="37">
        <f>'kWh Forecast'!C22</f>
        <v>297456462.56435245</v>
      </c>
      <c r="J5" s="37">
        <f>'kWh Forecast'!D22</f>
        <v>301765375.53165054</v>
      </c>
      <c r="K5" s="37">
        <f>'kWh Forecast'!E22</f>
        <v>255859994.07496363</v>
      </c>
      <c r="L5" s="37">
        <f>'kWh Forecast'!F22</f>
        <v>225841060.46251208</v>
      </c>
      <c r="M5" s="37">
        <f>'kWh Forecast'!G22</f>
        <v>182482987.26500857</v>
      </c>
      <c r="N5" s="37">
        <f>'kWh Forecast'!H22</f>
        <v>163759072.52232468</v>
      </c>
      <c r="O5" s="37">
        <f>'kWh Forecast'!I22</f>
        <v>161242849.58974019</v>
      </c>
      <c r="P5" s="37">
        <f>'kWh Forecast'!J22</f>
        <v>192776018.12559634</v>
      </c>
      <c r="Q5" s="37">
        <f>'kWh Forecast'!K22</f>
        <v>210064416.9829776</v>
      </c>
      <c r="R5" s="37">
        <f>'kWh Forecast'!L22</f>
        <v>164248252.80340925</v>
      </c>
      <c r="S5" s="37">
        <f>'kWh Forecast'!M22</f>
        <v>175151073.13786343</v>
      </c>
      <c r="T5" s="37">
        <f>SUM(D5:S5)</f>
        <v>2566593571.0473332</v>
      </c>
    </row>
    <row r="6" spans="1:20">
      <c r="B6" s="1" t="s">
        <v>51</v>
      </c>
      <c r="D6" s="37"/>
      <c r="E6" s="37"/>
      <c r="F6" s="37"/>
      <c r="G6" s="37"/>
      <c r="H6" s="37">
        <f>'kWh Forecast'!B23</f>
        <v>59969436.391246565</v>
      </c>
      <c r="I6" s="37">
        <f>'kWh Forecast'!C23</f>
        <v>67514674.551979929</v>
      </c>
      <c r="J6" s="37">
        <f>'kWh Forecast'!D23</f>
        <v>66175768.174606346</v>
      </c>
      <c r="K6" s="37">
        <f>'kWh Forecast'!E23</f>
        <v>60824854.044374868</v>
      </c>
      <c r="L6" s="37">
        <f>'kWh Forecast'!F23</f>
        <v>57642337.671863586</v>
      </c>
      <c r="M6" s="37">
        <f>'kWh Forecast'!G23</f>
        <v>50313004.490033604</v>
      </c>
      <c r="N6" s="37">
        <f>'kWh Forecast'!H23</f>
        <v>48799715.822577871</v>
      </c>
      <c r="O6" s="37">
        <f>'kWh Forecast'!I23</f>
        <v>50199193.221615747</v>
      </c>
      <c r="P6" s="37">
        <f>'kWh Forecast'!J23</f>
        <v>57934521.50008779</v>
      </c>
      <c r="Q6" s="37">
        <f>'kWh Forecast'!K23</f>
        <v>57518232.074999891</v>
      </c>
      <c r="R6" s="37">
        <f>'kWh Forecast'!L23</f>
        <v>51168047.43729791</v>
      </c>
      <c r="S6" s="37">
        <f>'kWh Forecast'!M23</f>
        <v>53023975.411245033</v>
      </c>
      <c r="T6" s="37">
        <f t="shared" ref="T6:T11" si="0">SUM(D6:S6)</f>
        <v>681083760.79192913</v>
      </c>
    </row>
    <row r="7" spans="1:20">
      <c r="B7" s="1" t="s">
        <v>52</v>
      </c>
      <c r="D7" s="37"/>
      <c r="E7" s="37"/>
      <c r="F7" s="37"/>
      <c r="G7" s="37"/>
      <c r="H7" s="37">
        <f>'kWh Forecast'!B24</f>
        <v>117082091.41523786</v>
      </c>
      <c r="I7" s="37">
        <f>'kWh Forecast'!C24</f>
        <v>113100785.03157571</v>
      </c>
      <c r="J7" s="37">
        <f>'kWh Forecast'!D24</f>
        <v>109129046.029506</v>
      </c>
      <c r="K7" s="37">
        <f>'kWh Forecast'!E24</f>
        <v>106848952.04278769</v>
      </c>
      <c r="L7" s="37">
        <f>'kWh Forecast'!F24</f>
        <v>104370219.89654699</v>
      </c>
      <c r="M7" s="37">
        <f>'kWh Forecast'!G24</f>
        <v>101231853.44569716</v>
      </c>
      <c r="N7" s="37">
        <f>'kWh Forecast'!H24</f>
        <v>105586298.70959443</v>
      </c>
      <c r="O7" s="37">
        <f>'kWh Forecast'!I24</f>
        <v>109020288.32537802</v>
      </c>
      <c r="P7" s="37">
        <f>'kWh Forecast'!J24</f>
        <v>118413173.59211193</v>
      </c>
      <c r="Q7" s="37">
        <f>'kWh Forecast'!K24</f>
        <v>109806639.40594228</v>
      </c>
      <c r="R7" s="37">
        <f>'kWh Forecast'!L24</f>
        <v>102473332.88843574</v>
      </c>
      <c r="S7" s="37">
        <f>'kWh Forecast'!M24</f>
        <v>114194166.42928523</v>
      </c>
      <c r="T7" s="37">
        <f t="shared" si="0"/>
        <v>1311256847.2120991</v>
      </c>
    </row>
    <row r="8" spans="1:20">
      <c r="B8" s="1" t="s">
        <v>53</v>
      </c>
      <c r="D8" s="37"/>
      <c r="E8" s="37"/>
      <c r="F8" s="37"/>
      <c r="G8" s="37"/>
      <c r="H8" s="37">
        <f>'kWh Forecast'!B15</f>
        <v>49541955</v>
      </c>
      <c r="I8" s="37">
        <f>'kWh Forecast'!C15</f>
        <v>49979591</v>
      </c>
      <c r="J8" s="37">
        <f>'kWh Forecast'!D15</f>
        <v>55440542</v>
      </c>
      <c r="K8" s="37">
        <f>'kWh Forecast'!E15</f>
        <v>48854215</v>
      </c>
      <c r="L8" s="37">
        <f>'kWh Forecast'!F15</f>
        <v>52560911</v>
      </c>
      <c r="M8" s="37">
        <f>'kWh Forecast'!G15</f>
        <v>49147173</v>
      </c>
      <c r="N8" s="37">
        <f>'kWh Forecast'!H15</f>
        <v>49713670</v>
      </c>
      <c r="O8" s="37">
        <f>'kWh Forecast'!I15</f>
        <v>52029033</v>
      </c>
      <c r="P8" s="37">
        <f>'kWh Forecast'!J15</f>
        <v>51512338</v>
      </c>
      <c r="Q8" s="37">
        <f>'kWh Forecast'!K15</f>
        <v>58011555</v>
      </c>
      <c r="R8" s="37">
        <f>'kWh Forecast'!L15</f>
        <v>50365851</v>
      </c>
      <c r="S8" s="37">
        <f>'kWh Forecast'!M15</f>
        <v>50452671</v>
      </c>
      <c r="T8" s="37">
        <f t="shared" si="0"/>
        <v>617609505</v>
      </c>
    </row>
    <row r="9" spans="1:20">
      <c r="B9" s="118" t="s">
        <v>136</v>
      </c>
      <c r="D9" s="37"/>
      <c r="E9" s="37"/>
      <c r="F9" s="37"/>
      <c r="G9" s="37"/>
      <c r="H9" s="37">
        <f>'kWh Forecast'!B19</f>
        <v>35454061</v>
      </c>
      <c r="I9" s="37">
        <f>'kWh Forecast'!C19</f>
        <v>34638205</v>
      </c>
      <c r="J9" s="37">
        <f>'kWh Forecast'!D19</f>
        <v>35576866</v>
      </c>
      <c r="K9" s="37">
        <f>'kWh Forecast'!E19</f>
        <v>30968543</v>
      </c>
      <c r="L9" s="37">
        <f>'kWh Forecast'!F19</f>
        <v>33226563</v>
      </c>
      <c r="M9" s="37">
        <f>'kWh Forecast'!G19</f>
        <v>36898259</v>
      </c>
      <c r="N9" s="37">
        <f>'kWh Forecast'!H19</f>
        <v>34318289</v>
      </c>
      <c r="O9" s="37">
        <f>'kWh Forecast'!I19</f>
        <v>34622943</v>
      </c>
      <c r="P9" s="37">
        <f>'kWh Forecast'!J19</f>
        <v>34410021</v>
      </c>
      <c r="Q9" s="37">
        <f>'kWh Forecast'!K19</f>
        <v>36757867</v>
      </c>
      <c r="R9" s="37">
        <f>'kWh Forecast'!L19</f>
        <v>33155337</v>
      </c>
      <c r="S9" s="37">
        <f>'kWh Forecast'!M19</f>
        <v>35359331</v>
      </c>
      <c r="T9" s="37">
        <f t="shared" si="0"/>
        <v>415386285</v>
      </c>
    </row>
    <row r="10" spans="1:20">
      <c r="B10" s="1" t="s">
        <v>54</v>
      </c>
      <c r="D10" s="37"/>
      <c r="E10" s="37"/>
      <c r="F10" s="37"/>
      <c r="G10" s="37"/>
      <c r="H10" s="37">
        <f>'kWh Forecast'!B26</f>
        <v>2148535.058652895</v>
      </c>
      <c r="I10" s="37">
        <f>'kWh Forecast'!C26</f>
        <v>3425874.6507218229</v>
      </c>
      <c r="J10" s="37">
        <f>'kWh Forecast'!D26</f>
        <v>4009939.9112014472</v>
      </c>
      <c r="K10" s="37">
        <f>'kWh Forecast'!E26</f>
        <v>4379445.3481514584</v>
      </c>
      <c r="L10" s="37">
        <f>'kWh Forecast'!F26</f>
        <v>4230011.2203625403</v>
      </c>
      <c r="M10" s="37">
        <f>'kWh Forecast'!G26</f>
        <v>6236383.3650903627</v>
      </c>
      <c r="N10" s="37">
        <f>'kWh Forecast'!H26</f>
        <v>13497389.686853914</v>
      </c>
      <c r="O10" s="37">
        <f>'kWh Forecast'!I26</f>
        <v>21867571.970769797</v>
      </c>
      <c r="P10" s="37">
        <f>'kWh Forecast'!J26</f>
        <v>25045393.693771407</v>
      </c>
      <c r="Q10" s="37">
        <f>'kWh Forecast'!K26</f>
        <v>28320609.56866435</v>
      </c>
      <c r="R10" s="37">
        <f>'kWh Forecast'!L26</f>
        <v>22455024.314864375</v>
      </c>
      <c r="S10" s="37">
        <f>'kWh Forecast'!M26</f>
        <v>11917494.495228428</v>
      </c>
      <c r="T10" s="37">
        <f t="shared" si="0"/>
        <v>147533673.28433281</v>
      </c>
    </row>
    <row r="11" spans="1:20">
      <c r="B11" s="1" t="s">
        <v>55</v>
      </c>
      <c r="D11" s="37"/>
      <c r="E11" s="37"/>
      <c r="F11" s="37"/>
      <c r="G11" s="37"/>
      <c r="H11" s="37">
        <f>'kWh Forecast'!B27</f>
        <v>1330329.7010500454</v>
      </c>
      <c r="I11" s="37">
        <f>'kWh Forecast'!C27</f>
        <v>1338864.1154058825</v>
      </c>
      <c r="J11" s="37">
        <f>'kWh Forecast'!D27</f>
        <v>1340188.064714706</v>
      </c>
      <c r="K11" s="37">
        <f>'kWh Forecast'!E27</f>
        <v>1272098.5856400984</v>
      </c>
      <c r="L11" s="37">
        <f>'kWh Forecast'!F27</f>
        <v>1353925.3824872593</v>
      </c>
      <c r="M11" s="37">
        <f>'kWh Forecast'!G27</f>
        <v>1292839.6562630786</v>
      </c>
      <c r="N11" s="37">
        <f>'kWh Forecast'!H27</f>
        <v>1297017.5794819526</v>
      </c>
      <c r="O11" s="37">
        <f>'kWh Forecast'!I27</f>
        <v>1313152.508189003</v>
      </c>
      <c r="P11" s="37">
        <f>'kWh Forecast'!J27</f>
        <v>1314340.3992536208</v>
      </c>
      <c r="Q11" s="37">
        <f>'kWh Forecast'!K27</f>
        <v>1313371.6555335638</v>
      </c>
      <c r="R11" s="37">
        <f>'kWh Forecast'!L27</f>
        <v>1318741.2360407989</v>
      </c>
      <c r="S11" s="37">
        <f>'kWh Forecast'!M27</f>
        <v>1283836.7137207252</v>
      </c>
      <c r="T11" s="37">
        <f t="shared" si="0"/>
        <v>15768705.597780734</v>
      </c>
    </row>
    <row r="12" spans="1:20">
      <c r="A12" s="1" t="s">
        <v>56</v>
      </c>
      <c r="D12" s="38">
        <f>SUM(D5:D11)</f>
        <v>0</v>
      </c>
      <c r="E12" s="38">
        <f>SUM(E5:E11)</f>
        <v>0</v>
      </c>
      <c r="F12" s="38">
        <f>SUM(F5:F11)</f>
        <v>0</v>
      </c>
      <c r="G12" s="38">
        <f t="shared" ref="G12:S12" si="1">SUM(G5:G11)</f>
        <v>0</v>
      </c>
      <c r="H12" s="38">
        <f t="shared" si="1"/>
        <v>501472416.55312175</v>
      </c>
      <c r="I12" s="38">
        <f t="shared" si="1"/>
        <v>567454456.9140358</v>
      </c>
      <c r="J12" s="38">
        <f t="shared" si="1"/>
        <v>573437725.71167898</v>
      </c>
      <c r="K12" s="38">
        <f t="shared" si="1"/>
        <v>509008102.0959177</v>
      </c>
      <c r="L12" s="38">
        <f t="shared" si="1"/>
        <v>479225028.63377243</v>
      </c>
      <c r="M12" s="38">
        <f t="shared" si="1"/>
        <v>427602500.22209275</v>
      </c>
      <c r="N12" s="38">
        <f t="shared" si="1"/>
        <v>416971453.32083285</v>
      </c>
      <c r="O12" s="38">
        <f t="shared" si="1"/>
        <v>430295031.61569279</v>
      </c>
      <c r="P12" s="38">
        <f t="shared" si="1"/>
        <v>481405806.31082112</v>
      </c>
      <c r="Q12" s="38">
        <f t="shared" si="1"/>
        <v>501792691.68811768</v>
      </c>
      <c r="R12" s="38">
        <f t="shared" si="1"/>
        <v>425184586.68004805</v>
      </c>
      <c r="S12" s="38">
        <f t="shared" si="1"/>
        <v>441382548.18734282</v>
      </c>
      <c r="T12" s="37">
        <f>SUM(T5:T11)</f>
        <v>5755232347.9334755</v>
      </c>
    </row>
    <row r="13" spans="1:20">
      <c r="D13" s="37"/>
      <c r="E13" s="37"/>
      <c r="F13" s="37"/>
      <c r="G13" s="37"/>
      <c r="H13" s="37">
        <f>H12-'kWh Forecast'!B28</f>
        <v>0</v>
      </c>
      <c r="I13" s="37">
        <f>I12-'kWh Forecast'!C28</f>
        <v>0</v>
      </c>
      <c r="J13" s="37">
        <f>J12-'kWh Forecast'!D28</f>
        <v>0</v>
      </c>
      <c r="K13" s="37">
        <f>K12-'kWh Forecast'!E28</f>
        <v>0</v>
      </c>
      <c r="L13" s="37">
        <f>L12-'kWh Forecast'!F28</f>
        <v>0</v>
      </c>
      <c r="M13" s="37">
        <f>M12-'kWh Forecast'!G28</f>
        <v>0</v>
      </c>
      <c r="N13" s="37">
        <f>N12-'kWh Forecast'!H28</f>
        <v>0</v>
      </c>
      <c r="O13" s="37">
        <f>O12-'kWh Forecast'!I28</f>
        <v>0</v>
      </c>
      <c r="P13" s="37">
        <f>P12-'kWh Forecast'!J28</f>
        <v>0</v>
      </c>
      <c r="Q13" s="37">
        <f>Q12-'kWh Forecast'!K28</f>
        <v>0</v>
      </c>
      <c r="R13" s="37">
        <f>R12-'kWh Forecast'!L28</f>
        <v>0</v>
      </c>
      <c r="S13" s="37">
        <f>S12-'kWh Forecast'!M28</f>
        <v>0</v>
      </c>
    </row>
    <row r="15" spans="1:20">
      <c r="A15" s="110" t="s">
        <v>106</v>
      </c>
      <c r="D15" s="182" t="s">
        <v>87</v>
      </c>
      <c r="E15" s="183"/>
      <c r="F15" s="183"/>
      <c r="G15" s="184"/>
      <c r="H15" s="182" t="s">
        <v>88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4"/>
    </row>
    <row r="16" spans="1:20">
      <c r="B16" s="1" t="s">
        <v>75</v>
      </c>
      <c r="D16" s="39">
        <f>'Rate Design'!$D$17</f>
        <v>0</v>
      </c>
      <c r="E16" s="39">
        <f>'Rate Design'!$D$17</f>
        <v>0</v>
      </c>
      <c r="F16" s="39">
        <f>'Rate Design'!$D$17</f>
        <v>0</v>
      </c>
      <c r="G16" s="39">
        <f>'Rate Design'!$D$17</f>
        <v>0</v>
      </c>
      <c r="H16" s="39">
        <f>'Rate Design'!$D$16</f>
        <v>1.8460825426714202E-5</v>
      </c>
      <c r="I16" s="39">
        <f>'Rate Design'!$D$16</f>
        <v>1.8460825426714202E-5</v>
      </c>
      <c r="J16" s="39">
        <f>'Rate Design'!$D$16</f>
        <v>1.8460825426714202E-5</v>
      </c>
      <c r="K16" s="39">
        <f>'Rate Design'!$D$16</f>
        <v>1.8460825426714202E-5</v>
      </c>
      <c r="L16" s="39">
        <f>'Rate Design'!$D$16</f>
        <v>1.8460825426714202E-5</v>
      </c>
      <c r="M16" s="39">
        <f>'Rate Design'!$D$16</f>
        <v>1.8460825426714202E-5</v>
      </c>
      <c r="N16" s="39">
        <f>'Rate Design'!$D$16</f>
        <v>1.8460825426714202E-5</v>
      </c>
      <c r="O16" s="39">
        <f>'Rate Design'!$D$16</f>
        <v>1.8460825426714202E-5</v>
      </c>
      <c r="P16" s="39">
        <f>'Rate Design'!$D$16</f>
        <v>1.8460825426714202E-5</v>
      </c>
      <c r="Q16" s="39">
        <f>'Rate Design'!$D$16</f>
        <v>1.8460825426714202E-5</v>
      </c>
      <c r="R16" s="39">
        <f>'Rate Design'!$D$16</f>
        <v>1.8460825426714202E-5</v>
      </c>
      <c r="S16" s="39">
        <f>'Rate Design'!$D$16</f>
        <v>1.8460825426714202E-5</v>
      </c>
    </row>
    <row r="17" spans="1:19">
      <c r="B17" s="1" t="s">
        <v>51</v>
      </c>
      <c r="D17" s="39">
        <f>'Rate Design'!$E$17</f>
        <v>0</v>
      </c>
      <c r="E17" s="39">
        <f>'Rate Design'!$E$17</f>
        <v>0</v>
      </c>
      <c r="F17" s="39">
        <f>'Rate Design'!$E$17</f>
        <v>0</v>
      </c>
      <c r="G17" s="39">
        <f>'Rate Design'!$E$17</f>
        <v>0</v>
      </c>
      <c r="H17" s="39">
        <f>'Rate Design'!$E$16</f>
        <v>1.6363525624320608E-5</v>
      </c>
      <c r="I17" s="39">
        <f>'Rate Design'!$E$16</f>
        <v>1.6363525624320608E-5</v>
      </c>
      <c r="J17" s="39">
        <f>'Rate Design'!$E$16</f>
        <v>1.6363525624320608E-5</v>
      </c>
      <c r="K17" s="39">
        <f>'Rate Design'!$E$16</f>
        <v>1.6363525624320608E-5</v>
      </c>
      <c r="L17" s="39">
        <f>'Rate Design'!$E$16</f>
        <v>1.6363525624320608E-5</v>
      </c>
      <c r="M17" s="39">
        <f>'Rate Design'!$E$16</f>
        <v>1.6363525624320608E-5</v>
      </c>
      <c r="N17" s="39">
        <f>'Rate Design'!$E$16</f>
        <v>1.6363525624320608E-5</v>
      </c>
      <c r="O17" s="39">
        <f>'Rate Design'!$E$16</f>
        <v>1.6363525624320608E-5</v>
      </c>
      <c r="P17" s="39">
        <f>'Rate Design'!$E$16</f>
        <v>1.6363525624320608E-5</v>
      </c>
      <c r="Q17" s="39">
        <f>'Rate Design'!$E$16</f>
        <v>1.6363525624320608E-5</v>
      </c>
      <c r="R17" s="39">
        <f>'Rate Design'!$E$16</f>
        <v>1.6363525624320608E-5</v>
      </c>
      <c r="S17" s="39">
        <f>'Rate Design'!$E$16</f>
        <v>1.6363525624320608E-5</v>
      </c>
    </row>
    <row r="18" spans="1:19">
      <c r="B18" s="1" t="s">
        <v>52</v>
      </c>
      <c r="D18" s="39">
        <f>'Rate Design'!$F$17</f>
        <v>0</v>
      </c>
      <c r="E18" s="39">
        <f>'Rate Design'!$F$17</f>
        <v>0</v>
      </c>
      <c r="F18" s="39">
        <f>'Rate Design'!$F$17</f>
        <v>0</v>
      </c>
      <c r="G18" s="39">
        <f>'Rate Design'!$F$17</f>
        <v>0</v>
      </c>
      <c r="H18" s="39">
        <f>'Rate Design'!$F$16</f>
        <v>1.3369395996412956E-5</v>
      </c>
      <c r="I18" s="39">
        <f>'Rate Design'!$F$16</f>
        <v>1.3369395996412956E-5</v>
      </c>
      <c r="J18" s="39">
        <f>'Rate Design'!$F$16</f>
        <v>1.3369395996412956E-5</v>
      </c>
      <c r="K18" s="39">
        <f>'Rate Design'!$F$16</f>
        <v>1.3369395996412956E-5</v>
      </c>
      <c r="L18" s="39">
        <f>'Rate Design'!$F$16</f>
        <v>1.3369395996412956E-5</v>
      </c>
      <c r="M18" s="39">
        <f>'Rate Design'!$F$16</f>
        <v>1.3369395996412956E-5</v>
      </c>
      <c r="N18" s="39">
        <f>'Rate Design'!$F$16</f>
        <v>1.3369395996412956E-5</v>
      </c>
      <c r="O18" s="39">
        <f>'Rate Design'!$F$16</f>
        <v>1.3369395996412956E-5</v>
      </c>
      <c r="P18" s="39">
        <f>'Rate Design'!$F$16</f>
        <v>1.3369395996412956E-5</v>
      </c>
      <c r="Q18" s="39">
        <f>'Rate Design'!$F$16</f>
        <v>1.3369395996412956E-5</v>
      </c>
      <c r="R18" s="39">
        <f>'Rate Design'!$F$16</f>
        <v>1.3369395996412956E-5</v>
      </c>
      <c r="S18" s="39">
        <f>'Rate Design'!$F$16</f>
        <v>1.3369395996412956E-5</v>
      </c>
    </row>
    <row r="19" spans="1:19">
      <c r="B19" s="1" t="s">
        <v>53</v>
      </c>
      <c r="D19" s="39">
        <f>'Rate Design'!$G$17</f>
        <v>0</v>
      </c>
      <c r="E19" s="39">
        <f>'Rate Design'!$G$17</f>
        <v>0</v>
      </c>
      <c r="F19" s="39">
        <f>'Rate Design'!$G$17</f>
        <v>0</v>
      </c>
      <c r="G19" s="39">
        <f>'Rate Design'!$G$17</f>
        <v>0</v>
      </c>
      <c r="H19" s="39">
        <f>'Rate Design'!$G$16</f>
        <v>8.3628127123401821E-6</v>
      </c>
      <c r="I19" s="39">
        <f>'Rate Design'!$G$16</f>
        <v>8.3628127123401821E-6</v>
      </c>
      <c r="J19" s="39">
        <f>'Rate Design'!$G$16</f>
        <v>8.3628127123401821E-6</v>
      </c>
      <c r="K19" s="39">
        <f>'Rate Design'!$G$16</f>
        <v>8.3628127123401821E-6</v>
      </c>
      <c r="L19" s="39">
        <f>'Rate Design'!$G$16</f>
        <v>8.3628127123401821E-6</v>
      </c>
      <c r="M19" s="39">
        <f>'Rate Design'!$G$16</f>
        <v>8.3628127123401821E-6</v>
      </c>
      <c r="N19" s="39">
        <f>'Rate Design'!$G$16</f>
        <v>8.3628127123401821E-6</v>
      </c>
      <c r="O19" s="39">
        <f>'Rate Design'!$G$16</f>
        <v>8.3628127123401821E-6</v>
      </c>
      <c r="P19" s="39">
        <f>'Rate Design'!$G$16</f>
        <v>8.3628127123401821E-6</v>
      </c>
      <c r="Q19" s="39">
        <f>'Rate Design'!$G$16</f>
        <v>8.3628127123401821E-6</v>
      </c>
      <c r="R19" s="39">
        <f>'Rate Design'!$G$16</f>
        <v>8.3628127123401821E-6</v>
      </c>
      <c r="S19" s="39">
        <f>'Rate Design'!$G$16</f>
        <v>8.3628127123401821E-6</v>
      </c>
    </row>
    <row r="20" spans="1:19">
      <c r="B20" s="118" t="s">
        <v>136</v>
      </c>
      <c r="D20" s="39">
        <f>'Rate Design'!$G$17</f>
        <v>0</v>
      </c>
      <c r="E20" s="39">
        <f>'Rate Design'!$G$17</f>
        <v>0</v>
      </c>
      <c r="F20" s="39">
        <f>'Rate Design'!$G$17</f>
        <v>0</v>
      </c>
      <c r="G20" s="39">
        <f>'Rate Design'!$G$17</f>
        <v>0</v>
      </c>
      <c r="H20" s="39">
        <f>'Rate Design'!$H$11</f>
        <v>7.4768411532122476E-6</v>
      </c>
      <c r="I20" s="39">
        <f>'Rate Design'!$H$11</f>
        <v>7.4768411532122476E-6</v>
      </c>
      <c r="J20" s="39">
        <f>'Rate Design'!$H$11</f>
        <v>7.4768411532122476E-6</v>
      </c>
      <c r="K20" s="39">
        <f>'Rate Design'!$H$11</f>
        <v>7.4768411532122476E-6</v>
      </c>
      <c r="L20" s="39">
        <f>'Rate Design'!$H$11</f>
        <v>7.4768411532122476E-6</v>
      </c>
      <c r="M20" s="39">
        <f>'Rate Design'!$H$11</f>
        <v>7.4768411532122476E-6</v>
      </c>
      <c r="N20" s="39">
        <f>'Rate Design'!$H$11</f>
        <v>7.4768411532122476E-6</v>
      </c>
      <c r="O20" s="39">
        <f>'Rate Design'!$H$11</f>
        <v>7.4768411532122476E-6</v>
      </c>
      <c r="P20" s="39">
        <f>'Rate Design'!$H$11</f>
        <v>7.4768411532122476E-6</v>
      </c>
      <c r="Q20" s="39">
        <f>'Rate Design'!$H$11</f>
        <v>7.4768411532122476E-6</v>
      </c>
      <c r="R20" s="39">
        <f>'Rate Design'!$H$11</f>
        <v>7.4768411532122476E-6</v>
      </c>
      <c r="S20" s="39">
        <f>'Rate Design'!$H$11</f>
        <v>7.4768411532122476E-6</v>
      </c>
    </row>
    <row r="21" spans="1:19">
      <c r="B21" s="1" t="s">
        <v>54</v>
      </c>
      <c r="D21" s="39">
        <f>'Rate Design'!$I$17</f>
        <v>0</v>
      </c>
      <c r="E21" s="39">
        <f>'Rate Design'!$I$17</f>
        <v>0</v>
      </c>
      <c r="F21" s="39">
        <f>'Rate Design'!$I$17</f>
        <v>0</v>
      </c>
      <c r="G21" s="39">
        <f>'Rate Design'!$I$17</f>
        <v>0</v>
      </c>
      <c r="H21" s="39">
        <f>'Rate Design'!$I$16</f>
        <v>1.5536728580549927E-5</v>
      </c>
      <c r="I21" s="39">
        <f>'Rate Design'!$I$16</f>
        <v>1.5536728580549927E-5</v>
      </c>
      <c r="J21" s="39">
        <f>'Rate Design'!$I$16</f>
        <v>1.5536728580549927E-5</v>
      </c>
      <c r="K21" s="39">
        <f>'Rate Design'!$I$16</f>
        <v>1.5536728580549927E-5</v>
      </c>
      <c r="L21" s="39">
        <f>'Rate Design'!$I$16</f>
        <v>1.5536728580549927E-5</v>
      </c>
      <c r="M21" s="39">
        <f>'Rate Design'!$I$16</f>
        <v>1.5536728580549927E-5</v>
      </c>
      <c r="N21" s="39">
        <f>'Rate Design'!$I$16</f>
        <v>1.5536728580549927E-5</v>
      </c>
      <c r="O21" s="39">
        <f>'Rate Design'!$I$16</f>
        <v>1.5536728580549927E-5</v>
      </c>
      <c r="P21" s="39">
        <f>'Rate Design'!$I$16</f>
        <v>1.5536728580549927E-5</v>
      </c>
      <c r="Q21" s="39">
        <f>'Rate Design'!$I$16</f>
        <v>1.5536728580549927E-5</v>
      </c>
      <c r="R21" s="39">
        <f>'Rate Design'!$I$16</f>
        <v>1.5536728580549927E-5</v>
      </c>
      <c r="S21" s="39">
        <f>'Rate Design'!$I$16</f>
        <v>1.5536728580549927E-5</v>
      </c>
    </row>
    <row r="22" spans="1:19">
      <c r="B22" s="1" t="s">
        <v>55</v>
      </c>
      <c r="D22" s="39">
        <f>'Rate Design'!$J$17</f>
        <v>0</v>
      </c>
      <c r="E22" s="39">
        <f>'Rate Design'!$J$17</f>
        <v>0</v>
      </c>
      <c r="F22" s="39">
        <f>'Rate Design'!$J$17</f>
        <v>0</v>
      </c>
      <c r="G22" s="39">
        <f>'Rate Design'!$J$17</f>
        <v>0</v>
      </c>
      <c r="H22" s="39">
        <f>'Rate Design'!$J$16</f>
        <v>0</v>
      </c>
      <c r="I22" s="39">
        <f>'Rate Design'!$J$16</f>
        <v>0</v>
      </c>
      <c r="J22" s="39">
        <f>'Rate Design'!$J$16</f>
        <v>0</v>
      </c>
      <c r="K22" s="39">
        <f>'Rate Design'!$J$16</f>
        <v>0</v>
      </c>
      <c r="L22" s="39">
        <f>'Rate Design'!$J$16</f>
        <v>0</v>
      </c>
      <c r="M22" s="39">
        <f>'Rate Design'!$J$16</f>
        <v>0</v>
      </c>
      <c r="N22" s="39">
        <f>'Rate Design'!$J$16</f>
        <v>0</v>
      </c>
      <c r="O22" s="39">
        <f>'Rate Design'!$J$16</f>
        <v>0</v>
      </c>
      <c r="P22" s="39">
        <f>'Rate Design'!$J$16</f>
        <v>0</v>
      </c>
      <c r="Q22" s="39">
        <f>'Rate Design'!$J$16</f>
        <v>0</v>
      </c>
      <c r="R22" s="39">
        <f>'Rate Design'!$J$16</f>
        <v>0</v>
      </c>
      <c r="S22" s="39">
        <f>'Rate Design'!$J$16</f>
        <v>0</v>
      </c>
    </row>
    <row r="23" spans="1:19"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</row>
    <row r="25" spans="1:19">
      <c r="A25" s="110" t="s">
        <v>107</v>
      </c>
      <c r="D25" s="36">
        <f>D4</f>
        <v>44743</v>
      </c>
      <c r="E25" s="36">
        <f t="shared" ref="E25:S25" si="2">E4</f>
        <v>44774</v>
      </c>
      <c r="F25" s="36">
        <f t="shared" si="2"/>
        <v>44805</v>
      </c>
      <c r="G25" s="36">
        <f t="shared" si="2"/>
        <v>44835</v>
      </c>
      <c r="H25" s="36">
        <f t="shared" si="2"/>
        <v>45231</v>
      </c>
      <c r="I25" s="36">
        <f t="shared" si="2"/>
        <v>45261</v>
      </c>
      <c r="J25" s="36">
        <f t="shared" si="2"/>
        <v>45292</v>
      </c>
      <c r="K25" s="36">
        <f t="shared" si="2"/>
        <v>45323</v>
      </c>
      <c r="L25" s="36">
        <f t="shared" si="2"/>
        <v>45352</v>
      </c>
      <c r="M25" s="36">
        <f t="shared" si="2"/>
        <v>45383</v>
      </c>
      <c r="N25" s="36">
        <f t="shared" si="2"/>
        <v>45413</v>
      </c>
      <c r="O25" s="36">
        <f t="shared" si="2"/>
        <v>45444</v>
      </c>
      <c r="P25" s="36">
        <f t="shared" si="2"/>
        <v>45474</v>
      </c>
      <c r="Q25" s="36">
        <f t="shared" si="2"/>
        <v>45505</v>
      </c>
      <c r="R25" s="36">
        <f t="shared" si="2"/>
        <v>45536</v>
      </c>
      <c r="S25" s="36">
        <f t="shared" si="2"/>
        <v>45566</v>
      </c>
    </row>
    <row r="26" spans="1:19">
      <c r="B26" s="1" t="s">
        <v>50</v>
      </c>
      <c r="D26" s="41">
        <f t="shared" ref="D26:S26" si="3">D5*D16</f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>H5*H16</f>
        <v>4355.7580635769109</v>
      </c>
      <c r="I26" s="41">
        <f t="shared" si="3"/>
        <v>5491.2918274484591</v>
      </c>
      <c r="J26" s="41">
        <f t="shared" si="3"/>
        <v>5570.8379175166538</v>
      </c>
      <c r="K26" s="41">
        <f t="shared" si="3"/>
        <v>4723.3866842980333</v>
      </c>
      <c r="L26" s="41">
        <f t="shared" si="3"/>
        <v>4169.2123913824425</v>
      </c>
      <c r="M26" s="41">
        <f t="shared" si="3"/>
        <v>3368.7865712446342</v>
      </c>
      <c r="N26" s="41">
        <f t="shared" si="3"/>
        <v>3023.1276498752663</v>
      </c>
      <c r="O26" s="41">
        <f t="shared" si="3"/>
        <v>2976.6760975821294</v>
      </c>
      <c r="P26" s="41">
        <f t="shared" si="3"/>
        <v>3558.8044170737271</v>
      </c>
      <c r="Q26" s="41">
        <f t="shared" si="3"/>
        <v>3877.9625302872473</v>
      </c>
      <c r="R26" s="41">
        <f t="shared" si="3"/>
        <v>3032.1583216465597</v>
      </c>
      <c r="S26" s="41">
        <f t="shared" si="3"/>
        <v>3233.4333844997482</v>
      </c>
    </row>
    <row r="27" spans="1:19">
      <c r="B27" s="1" t="s">
        <v>51</v>
      </c>
      <c r="D27" s="41">
        <f t="shared" ref="D27:S27" si="4">D6*D17</f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981.31140906422797</v>
      </c>
      <c r="I27" s="41">
        <f t="shared" si="4"/>
        <v>1104.77810704899</v>
      </c>
      <c r="J27" s="41">
        <f t="shared" si="4"/>
        <v>1082.8688782342711</v>
      </c>
      <c r="K27" s="41">
        <f t="shared" si="4"/>
        <v>995.30905775068913</v>
      </c>
      <c r="L27" s="41">
        <f t="shared" si="4"/>
        <v>943.23186953928086</v>
      </c>
      <c r="M27" s="41">
        <f t="shared" si="4"/>
        <v>823.29813820922266</v>
      </c>
      <c r="N27" s="41">
        <f t="shared" si="4"/>
        <v>798.53540032231683</v>
      </c>
      <c r="O27" s="41">
        <f t="shared" si="4"/>
        <v>821.43578460213064</v>
      </c>
      <c r="P27" s="41">
        <f t="shared" si="4"/>
        <v>948.01302709943968</v>
      </c>
      <c r="Q27" s="41">
        <f t="shared" si="4"/>
        <v>941.2010644248802</v>
      </c>
      <c r="R27" s="41">
        <f t="shared" si="4"/>
        <v>837.28965538667671</v>
      </c>
      <c r="S27" s="41">
        <f t="shared" si="4"/>
        <v>867.65918034525396</v>
      </c>
    </row>
    <row r="28" spans="1:19">
      <c r="B28" s="1" t="s">
        <v>52</v>
      </c>
      <c r="D28" s="41">
        <f t="shared" ref="D28:S28" si="5">D7*D18</f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1565.3168442185367</v>
      </c>
      <c r="I28" s="41">
        <f t="shared" si="5"/>
        <v>1512.0891825923106</v>
      </c>
      <c r="J28" s="41">
        <f t="shared" si="5"/>
        <v>1458.9894310792426</v>
      </c>
      <c r="K28" s="41">
        <f t="shared" si="5"/>
        <v>1428.5059516617657</v>
      </c>
      <c r="L28" s="41">
        <f t="shared" si="5"/>
        <v>1395.3668000296352</v>
      </c>
      <c r="M28" s="41">
        <f t="shared" si="5"/>
        <v>1353.4087361663667</v>
      </c>
      <c r="N28" s="41">
        <f t="shared" si="5"/>
        <v>1411.6250392441143</v>
      </c>
      <c r="O28" s="41">
        <f t="shared" si="5"/>
        <v>1457.5354062650949</v>
      </c>
      <c r="P28" s="41">
        <f t="shared" si="5"/>
        <v>1583.1126089449335</v>
      </c>
      <c r="Q28" s="41">
        <f t="shared" si="5"/>
        <v>1468.0484452533658</v>
      </c>
      <c r="R28" s="41">
        <f t="shared" si="5"/>
        <v>1370.0065664577448</v>
      </c>
      <c r="S28" s="41">
        <f t="shared" si="5"/>
        <v>1526.7070314734008</v>
      </c>
    </row>
    <row r="29" spans="1:19">
      <c r="B29" s="1" t="s">
        <v>53</v>
      </c>
      <c r="D29" s="41">
        <f t="shared" ref="D29:S29" si="6">D8*D19</f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414.31009106818527</v>
      </c>
      <c r="I29" s="41">
        <f t="shared" si="6"/>
        <v>417.96995897236297</v>
      </c>
      <c r="J29" s="41">
        <f t="shared" si="6"/>
        <v>463.6388694166298</v>
      </c>
      <c r="K29" s="41">
        <f t="shared" si="6"/>
        <v>408.5586502534004</v>
      </c>
      <c r="L29" s="41">
        <f t="shared" si="6"/>
        <v>439.55705468298089</v>
      </c>
      <c r="M29" s="41">
        <f t="shared" si="6"/>
        <v>411.00860313998214</v>
      </c>
      <c r="N29" s="41">
        <f t="shared" si="6"/>
        <v>415.74611145308472</v>
      </c>
      <c r="O29" s="41">
        <f t="shared" si="6"/>
        <v>435.10905858316687</v>
      </c>
      <c r="P29" s="41">
        <f t="shared" si="6"/>
        <v>430.78803506876426</v>
      </c>
      <c r="Q29" s="41">
        <f t="shared" si="6"/>
        <v>485.13976961662166</v>
      </c>
      <c r="R29" s="41">
        <f t="shared" si="6"/>
        <v>421.20017901063147</v>
      </c>
      <c r="S29" s="41">
        <f t="shared" si="6"/>
        <v>421.92623841031684</v>
      </c>
    </row>
    <row r="30" spans="1:19">
      <c r="B30" s="118" t="s">
        <v>136</v>
      </c>
      <c r="D30" s="41"/>
      <c r="E30" s="41"/>
      <c r="F30" s="41"/>
      <c r="G30" s="41"/>
      <c r="H30" s="41">
        <f>H9*H20</f>
        <v>265.08438233329736</v>
      </c>
      <c r="I30" s="41">
        <f t="shared" ref="I30:S30" si="7">I9*I20</f>
        <v>258.98435661740223</v>
      </c>
      <c r="J30" s="41">
        <f t="shared" si="7"/>
        <v>266.00257581111759</v>
      </c>
      <c r="K30" s="41">
        <f t="shared" si="7"/>
        <v>231.54687675742309</v>
      </c>
      <c r="L30" s="41">
        <f t="shared" si="7"/>
        <v>248.42973361819941</v>
      </c>
      <c r="M30" s="41">
        <f t="shared" si="7"/>
        <v>275.88242137308418</v>
      </c>
      <c r="N30" s="41">
        <f t="shared" si="7"/>
        <v>256.59239550303118</v>
      </c>
      <c r="O30" s="41">
        <f t="shared" si="7"/>
        <v>258.8702450677219</v>
      </c>
      <c r="P30" s="41">
        <f t="shared" si="7"/>
        <v>257.27826109569764</v>
      </c>
      <c r="Q30" s="41">
        <f t="shared" si="7"/>
        <v>274.8327326899024</v>
      </c>
      <c r="R30" s="41">
        <f t="shared" si="7"/>
        <v>247.89718813022071</v>
      </c>
      <c r="S30" s="41">
        <f t="shared" si="7"/>
        <v>264.37610117085359</v>
      </c>
    </row>
    <row r="31" spans="1:19">
      <c r="B31" s="1" t="s">
        <v>54</v>
      </c>
      <c r="D31" s="41">
        <f>D10*D21</f>
        <v>0</v>
      </c>
      <c r="E31" s="41">
        <f>E10*E21</f>
        <v>0</v>
      </c>
      <c r="F31" s="41">
        <f>F10*F21</f>
        <v>0</v>
      </c>
      <c r="G31" s="41">
        <f>G10*G21</f>
        <v>0</v>
      </c>
      <c r="H31" s="41">
        <f>H10*H21</f>
        <v>33.38120605208595</v>
      </c>
      <c r="I31" s="41">
        <f t="shared" ref="I31:S31" si="8">I10*I21</f>
        <v>53.226884599251242</v>
      </c>
      <c r="J31" s="41">
        <f t="shared" si="8"/>
        <v>62.301348024651361</v>
      </c>
      <c r="K31" s="41">
        <f t="shared" si="8"/>
        <v>68.042253707581196</v>
      </c>
      <c r="L31" s="41">
        <f t="shared" si="8"/>
        <v>65.720536223453564</v>
      </c>
      <c r="M31" s="41">
        <f t="shared" si="8"/>
        <v>96.892995667665573</v>
      </c>
      <c r="N31" s="41">
        <f t="shared" si="8"/>
        <v>209.70528011056302</v>
      </c>
      <c r="O31" s="41">
        <f t="shared" si="8"/>
        <v>339.7505304254916</v>
      </c>
      <c r="P31" s="41">
        <f t="shared" si="8"/>
        <v>389.12348401314313</v>
      </c>
      <c r="Q31" s="41">
        <f t="shared" si="8"/>
        <v>440.00962410406316</v>
      </c>
      <c r="R31" s="41">
        <f t="shared" si="8"/>
        <v>348.87761804969688</v>
      </c>
      <c r="S31" s="41">
        <f t="shared" si="8"/>
        <v>185.15887733256196</v>
      </c>
    </row>
    <row r="32" spans="1:19">
      <c r="B32" s="1" t="s">
        <v>55</v>
      </c>
      <c r="D32" s="41">
        <f>D11*D22</f>
        <v>0</v>
      </c>
      <c r="E32" s="41">
        <f t="shared" ref="E32:S32" si="9">E11*E22</f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1">
        <f t="shared" si="9"/>
        <v>0</v>
      </c>
      <c r="R32" s="41">
        <f t="shared" si="9"/>
        <v>0</v>
      </c>
      <c r="S32" s="41">
        <f t="shared" si="9"/>
        <v>0</v>
      </c>
    </row>
    <row r="33" spans="1:21">
      <c r="B33" s="1" t="s">
        <v>0</v>
      </c>
      <c r="D33" s="41">
        <f t="shared" ref="D33:S33" si="10">SUM(D26:D32)</f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>SUM(H26:H32)</f>
        <v>7615.1619963132434</v>
      </c>
      <c r="I33" s="41">
        <f t="shared" si="10"/>
        <v>8838.3403172787766</v>
      </c>
      <c r="J33" s="41">
        <f t="shared" si="10"/>
        <v>8904.6390200825645</v>
      </c>
      <c r="K33" s="41">
        <f t="shared" si="10"/>
        <v>7855.3494744288928</v>
      </c>
      <c r="L33" s="41">
        <f t="shared" si="10"/>
        <v>7261.5183854759935</v>
      </c>
      <c r="M33" s="41">
        <f t="shared" si="10"/>
        <v>6329.2774658009557</v>
      </c>
      <c r="N33" s="41">
        <f t="shared" si="10"/>
        <v>6115.3318765083768</v>
      </c>
      <c r="O33" s="41">
        <f t="shared" si="10"/>
        <v>6289.377122525736</v>
      </c>
      <c r="P33" s="41">
        <f t="shared" si="10"/>
        <v>7167.1198332957056</v>
      </c>
      <c r="Q33" s="41">
        <f t="shared" si="10"/>
        <v>7487.1941663760799</v>
      </c>
      <c r="R33" s="41">
        <f t="shared" si="10"/>
        <v>6257.4295286815304</v>
      </c>
      <c r="S33" s="41">
        <f t="shared" si="10"/>
        <v>6499.2608132321357</v>
      </c>
      <c r="U33" s="42">
        <f>SUM(H33:S33)</f>
        <v>86619.999999999985</v>
      </c>
    </row>
    <row r="34" spans="1:21">
      <c r="B34" s="89"/>
      <c r="C34" s="81"/>
      <c r="D34" s="89"/>
    </row>
    <row r="35" spans="1:21" ht="36" customHeight="1">
      <c r="A35" s="110" t="s">
        <v>108</v>
      </c>
      <c r="B35" s="72"/>
      <c r="C35" s="81">
        <f>'CF WA Elec'!E21</f>
        <v>0.95606855188236617</v>
      </c>
      <c r="D35" s="36">
        <f>D4</f>
        <v>44743</v>
      </c>
      <c r="E35" s="36">
        <f t="shared" ref="E35:R35" si="11">E4</f>
        <v>44774</v>
      </c>
      <c r="F35" s="36">
        <f t="shared" si="11"/>
        <v>44805</v>
      </c>
      <c r="G35" s="36">
        <f t="shared" si="11"/>
        <v>44835</v>
      </c>
      <c r="H35" s="36">
        <f t="shared" si="11"/>
        <v>45231</v>
      </c>
      <c r="I35" s="36">
        <f t="shared" si="11"/>
        <v>45261</v>
      </c>
      <c r="J35" s="36">
        <f t="shared" si="11"/>
        <v>45292</v>
      </c>
      <c r="K35" s="36">
        <f t="shared" si="11"/>
        <v>45323</v>
      </c>
      <c r="L35" s="36">
        <f t="shared" si="11"/>
        <v>45352</v>
      </c>
      <c r="M35" s="36">
        <f t="shared" si="11"/>
        <v>45383</v>
      </c>
      <c r="N35" s="36">
        <f t="shared" si="11"/>
        <v>45413</v>
      </c>
      <c r="O35" s="36">
        <f t="shared" si="11"/>
        <v>45444</v>
      </c>
      <c r="P35" s="36">
        <f t="shared" si="11"/>
        <v>45474</v>
      </c>
      <c r="Q35" s="36">
        <f t="shared" si="11"/>
        <v>45505</v>
      </c>
      <c r="R35" s="36">
        <f t="shared" si="11"/>
        <v>45536</v>
      </c>
      <c r="S35" s="36">
        <f>S4</f>
        <v>45566</v>
      </c>
    </row>
    <row r="36" spans="1:21">
      <c r="B36" s="1" t="s">
        <v>50</v>
      </c>
      <c r="D36" s="41">
        <f t="shared" ref="D36:S36" si="12">D26*$C$35</f>
        <v>0</v>
      </c>
      <c r="E36" s="41">
        <f t="shared" si="12"/>
        <v>0</v>
      </c>
      <c r="F36" s="41">
        <f t="shared" si="12"/>
        <v>0</v>
      </c>
      <c r="G36" s="41">
        <f t="shared" si="12"/>
        <v>0</v>
      </c>
      <c r="H36" s="41">
        <f>H26*$C$35</f>
        <v>4164.4033041939165</v>
      </c>
      <c r="I36" s="41">
        <f t="shared" si="12"/>
        <v>5250.0514254321206</v>
      </c>
      <c r="J36" s="41">
        <f t="shared" si="12"/>
        <v>5326.1029405715235</v>
      </c>
      <c r="K36" s="41">
        <f t="shared" si="12"/>
        <v>4515.8814672372719</v>
      </c>
      <c r="L36" s="41">
        <f t="shared" si="12"/>
        <v>3986.0528535190288</v>
      </c>
      <c r="M36" s="41">
        <f t="shared" si="12"/>
        <v>3220.7908987706192</v>
      </c>
      <c r="N36" s="41">
        <f t="shared" si="12"/>
        <v>2890.3172743717869</v>
      </c>
      <c r="O36" s="41">
        <f t="shared" si="12"/>
        <v>2845.9064060381993</v>
      </c>
      <c r="P36" s="41">
        <f t="shared" si="12"/>
        <v>3402.4609854642467</v>
      </c>
      <c r="Q36" s="41">
        <f t="shared" si="12"/>
        <v>3707.598020585805</v>
      </c>
      <c r="R36" s="41">
        <f t="shared" si="12"/>
        <v>2898.9512156546921</v>
      </c>
      <c r="S36" s="41">
        <f t="shared" si="12"/>
        <v>3091.3839735267725</v>
      </c>
    </row>
    <row r="37" spans="1:21">
      <c r="B37" s="1" t="s">
        <v>51</v>
      </c>
      <c r="D37" s="41">
        <f t="shared" ref="D37" si="13">D27*$C$35</f>
        <v>0</v>
      </c>
      <c r="E37" s="41">
        <f t="shared" ref="E37:S37" si="14">E27*$C$35</f>
        <v>0</v>
      </c>
      <c r="F37" s="41">
        <f t="shared" si="14"/>
        <v>0</v>
      </c>
      <c r="G37" s="41">
        <f t="shared" si="14"/>
        <v>0</v>
      </c>
      <c r="H37" s="41">
        <f t="shared" si="14"/>
        <v>938.20097780968069</v>
      </c>
      <c r="I37" s="41">
        <f t="shared" si="14"/>
        <v>1056.2436049576695</v>
      </c>
      <c r="J37" s="41">
        <f t="shared" si="14"/>
        <v>1035.2968802919218</v>
      </c>
      <c r="K37" s="41">
        <f t="shared" si="14"/>
        <v>951.5836895191037</v>
      </c>
      <c r="L37" s="41">
        <f t="shared" si="14"/>
        <v>901.79432759971723</v>
      </c>
      <c r="M37" s="41">
        <f t="shared" si="14"/>
        <v>787.1294587651397</v>
      </c>
      <c r="N37" s="41">
        <f t="shared" si="14"/>
        <v>763.45458381296305</v>
      </c>
      <c r="O37" s="41">
        <f t="shared" si="14"/>
        <v>785.34892104891435</v>
      </c>
      <c r="P37" s="41">
        <f t="shared" si="14"/>
        <v>906.36544198457966</v>
      </c>
      <c r="Q37" s="41">
        <f t="shared" si="14"/>
        <v>899.85273869483683</v>
      </c>
      <c r="R37" s="41">
        <f t="shared" si="14"/>
        <v>800.50630833162541</v>
      </c>
      <c r="S37" s="41">
        <f t="shared" si="14"/>
        <v>829.54165608012772</v>
      </c>
    </row>
    <row r="38" spans="1:21">
      <c r="B38" s="1" t="s">
        <v>52</v>
      </c>
      <c r="D38" s="41">
        <f t="shared" ref="D38" si="15">D28*$C$35</f>
        <v>0</v>
      </c>
      <c r="E38" s="41">
        <f t="shared" ref="E38:S38" si="16">E28*$C$35</f>
        <v>0</v>
      </c>
      <c r="F38" s="41">
        <f t="shared" si="16"/>
        <v>0</v>
      </c>
      <c r="G38" s="41">
        <f t="shared" si="16"/>
        <v>0</v>
      </c>
      <c r="H38" s="41">
        <f t="shared" si="16"/>
        <v>1496.5502084890918</v>
      </c>
      <c r="I38" s="41">
        <f t="shared" si="16"/>
        <v>1445.6609151180212</v>
      </c>
      <c r="J38" s="41">
        <f t="shared" si="16"/>
        <v>1394.8939125836089</v>
      </c>
      <c r="K38" s="41">
        <f t="shared" si="16"/>
        <v>1365.7496165606058</v>
      </c>
      <c r="L38" s="41">
        <f t="shared" si="16"/>
        <v>1334.0663158490645</v>
      </c>
      <c r="M38" s="41">
        <f t="shared" si="16"/>
        <v>1293.9515304915217</v>
      </c>
      <c r="N38" s="41">
        <f t="shared" si="16"/>
        <v>1349.6103070710087</v>
      </c>
      <c r="O38" s="41">
        <f t="shared" si="16"/>
        <v>1393.5037651851455</v>
      </c>
      <c r="P38" s="41">
        <f t="shared" si="16"/>
        <v>1513.5641795006973</v>
      </c>
      <c r="Q38" s="41">
        <f t="shared" si="16"/>
        <v>1403.5549511465445</v>
      </c>
      <c r="R38" s="41">
        <f t="shared" si="16"/>
        <v>1309.8201940625888</v>
      </c>
      <c r="S38" s="41">
        <f t="shared" si="16"/>
        <v>1459.6365807294003</v>
      </c>
    </row>
    <row r="39" spans="1:21">
      <c r="B39" s="1" t="s">
        <v>53</v>
      </c>
      <c r="D39" s="41">
        <f t="shared" ref="D39" si="17">D29*$C$35</f>
        <v>0</v>
      </c>
      <c r="E39" s="41">
        <f t="shared" ref="E39:S39" si="18">E29*$C$35</f>
        <v>0</v>
      </c>
      <c r="F39" s="41">
        <f t="shared" si="18"/>
        <v>0</v>
      </c>
      <c r="G39" s="41">
        <f t="shared" si="18"/>
        <v>0</v>
      </c>
      <c r="H39" s="41">
        <f t="shared" si="18"/>
        <v>396.10884879781116</v>
      </c>
      <c r="I39" s="41">
        <f t="shared" si="18"/>
        <v>399.60793340503909</v>
      </c>
      <c r="J39" s="41">
        <f t="shared" si="18"/>
        <v>443.2705424795347</v>
      </c>
      <c r="K39" s="41">
        <f t="shared" si="18"/>
        <v>390.61007710678263</v>
      </c>
      <c r="L39" s="41">
        <f t="shared" si="18"/>
        <v>420.24667674043559</v>
      </c>
      <c r="M39" s="41">
        <f t="shared" si="18"/>
        <v>392.95240001523689</v>
      </c>
      <c r="N39" s="41">
        <f t="shared" si="18"/>
        <v>397.48178272767552</v>
      </c>
      <c r="O39" s="41">
        <f t="shared" si="18"/>
        <v>415.99408755050797</v>
      </c>
      <c r="P39" s="41">
        <f t="shared" si="18"/>
        <v>411.86289285644341</v>
      </c>
      <c r="Q39" s="41">
        <f t="shared" si="18"/>
        <v>463.82687699790824</v>
      </c>
      <c r="R39" s="41">
        <f t="shared" si="18"/>
        <v>402.69624519928783</v>
      </c>
      <c r="S39" s="41">
        <f t="shared" si="18"/>
        <v>403.3904077581256</v>
      </c>
    </row>
    <row r="40" spans="1:21">
      <c r="B40" s="118" t="s">
        <v>136</v>
      </c>
      <c r="D40" s="41"/>
      <c r="E40" s="41"/>
      <c r="F40" s="41"/>
      <c r="G40" s="41"/>
      <c r="H40" s="41">
        <f>H30*$C$35</f>
        <v>253.4388415440271</v>
      </c>
      <c r="I40" s="41">
        <f t="shared" ref="I40:S40" si="19">I30*$C$35</f>
        <v>247.60679879138604</v>
      </c>
      <c r="J40" s="41">
        <f t="shared" si="19"/>
        <v>254.31669745271452</v>
      </c>
      <c r="K40" s="41">
        <f t="shared" si="19"/>
        <v>221.37468715435421</v>
      </c>
      <c r="L40" s="41">
        <f t="shared" si="19"/>
        <v>237.5158556648739</v>
      </c>
      <c r="M40" s="41">
        <f t="shared" si="19"/>
        <v>263.76250709196535</v>
      </c>
      <c r="N40" s="41">
        <f t="shared" si="19"/>
        <v>245.31991999261038</v>
      </c>
      <c r="O40" s="41">
        <f t="shared" si="19"/>
        <v>247.49770032733011</v>
      </c>
      <c r="P40" s="41">
        <f t="shared" si="19"/>
        <v>245.97565451657695</v>
      </c>
      <c r="Q40" s="41">
        <f t="shared" si="19"/>
        <v>262.7589327527084</v>
      </c>
      <c r="R40" s="41">
        <f t="shared" si="19"/>
        <v>237.00670567137061</v>
      </c>
      <c r="S40" s="41">
        <f t="shared" si="19"/>
        <v>252.76167619872393</v>
      </c>
    </row>
    <row r="41" spans="1:21">
      <c r="B41" s="1" t="s">
        <v>54</v>
      </c>
      <c r="D41" s="41">
        <f t="shared" ref="D41" si="20">D31*$C$35</f>
        <v>0</v>
      </c>
      <c r="E41" s="41">
        <f t="shared" ref="E41:G42" si="21">E31*$C$35</f>
        <v>0</v>
      </c>
      <c r="F41" s="41">
        <f t="shared" si="21"/>
        <v>0</v>
      </c>
      <c r="G41" s="41">
        <f t="shared" si="21"/>
        <v>0</v>
      </c>
      <c r="H41" s="41">
        <f>H31*$C$35</f>
        <v>31.91472133030469</v>
      </c>
      <c r="I41" s="41">
        <f t="shared" ref="I41:S41" si="22">I31*$C$35</f>
        <v>50.888550480015951</v>
      </c>
      <c r="J41" s="41">
        <f t="shared" si="22"/>
        <v>59.56435958624774</v>
      </c>
      <c r="K41" s="41">
        <f t="shared" si="22"/>
        <v>65.053058969019716</v>
      </c>
      <c r="L41" s="41">
        <f t="shared" si="22"/>
        <v>62.833337896089837</v>
      </c>
      <c r="M41" s="41">
        <f t="shared" si="22"/>
        <v>92.636346055529401</v>
      </c>
      <c r="N41" s="41">
        <f t="shared" si="22"/>
        <v>200.49262347739196</v>
      </c>
      <c r="O41" s="41">
        <f t="shared" si="22"/>
        <v>324.82479762516556</v>
      </c>
      <c r="P41" s="41">
        <f t="shared" si="22"/>
        <v>372.02872586386684</v>
      </c>
      <c r="Q41" s="41">
        <f t="shared" si="22"/>
        <v>420.67936413147595</v>
      </c>
      <c r="R41" s="41">
        <f t="shared" si="22"/>
        <v>333.55091907294297</v>
      </c>
      <c r="S41" s="41">
        <f t="shared" si="22"/>
        <v>177.02457971950719</v>
      </c>
    </row>
    <row r="42" spans="1:21">
      <c r="B42" s="62" t="s">
        <v>55</v>
      </c>
      <c r="D42" s="43">
        <f t="shared" ref="D42" si="23">D32*$C$35</f>
        <v>0</v>
      </c>
      <c r="E42" s="43">
        <f t="shared" si="21"/>
        <v>0</v>
      </c>
      <c r="F42" s="43">
        <f t="shared" si="21"/>
        <v>0</v>
      </c>
      <c r="G42" s="43">
        <f t="shared" si="21"/>
        <v>0</v>
      </c>
      <c r="H42" s="43">
        <f>H32*$C$35</f>
        <v>0</v>
      </c>
      <c r="I42" s="43">
        <f t="shared" ref="I42:S42" si="24">I32*$C$35</f>
        <v>0</v>
      </c>
      <c r="J42" s="43">
        <f t="shared" si="24"/>
        <v>0</v>
      </c>
      <c r="K42" s="43">
        <f t="shared" si="24"/>
        <v>0</v>
      </c>
      <c r="L42" s="43">
        <f t="shared" si="24"/>
        <v>0</v>
      </c>
      <c r="M42" s="43">
        <f t="shared" si="24"/>
        <v>0</v>
      </c>
      <c r="N42" s="43">
        <f t="shared" si="24"/>
        <v>0</v>
      </c>
      <c r="O42" s="43">
        <f t="shared" si="24"/>
        <v>0</v>
      </c>
      <c r="P42" s="43">
        <f t="shared" si="24"/>
        <v>0</v>
      </c>
      <c r="Q42" s="43">
        <f t="shared" si="24"/>
        <v>0</v>
      </c>
      <c r="R42" s="43">
        <f t="shared" si="24"/>
        <v>0</v>
      </c>
      <c r="S42" s="43">
        <f t="shared" si="24"/>
        <v>0</v>
      </c>
    </row>
    <row r="43" spans="1:21">
      <c r="B43" s="1" t="s">
        <v>0</v>
      </c>
      <c r="C43" s="33"/>
      <c r="D43" s="42">
        <f>SUM(D36:D42)</f>
        <v>0</v>
      </c>
      <c r="E43" s="42">
        <f>SUM(E36:E42)</f>
        <v>0</v>
      </c>
      <c r="F43" s="42">
        <f>SUM(F36:F42)</f>
        <v>0</v>
      </c>
      <c r="G43" s="42">
        <f t="shared" ref="G43:S43" si="25">SUM(G36:G42)</f>
        <v>0</v>
      </c>
      <c r="H43" s="42">
        <f t="shared" si="25"/>
        <v>7280.616902164832</v>
      </c>
      <c r="I43" s="42">
        <f t="shared" si="25"/>
        <v>8450.0592281842528</v>
      </c>
      <c r="J43" s="42">
        <f t="shared" si="25"/>
        <v>8513.4453329655498</v>
      </c>
      <c r="K43" s="42">
        <f t="shared" si="25"/>
        <v>7510.2525965471386</v>
      </c>
      <c r="L43" s="42">
        <f t="shared" si="25"/>
        <v>6942.5093672692101</v>
      </c>
      <c r="M43" s="42">
        <f t="shared" si="25"/>
        <v>6051.2231411900129</v>
      </c>
      <c r="N43" s="42">
        <f t="shared" si="25"/>
        <v>5846.676491453436</v>
      </c>
      <c r="O43" s="42">
        <f t="shared" si="25"/>
        <v>6013.0756777752631</v>
      </c>
      <c r="P43" s="42">
        <f t="shared" si="25"/>
        <v>6852.2578801864111</v>
      </c>
      <c r="Q43" s="42">
        <f t="shared" si="25"/>
        <v>7158.2708843092796</v>
      </c>
      <c r="R43" s="42">
        <f t="shared" si="25"/>
        <v>5982.5315879925074</v>
      </c>
      <c r="S43" s="42">
        <f t="shared" si="25"/>
        <v>6213.7388740126571</v>
      </c>
      <c r="U43" s="42">
        <f>SUM(H43:S43)</f>
        <v>82814.657964050566</v>
      </c>
    </row>
    <row r="44" spans="1:21">
      <c r="C44" s="60"/>
    </row>
    <row r="45" spans="1:21">
      <c r="C45" s="6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U45" s="42">
        <f>U33-U43</f>
        <v>3805.3420359494194</v>
      </c>
    </row>
    <row r="47" spans="1:21"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</sheetData>
  <mergeCells count="2">
    <mergeCell ref="D15:G15"/>
    <mergeCell ref="H15:S15"/>
  </mergeCells>
  <phoneticPr fontId="48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106"/>
  <sheetViews>
    <sheetView workbookViewId="0">
      <selection activeCell="J41" sqref="J41"/>
    </sheetView>
  </sheetViews>
  <sheetFormatPr defaultColWidth="9.140625" defaultRowHeight="15"/>
  <cols>
    <col min="1" max="1" width="16.5703125" style="48" customWidth="1"/>
    <col min="2" max="2" width="19" style="48" bestFit="1" customWidth="1"/>
    <col min="3" max="4" width="15.140625" style="48" bestFit="1" customWidth="1"/>
    <col min="5" max="5" width="15" style="48" customWidth="1"/>
    <col min="6" max="9" width="12.5703125" style="48" bestFit="1" customWidth="1"/>
    <col min="10" max="12" width="14.28515625" style="48" customWidth="1"/>
    <col min="13" max="13" width="12.5703125" style="48" bestFit="1" customWidth="1"/>
    <col min="14" max="14" width="15.5703125" style="48" customWidth="1"/>
    <col min="15" max="15" width="9.28515625" style="48" bestFit="1" customWidth="1"/>
    <col min="16" max="16" width="14.5703125" style="48" customWidth="1"/>
    <col min="17" max="16384" width="9.140625" style="48"/>
  </cols>
  <sheetData>
    <row r="1" spans="1:16">
      <c r="A1" s="153" t="s">
        <v>159</v>
      </c>
    </row>
    <row r="3" spans="1:16">
      <c r="A3" s="2" t="s">
        <v>40</v>
      </c>
    </row>
    <row r="4" spans="1:16">
      <c r="A4" s="48" t="s">
        <v>62</v>
      </c>
    </row>
    <row r="6" spans="1:16">
      <c r="B6" s="49">
        <v>45231</v>
      </c>
      <c r="C6" s="49">
        <v>45261</v>
      </c>
      <c r="D6" s="49">
        <v>45292</v>
      </c>
      <c r="E6" s="49">
        <v>45323</v>
      </c>
      <c r="F6" s="49">
        <v>45352</v>
      </c>
      <c r="G6" s="49">
        <v>45383</v>
      </c>
      <c r="H6" s="49">
        <v>45413</v>
      </c>
      <c r="I6" s="49">
        <v>45444</v>
      </c>
      <c r="J6" s="49">
        <v>45474</v>
      </c>
      <c r="K6" s="49">
        <v>45505</v>
      </c>
      <c r="L6" s="49">
        <v>45536</v>
      </c>
      <c r="M6" s="49">
        <v>45566</v>
      </c>
      <c r="N6" s="50" t="s">
        <v>0</v>
      </c>
    </row>
    <row r="7" spans="1:16">
      <c r="A7" s="51" t="s">
        <v>30</v>
      </c>
      <c r="B7" s="152">
        <v>234685770.72820219</v>
      </c>
      <c r="C7" s="152">
        <v>295838192.7049498</v>
      </c>
      <c r="D7" s="152">
        <v>300095194.06203902</v>
      </c>
      <c r="E7" s="152">
        <v>254448635.09341836</v>
      </c>
      <c r="F7" s="152">
        <v>224581696.51276612</v>
      </c>
      <c r="G7" s="152">
        <v>181513176.10017586</v>
      </c>
      <c r="H7" s="152">
        <v>162969995.6206041</v>
      </c>
      <c r="I7" s="152">
        <v>160554701.52058125</v>
      </c>
      <c r="J7" s="152">
        <v>192002592.14118013</v>
      </c>
      <c r="K7" s="152">
        <v>209238599.52396232</v>
      </c>
      <c r="L7" s="152">
        <v>163555764.92429495</v>
      </c>
      <c r="M7" s="152">
        <v>174264645.66908044</v>
      </c>
      <c r="N7" s="53">
        <f>SUM(B7:M7)</f>
        <v>2553748964.601254</v>
      </c>
      <c r="P7" s="67"/>
    </row>
    <row r="8" spans="1:16">
      <c r="A8" s="51" t="s">
        <v>93</v>
      </c>
      <c r="B8" s="152">
        <v>1260237.2587321929</v>
      </c>
      <c r="C8" s="152">
        <v>1618269.8594026286</v>
      </c>
      <c r="D8" s="152">
        <v>1670181.4696115437</v>
      </c>
      <c r="E8" s="152">
        <v>1411358.9815452725</v>
      </c>
      <c r="F8" s="152">
        <v>1259363.949745968</v>
      </c>
      <c r="G8" s="152">
        <v>969811.16483271564</v>
      </c>
      <c r="H8" s="152">
        <v>789076.90172057413</v>
      </c>
      <c r="I8" s="152">
        <v>688148.06915895524</v>
      </c>
      <c r="J8" s="152">
        <v>773425.9844162201</v>
      </c>
      <c r="K8" s="152">
        <v>825817.45901527908</v>
      </c>
      <c r="L8" s="152">
        <v>692487.87911429023</v>
      </c>
      <c r="M8" s="152">
        <v>886427.46878297767</v>
      </c>
      <c r="N8" s="53">
        <f t="shared" ref="N8:N19" si="0">SUM(B8:M8)</f>
        <v>12844606.446078617</v>
      </c>
      <c r="P8" s="67"/>
    </row>
    <row r="9" spans="1:16">
      <c r="A9" s="51" t="s">
        <v>31</v>
      </c>
      <c r="B9" s="152">
        <v>53360383.109277904</v>
      </c>
      <c r="C9" s="152">
        <v>58886735.209790573</v>
      </c>
      <c r="D9" s="152">
        <v>57541184.588071309</v>
      </c>
      <c r="E9" s="152">
        <v>53408614.277107485</v>
      </c>
      <c r="F9" s="152">
        <v>50941696.137034513</v>
      </c>
      <c r="G9" s="152">
        <v>45237575.201981515</v>
      </c>
      <c r="H9" s="152">
        <v>44366534.570227906</v>
      </c>
      <c r="I9" s="152">
        <v>45914454.561973855</v>
      </c>
      <c r="J9" s="152">
        <v>53252842.79107628</v>
      </c>
      <c r="K9" s="152">
        <v>52822257.964547381</v>
      </c>
      <c r="L9" s="152">
        <v>46913868.019383401</v>
      </c>
      <c r="M9" s="152">
        <v>48070230.72454261</v>
      </c>
      <c r="N9" s="53">
        <f t="shared" si="0"/>
        <v>610716377.15501487</v>
      </c>
      <c r="P9" s="67"/>
    </row>
    <row r="10" spans="1:16">
      <c r="A10" s="51" t="s">
        <v>32</v>
      </c>
      <c r="B10" s="152">
        <v>6594252.9411932062</v>
      </c>
      <c r="C10" s="152">
        <v>8613066.5793865137</v>
      </c>
      <c r="D10" s="152">
        <v>8619636.378646262</v>
      </c>
      <c r="E10" s="152">
        <v>7401238.0355472974</v>
      </c>
      <c r="F10" s="152">
        <v>6685612.2896619784</v>
      </c>
      <c r="G10" s="152">
        <v>5060397.8222841006</v>
      </c>
      <c r="H10" s="152">
        <v>4418153.8723235037</v>
      </c>
      <c r="I10" s="152">
        <v>4269722.5458980678</v>
      </c>
      <c r="J10" s="152">
        <v>4666681.2797292853</v>
      </c>
      <c r="K10" s="152">
        <v>4681005.3493738528</v>
      </c>
      <c r="L10" s="152">
        <v>4239191.0740534179</v>
      </c>
      <c r="M10" s="152">
        <v>4938743.8758104425</v>
      </c>
      <c r="N10" s="53">
        <f t="shared" si="0"/>
        <v>70187702.043907925</v>
      </c>
      <c r="P10" s="67"/>
    </row>
    <row r="11" spans="1:16">
      <c r="A11" s="51" t="s">
        <v>96</v>
      </c>
      <c r="B11" s="152">
        <v>14800.340775449076</v>
      </c>
      <c r="C11" s="152">
        <v>14872.76280284112</v>
      </c>
      <c r="D11" s="152">
        <v>14947.207888777773</v>
      </c>
      <c r="E11" s="152">
        <v>15001.731720092279</v>
      </c>
      <c r="F11" s="152">
        <v>15029.245167094754</v>
      </c>
      <c r="G11" s="152">
        <v>15031.465767987291</v>
      </c>
      <c r="H11" s="152">
        <v>15027.380026457709</v>
      </c>
      <c r="I11" s="152">
        <v>15016.113743829746</v>
      </c>
      <c r="J11" s="152">
        <v>14997.429282225816</v>
      </c>
      <c r="K11" s="152">
        <v>14968.761078658319</v>
      </c>
      <c r="L11" s="152">
        <v>14988.343861088579</v>
      </c>
      <c r="M11" s="152">
        <v>15000.810891982092</v>
      </c>
      <c r="N11" s="53">
        <f t="shared" si="0"/>
        <v>179681.59300648453</v>
      </c>
      <c r="P11" s="67"/>
    </row>
    <row r="12" spans="1:16">
      <c r="A12" s="51" t="s">
        <v>33</v>
      </c>
      <c r="B12" s="152">
        <v>114377238.05922967</v>
      </c>
      <c r="C12" s="152">
        <v>109523587.98144051</v>
      </c>
      <c r="D12" s="152">
        <v>105631380.9316736</v>
      </c>
      <c r="E12" s="152">
        <v>103944190.73211814</v>
      </c>
      <c r="F12" s="152">
        <v>101659611.78551148</v>
      </c>
      <c r="G12" s="152">
        <v>99026068.29631491</v>
      </c>
      <c r="H12" s="152">
        <v>103543780.15926491</v>
      </c>
      <c r="I12" s="152">
        <v>107000416.02304524</v>
      </c>
      <c r="J12" s="152">
        <v>115981061.09043947</v>
      </c>
      <c r="K12" s="152">
        <v>107394096.51101667</v>
      </c>
      <c r="L12" s="152">
        <v>100340398.62356445</v>
      </c>
      <c r="M12" s="152">
        <v>111818411.18798466</v>
      </c>
      <c r="N12" s="53">
        <f t="shared" si="0"/>
        <v>1280240241.381604</v>
      </c>
      <c r="P12" s="67"/>
    </row>
    <row r="13" spans="1:16">
      <c r="A13" s="51" t="s">
        <v>34</v>
      </c>
      <c r="B13" s="152">
        <v>2671737.5707856785</v>
      </c>
      <c r="C13" s="152">
        <v>3544925.5254625492</v>
      </c>
      <c r="D13" s="152">
        <v>3465430.9732742188</v>
      </c>
      <c r="E13" s="152">
        <v>2872581.1881589061</v>
      </c>
      <c r="F13" s="152">
        <v>2678329.8937415709</v>
      </c>
      <c r="G13" s="152">
        <v>2173540.7379691852</v>
      </c>
      <c r="H13" s="152">
        <v>2010329.5082995901</v>
      </c>
      <c r="I13" s="152">
        <v>1987648.5057544769</v>
      </c>
      <c r="J13" s="152">
        <v>2399848.1893165717</v>
      </c>
      <c r="K13" s="152">
        <v>2380246.5570945218</v>
      </c>
      <c r="L13" s="152">
        <v>2100608.7453634385</v>
      </c>
      <c r="M13" s="152">
        <v>2343507.2823852138</v>
      </c>
      <c r="N13" s="53">
        <f t="shared" si="0"/>
        <v>30628734.677605927</v>
      </c>
      <c r="P13" s="67"/>
    </row>
    <row r="14" spans="1:16">
      <c r="A14" s="51" t="s">
        <v>95</v>
      </c>
      <c r="B14" s="152">
        <v>33115.785222522187</v>
      </c>
      <c r="C14" s="152">
        <v>32271.524672647713</v>
      </c>
      <c r="D14" s="152">
        <v>32234.124558181371</v>
      </c>
      <c r="E14" s="152">
        <v>32180.122510648922</v>
      </c>
      <c r="F14" s="152">
        <v>32278.217293927126</v>
      </c>
      <c r="G14" s="152">
        <v>32244.411413059857</v>
      </c>
      <c r="H14" s="152">
        <v>32189.04202992783</v>
      </c>
      <c r="I14" s="152">
        <v>32223.796578307669</v>
      </c>
      <c r="J14" s="152">
        <v>32264.312355892445</v>
      </c>
      <c r="K14" s="152">
        <v>32296.337831088167</v>
      </c>
      <c r="L14" s="152">
        <v>32325.51950784291</v>
      </c>
      <c r="M14" s="152">
        <v>32247.95891534823</v>
      </c>
      <c r="N14" s="53">
        <f t="shared" si="0"/>
        <v>387871.15288939443</v>
      </c>
      <c r="P14" s="67"/>
    </row>
    <row r="15" spans="1:16">
      <c r="A15" s="51" t="s">
        <v>35</v>
      </c>
      <c r="B15" s="152">
        <v>49541955</v>
      </c>
      <c r="C15" s="152">
        <v>49979591</v>
      </c>
      <c r="D15" s="152">
        <v>55440542</v>
      </c>
      <c r="E15" s="152">
        <v>48854215</v>
      </c>
      <c r="F15" s="152">
        <v>52560911</v>
      </c>
      <c r="G15" s="152">
        <v>49147173</v>
      </c>
      <c r="H15" s="152">
        <v>49713670</v>
      </c>
      <c r="I15" s="152">
        <v>52029033</v>
      </c>
      <c r="J15" s="152">
        <v>51512338</v>
      </c>
      <c r="K15" s="152">
        <v>58011555</v>
      </c>
      <c r="L15" s="152">
        <v>50365851</v>
      </c>
      <c r="M15" s="152">
        <v>50452671</v>
      </c>
      <c r="N15" s="53">
        <f t="shared" si="0"/>
        <v>617609505</v>
      </c>
      <c r="P15" s="67"/>
    </row>
    <row r="16" spans="1:16">
      <c r="A16" s="51" t="s">
        <v>36</v>
      </c>
      <c r="B16" s="68">
        <v>1952766.5761318973</v>
      </c>
      <c r="C16" s="68">
        <v>3164471.982197979</v>
      </c>
      <c r="D16" s="68">
        <v>3678208.2596704336</v>
      </c>
      <c r="E16" s="68">
        <v>4039130.053974513</v>
      </c>
      <c r="F16" s="68">
        <v>3898522.7883625552</v>
      </c>
      <c r="G16" s="68">
        <v>5826340.4028385654</v>
      </c>
      <c r="H16" s="68">
        <v>12778958.490199</v>
      </c>
      <c r="I16" s="68">
        <v>20829121.136190742</v>
      </c>
      <c r="J16" s="68">
        <v>23313749.406122014</v>
      </c>
      <c r="K16" s="68">
        <v>26428761.012388594</v>
      </c>
      <c r="L16" s="68">
        <v>21309031.215128899</v>
      </c>
      <c r="M16" s="68">
        <v>11417459.090989742</v>
      </c>
      <c r="N16" s="53">
        <f t="shared" si="0"/>
        <v>138636520.41419494</v>
      </c>
      <c r="P16" s="67"/>
    </row>
    <row r="17" spans="1:16">
      <c r="A17" s="51" t="s">
        <v>37</v>
      </c>
      <c r="B17" s="68">
        <v>195768.48252099779</v>
      </c>
      <c r="C17" s="68">
        <v>261402.6685238441</v>
      </c>
      <c r="D17" s="68">
        <v>331731.65153101354</v>
      </c>
      <c r="E17" s="68">
        <v>340315.29417694558</v>
      </c>
      <c r="F17" s="68">
        <v>331488.43199998507</v>
      </c>
      <c r="G17" s="68">
        <v>410042.96225179743</v>
      </c>
      <c r="H17" s="68">
        <v>718431.19665491395</v>
      </c>
      <c r="I17" s="68">
        <v>1038450.8345790538</v>
      </c>
      <c r="J17" s="68">
        <v>1731644.2876493931</v>
      </c>
      <c r="K17" s="68">
        <v>1891848.5562757547</v>
      </c>
      <c r="L17" s="68">
        <v>1145993.0997354772</v>
      </c>
      <c r="M17" s="68">
        <v>500035.4042386869</v>
      </c>
      <c r="N17" s="53">
        <f t="shared" si="0"/>
        <v>8897152.8701378629</v>
      </c>
      <c r="P17" s="67"/>
    </row>
    <row r="18" spans="1:16">
      <c r="A18" s="51" t="s">
        <v>38</v>
      </c>
      <c r="B18" s="68">
        <v>1330329.7010500454</v>
      </c>
      <c r="C18" s="68">
        <v>1338864.1154058825</v>
      </c>
      <c r="D18" s="68">
        <v>1340188.064714706</v>
      </c>
      <c r="E18" s="68">
        <v>1272098.5856400984</v>
      </c>
      <c r="F18" s="68">
        <v>1353925.3824872593</v>
      </c>
      <c r="G18" s="68">
        <v>1292839.6562630786</v>
      </c>
      <c r="H18" s="68">
        <v>1297017.5794819526</v>
      </c>
      <c r="I18" s="68">
        <v>1313152.508189003</v>
      </c>
      <c r="J18" s="68">
        <v>1314340.3992536208</v>
      </c>
      <c r="K18" s="68">
        <v>1313371.6555335638</v>
      </c>
      <c r="L18" s="68">
        <v>1318741.2360407989</v>
      </c>
      <c r="M18" s="68">
        <v>1283836.7137207252</v>
      </c>
      <c r="N18" s="53">
        <f t="shared" si="0"/>
        <v>15768705.597780734</v>
      </c>
      <c r="P18" s="67"/>
    </row>
    <row r="19" spans="1:16">
      <c r="A19" s="51" t="s">
        <v>94</v>
      </c>
      <c r="B19" s="68">
        <v>35454061</v>
      </c>
      <c r="C19" s="68">
        <v>34638205</v>
      </c>
      <c r="D19" s="68">
        <v>35576866</v>
      </c>
      <c r="E19" s="68">
        <v>30968543</v>
      </c>
      <c r="F19" s="68">
        <v>33226563</v>
      </c>
      <c r="G19" s="68">
        <v>36898259</v>
      </c>
      <c r="H19" s="68">
        <v>34318289</v>
      </c>
      <c r="I19" s="68">
        <v>34622943</v>
      </c>
      <c r="J19" s="68">
        <v>34410021</v>
      </c>
      <c r="K19" s="68">
        <v>36757867</v>
      </c>
      <c r="L19" s="68">
        <v>33155337</v>
      </c>
      <c r="M19" s="68">
        <v>35359331</v>
      </c>
      <c r="N19" s="53">
        <f t="shared" si="0"/>
        <v>415386285</v>
      </c>
      <c r="P19" s="67"/>
    </row>
    <row r="20" spans="1:16">
      <c r="A20" s="51" t="s">
        <v>0</v>
      </c>
      <c r="B20" s="53">
        <f t="shared" ref="B20:M20" si="1">SUM(B7:B19)</f>
        <v>501472416.55312175</v>
      </c>
      <c r="C20" s="53">
        <f t="shared" si="1"/>
        <v>567454456.9140358</v>
      </c>
      <c r="D20" s="53">
        <f t="shared" si="1"/>
        <v>573437725.7116791</v>
      </c>
      <c r="E20" s="53">
        <f t="shared" si="1"/>
        <v>509008102.09591776</v>
      </c>
      <c r="F20" s="53">
        <f t="shared" si="1"/>
        <v>479225028.63377243</v>
      </c>
      <c r="G20" s="53">
        <f t="shared" si="1"/>
        <v>427602500.22209275</v>
      </c>
      <c r="H20" s="53">
        <f t="shared" si="1"/>
        <v>416971453.32083285</v>
      </c>
      <c r="I20" s="53">
        <f t="shared" si="1"/>
        <v>430295031.61569273</v>
      </c>
      <c r="J20" s="53">
        <f t="shared" si="1"/>
        <v>481405806.31082106</v>
      </c>
      <c r="K20" s="53">
        <f t="shared" si="1"/>
        <v>501792691.68811762</v>
      </c>
      <c r="L20" s="53">
        <f t="shared" si="1"/>
        <v>425184586.68004805</v>
      </c>
      <c r="M20" s="53">
        <f t="shared" si="1"/>
        <v>441382548.18734294</v>
      </c>
      <c r="N20" s="53">
        <f>SUM(N7:N19)</f>
        <v>5755232347.9334755</v>
      </c>
    </row>
    <row r="21" spans="1:16">
      <c r="A21" s="8"/>
      <c r="B21" s="8"/>
      <c r="F21" s="8"/>
      <c r="N21" s="52"/>
    </row>
    <row r="22" spans="1:16">
      <c r="A22" s="51" t="s">
        <v>74</v>
      </c>
      <c r="B22" s="53">
        <f>B7+B8</f>
        <v>235946007.98693439</v>
      </c>
      <c r="C22" s="53">
        <f t="shared" ref="C22:M22" si="2">C7+C8</f>
        <v>297456462.56435245</v>
      </c>
      <c r="D22" s="53">
        <f t="shared" si="2"/>
        <v>301765375.53165054</v>
      </c>
      <c r="E22" s="53">
        <f t="shared" si="2"/>
        <v>255859994.07496363</v>
      </c>
      <c r="F22" s="53">
        <f t="shared" si="2"/>
        <v>225841060.46251208</v>
      </c>
      <c r="G22" s="53">
        <f t="shared" si="2"/>
        <v>182482987.26500857</v>
      </c>
      <c r="H22" s="53">
        <f t="shared" si="2"/>
        <v>163759072.52232468</v>
      </c>
      <c r="I22" s="53">
        <f t="shared" si="2"/>
        <v>161242849.58974019</v>
      </c>
      <c r="J22" s="53">
        <f t="shared" si="2"/>
        <v>192776018.12559634</v>
      </c>
      <c r="K22" s="53">
        <f t="shared" si="2"/>
        <v>210064416.9829776</v>
      </c>
      <c r="L22" s="53">
        <f t="shared" si="2"/>
        <v>164248252.80340925</v>
      </c>
      <c r="M22" s="53">
        <f t="shared" si="2"/>
        <v>175151073.13786343</v>
      </c>
      <c r="N22" s="52">
        <f>SUM(B22:M22)</f>
        <v>2566593571.0473332</v>
      </c>
      <c r="O22" s="54"/>
    </row>
    <row r="23" spans="1:16">
      <c r="A23" s="51" t="s">
        <v>97</v>
      </c>
      <c r="B23" s="53">
        <f>B9+B10+B11</f>
        <v>59969436.391246565</v>
      </c>
      <c r="C23" s="53">
        <f t="shared" ref="C23:M23" si="3">C9+C10+C11</f>
        <v>67514674.551979929</v>
      </c>
      <c r="D23" s="53">
        <f t="shared" si="3"/>
        <v>66175768.174606346</v>
      </c>
      <c r="E23" s="53">
        <f t="shared" si="3"/>
        <v>60824854.044374868</v>
      </c>
      <c r="F23" s="53">
        <f t="shared" si="3"/>
        <v>57642337.671863586</v>
      </c>
      <c r="G23" s="53">
        <f t="shared" si="3"/>
        <v>50313004.490033604</v>
      </c>
      <c r="H23" s="53">
        <f t="shared" si="3"/>
        <v>48799715.822577871</v>
      </c>
      <c r="I23" s="53">
        <f t="shared" si="3"/>
        <v>50199193.221615747</v>
      </c>
      <c r="J23" s="53">
        <f t="shared" si="3"/>
        <v>57934521.50008779</v>
      </c>
      <c r="K23" s="53">
        <f t="shared" si="3"/>
        <v>57518232.074999891</v>
      </c>
      <c r="L23" s="53">
        <f t="shared" si="3"/>
        <v>51168047.43729791</v>
      </c>
      <c r="M23" s="53">
        <f t="shared" si="3"/>
        <v>53023975.411245033</v>
      </c>
      <c r="N23" s="52">
        <f t="shared" ref="N23:N27" si="4">SUM(B23:M23)</f>
        <v>681083760.79192913</v>
      </c>
    </row>
    <row r="24" spans="1:16">
      <c r="A24" s="51" t="s">
        <v>99</v>
      </c>
      <c r="B24" s="53">
        <f>B12+B13+B14</f>
        <v>117082091.41523786</v>
      </c>
      <c r="C24" s="53">
        <f t="shared" ref="C24:M24" si="5">C12+C13+C14</f>
        <v>113100785.03157571</v>
      </c>
      <c r="D24" s="53">
        <f t="shared" si="5"/>
        <v>109129046.029506</v>
      </c>
      <c r="E24" s="53">
        <f t="shared" si="5"/>
        <v>106848952.04278769</v>
      </c>
      <c r="F24" s="53">
        <f t="shared" si="5"/>
        <v>104370219.89654699</v>
      </c>
      <c r="G24" s="53">
        <f t="shared" si="5"/>
        <v>101231853.44569716</v>
      </c>
      <c r="H24" s="53">
        <f t="shared" si="5"/>
        <v>105586298.70959443</v>
      </c>
      <c r="I24" s="53">
        <f t="shared" si="5"/>
        <v>109020288.32537802</v>
      </c>
      <c r="J24" s="53">
        <f t="shared" si="5"/>
        <v>118413173.59211193</v>
      </c>
      <c r="K24" s="53">
        <f t="shared" si="5"/>
        <v>109806639.40594228</v>
      </c>
      <c r="L24" s="53">
        <f t="shared" si="5"/>
        <v>102473332.88843574</v>
      </c>
      <c r="M24" s="53">
        <f t="shared" si="5"/>
        <v>114194166.42928523</v>
      </c>
      <c r="N24" s="52">
        <f t="shared" si="4"/>
        <v>1311256847.2120991</v>
      </c>
    </row>
    <row r="25" spans="1:16">
      <c r="A25" s="51" t="s">
        <v>98</v>
      </c>
      <c r="B25" s="53">
        <f>B15+B19</f>
        <v>84996016</v>
      </c>
      <c r="C25" s="53">
        <f t="shared" ref="C25:M25" si="6">C15+C19</f>
        <v>84617796</v>
      </c>
      <c r="D25" s="53">
        <f t="shared" si="6"/>
        <v>91017408</v>
      </c>
      <c r="E25" s="53">
        <f t="shared" si="6"/>
        <v>79822758</v>
      </c>
      <c r="F25" s="53">
        <f t="shared" si="6"/>
        <v>85787474</v>
      </c>
      <c r="G25" s="53">
        <f t="shared" si="6"/>
        <v>86045432</v>
      </c>
      <c r="H25" s="53">
        <f t="shared" si="6"/>
        <v>84031959</v>
      </c>
      <c r="I25" s="53">
        <f t="shared" si="6"/>
        <v>86651976</v>
      </c>
      <c r="J25" s="53">
        <f t="shared" si="6"/>
        <v>85922359</v>
      </c>
      <c r="K25" s="53">
        <f t="shared" si="6"/>
        <v>94769422</v>
      </c>
      <c r="L25" s="53">
        <f t="shared" si="6"/>
        <v>83521188</v>
      </c>
      <c r="M25" s="53">
        <f t="shared" si="6"/>
        <v>85812002</v>
      </c>
      <c r="N25" s="52">
        <f t="shared" si="4"/>
        <v>1032995790</v>
      </c>
    </row>
    <row r="26" spans="1:16">
      <c r="A26" s="51" t="s">
        <v>39</v>
      </c>
      <c r="B26" s="53">
        <f>B16+B17</f>
        <v>2148535.058652895</v>
      </c>
      <c r="C26" s="53">
        <f t="shared" ref="C26:M26" si="7">C16+C17</f>
        <v>3425874.6507218229</v>
      </c>
      <c r="D26" s="53">
        <f t="shared" si="7"/>
        <v>4009939.9112014472</v>
      </c>
      <c r="E26" s="53">
        <f t="shared" si="7"/>
        <v>4379445.3481514584</v>
      </c>
      <c r="F26" s="53">
        <f t="shared" si="7"/>
        <v>4230011.2203625403</v>
      </c>
      <c r="G26" s="53">
        <f t="shared" si="7"/>
        <v>6236383.3650903627</v>
      </c>
      <c r="H26" s="53">
        <f t="shared" si="7"/>
        <v>13497389.686853914</v>
      </c>
      <c r="I26" s="53">
        <f t="shared" si="7"/>
        <v>21867571.970769797</v>
      </c>
      <c r="J26" s="53">
        <f t="shared" si="7"/>
        <v>25045393.693771407</v>
      </c>
      <c r="K26" s="53">
        <f t="shared" si="7"/>
        <v>28320609.56866435</v>
      </c>
      <c r="L26" s="53">
        <f t="shared" si="7"/>
        <v>22455024.314864375</v>
      </c>
      <c r="M26" s="53">
        <f t="shared" si="7"/>
        <v>11917494.495228428</v>
      </c>
      <c r="N26" s="52">
        <f t="shared" si="4"/>
        <v>147533673.28433281</v>
      </c>
    </row>
    <row r="27" spans="1:16">
      <c r="A27" s="51" t="s">
        <v>38</v>
      </c>
      <c r="B27" s="53">
        <f>B18</f>
        <v>1330329.7010500454</v>
      </c>
      <c r="C27" s="53">
        <f t="shared" ref="C27:M27" si="8">C18</f>
        <v>1338864.1154058825</v>
      </c>
      <c r="D27" s="53">
        <f t="shared" si="8"/>
        <v>1340188.064714706</v>
      </c>
      <c r="E27" s="53">
        <f t="shared" si="8"/>
        <v>1272098.5856400984</v>
      </c>
      <c r="F27" s="53">
        <f t="shared" si="8"/>
        <v>1353925.3824872593</v>
      </c>
      <c r="G27" s="53">
        <f t="shared" si="8"/>
        <v>1292839.6562630786</v>
      </c>
      <c r="H27" s="53">
        <f t="shared" si="8"/>
        <v>1297017.5794819526</v>
      </c>
      <c r="I27" s="53">
        <f t="shared" si="8"/>
        <v>1313152.508189003</v>
      </c>
      <c r="J27" s="53">
        <f t="shared" si="8"/>
        <v>1314340.3992536208</v>
      </c>
      <c r="K27" s="53">
        <f t="shared" si="8"/>
        <v>1313371.6555335638</v>
      </c>
      <c r="L27" s="53">
        <f t="shared" si="8"/>
        <v>1318741.2360407989</v>
      </c>
      <c r="M27" s="53">
        <f t="shared" si="8"/>
        <v>1283836.7137207252</v>
      </c>
      <c r="N27" s="52">
        <f t="shared" si="4"/>
        <v>15768705.597780734</v>
      </c>
    </row>
    <row r="28" spans="1:16">
      <c r="A28" s="51" t="s">
        <v>0</v>
      </c>
      <c r="B28" s="53">
        <f>SUM(B22:B27)</f>
        <v>501472416.55312175</v>
      </c>
      <c r="C28" s="52">
        <f>SUM(C22:C27)</f>
        <v>567454456.9140358</v>
      </c>
      <c r="D28" s="52">
        <f>SUM(D22:D27)</f>
        <v>573437725.71167898</v>
      </c>
      <c r="E28" s="52">
        <f>SUM(E22:E27)</f>
        <v>509008102.0959177</v>
      </c>
      <c r="F28" s="53">
        <f>SUM(F22:F27)</f>
        <v>479225028.63377243</v>
      </c>
      <c r="G28" s="52">
        <f t="shared" ref="G28:N28" si="9">SUM(G22:G27)</f>
        <v>427602500.22209275</v>
      </c>
      <c r="H28" s="52">
        <f t="shared" si="9"/>
        <v>416971453.32083285</v>
      </c>
      <c r="I28" s="52">
        <f t="shared" si="9"/>
        <v>430295031.61569279</v>
      </c>
      <c r="J28" s="52">
        <f t="shared" si="9"/>
        <v>481405806.31082112</v>
      </c>
      <c r="K28" s="52">
        <f t="shared" si="9"/>
        <v>501792691.68811768</v>
      </c>
      <c r="L28" s="52">
        <f t="shared" si="9"/>
        <v>425184586.68004805</v>
      </c>
      <c r="M28" s="52">
        <f t="shared" si="9"/>
        <v>441382548.18734282</v>
      </c>
      <c r="N28" s="52">
        <f t="shared" si="9"/>
        <v>5755232347.9334755</v>
      </c>
    </row>
    <row r="29" spans="1:16">
      <c r="A29" s="8"/>
      <c r="B29" s="8"/>
      <c r="F29" s="8"/>
      <c r="N29" s="52">
        <f>SUM(B29:M29)</f>
        <v>0</v>
      </c>
    </row>
    <row r="30" spans="1:16">
      <c r="A30" s="51" t="s">
        <v>71</v>
      </c>
      <c r="B30" s="52">
        <f>SUM(B7:B19)-SUM(B22:B27)</f>
        <v>0</v>
      </c>
      <c r="C30" s="52">
        <f>SUM(C7:C19)-SUM(C22:C27)</f>
        <v>0</v>
      </c>
      <c r="D30" s="52">
        <f t="shared" ref="D30:M30" si="10">SUM(D7:D19)-SUM(D22:D27)</f>
        <v>0</v>
      </c>
      <c r="E30" s="52">
        <f t="shared" si="10"/>
        <v>0</v>
      </c>
      <c r="F30" s="52">
        <f t="shared" si="10"/>
        <v>0</v>
      </c>
      <c r="G30" s="52">
        <f t="shared" si="10"/>
        <v>0</v>
      </c>
      <c r="H30" s="52">
        <f t="shared" si="10"/>
        <v>0</v>
      </c>
      <c r="I30" s="52">
        <f t="shared" si="10"/>
        <v>0</v>
      </c>
      <c r="J30" s="52">
        <f t="shared" si="10"/>
        <v>0</v>
      </c>
      <c r="K30" s="52">
        <f t="shared" si="10"/>
        <v>0</v>
      </c>
      <c r="L30" s="52">
        <f t="shared" si="10"/>
        <v>0</v>
      </c>
      <c r="M30" s="52">
        <f t="shared" si="10"/>
        <v>0</v>
      </c>
      <c r="N30" s="52">
        <f>SUM(N7:N19)-SUM(N22:N27)</f>
        <v>0</v>
      </c>
    </row>
    <row r="33" spans="1:17">
      <c r="A33" s="2" t="s">
        <v>41</v>
      </c>
    </row>
    <row r="34" spans="1:17">
      <c r="A34" s="48" t="s">
        <v>63</v>
      </c>
      <c r="F34" s="64"/>
    </row>
    <row r="36" spans="1:17">
      <c r="B36" s="49">
        <f t="shared" ref="B36:M36" si="11">B6</f>
        <v>45231</v>
      </c>
      <c r="C36" s="49">
        <f t="shared" si="11"/>
        <v>45261</v>
      </c>
      <c r="D36" s="49">
        <f t="shared" si="11"/>
        <v>45292</v>
      </c>
      <c r="E36" s="49">
        <f t="shared" si="11"/>
        <v>45323</v>
      </c>
      <c r="F36" s="49">
        <f t="shared" si="11"/>
        <v>45352</v>
      </c>
      <c r="G36" s="49">
        <f t="shared" si="11"/>
        <v>45383</v>
      </c>
      <c r="H36" s="49">
        <f t="shared" si="11"/>
        <v>45413</v>
      </c>
      <c r="I36" s="49">
        <f t="shared" si="11"/>
        <v>45444</v>
      </c>
      <c r="J36" s="49">
        <f t="shared" si="11"/>
        <v>45474</v>
      </c>
      <c r="K36" s="49">
        <f t="shared" si="11"/>
        <v>45505</v>
      </c>
      <c r="L36" s="49">
        <f t="shared" si="11"/>
        <v>45536</v>
      </c>
      <c r="M36" s="49">
        <f t="shared" si="11"/>
        <v>45566</v>
      </c>
      <c r="N36" s="50" t="s">
        <v>0</v>
      </c>
    </row>
    <row r="37" spans="1:17">
      <c r="A37" s="51" t="s">
        <v>30</v>
      </c>
      <c r="B37" s="152">
        <v>228224</v>
      </c>
      <c r="C37" s="152">
        <v>228854</v>
      </c>
      <c r="D37" s="152">
        <v>229261</v>
      </c>
      <c r="E37" s="152">
        <v>229083</v>
      </c>
      <c r="F37" s="152">
        <v>229051</v>
      </c>
      <c r="G37" s="152">
        <v>229282</v>
      </c>
      <c r="H37" s="152">
        <v>229066</v>
      </c>
      <c r="I37" s="152">
        <v>229123</v>
      </c>
      <c r="J37" s="152">
        <v>229071</v>
      </c>
      <c r="K37" s="152">
        <v>229658</v>
      </c>
      <c r="L37" s="152">
        <v>229822</v>
      </c>
      <c r="M37" s="152">
        <v>230043</v>
      </c>
      <c r="N37" s="53">
        <f>SUM(B37:M37)</f>
        <v>2750538</v>
      </c>
      <c r="P37" s="67"/>
      <c r="Q37" s="69"/>
    </row>
    <row r="38" spans="1:17">
      <c r="A38" s="51" t="s">
        <v>93</v>
      </c>
      <c r="B38" s="152">
        <v>934.06976744186068</v>
      </c>
      <c r="C38" s="152">
        <v>942.97674418604674</v>
      </c>
      <c r="D38" s="152">
        <v>951.88372093023281</v>
      </c>
      <c r="E38" s="152">
        <v>960.79069767441888</v>
      </c>
      <c r="F38" s="152">
        <v>969.69767441860495</v>
      </c>
      <c r="G38" s="152">
        <v>978.60465116279101</v>
      </c>
      <c r="H38" s="152">
        <v>987.51162790697708</v>
      </c>
      <c r="I38" s="152">
        <v>996.41860465116315</v>
      </c>
      <c r="J38" s="152">
        <v>1005.3255813953492</v>
      </c>
      <c r="K38" s="152">
        <v>1014.2325581395353</v>
      </c>
      <c r="L38" s="152">
        <v>1023.1395348837214</v>
      </c>
      <c r="M38" s="152">
        <v>1032.0465116279074</v>
      </c>
      <c r="N38" s="53">
        <f t="shared" ref="N38:N49" si="12">SUM(B38:M38)</f>
        <v>11796.69767441861</v>
      </c>
      <c r="P38" s="67"/>
      <c r="Q38" s="69"/>
    </row>
    <row r="39" spans="1:17">
      <c r="A39" s="51" t="s">
        <v>31</v>
      </c>
      <c r="B39" s="152">
        <v>24444.46957020331</v>
      </c>
      <c r="C39" s="152">
        <v>24632.550367720251</v>
      </c>
      <c r="D39" s="152">
        <v>24586.512898363606</v>
      </c>
      <c r="E39" s="152">
        <v>24567.305639893904</v>
      </c>
      <c r="F39" s="152">
        <v>24580.33805432951</v>
      </c>
      <c r="G39" s="152">
        <v>24657.359859782893</v>
      </c>
      <c r="H39" s="152">
        <v>24620.376007434556</v>
      </c>
      <c r="I39" s="152">
        <v>24745.392347335222</v>
      </c>
      <c r="J39" s="152">
        <v>24677.39491050104</v>
      </c>
      <c r="K39" s="152">
        <v>24656.391704004665</v>
      </c>
      <c r="L39" s="152">
        <v>24742.392165102636</v>
      </c>
      <c r="M39" s="152">
        <v>24845.396927328016</v>
      </c>
      <c r="N39" s="53">
        <f t="shared" si="12"/>
        <v>295755.88045199966</v>
      </c>
      <c r="P39" s="67"/>
      <c r="Q39" s="69"/>
    </row>
    <row r="40" spans="1:17">
      <c r="A40" s="51" t="s">
        <v>32</v>
      </c>
      <c r="B40" s="152">
        <v>10813</v>
      </c>
      <c r="C40" s="152">
        <v>10880</v>
      </c>
      <c r="D40" s="152">
        <v>10873</v>
      </c>
      <c r="E40" s="152">
        <v>10891</v>
      </c>
      <c r="F40" s="152">
        <v>10917</v>
      </c>
      <c r="G40" s="152">
        <v>10903</v>
      </c>
      <c r="H40" s="152">
        <v>10928</v>
      </c>
      <c r="I40" s="152">
        <v>10962</v>
      </c>
      <c r="J40" s="152">
        <v>10991</v>
      </c>
      <c r="K40" s="152">
        <v>10987</v>
      </c>
      <c r="L40" s="152">
        <v>10992</v>
      </c>
      <c r="M40" s="152">
        <v>11065</v>
      </c>
      <c r="N40" s="53">
        <f t="shared" si="12"/>
        <v>131202</v>
      </c>
      <c r="P40" s="67"/>
      <c r="Q40" s="69"/>
    </row>
    <row r="41" spans="1:17">
      <c r="A41" s="51" t="s">
        <v>96</v>
      </c>
      <c r="B41" s="152">
        <v>6.0918493904894575</v>
      </c>
      <c r="C41" s="152">
        <v>6.1267462363463112</v>
      </c>
      <c r="D41" s="152">
        <v>6.1559183147332126</v>
      </c>
      <c r="E41" s="152">
        <v>6.177662629843792</v>
      </c>
      <c r="F41" s="152">
        <v>6.189968418500758</v>
      </c>
      <c r="G41" s="152">
        <v>6.1904697820463843</v>
      </c>
      <c r="H41" s="152">
        <v>6.1887372705959676</v>
      </c>
      <c r="I41" s="152">
        <v>6.1842682778103173</v>
      </c>
      <c r="J41" s="152">
        <v>6.1764760857563017</v>
      </c>
      <c r="K41" s="152">
        <v>6.1646773784580553</v>
      </c>
      <c r="L41" s="152">
        <v>6.1727693771212335</v>
      </c>
      <c r="M41" s="152">
        <v>6.1778830594295577</v>
      </c>
      <c r="N41" s="53">
        <f t="shared" si="12"/>
        <v>73.997426221131335</v>
      </c>
      <c r="P41" s="67"/>
      <c r="Q41" s="69"/>
    </row>
    <row r="42" spans="1:17">
      <c r="A42" s="51" t="s">
        <v>33</v>
      </c>
      <c r="B42" s="152">
        <v>1650.3774084815138</v>
      </c>
      <c r="C42" s="152">
        <v>1654.1768272783099</v>
      </c>
      <c r="D42" s="152">
        <v>1653.9768469170021</v>
      </c>
      <c r="E42" s="152">
        <v>1652.777465597766</v>
      </c>
      <c r="F42" s="152">
        <v>1648.5786815261681</v>
      </c>
      <c r="G42" s="152">
        <v>1647.3804929131506</v>
      </c>
      <c r="H42" s="152">
        <v>1646.1828979750146</v>
      </c>
      <c r="I42" s="152">
        <v>1645.9858949334043</v>
      </c>
      <c r="J42" s="152">
        <v>1644.7894820152908</v>
      </c>
      <c r="K42" s="152">
        <v>1643.5936574529569</v>
      </c>
      <c r="L42" s="152">
        <v>1641.39841948398</v>
      </c>
      <c r="M42" s="152">
        <v>1644.2037663512169</v>
      </c>
      <c r="N42" s="53">
        <f t="shared" si="12"/>
        <v>19773.421840925774</v>
      </c>
      <c r="P42" s="67"/>
      <c r="Q42" s="69"/>
    </row>
    <row r="43" spans="1:17">
      <c r="A43" s="51" t="s">
        <v>34</v>
      </c>
      <c r="B43" s="152">
        <v>43.169499375078892</v>
      </c>
      <c r="C43" s="152">
        <v>43.516957656335471</v>
      </c>
      <c r="D43" s="152">
        <v>43.476704127696756</v>
      </c>
      <c r="E43" s="152">
        <v>43.433096138338158</v>
      </c>
      <c r="F43" s="152">
        <v>43.410159705421883</v>
      </c>
      <c r="G43" s="152">
        <v>43.394281810503337</v>
      </c>
      <c r="H43" s="152">
        <v>43.38332593514405</v>
      </c>
      <c r="I43" s="152">
        <v>43.37475045687416</v>
      </c>
      <c r="J43" s="152">
        <v>43.369028191009676</v>
      </c>
      <c r="K43" s="152">
        <v>43.366694224883936</v>
      </c>
      <c r="L43" s="152">
        <v>43.368353013077446</v>
      </c>
      <c r="M43" s="152">
        <v>43.374686222741509</v>
      </c>
      <c r="N43" s="53">
        <f t="shared" si="12"/>
        <v>520.63753685710537</v>
      </c>
      <c r="P43" s="67"/>
      <c r="Q43" s="69"/>
    </row>
    <row r="44" spans="1:17">
      <c r="A44" s="51" t="s">
        <v>95</v>
      </c>
      <c r="B44" s="152">
        <v>3.1716691591000004</v>
      </c>
      <c r="C44" s="152">
        <v>3.0888360750100006</v>
      </c>
      <c r="D44" s="152">
        <v>3.0877196825110005</v>
      </c>
      <c r="E44" s="152">
        <v>3.0854916507621004</v>
      </c>
      <c r="F44" s="152">
        <v>3.0919408158383108</v>
      </c>
      <c r="G44" s="152">
        <v>3.0888248974221417</v>
      </c>
      <c r="H44" s="152">
        <v>3.0841663871643559</v>
      </c>
      <c r="I44" s="152">
        <v>3.087687925880791</v>
      </c>
      <c r="J44" s="152">
        <v>3.0910721084688699</v>
      </c>
      <c r="K44" s="152">
        <v>3.0942562483157574</v>
      </c>
      <c r="L44" s="152">
        <v>3.0971664950473325</v>
      </c>
      <c r="M44" s="152">
        <v>3.0897162286420659</v>
      </c>
      <c r="N44" s="53">
        <f t="shared" si="12"/>
        <v>37.158547674162726</v>
      </c>
      <c r="P44" s="67"/>
      <c r="Q44" s="69"/>
    </row>
    <row r="45" spans="1:17">
      <c r="A45" s="51" t="s">
        <v>35</v>
      </c>
      <c r="B45" s="152">
        <v>21</v>
      </c>
      <c r="C45" s="152">
        <v>21</v>
      </c>
      <c r="D45" s="152">
        <v>21</v>
      </c>
      <c r="E45" s="152">
        <v>21</v>
      </c>
      <c r="F45" s="152">
        <v>21</v>
      </c>
      <c r="G45" s="152">
        <v>21</v>
      </c>
      <c r="H45" s="152">
        <v>21</v>
      </c>
      <c r="I45" s="152">
        <v>21</v>
      </c>
      <c r="J45" s="152">
        <v>21</v>
      </c>
      <c r="K45" s="152">
        <v>21</v>
      </c>
      <c r="L45" s="152">
        <v>21</v>
      </c>
      <c r="M45" s="152">
        <v>21</v>
      </c>
      <c r="N45" s="53">
        <f t="shared" si="12"/>
        <v>252</v>
      </c>
      <c r="P45" s="67"/>
      <c r="Q45" s="69"/>
    </row>
    <row r="46" spans="1:17">
      <c r="A46" s="51" t="s">
        <v>36</v>
      </c>
      <c r="B46" s="68">
        <v>1256.9908960412954</v>
      </c>
      <c r="C46" s="68">
        <v>1257.4685391017485</v>
      </c>
      <c r="D46" s="68">
        <v>1260.3438849583722</v>
      </c>
      <c r="E46" s="68">
        <v>1251.2976933902032</v>
      </c>
      <c r="F46" s="68">
        <v>1266.7916736427433</v>
      </c>
      <c r="G46" s="68">
        <v>1260.1315866982713</v>
      </c>
      <c r="H46" s="68">
        <v>1255.9402802199177</v>
      </c>
      <c r="I46" s="68">
        <v>1268.4864053493602</v>
      </c>
      <c r="J46" s="68">
        <v>1258.7559759799647</v>
      </c>
      <c r="K46" s="68">
        <v>1266.2839517735206</v>
      </c>
      <c r="L46" s="68">
        <v>1261.0697401328816</v>
      </c>
      <c r="M46" s="68">
        <v>1266.3397509633228</v>
      </c>
      <c r="N46" s="53">
        <f t="shared" si="12"/>
        <v>15129.900378251603</v>
      </c>
      <c r="P46" s="67"/>
      <c r="Q46" s="69"/>
    </row>
    <row r="47" spans="1:17">
      <c r="A47" s="51" t="s">
        <v>37</v>
      </c>
      <c r="B47" s="68">
        <v>1264.4756000241216</v>
      </c>
      <c r="C47" s="68">
        <v>1264.2235666927986</v>
      </c>
      <c r="D47" s="68">
        <v>1263.8255305838652</v>
      </c>
      <c r="E47" s="68">
        <v>1264.0609914658537</v>
      </c>
      <c r="F47" s="68">
        <v>1263.951490754675</v>
      </c>
      <c r="G47" s="68">
        <v>1263.5316497064534</v>
      </c>
      <c r="H47" s="68">
        <v>1263.7157831310656</v>
      </c>
      <c r="I47" s="68">
        <v>1263.8296912257069</v>
      </c>
      <c r="J47" s="68">
        <v>1263.8951132866002</v>
      </c>
      <c r="K47" s="68">
        <v>1264.0281772796864</v>
      </c>
      <c r="L47" s="68">
        <v>1264.0244247626854</v>
      </c>
      <c r="M47" s="68">
        <v>1264.0129067061864</v>
      </c>
      <c r="N47" s="53">
        <f t="shared" si="12"/>
        <v>15167.574925619698</v>
      </c>
      <c r="P47" s="67"/>
      <c r="Q47" s="69"/>
    </row>
    <row r="48" spans="1:17">
      <c r="A48" s="51" t="s">
        <v>38</v>
      </c>
      <c r="B48" s="68">
        <v>506.00000000000023</v>
      </c>
      <c r="C48" s="68">
        <v>507.10000000000025</v>
      </c>
      <c r="D48" s="68">
        <v>508.20000000000027</v>
      </c>
      <c r="E48" s="68">
        <v>509.3000000000003</v>
      </c>
      <c r="F48" s="68">
        <v>510.40000000000032</v>
      </c>
      <c r="G48" s="68">
        <v>511.50000000000034</v>
      </c>
      <c r="H48" s="68">
        <v>512.60000000000036</v>
      </c>
      <c r="I48" s="68">
        <v>513.70000000000039</v>
      </c>
      <c r="J48" s="68">
        <v>514.80000000000041</v>
      </c>
      <c r="K48" s="68">
        <v>515.90000000000043</v>
      </c>
      <c r="L48" s="68">
        <v>517.00000000000045</v>
      </c>
      <c r="M48" s="68">
        <v>518.10000000000048</v>
      </c>
      <c r="N48" s="53">
        <f t="shared" si="12"/>
        <v>6144.600000000004</v>
      </c>
      <c r="P48" s="67"/>
      <c r="Q48" s="69"/>
    </row>
    <row r="49" spans="1:17">
      <c r="A49" s="51" t="s">
        <v>94</v>
      </c>
      <c r="B49" s="68">
        <v>1</v>
      </c>
      <c r="C49" s="68">
        <v>1</v>
      </c>
      <c r="D49" s="68">
        <v>1</v>
      </c>
      <c r="E49" s="68">
        <v>1</v>
      </c>
      <c r="F49" s="68">
        <v>1</v>
      </c>
      <c r="G49" s="68">
        <v>1</v>
      </c>
      <c r="H49" s="68">
        <v>1</v>
      </c>
      <c r="I49" s="68">
        <v>1</v>
      </c>
      <c r="J49" s="68">
        <v>1</v>
      </c>
      <c r="K49" s="68">
        <v>1</v>
      </c>
      <c r="L49" s="68">
        <v>1</v>
      </c>
      <c r="M49" s="68">
        <v>1</v>
      </c>
      <c r="N49" s="53">
        <f t="shared" si="12"/>
        <v>12</v>
      </c>
      <c r="P49" s="67"/>
      <c r="Q49" s="69"/>
    </row>
    <row r="50" spans="1:17">
      <c r="A50" s="51" t="s">
        <v>0</v>
      </c>
      <c r="B50" s="53">
        <f>SUM(B37:B49)</f>
        <v>269167.8162601167</v>
      </c>
      <c r="C50" s="53">
        <f t="shared" ref="C50:M50" si="13">SUM(C37:C49)</f>
        <v>270067.22858494689</v>
      </c>
      <c r="D50" s="53">
        <f t="shared" si="13"/>
        <v>270433.463223878</v>
      </c>
      <c r="E50" s="53">
        <f t="shared" si="13"/>
        <v>270254.22873844113</v>
      </c>
      <c r="F50" s="53">
        <f t="shared" si="13"/>
        <v>270282.4496436115</v>
      </c>
      <c r="G50" s="53">
        <f t="shared" si="13"/>
        <v>270578.18181675352</v>
      </c>
      <c r="H50" s="53">
        <f t="shared" si="13"/>
        <v>270354.98282626044</v>
      </c>
      <c r="I50" s="53">
        <f t="shared" si="13"/>
        <v>270593.45965015551</v>
      </c>
      <c r="J50" s="53">
        <f t="shared" si="13"/>
        <v>270501.59763956349</v>
      </c>
      <c r="K50" s="53">
        <f t="shared" si="13"/>
        <v>271080.05567650206</v>
      </c>
      <c r="L50" s="53">
        <f t="shared" si="13"/>
        <v>271337.66257325117</v>
      </c>
      <c r="M50" s="53">
        <f t="shared" si="13"/>
        <v>271752.74214848748</v>
      </c>
      <c r="N50" s="53">
        <f>SUM(N37:N49)</f>
        <v>3246403.868781968</v>
      </c>
    </row>
    <row r="51" spans="1:17">
      <c r="A51" s="8"/>
      <c r="N51" s="52"/>
    </row>
    <row r="52" spans="1:17">
      <c r="A52" s="51" t="s">
        <v>74</v>
      </c>
      <c r="B52" s="53">
        <f>B37+B38</f>
        <v>229158.06976744186</v>
      </c>
      <c r="C52" s="53">
        <f t="shared" ref="C52:M52" si="14">C37+C38</f>
        <v>229796.97674418605</v>
      </c>
      <c r="D52" s="53">
        <f t="shared" si="14"/>
        <v>230212.88372093023</v>
      </c>
      <c r="E52" s="53">
        <f t="shared" si="14"/>
        <v>230043.79069767441</v>
      </c>
      <c r="F52" s="53">
        <f t="shared" si="14"/>
        <v>230020.6976744186</v>
      </c>
      <c r="G52" s="53">
        <f t="shared" si="14"/>
        <v>230260.60465116278</v>
      </c>
      <c r="H52" s="53">
        <f t="shared" si="14"/>
        <v>230053.51162790699</v>
      </c>
      <c r="I52" s="53">
        <f t="shared" si="14"/>
        <v>230119.41860465117</v>
      </c>
      <c r="J52" s="53">
        <f t="shared" si="14"/>
        <v>230076.32558139536</v>
      </c>
      <c r="K52" s="53">
        <f t="shared" si="14"/>
        <v>230672.23255813954</v>
      </c>
      <c r="L52" s="53">
        <f t="shared" si="14"/>
        <v>230845.13953488372</v>
      </c>
      <c r="M52" s="53">
        <f t="shared" si="14"/>
        <v>231075.04651162791</v>
      </c>
      <c r="N52" s="52">
        <f>SUM(B52:M52)</f>
        <v>2762334.6976744183</v>
      </c>
    </row>
    <row r="53" spans="1:17">
      <c r="A53" s="51" t="s">
        <v>97</v>
      </c>
      <c r="B53" s="53">
        <f>B39+B40+B41</f>
        <v>35263.561419593796</v>
      </c>
      <c r="C53" s="53">
        <f t="shared" ref="C53:M53" si="15">C39+C40+C41</f>
        <v>35518.677113956597</v>
      </c>
      <c r="D53" s="53">
        <f t="shared" si="15"/>
        <v>35465.668816678342</v>
      </c>
      <c r="E53" s="53">
        <f t="shared" si="15"/>
        <v>35464.483302523753</v>
      </c>
      <c r="F53" s="53">
        <f t="shared" si="15"/>
        <v>35503.528022748003</v>
      </c>
      <c r="G53" s="53">
        <f t="shared" si="15"/>
        <v>35566.55032956494</v>
      </c>
      <c r="H53" s="53">
        <f t="shared" si="15"/>
        <v>35554.564744705152</v>
      </c>
      <c r="I53" s="53">
        <f t="shared" si="15"/>
        <v>35713.576615613027</v>
      </c>
      <c r="J53" s="53">
        <f t="shared" si="15"/>
        <v>35674.571386586795</v>
      </c>
      <c r="K53" s="53">
        <f t="shared" si="15"/>
        <v>35649.556381383125</v>
      </c>
      <c r="L53" s="53">
        <f t="shared" si="15"/>
        <v>35740.564934479757</v>
      </c>
      <c r="M53" s="53">
        <f t="shared" si="15"/>
        <v>35916.574810387443</v>
      </c>
      <c r="N53" s="52">
        <f t="shared" ref="N53:N57" si="16">SUM(B53:M53)</f>
        <v>427031.87787822075</v>
      </c>
    </row>
    <row r="54" spans="1:17">
      <c r="A54" s="51" t="s">
        <v>99</v>
      </c>
      <c r="B54" s="53">
        <f>B42+B43+B44</f>
        <v>1696.7185770156927</v>
      </c>
      <c r="C54" s="53">
        <f t="shared" ref="C54:M54" si="17">C42+C43+C44</f>
        <v>1700.7826210096555</v>
      </c>
      <c r="D54" s="53">
        <f t="shared" si="17"/>
        <v>1700.5412707272101</v>
      </c>
      <c r="E54" s="53">
        <f t="shared" si="17"/>
        <v>1699.2960533868663</v>
      </c>
      <c r="F54" s="53">
        <f t="shared" si="17"/>
        <v>1695.0807820474283</v>
      </c>
      <c r="G54" s="53">
        <f t="shared" si="17"/>
        <v>1693.8635996210762</v>
      </c>
      <c r="H54" s="53">
        <f t="shared" si="17"/>
        <v>1692.6503902973229</v>
      </c>
      <c r="I54" s="53">
        <f t="shared" si="17"/>
        <v>1692.4483333161593</v>
      </c>
      <c r="J54" s="53">
        <f t="shared" si="17"/>
        <v>1691.2495823147692</v>
      </c>
      <c r="K54" s="53">
        <f t="shared" si="17"/>
        <v>1690.0546079261567</v>
      </c>
      <c r="L54" s="53">
        <f t="shared" si="17"/>
        <v>1687.8639389921047</v>
      </c>
      <c r="M54" s="53">
        <f t="shared" si="17"/>
        <v>1690.6681688026006</v>
      </c>
      <c r="N54" s="52">
        <f t="shared" si="16"/>
        <v>20331.21792545704</v>
      </c>
    </row>
    <row r="55" spans="1:17">
      <c r="A55" s="51" t="s">
        <v>98</v>
      </c>
      <c r="B55" s="53">
        <f>B45+B49</f>
        <v>22</v>
      </c>
      <c r="C55" s="53">
        <f t="shared" ref="C55:M55" si="18">C45+C49</f>
        <v>22</v>
      </c>
      <c r="D55" s="53">
        <f t="shared" si="18"/>
        <v>22</v>
      </c>
      <c r="E55" s="53">
        <f t="shared" si="18"/>
        <v>22</v>
      </c>
      <c r="F55" s="53">
        <f t="shared" si="18"/>
        <v>22</v>
      </c>
      <c r="G55" s="53">
        <f t="shared" si="18"/>
        <v>22</v>
      </c>
      <c r="H55" s="53">
        <f t="shared" si="18"/>
        <v>22</v>
      </c>
      <c r="I55" s="53">
        <f t="shared" si="18"/>
        <v>22</v>
      </c>
      <c r="J55" s="53">
        <f t="shared" si="18"/>
        <v>22</v>
      </c>
      <c r="K55" s="53">
        <f t="shared" si="18"/>
        <v>22</v>
      </c>
      <c r="L55" s="53">
        <f t="shared" si="18"/>
        <v>22</v>
      </c>
      <c r="M55" s="53">
        <f t="shared" si="18"/>
        <v>22</v>
      </c>
      <c r="N55" s="52">
        <f t="shared" si="16"/>
        <v>264</v>
      </c>
    </row>
    <row r="56" spans="1:17">
      <c r="A56" s="51" t="s">
        <v>39</v>
      </c>
      <c r="B56" s="53">
        <f>B46+B47</f>
        <v>2521.4664960654172</v>
      </c>
      <c r="C56" s="53">
        <f t="shared" ref="C56:M56" si="19">C46+C47</f>
        <v>2521.6921057945474</v>
      </c>
      <c r="D56" s="53">
        <f t="shared" si="19"/>
        <v>2524.1694155422374</v>
      </c>
      <c r="E56" s="53">
        <f t="shared" si="19"/>
        <v>2515.3586848560572</v>
      </c>
      <c r="F56" s="53">
        <f t="shared" si="19"/>
        <v>2530.7431643974182</v>
      </c>
      <c r="G56" s="53">
        <f t="shared" si="19"/>
        <v>2523.6632364047246</v>
      </c>
      <c r="H56" s="53">
        <f t="shared" si="19"/>
        <v>2519.6560633509835</v>
      </c>
      <c r="I56" s="53">
        <f t="shared" si="19"/>
        <v>2532.3160965750671</v>
      </c>
      <c r="J56" s="53">
        <f t="shared" si="19"/>
        <v>2522.6510892665647</v>
      </c>
      <c r="K56" s="53">
        <f t="shared" si="19"/>
        <v>2530.3121290532072</v>
      </c>
      <c r="L56" s="53">
        <f t="shared" si="19"/>
        <v>2525.0941648955668</v>
      </c>
      <c r="M56" s="53">
        <f t="shared" si="19"/>
        <v>2530.3526576695094</v>
      </c>
      <c r="N56" s="52">
        <f t="shared" si="16"/>
        <v>30297.475303871302</v>
      </c>
    </row>
    <row r="57" spans="1:17">
      <c r="A57" s="51" t="s">
        <v>38</v>
      </c>
      <c r="B57" s="53">
        <f>B48</f>
        <v>506.00000000000023</v>
      </c>
      <c r="C57" s="53">
        <f t="shared" ref="C57:M57" si="20">C48</f>
        <v>507.10000000000025</v>
      </c>
      <c r="D57" s="53">
        <f t="shared" si="20"/>
        <v>508.20000000000027</v>
      </c>
      <c r="E57" s="53">
        <f t="shared" si="20"/>
        <v>509.3000000000003</v>
      </c>
      <c r="F57" s="53">
        <f t="shared" si="20"/>
        <v>510.40000000000032</v>
      </c>
      <c r="G57" s="53">
        <f t="shared" si="20"/>
        <v>511.50000000000034</v>
      </c>
      <c r="H57" s="53">
        <f t="shared" si="20"/>
        <v>512.60000000000036</v>
      </c>
      <c r="I57" s="53">
        <f t="shared" si="20"/>
        <v>513.70000000000039</v>
      </c>
      <c r="J57" s="53">
        <f t="shared" si="20"/>
        <v>514.80000000000041</v>
      </c>
      <c r="K57" s="53">
        <f t="shared" si="20"/>
        <v>515.90000000000043</v>
      </c>
      <c r="L57" s="53">
        <f t="shared" si="20"/>
        <v>517.00000000000045</v>
      </c>
      <c r="M57" s="53">
        <f t="shared" si="20"/>
        <v>518.10000000000048</v>
      </c>
      <c r="N57" s="52">
        <f t="shared" si="16"/>
        <v>6144.600000000004</v>
      </c>
    </row>
    <row r="58" spans="1:17">
      <c r="A58" s="51" t="s">
        <v>0</v>
      </c>
      <c r="B58" s="52">
        <f>SUM(B52:B57)</f>
        <v>269167.81626011676</v>
      </c>
      <c r="C58" s="52">
        <f>SUM(C52:C57)</f>
        <v>270067.22858494689</v>
      </c>
      <c r="D58" s="52">
        <f>SUM(D52:D57)</f>
        <v>270433.463223878</v>
      </c>
      <c r="E58" s="52">
        <f>SUM(E52:E57)</f>
        <v>270254.22873844107</v>
      </c>
      <c r="F58" s="52">
        <f t="shared" ref="F58:N58" si="21">SUM(F52:F57)</f>
        <v>270282.44964361144</v>
      </c>
      <c r="G58" s="52">
        <f t="shared" si="21"/>
        <v>270578.18181675347</v>
      </c>
      <c r="H58" s="52">
        <f t="shared" si="21"/>
        <v>270354.98282626044</v>
      </c>
      <c r="I58" s="52">
        <f t="shared" si="21"/>
        <v>270593.45965015539</v>
      </c>
      <c r="J58" s="52">
        <f t="shared" si="21"/>
        <v>270501.59763956349</v>
      </c>
      <c r="K58" s="52">
        <f t="shared" si="21"/>
        <v>271080.05567650212</v>
      </c>
      <c r="L58" s="52">
        <f t="shared" si="21"/>
        <v>271337.66257325117</v>
      </c>
      <c r="M58" s="52">
        <f t="shared" si="21"/>
        <v>271752.74214848748</v>
      </c>
      <c r="N58" s="52">
        <f t="shared" si="21"/>
        <v>3246403.8687819671</v>
      </c>
    </row>
    <row r="59" spans="1:17">
      <c r="N59" s="52">
        <f>SUM(B59:M59)</f>
        <v>0</v>
      </c>
    </row>
    <row r="60" spans="1:17">
      <c r="A60" s="51" t="s">
        <v>71</v>
      </c>
      <c r="B60" s="52">
        <f>SUM(B37:B49)-SUM(B52:B57)</f>
        <v>0</v>
      </c>
      <c r="C60" s="52">
        <f t="shared" ref="C60:M60" si="22">SUM(C37:C49)-SUM(C52:C57)</f>
        <v>0</v>
      </c>
      <c r="D60" s="52">
        <f t="shared" si="22"/>
        <v>0</v>
      </c>
      <c r="E60" s="52">
        <f t="shared" si="22"/>
        <v>0</v>
      </c>
      <c r="F60" s="52">
        <f t="shared" si="22"/>
        <v>0</v>
      </c>
      <c r="G60" s="52">
        <f t="shared" si="22"/>
        <v>0</v>
      </c>
      <c r="H60" s="52">
        <f t="shared" si="22"/>
        <v>0</v>
      </c>
      <c r="I60" s="52">
        <f t="shared" si="22"/>
        <v>0</v>
      </c>
      <c r="J60" s="52">
        <f t="shared" si="22"/>
        <v>0</v>
      </c>
      <c r="K60" s="52">
        <f t="shared" si="22"/>
        <v>0</v>
      </c>
      <c r="L60" s="52">
        <f t="shared" si="22"/>
        <v>0</v>
      </c>
      <c r="M60" s="52">
        <f t="shared" si="22"/>
        <v>0</v>
      </c>
      <c r="N60" s="52">
        <f>SUM(B60:M60)</f>
        <v>0</v>
      </c>
    </row>
    <row r="62" spans="1:17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</row>
    <row r="63" spans="1:17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1:17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2:13"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</row>
    <row r="66" spans="2:13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</row>
    <row r="67" spans="2:13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2:13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2:13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</row>
    <row r="70" spans="2:13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</row>
    <row r="72" spans="2:13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</row>
    <row r="73" spans="2:13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</row>
    <row r="74" spans="2:13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</row>
    <row r="75" spans="2:13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</row>
    <row r="76" spans="2:13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</row>
    <row r="77" spans="2:13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</row>
    <row r="78" spans="2:13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2:13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</row>
    <row r="81" spans="2:13"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</row>
    <row r="82" spans="2:13"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2:13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</row>
    <row r="84" spans="2:13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2:13"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2:13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2:13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</row>
    <row r="88" spans="2:1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2:1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2:1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2:13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2:13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</row>
    <row r="93" spans="2:13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</row>
    <row r="94" spans="2:13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</row>
    <row r="95" spans="2:13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</row>
    <row r="96" spans="2:13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</row>
    <row r="98" spans="2:13"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</row>
    <row r="99" spans="2:13"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</row>
    <row r="100" spans="2:13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</row>
    <row r="101" spans="2:13"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</row>
    <row r="102" spans="2:13"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</row>
    <row r="103" spans="2:13"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</row>
    <row r="104" spans="2:13"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</row>
    <row r="105" spans="2:13"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</row>
    <row r="106" spans="2:13"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>
      <selection activeCell="B49" sqref="B49"/>
    </sheetView>
  </sheetViews>
  <sheetFormatPr defaultRowHeight="15"/>
  <cols>
    <col min="1" max="1" width="30.85546875" style="57" customWidth="1"/>
    <col min="2" max="2" width="9.140625" style="57" customWidth="1"/>
    <col min="3" max="3" width="9.7109375" style="57" customWidth="1"/>
    <col min="4" max="4" width="15.140625" style="57" customWidth="1"/>
    <col min="5" max="5" width="11.85546875" style="57" bestFit="1" customWidth="1"/>
    <col min="6" max="8" width="9.140625" style="57"/>
    <col min="9" max="9" width="9.42578125" style="57" customWidth="1"/>
    <col min="10" max="255" width="9.140625" style="57"/>
    <col min="256" max="256" width="30.85546875" style="57" customWidth="1"/>
    <col min="257" max="257" width="9.140625" style="57" customWidth="1"/>
    <col min="258" max="258" width="9.7109375" style="57" customWidth="1"/>
    <col min="259" max="259" width="15.140625" style="57" customWidth="1"/>
    <col min="260" max="260" width="12" style="57" customWidth="1"/>
    <col min="261" max="264" width="9.140625" style="57"/>
    <col min="265" max="265" width="9.42578125" style="57" customWidth="1"/>
    <col min="266" max="511" width="9.140625" style="57"/>
    <col min="512" max="512" width="30.85546875" style="57" customWidth="1"/>
    <col min="513" max="513" width="9.140625" style="57" customWidth="1"/>
    <col min="514" max="514" width="9.7109375" style="57" customWidth="1"/>
    <col min="515" max="515" width="15.140625" style="57" customWidth="1"/>
    <col min="516" max="516" width="12" style="57" customWidth="1"/>
    <col min="517" max="520" width="9.140625" style="57"/>
    <col min="521" max="521" width="9.42578125" style="57" customWidth="1"/>
    <col min="522" max="767" width="9.140625" style="57"/>
    <col min="768" max="768" width="30.85546875" style="57" customWidth="1"/>
    <col min="769" max="769" width="9.140625" style="57" customWidth="1"/>
    <col min="770" max="770" width="9.7109375" style="57" customWidth="1"/>
    <col min="771" max="771" width="15.140625" style="57" customWidth="1"/>
    <col min="772" max="772" width="12" style="57" customWidth="1"/>
    <col min="773" max="776" width="9.140625" style="57"/>
    <col min="777" max="777" width="9.42578125" style="57" customWidth="1"/>
    <col min="778" max="1023" width="9.140625" style="57"/>
    <col min="1024" max="1024" width="30.85546875" style="57" customWidth="1"/>
    <col min="1025" max="1025" width="9.140625" style="57" customWidth="1"/>
    <col min="1026" max="1026" width="9.7109375" style="57" customWidth="1"/>
    <col min="1027" max="1027" width="15.140625" style="57" customWidth="1"/>
    <col min="1028" max="1028" width="12" style="57" customWidth="1"/>
    <col min="1029" max="1032" width="9.140625" style="57"/>
    <col min="1033" max="1033" width="9.42578125" style="57" customWidth="1"/>
    <col min="1034" max="1279" width="9.140625" style="57"/>
    <col min="1280" max="1280" width="30.85546875" style="57" customWidth="1"/>
    <col min="1281" max="1281" width="9.140625" style="57" customWidth="1"/>
    <col min="1282" max="1282" width="9.7109375" style="57" customWidth="1"/>
    <col min="1283" max="1283" width="15.140625" style="57" customWidth="1"/>
    <col min="1284" max="1284" width="12" style="57" customWidth="1"/>
    <col min="1285" max="1288" width="9.140625" style="57"/>
    <col min="1289" max="1289" width="9.42578125" style="57" customWidth="1"/>
    <col min="1290" max="1535" width="9.140625" style="57"/>
    <col min="1536" max="1536" width="30.85546875" style="57" customWidth="1"/>
    <col min="1537" max="1537" width="9.140625" style="57" customWidth="1"/>
    <col min="1538" max="1538" width="9.7109375" style="57" customWidth="1"/>
    <col min="1539" max="1539" width="15.140625" style="57" customWidth="1"/>
    <col min="1540" max="1540" width="12" style="57" customWidth="1"/>
    <col min="1541" max="1544" width="9.140625" style="57"/>
    <col min="1545" max="1545" width="9.42578125" style="57" customWidth="1"/>
    <col min="1546" max="1791" width="9.140625" style="57"/>
    <col min="1792" max="1792" width="30.85546875" style="57" customWidth="1"/>
    <col min="1793" max="1793" width="9.140625" style="57" customWidth="1"/>
    <col min="1794" max="1794" width="9.7109375" style="57" customWidth="1"/>
    <col min="1795" max="1795" width="15.140625" style="57" customWidth="1"/>
    <col min="1796" max="1796" width="12" style="57" customWidth="1"/>
    <col min="1797" max="1800" width="9.140625" style="57"/>
    <col min="1801" max="1801" width="9.42578125" style="57" customWidth="1"/>
    <col min="1802" max="2047" width="9.140625" style="57"/>
    <col min="2048" max="2048" width="30.85546875" style="57" customWidth="1"/>
    <col min="2049" max="2049" width="9.140625" style="57" customWidth="1"/>
    <col min="2050" max="2050" width="9.7109375" style="57" customWidth="1"/>
    <col min="2051" max="2051" width="15.140625" style="57" customWidth="1"/>
    <col min="2052" max="2052" width="12" style="57" customWidth="1"/>
    <col min="2053" max="2056" width="9.140625" style="57"/>
    <col min="2057" max="2057" width="9.42578125" style="57" customWidth="1"/>
    <col min="2058" max="2303" width="9.140625" style="57"/>
    <col min="2304" max="2304" width="30.85546875" style="57" customWidth="1"/>
    <col min="2305" max="2305" width="9.140625" style="57" customWidth="1"/>
    <col min="2306" max="2306" width="9.7109375" style="57" customWidth="1"/>
    <col min="2307" max="2307" width="15.140625" style="57" customWidth="1"/>
    <col min="2308" max="2308" width="12" style="57" customWidth="1"/>
    <col min="2309" max="2312" width="9.140625" style="57"/>
    <col min="2313" max="2313" width="9.42578125" style="57" customWidth="1"/>
    <col min="2314" max="2559" width="9.140625" style="57"/>
    <col min="2560" max="2560" width="30.85546875" style="57" customWidth="1"/>
    <col min="2561" max="2561" width="9.140625" style="57" customWidth="1"/>
    <col min="2562" max="2562" width="9.7109375" style="57" customWidth="1"/>
    <col min="2563" max="2563" width="15.140625" style="57" customWidth="1"/>
    <col min="2564" max="2564" width="12" style="57" customWidth="1"/>
    <col min="2565" max="2568" width="9.140625" style="57"/>
    <col min="2569" max="2569" width="9.42578125" style="57" customWidth="1"/>
    <col min="2570" max="2815" width="9.140625" style="57"/>
    <col min="2816" max="2816" width="30.85546875" style="57" customWidth="1"/>
    <col min="2817" max="2817" width="9.140625" style="57" customWidth="1"/>
    <col min="2818" max="2818" width="9.7109375" style="57" customWidth="1"/>
    <col min="2819" max="2819" width="15.140625" style="57" customWidth="1"/>
    <col min="2820" max="2820" width="12" style="57" customWidth="1"/>
    <col min="2821" max="2824" width="9.140625" style="57"/>
    <col min="2825" max="2825" width="9.42578125" style="57" customWidth="1"/>
    <col min="2826" max="3071" width="9.140625" style="57"/>
    <col min="3072" max="3072" width="30.85546875" style="57" customWidth="1"/>
    <col min="3073" max="3073" width="9.140625" style="57" customWidth="1"/>
    <col min="3074" max="3074" width="9.7109375" style="57" customWidth="1"/>
    <col min="3075" max="3075" width="15.140625" style="57" customWidth="1"/>
    <col min="3076" max="3076" width="12" style="57" customWidth="1"/>
    <col min="3077" max="3080" width="9.140625" style="57"/>
    <col min="3081" max="3081" width="9.42578125" style="57" customWidth="1"/>
    <col min="3082" max="3327" width="9.140625" style="57"/>
    <col min="3328" max="3328" width="30.85546875" style="57" customWidth="1"/>
    <col min="3329" max="3329" width="9.140625" style="57" customWidth="1"/>
    <col min="3330" max="3330" width="9.7109375" style="57" customWidth="1"/>
    <col min="3331" max="3331" width="15.140625" style="57" customWidth="1"/>
    <col min="3332" max="3332" width="12" style="57" customWidth="1"/>
    <col min="3333" max="3336" width="9.140625" style="57"/>
    <col min="3337" max="3337" width="9.42578125" style="57" customWidth="1"/>
    <col min="3338" max="3583" width="9.140625" style="57"/>
    <col min="3584" max="3584" width="30.85546875" style="57" customWidth="1"/>
    <col min="3585" max="3585" width="9.140625" style="57" customWidth="1"/>
    <col min="3586" max="3586" width="9.7109375" style="57" customWidth="1"/>
    <col min="3587" max="3587" width="15.140625" style="57" customWidth="1"/>
    <col min="3588" max="3588" width="12" style="57" customWidth="1"/>
    <col min="3589" max="3592" width="9.140625" style="57"/>
    <col min="3593" max="3593" width="9.42578125" style="57" customWidth="1"/>
    <col min="3594" max="3839" width="9.140625" style="57"/>
    <col min="3840" max="3840" width="30.85546875" style="57" customWidth="1"/>
    <col min="3841" max="3841" width="9.140625" style="57" customWidth="1"/>
    <col min="3842" max="3842" width="9.7109375" style="57" customWidth="1"/>
    <col min="3843" max="3843" width="15.140625" style="57" customWidth="1"/>
    <col min="3844" max="3844" width="12" style="57" customWidth="1"/>
    <col min="3845" max="3848" width="9.140625" style="57"/>
    <col min="3849" max="3849" width="9.42578125" style="57" customWidth="1"/>
    <col min="3850" max="4095" width="9.140625" style="57"/>
    <col min="4096" max="4096" width="30.85546875" style="57" customWidth="1"/>
    <col min="4097" max="4097" width="9.140625" style="57" customWidth="1"/>
    <col min="4098" max="4098" width="9.7109375" style="57" customWidth="1"/>
    <col min="4099" max="4099" width="15.140625" style="57" customWidth="1"/>
    <col min="4100" max="4100" width="12" style="57" customWidth="1"/>
    <col min="4101" max="4104" width="9.140625" style="57"/>
    <col min="4105" max="4105" width="9.42578125" style="57" customWidth="1"/>
    <col min="4106" max="4351" width="9.140625" style="57"/>
    <col min="4352" max="4352" width="30.85546875" style="57" customWidth="1"/>
    <col min="4353" max="4353" width="9.140625" style="57" customWidth="1"/>
    <col min="4354" max="4354" width="9.7109375" style="57" customWidth="1"/>
    <col min="4355" max="4355" width="15.140625" style="57" customWidth="1"/>
    <col min="4356" max="4356" width="12" style="57" customWidth="1"/>
    <col min="4357" max="4360" width="9.140625" style="57"/>
    <col min="4361" max="4361" width="9.42578125" style="57" customWidth="1"/>
    <col min="4362" max="4607" width="9.140625" style="57"/>
    <col min="4608" max="4608" width="30.85546875" style="57" customWidth="1"/>
    <col min="4609" max="4609" width="9.140625" style="57" customWidth="1"/>
    <col min="4610" max="4610" width="9.7109375" style="57" customWidth="1"/>
    <col min="4611" max="4611" width="15.140625" style="57" customWidth="1"/>
    <col min="4612" max="4612" width="12" style="57" customWidth="1"/>
    <col min="4613" max="4616" width="9.140625" style="57"/>
    <col min="4617" max="4617" width="9.42578125" style="57" customWidth="1"/>
    <col min="4618" max="4863" width="9.140625" style="57"/>
    <col min="4864" max="4864" width="30.85546875" style="57" customWidth="1"/>
    <col min="4865" max="4865" width="9.140625" style="57" customWidth="1"/>
    <col min="4866" max="4866" width="9.7109375" style="57" customWidth="1"/>
    <col min="4867" max="4867" width="15.140625" style="57" customWidth="1"/>
    <col min="4868" max="4868" width="12" style="57" customWidth="1"/>
    <col min="4869" max="4872" width="9.140625" style="57"/>
    <col min="4873" max="4873" width="9.42578125" style="57" customWidth="1"/>
    <col min="4874" max="5119" width="9.140625" style="57"/>
    <col min="5120" max="5120" width="30.85546875" style="57" customWidth="1"/>
    <col min="5121" max="5121" width="9.140625" style="57" customWidth="1"/>
    <col min="5122" max="5122" width="9.7109375" style="57" customWidth="1"/>
    <col min="5123" max="5123" width="15.140625" style="57" customWidth="1"/>
    <col min="5124" max="5124" width="12" style="57" customWidth="1"/>
    <col min="5125" max="5128" width="9.140625" style="57"/>
    <col min="5129" max="5129" width="9.42578125" style="57" customWidth="1"/>
    <col min="5130" max="5375" width="9.140625" style="57"/>
    <col min="5376" max="5376" width="30.85546875" style="57" customWidth="1"/>
    <col min="5377" max="5377" width="9.140625" style="57" customWidth="1"/>
    <col min="5378" max="5378" width="9.7109375" style="57" customWidth="1"/>
    <col min="5379" max="5379" width="15.140625" style="57" customWidth="1"/>
    <col min="5380" max="5380" width="12" style="57" customWidth="1"/>
    <col min="5381" max="5384" width="9.140625" style="57"/>
    <col min="5385" max="5385" width="9.42578125" style="57" customWidth="1"/>
    <col min="5386" max="5631" width="9.140625" style="57"/>
    <col min="5632" max="5632" width="30.85546875" style="57" customWidth="1"/>
    <col min="5633" max="5633" width="9.140625" style="57" customWidth="1"/>
    <col min="5634" max="5634" width="9.7109375" style="57" customWidth="1"/>
    <col min="5635" max="5635" width="15.140625" style="57" customWidth="1"/>
    <col min="5636" max="5636" width="12" style="57" customWidth="1"/>
    <col min="5637" max="5640" width="9.140625" style="57"/>
    <col min="5641" max="5641" width="9.42578125" style="57" customWidth="1"/>
    <col min="5642" max="5887" width="9.140625" style="57"/>
    <col min="5888" max="5888" width="30.85546875" style="57" customWidth="1"/>
    <col min="5889" max="5889" width="9.140625" style="57" customWidth="1"/>
    <col min="5890" max="5890" width="9.7109375" style="57" customWidth="1"/>
    <col min="5891" max="5891" width="15.140625" style="57" customWidth="1"/>
    <col min="5892" max="5892" width="12" style="57" customWidth="1"/>
    <col min="5893" max="5896" width="9.140625" style="57"/>
    <col min="5897" max="5897" width="9.42578125" style="57" customWidth="1"/>
    <col min="5898" max="6143" width="9.140625" style="57"/>
    <col min="6144" max="6144" width="30.85546875" style="57" customWidth="1"/>
    <col min="6145" max="6145" width="9.140625" style="57" customWidth="1"/>
    <col min="6146" max="6146" width="9.7109375" style="57" customWidth="1"/>
    <col min="6147" max="6147" width="15.140625" style="57" customWidth="1"/>
    <col min="6148" max="6148" width="12" style="57" customWidth="1"/>
    <col min="6149" max="6152" width="9.140625" style="57"/>
    <col min="6153" max="6153" width="9.42578125" style="57" customWidth="1"/>
    <col min="6154" max="6399" width="9.140625" style="57"/>
    <col min="6400" max="6400" width="30.85546875" style="57" customWidth="1"/>
    <col min="6401" max="6401" width="9.140625" style="57" customWidth="1"/>
    <col min="6402" max="6402" width="9.7109375" style="57" customWidth="1"/>
    <col min="6403" max="6403" width="15.140625" style="57" customWidth="1"/>
    <col min="6404" max="6404" width="12" style="57" customWidth="1"/>
    <col min="6405" max="6408" width="9.140625" style="57"/>
    <col min="6409" max="6409" width="9.42578125" style="57" customWidth="1"/>
    <col min="6410" max="6655" width="9.140625" style="57"/>
    <col min="6656" max="6656" width="30.85546875" style="57" customWidth="1"/>
    <col min="6657" max="6657" width="9.140625" style="57" customWidth="1"/>
    <col min="6658" max="6658" width="9.7109375" style="57" customWidth="1"/>
    <col min="6659" max="6659" width="15.140625" style="57" customWidth="1"/>
    <col min="6660" max="6660" width="12" style="57" customWidth="1"/>
    <col min="6661" max="6664" width="9.140625" style="57"/>
    <col min="6665" max="6665" width="9.42578125" style="57" customWidth="1"/>
    <col min="6666" max="6911" width="9.140625" style="57"/>
    <col min="6912" max="6912" width="30.85546875" style="57" customWidth="1"/>
    <col min="6913" max="6913" width="9.140625" style="57" customWidth="1"/>
    <col min="6914" max="6914" width="9.7109375" style="57" customWidth="1"/>
    <col min="6915" max="6915" width="15.140625" style="57" customWidth="1"/>
    <col min="6916" max="6916" width="12" style="57" customWidth="1"/>
    <col min="6917" max="6920" width="9.140625" style="57"/>
    <col min="6921" max="6921" width="9.42578125" style="57" customWidth="1"/>
    <col min="6922" max="7167" width="9.140625" style="57"/>
    <col min="7168" max="7168" width="30.85546875" style="57" customWidth="1"/>
    <col min="7169" max="7169" width="9.140625" style="57" customWidth="1"/>
    <col min="7170" max="7170" width="9.7109375" style="57" customWidth="1"/>
    <col min="7171" max="7171" width="15.140625" style="57" customWidth="1"/>
    <col min="7172" max="7172" width="12" style="57" customWidth="1"/>
    <col min="7173" max="7176" width="9.140625" style="57"/>
    <col min="7177" max="7177" width="9.42578125" style="57" customWidth="1"/>
    <col min="7178" max="7423" width="9.140625" style="57"/>
    <col min="7424" max="7424" width="30.85546875" style="57" customWidth="1"/>
    <col min="7425" max="7425" width="9.140625" style="57" customWidth="1"/>
    <col min="7426" max="7426" width="9.7109375" style="57" customWidth="1"/>
    <col min="7427" max="7427" width="15.140625" style="57" customWidth="1"/>
    <col min="7428" max="7428" width="12" style="57" customWidth="1"/>
    <col min="7429" max="7432" width="9.140625" style="57"/>
    <col min="7433" max="7433" width="9.42578125" style="57" customWidth="1"/>
    <col min="7434" max="7679" width="9.140625" style="57"/>
    <col min="7680" max="7680" width="30.85546875" style="57" customWidth="1"/>
    <col min="7681" max="7681" width="9.140625" style="57" customWidth="1"/>
    <col min="7682" max="7682" width="9.7109375" style="57" customWidth="1"/>
    <col min="7683" max="7683" width="15.140625" style="57" customWidth="1"/>
    <col min="7684" max="7684" width="12" style="57" customWidth="1"/>
    <col min="7685" max="7688" width="9.140625" style="57"/>
    <col min="7689" max="7689" width="9.42578125" style="57" customWidth="1"/>
    <col min="7690" max="7935" width="9.140625" style="57"/>
    <col min="7936" max="7936" width="30.85546875" style="57" customWidth="1"/>
    <col min="7937" max="7937" width="9.140625" style="57" customWidth="1"/>
    <col min="7938" max="7938" width="9.7109375" style="57" customWidth="1"/>
    <col min="7939" max="7939" width="15.140625" style="57" customWidth="1"/>
    <col min="7940" max="7940" width="12" style="57" customWidth="1"/>
    <col min="7941" max="7944" width="9.140625" style="57"/>
    <col min="7945" max="7945" width="9.42578125" style="57" customWidth="1"/>
    <col min="7946" max="8191" width="9.140625" style="57"/>
    <col min="8192" max="8192" width="30.85546875" style="57" customWidth="1"/>
    <col min="8193" max="8193" width="9.140625" style="57" customWidth="1"/>
    <col min="8194" max="8194" width="9.7109375" style="57" customWidth="1"/>
    <col min="8195" max="8195" width="15.140625" style="57" customWidth="1"/>
    <col min="8196" max="8196" width="12" style="57" customWidth="1"/>
    <col min="8197" max="8200" width="9.140625" style="57"/>
    <col min="8201" max="8201" width="9.42578125" style="57" customWidth="1"/>
    <col min="8202" max="8447" width="9.140625" style="57"/>
    <col min="8448" max="8448" width="30.85546875" style="57" customWidth="1"/>
    <col min="8449" max="8449" width="9.140625" style="57" customWidth="1"/>
    <col min="8450" max="8450" width="9.7109375" style="57" customWidth="1"/>
    <col min="8451" max="8451" width="15.140625" style="57" customWidth="1"/>
    <col min="8452" max="8452" width="12" style="57" customWidth="1"/>
    <col min="8453" max="8456" width="9.140625" style="57"/>
    <col min="8457" max="8457" width="9.42578125" style="57" customWidth="1"/>
    <col min="8458" max="8703" width="9.140625" style="57"/>
    <col min="8704" max="8704" width="30.85546875" style="57" customWidth="1"/>
    <col min="8705" max="8705" width="9.140625" style="57" customWidth="1"/>
    <col min="8706" max="8706" width="9.7109375" style="57" customWidth="1"/>
    <col min="8707" max="8707" width="15.140625" style="57" customWidth="1"/>
    <col min="8708" max="8708" width="12" style="57" customWidth="1"/>
    <col min="8709" max="8712" width="9.140625" style="57"/>
    <col min="8713" max="8713" width="9.42578125" style="57" customWidth="1"/>
    <col min="8714" max="8959" width="9.140625" style="57"/>
    <col min="8960" max="8960" width="30.85546875" style="57" customWidth="1"/>
    <col min="8961" max="8961" width="9.140625" style="57" customWidth="1"/>
    <col min="8962" max="8962" width="9.7109375" style="57" customWidth="1"/>
    <col min="8963" max="8963" width="15.140625" style="57" customWidth="1"/>
    <col min="8964" max="8964" width="12" style="57" customWidth="1"/>
    <col min="8965" max="8968" width="9.140625" style="57"/>
    <col min="8969" max="8969" width="9.42578125" style="57" customWidth="1"/>
    <col min="8970" max="9215" width="9.140625" style="57"/>
    <col min="9216" max="9216" width="30.85546875" style="57" customWidth="1"/>
    <col min="9217" max="9217" width="9.140625" style="57" customWidth="1"/>
    <col min="9218" max="9218" width="9.7109375" style="57" customWidth="1"/>
    <col min="9219" max="9219" width="15.140625" style="57" customWidth="1"/>
    <col min="9220" max="9220" width="12" style="57" customWidth="1"/>
    <col min="9221" max="9224" width="9.140625" style="57"/>
    <col min="9225" max="9225" width="9.42578125" style="57" customWidth="1"/>
    <col min="9226" max="9471" width="9.140625" style="57"/>
    <col min="9472" max="9472" width="30.85546875" style="57" customWidth="1"/>
    <col min="9473" max="9473" width="9.140625" style="57" customWidth="1"/>
    <col min="9474" max="9474" width="9.7109375" style="57" customWidth="1"/>
    <col min="9475" max="9475" width="15.140625" style="57" customWidth="1"/>
    <col min="9476" max="9476" width="12" style="57" customWidth="1"/>
    <col min="9477" max="9480" width="9.140625" style="57"/>
    <col min="9481" max="9481" width="9.42578125" style="57" customWidth="1"/>
    <col min="9482" max="9727" width="9.140625" style="57"/>
    <col min="9728" max="9728" width="30.85546875" style="57" customWidth="1"/>
    <col min="9729" max="9729" width="9.140625" style="57" customWidth="1"/>
    <col min="9730" max="9730" width="9.7109375" style="57" customWidth="1"/>
    <col min="9731" max="9731" width="15.140625" style="57" customWidth="1"/>
    <col min="9732" max="9732" width="12" style="57" customWidth="1"/>
    <col min="9733" max="9736" width="9.140625" style="57"/>
    <col min="9737" max="9737" width="9.42578125" style="57" customWidth="1"/>
    <col min="9738" max="9983" width="9.140625" style="57"/>
    <col min="9984" max="9984" width="30.85546875" style="57" customWidth="1"/>
    <col min="9985" max="9985" width="9.140625" style="57" customWidth="1"/>
    <col min="9986" max="9986" width="9.7109375" style="57" customWidth="1"/>
    <col min="9987" max="9987" width="15.140625" style="57" customWidth="1"/>
    <col min="9988" max="9988" width="12" style="57" customWidth="1"/>
    <col min="9989" max="9992" width="9.140625" style="57"/>
    <col min="9993" max="9993" width="9.42578125" style="57" customWidth="1"/>
    <col min="9994" max="10239" width="9.140625" style="57"/>
    <col min="10240" max="10240" width="30.85546875" style="57" customWidth="1"/>
    <col min="10241" max="10241" width="9.140625" style="57" customWidth="1"/>
    <col min="10242" max="10242" width="9.7109375" style="57" customWidth="1"/>
    <col min="10243" max="10243" width="15.140625" style="57" customWidth="1"/>
    <col min="10244" max="10244" width="12" style="57" customWidth="1"/>
    <col min="10245" max="10248" width="9.140625" style="57"/>
    <col min="10249" max="10249" width="9.42578125" style="57" customWidth="1"/>
    <col min="10250" max="10495" width="9.140625" style="57"/>
    <col min="10496" max="10496" width="30.85546875" style="57" customWidth="1"/>
    <col min="10497" max="10497" width="9.140625" style="57" customWidth="1"/>
    <col min="10498" max="10498" width="9.7109375" style="57" customWidth="1"/>
    <col min="10499" max="10499" width="15.140625" style="57" customWidth="1"/>
    <col min="10500" max="10500" width="12" style="57" customWidth="1"/>
    <col min="10501" max="10504" width="9.140625" style="57"/>
    <col min="10505" max="10505" width="9.42578125" style="57" customWidth="1"/>
    <col min="10506" max="10751" width="9.140625" style="57"/>
    <col min="10752" max="10752" width="30.85546875" style="57" customWidth="1"/>
    <col min="10753" max="10753" width="9.140625" style="57" customWidth="1"/>
    <col min="10754" max="10754" width="9.7109375" style="57" customWidth="1"/>
    <col min="10755" max="10755" width="15.140625" style="57" customWidth="1"/>
    <col min="10756" max="10756" width="12" style="57" customWidth="1"/>
    <col min="10757" max="10760" width="9.140625" style="57"/>
    <col min="10761" max="10761" width="9.42578125" style="57" customWidth="1"/>
    <col min="10762" max="11007" width="9.140625" style="57"/>
    <col min="11008" max="11008" width="30.85546875" style="57" customWidth="1"/>
    <col min="11009" max="11009" width="9.140625" style="57" customWidth="1"/>
    <col min="11010" max="11010" width="9.7109375" style="57" customWidth="1"/>
    <col min="11011" max="11011" width="15.140625" style="57" customWidth="1"/>
    <col min="11012" max="11012" width="12" style="57" customWidth="1"/>
    <col min="11013" max="11016" width="9.140625" style="57"/>
    <col min="11017" max="11017" width="9.42578125" style="57" customWidth="1"/>
    <col min="11018" max="11263" width="9.140625" style="57"/>
    <col min="11264" max="11264" width="30.85546875" style="57" customWidth="1"/>
    <col min="11265" max="11265" width="9.140625" style="57" customWidth="1"/>
    <col min="11266" max="11266" width="9.7109375" style="57" customWidth="1"/>
    <col min="11267" max="11267" width="15.140625" style="57" customWidth="1"/>
    <col min="11268" max="11268" width="12" style="57" customWidth="1"/>
    <col min="11269" max="11272" width="9.140625" style="57"/>
    <col min="11273" max="11273" width="9.42578125" style="57" customWidth="1"/>
    <col min="11274" max="11519" width="9.140625" style="57"/>
    <col min="11520" max="11520" width="30.85546875" style="57" customWidth="1"/>
    <col min="11521" max="11521" width="9.140625" style="57" customWidth="1"/>
    <col min="11522" max="11522" width="9.7109375" style="57" customWidth="1"/>
    <col min="11523" max="11523" width="15.140625" style="57" customWidth="1"/>
    <col min="11524" max="11524" width="12" style="57" customWidth="1"/>
    <col min="11525" max="11528" width="9.140625" style="57"/>
    <col min="11529" max="11529" width="9.42578125" style="57" customWidth="1"/>
    <col min="11530" max="11775" width="9.140625" style="57"/>
    <col min="11776" max="11776" width="30.85546875" style="57" customWidth="1"/>
    <col min="11777" max="11777" width="9.140625" style="57" customWidth="1"/>
    <col min="11778" max="11778" width="9.7109375" style="57" customWidth="1"/>
    <col min="11779" max="11779" width="15.140625" style="57" customWidth="1"/>
    <col min="11780" max="11780" width="12" style="57" customWidth="1"/>
    <col min="11781" max="11784" width="9.140625" style="57"/>
    <col min="11785" max="11785" width="9.42578125" style="57" customWidth="1"/>
    <col min="11786" max="12031" width="9.140625" style="57"/>
    <col min="12032" max="12032" width="30.85546875" style="57" customWidth="1"/>
    <col min="12033" max="12033" width="9.140625" style="57" customWidth="1"/>
    <col min="12034" max="12034" width="9.7109375" style="57" customWidth="1"/>
    <col min="12035" max="12035" width="15.140625" style="57" customWidth="1"/>
    <col min="12036" max="12036" width="12" style="57" customWidth="1"/>
    <col min="12037" max="12040" width="9.140625" style="57"/>
    <col min="12041" max="12041" width="9.42578125" style="57" customWidth="1"/>
    <col min="12042" max="12287" width="9.140625" style="57"/>
    <col min="12288" max="12288" width="30.85546875" style="57" customWidth="1"/>
    <col min="12289" max="12289" width="9.140625" style="57" customWidth="1"/>
    <col min="12290" max="12290" width="9.7109375" style="57" customWidth="1"/>
    <col min="12291" max="12291" width="15.140625" style="57" customWidth="1"/>
    <col min="12292" max="12292" width="12" style="57" customWidth="1"/>
    <col min="12293" max="12296" width="9.140625" style="57"/>
    <col min="12297" max="12297" width="9.42578125" style="57" customWidth="1"/>
    <col min="12298" max="12543" width="9.140625" style="57"/>
    <col min="12544" max="12544" width="30.85546875" style="57" customWidth="1"/>
    <col min="12545" max="12545" width="9.140625" style="57" customWidth="1"/>
    <col min="12546" max="12546" width="9.7109375" style="57" customWidth="1"/>
    <col min="12547" max="12547" width="15.140625" style="57" customWidth="1"/>
    <col min="12548" max="12548" width="12" style="57" customWidth="1"/>
    <col min="12549" max="12552" width="9.140625" style="57"/>
    <col min="12553" max="12553" width="9.42578125" style="57" customWidth="1"/>
    <col min="12554" max="12799" width="9.140625" style="57"/>
    <col min="12800" max="12800" width="30.85546875" style="57" customWidth="1"/>
    <col min="12801" max="12801" width="9.140625" style="57" customWidth="1"/>
    <col min="12802" max="12802" width="9.7109375" style="57" customWidth="1"/>
    <col min="12803" max="12803" width="15.140625" style="57" customWidth="1"/>
    <col min="12804" max="12804" width="12" style="57" customWidth="1"/>
    <col min="12805" max="12808" width="9.140625" style="57"/>
    <col min="12809" max="12809" width="9.42578125" style="57" customWidth="1"/>
    <col min="12810" max="13055" width="9.140625" style="57"/>
    <col min="13056" max="13056" width="30.85546875" style="57" customWidth="1"/>
    <col min="13057" max="13057" width="9.140625" style="57" customWidth="1"/>
    <col min="13058" max="13058" width="9.7109375" style="57" customWidth="1"/>
    <col min="13059" max="13059" width="15.140625" style="57" customWidth="1"/>
    <col min="13060" max="13060" width="12" style="57" customWidth="1"/>
    <col min="13061" max="13064" width="9.140625" style="57"/>
    <col min="13065" max="13065" width="9.42578125" style="57" customWidth="1"/>
    <col min="13066" max="13311" width="9.140625" style="57"/>
    <col min="13312" max="13312" width="30.85546875" style="57" customWidth="1"/>
    <col min="13313" max="13313" width="9.140625" style="57" customWidth="1"/>
    <col min="13314" max="13314" width="9.7109375" style="57" customWidth="1"/>
    <col min="13315" max="13315" width="15.140625" style="57" customWidth="1"/>
    <col min="13316" max="13316" width="12" style="57" customWidth="1"/>
    <col min="13317" max="13320" width="9.140625" style="57"/>
    <col min="13321" max="13321" width="9.42578125" style="57" customWidth="1"/>
    <col min="13322" max="13567" width="9.140625" style="57"/>
    <col min="13568" max="13568" width="30.85546875" style="57" customWidth="1"/>
    <col min="13569" max="13569" width="9.140625" style="57" customWidth="1"/>
    <col min="13570" max="13570" width="9.7109375" style="57" customWidth="1"/>
    <col min="13571" max="13571" width="15.140625" style="57" customWidth="1"/>
    <col min="13572" max="13572" width="12" style="57" customWidth="1"/>
    <col min="13573" max="13576" width="9.140625" style="57"/>
    <col min="13577" max="13577" width="9.42578125" style="57" customWidth="1"/>
    <col min="13578" max="13823" width="9.140625" style="57"/>
    <col min="13824" max="13824" width="30.85546875" style="57" customWidth="1"/>
    <col min="13825" max="13825" width="9.140625" style="57" customWidth="1"/>
    <col min="13826" max="13826" width="9.7109375" style="57" customWidth="1"/>
    <col min="13827" max="13827" width="15.140625" style="57" customWidth="1"/>
    <col min="13828" max="13828" width="12" style="57" customWidth="1"/>
    <col min="13829" max="13832" width="9.140625" style="57"/>
    <col min="13833" max="13833" width="9.42578125" style="57" customWidth="1"/>
    <col min="13834" max="14079" width="9.140625" style="57"/>
    <col min="14080" max="14080" width="30.85546875" style="57" customWidth="1"/>
    <col min="14081" max="14081" width="9.140625" style="57" customWidth="1"/>
    <col min="14082" max="14082" width="9.7109375" style="57" customWidth="1"/>
    <col min="14083" max="14083" width="15.140625" style="57" customWidth="1"/>
    <col min="14084" max="14084" width="12" style="57" customWidth="1"/>
    <col min="14085" max="14088" width="9.140625" style="57"/>
    <col min="14089" max="14089" width="9.42578125" style="57" customWidth="1"/>
    <col min="14090" max="14335" width="9.140625" style="57"/>
    <col min="14336" max="14336" width="30.85546875" style="57" customWidth="1"/>
    <col min="14337" max="14337" width="9.140625" style="57" customWidth="1"/>
    <col min="14338" max="14338" width="9.7109375" style="57" customWidth="1"/>
    <col min="14339" max="14339" width="15.140625" style="57" customWidth="1"/>
    <col min="14340" max="14340" width="12" style="57" customWidth="1"/>
    <col min="14341" max="14344" width="9.140625" style="57"/>
    <col min="14345" max="14345" width="9.42578125" style="57" customWidth="1"/>
    <col min="14346" max="14591" width="9.140625" style="57"/>
    <col min="14592" max="14592" width="30.85546875" style="57" customWidth="1"/>
    <col min="14593" max="14593" width="9.140625" style="57" customWidth="1"/>
    <col min="14594" max="14594" width="9.7109375" style="57" customWidth="1"/>
    <col min="14595" max="14595" width="15.140625" style="57" customWidth="1"/>
    <col min="14596" max="14596" width="12" style="57" customWidth="1"/>
    <col min="14597" max="14600" width="9.140625" style="57"/>
    <col min="14601" max="14601" width="9.42578125" style="57" customWidth="1"/>
    <col min="14602" max="14847" width="9.140625" style="57"/>
    <col min="14848" max="14848" width="30.85546875" style="57" customWidth="1"/>
    <col min="14849" max="14849" width="9.140625" style="57" customWidth="1"/>
    <col min="14850" max="14850" width="9.7109375" style="57" customWidth="1"/>
    <col min="14851" max="14851" width="15.140625" style="57" customWidth="1"/>
    <col min="14852" max="14852" width="12" style="57" customWidth="1"/>
    <col min="14853" max="14856" width="9.140625" style="57"/>
    <col min="14857" max="14857" width="9.42578125" style="57" customWidth="1"/>
    <col min="14858" max="15103" width="9.140625" style="57"/>
    <col min="15104" max="15104" width="30.85546875" style="57" customWidth="1"/>
    <col min="15105" max="15105" width="9.140625" style="57" customWidth="1"/>
    <col min="15106" max="15106" width="9.7109375" style="57" customWidth="1"/>
    <col min="15107" max="15107" width="15.140625" style="57" customWidth="1"/>
    <col min="15108" max="15108" width="12" style="57" customWidth="1"/>
    <col min="15109" max="15112" width="9.140625" style="57"/>
    <col min="15113" max="15113" width="9.42578125" style="57" customWidth="1"/>
    <col min="15114" max="15359" width="9.140625" style="57"/>
    <col min="15360" max="15360" width="30.85546875" style="57" customWidth="1"/>
    <col min="15361" max="15361" width="9.140625" style="57" customWidth="1"/>
    <col min="15362" max="15362" width="9.7109375" style="57" customWidth="1"/>
    <col min="15363" max="15363" width="15.140625" style="57" customWidth="1"/>
    <col min="15364" max="15364" width="12" style="57" customWidth="1"/>
    <col min="15365" max="15368" width="9.140625" style="57"/>
    <col min="15369" max="15369" width="9.42578125" style="57" customWidth="1"/>
    <col min="15370" max="15615" width="9.140625" style="57"/>
    <col min="15616" max="15616" width="30.85546875" style="57" customWidth="1"/>
    <col min="15617" max="15617" width="9.140625" style="57" customWidth="1"/>
    <col min="15618" max="15618" width="9.7109375" style="57" customWidth="1"/>
    <col min="15619" max="15619" width="15.140625" style="57" customWidth="1"/>
    <col min="15620" max="15620" width="12" style="57" customWidth="1"/>
    <col min="15621" max="15624" width="9.140625" style="57"/>
    <col min="15625" max="15625" width="9.42578125" style="57" customWidth="1"/>
    <col min="15626" max="15871" width="9.140625" style="57"/>
    <col min="15872" max="15872" width="30.85546875" style="57" customWidth="1"/>
    <col min="15873" max="15873" width="9.140625" style="57" customWidth="1"/>
    <col min="15874" max="15874" width="9.7109375" style="57" customWidth="1"/>
    <col min="15875" max="15875" width="15.140625" style="57" customWidth="1"/>
    <col min="15876" max="15876" width="12" style="57" customWidth="1"/>
    <col min="15877" max="15880" width="9.140625" style="57"/>
    <col min="15881" max="15881" width="9.42578125" style="57" customWidth="1"/>
    <col min="15882" max="16127" width="9.140625" style="57"/>
    <col min="16128" max="16128" width="30.85546875" style="57" customWidth="1"/>
    <col min="16129" max="16129" width="9.140625" style="57" customWidth="1"/>
    <col min="16130" max="16130" width="9.7109375" style="57" customWidth="1"/>
    <col min="16131" max="16131" width="15.140625" style="57" customWidth="1"/>
    <col min="16132" max="16132" width="12" style="57" customWidth="1"/>
    <col min="16133" max="16136" width="9.140625" style="57"/>
    <col min="16137" max="16137" width="9.42578125" style="57" customWidth="1"/>
    <col min="16138" max="16384" width="9.140625" style="57"/>
  </cols>
  <sheetData>
    <row r="1" spans="1:5" s="55" customFormat="1">
      <c r="A1" s="83" t="str">
        <f>[6]SharedInputs!B4</f>
        <v>AVISTA UTILITIES</v>
      </c>
      <c r="B1" s="83"/>
      <c r="C1" s="83"/>
      <c r="D1" s="83"/>
      <c r="E1" s="83"/>
    </row>
    <row r="2" spans="1:5" s="55" customFormat="1">
      <c r="A2" s="83" t="s">
        <v>65</v>
      </c>
      <c r="B2" s="83"/>
      <c r="C2" s="83"/>
      <c r="D2" s="83"/>
    </row>
    <row r="3" spans="1:5" s="55" customFormat="1">
      <c r="A3" s="83" t="s">
        <v>158</v>
      </c>
      <c r="B3" s="83"/>
      <c r="C3" s="83"/>
      <c r="D3" s="83"/>
      <c r="E3" s="93"/>
    </row>
    <row r="4" spans="1:5" s="55" customFormat="1">
      <c r="A4" s="83"/>
      <c r="B4" s="83"/>
      <c r="C4" s="83"/>
      <c r="D4" s="83"/>
      <c r="E4" s="93"/>
    </row>
    <row r="5" spans="1:5" s="55" customFormat="1">
      <c r="A5" s="83"/>
      <c r="B5" s="83"/>
      <c r="C5" s="83"/>
      <c r="D5" s="83"/>
      <c r="E5" s="83"/>
    </row>
    <row r="6" spans="1:5">
      <c r="A6" s="83"/>
      <c r="B6" s="56"/>
      <c r="C6" s="56"/>
      <c r="E6" s="83"/>
    </row>
    <row r="7" spans="1:5">
      <c r="A7" s="56"/>
      <c r="B7" s="56"/>
      <c r="C7" s="56"/>
      <c r="E7" s="56"/>
    </row>
    <row r="8" spans="1:5">
      <c r="A8" s="56" t="s">
        <v>66</v>
      </c>
      <c r="B8" s="56"/>
      <c r="C8" s="56"/>
      <c r="E8" s="56">
        <v>1</v>
      </c>
    </row>
    <row r="9" spans="1:5">
      <c r="A9" s="56"/>
      <c r="B9" s="56"/>
      <c r="C9" s="56"/>
      <c r="E9" s="56"/>
    </row>
    <row r="10" spans="1:5">
      <c r="A10" s="56" t="s">
        <v>43</v>
      </c>
      <c r="B10" s="56"/>
      <c r="C10" s="56"/>
      <c r="E10" s="56"/>
    </row>
    <row r="11" spans="1:5">
      <c r="A11" s="56"/>
      <c r="B11" s="56"/>
      <c r="C11" s="56"/>
      <c r="E11" s="56"/>
    </row>
    <row r="12" spans="1:5">
      <c r="A12" s="56" t="s">
        <v>67</v>
      </c>
      <c r="B12" s="56"/>
      <c r="C12" s="56"/>
      <c r="E12" s="56">
        <v>3.3262885794710221E-3</v>
      </c>
    </row>
    <row r="13" spans="1:5">
      <c r="A13" s="56"/>
      <c r="B13" s="56"/>
      <c r="C13" s="56"/>
      <c r="E13" s="56"/>
    </row>
    <row r="14" spans="1:5">
      <c r="A14" s="56" t="s">
        <v>68</v>
      </c>
      <c r="B14" s="56"/>
      <c r="C14" s="56"/>
      <c r="E14" s="56">
        <v>2E-3</v>
      </c>
    </row>
    <row r="15" spans="1:5">
      <c r="A15" s="56"/>
      <c r="B15" s="56"/>
      <c r="C15" s="56"/>
      <c r="E15" s="56"/>
    </row>
    <row r="16" spans="1:5">
      <c r="A16" s="56" t="s">
        <v>69</v>
      </c>
      <c r="B16" s="56"/>
      <c r="C16" s="56"/>
      <c r="E16" s="56">
        <v>3.8605159538162764E-2</v>
      </c>
    </row>
    <row r="17" spans="1:10">
      <c r="A17" s="56"/>
      <c r="B17" s="56"/>
      <c r="C17" s="56"/>
      <c r="E17" s="56"/>
    </row>
    <row r="18" spans="1:10">
      <c r="A18" s="56"/>
      <c r="B18" s="56"/>
      <c r="C18" s="56"/>
    </row>
    <row r="19" spans="1:10">
      <c r="A19" s="56" t="s">
        <v>44</v>
      </c>
      <c r="B19" s="56"/>
      <c r="C19" s="56"/>
      <c r="E19" s="94">
        <f>SUM(E11:E17)</f>
        <v>4.393144811763379E-2</v>
      </c>
      <c r="J19" s="58"/>
    </row>
    <row r="20" spans="1:10" ht="15.75" thickBot="1">
      <c r="A20" s="56"/>
      <c r="B20" s="56"/>
      <c r="C20" s="56"/>
    </row>
    <row r="21" spans="1:10" ht="16.5" thickTop="1" thickBot="1">
      <c r="A21" s="56" t="s">
        <v>45</v>
      </c>
      <c r="B21" s="56"/>
      <c r="C21" s="56"/>
      <c r="E21" s="82">
        <f>E8-E19</f>
        <v>0.95606855188236617</v>
      </c>
    </row>
    <row r="22" spans="1:10" ht="15.75" thickTop="1">
      <c r="A22" s="56"/>
      <c r="B22" s="56"/>
      <c r="C22" s="56"/>
      <c r="E22" s="56"/>
    </row>
    <row r="23" spans="1:10">
      <c r="A23" s="56" t="s">
        <v>70</v>
      </c>
      <c r="B23" s="77">
        <v>0.21</v>
      </c>
      <c r="C23" s="95"/>
      <c r="E23" s="56">
        <v>0.20077439589529689</v>
      </c>
    </row>
    <row r="24" spans="1:10">
      <c r="A24" s="56"/>
      <c r="B24" s="56"/>
      <c r="C24" s="56"/>
      <c r="E24" s="56"/>
    </row>
    <row r="25" spans="1:10">
      <c r="A25" s="56" t="s">
        <v>42</v>
      </c>
      <c r="B25" s="56"/>
      <c r="C25" s="56"/>
      <c r="E25" s="94">
        <f>E21-E23</f>
        <v>0.75529415598706928</v>
      </c>
    </row>
    <row r="26" spans="1:10">
      <c r="A26" s="56"/>
      <c r="B26" s="56"/>
      <c r="C26" s="56"/>
      <c r="E26" s="56"/>
    </row>
    <row r="27" spans="1:10">
      <c r="A27" s="56"/>
      <c r="B27" s="56"/>
      <c r="C27" s="56"/>
      <c r="E27" s="56"/>
    </row>
    <row r="28" spans="1:10">
      <c r="A28" s="56"/>
      <c r="B28" s="56"/>
      <c r="C28" s="56"/>
      <c r="D28" s="56"/>
      <c r="E28" s="56"/>
    </row>
    <row r="33" spans="2:6">
      <c r="F33" s="65"/>
    </row>
    <row r="41" spans="2:6">
      <c r="B41" s="63"/>
    </row>
    <row r="42" spans="2:6">
      <c r="C42" s="59"/>
    </row>
    <row r="43" spans="2:6">
      <c r="C43" s="61"/>
    </row>
    <row r="44" spans="2:6">
      <c r="C44" s="61"/>
    </row>
    <row r="49" spans="2:2">
      <c r="B49" s="57" t="s">
        <v>72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2:E27"/>
  <sheetViews>
    <sheetView workbookViewId="0">
      <selection activeCell="J14" sqref="J14"/>
    </sheetView>
  </sheetViews>
  <sheetFormatPr defaultColWidth="9.140625" defaultRowHeight="12.75"/>
  <cols>
    <col min="1" max="1" width="9.140625" style="79"/>
    <col min="2" max="2" width="11.140625" style="79" bestFit="1" customWidth="1"/>
    <col min="3" max="3" width="26.28515625" style="79" bestFit="1" customWidth="1"/>
    <col min="4" max="4" width="20.85546875" style="79" bestFit="1" customWidth="1"/>
    <col min="5" max="5" width="12.42578125" style="79" customWidth="1"/>
    <col min="6" max="16384" width="9.140625" style="79"/>
  </cols>
  <sheetData>
    <row r="12" spans="5:5">
      <c r="E12" s="80"/>
    </row>
    <row r="17" spans="2:4">
      <c r="B17" s="185" t="s">
        <v>115</v>
      </c>
      <c r="C17" s="185"/>
      <c r="D17" s="185"/>
    </row>
    <row r="18" spans="2:4">
      <c r="B18" s="106" t="s">
        <v>76</v>
      </c>
      <c r="C18" s="104" t="s">
        <v>79</v>
      </c>
      <c r="D18" s="105" t="s">
        <v>89</v>
      </c>
    </row>
    <row r="19" spans="2:4">
      <c r="B19" s="84" t="s">
        <v>77</v>
      </c>
      <c r="C19" s="85" t="s">
        <v>80</v>
      </c>
      <c r="D19" s="178">
        <f>'Rate Design'!D23</f>
        <v>1.8782033478587153E-4</v>
      </c>
    </row>
    <row r="20" spans="2:4">
      <c r="B20" s="84" t="s">
        <v>103</v>
      </c>
      <c r="C20" s="85" t="s">
        <v>81</v>
      </c>
      <c r="D20" s="178">
        <f>'Rate Design'!E23</f>
        <v>1.2484800345059123E-4</v>
      </c>
    </row>
    <row r="21" spans="2:4">
      <c r="B21" s="84" t="s">
        <v>104</v>
      </c>
      <c r="C21" s="85" t="s">
        <v>82</v>
      </c>
      <c r="D21" s="178">
        <f>'Rate Design'!F23</f>
        <v>1.2420092416036015E-4</v>
      </c>
    </row>
    <row r="22" spans="2:4">
      <c r="B22" s="84" t="s">
        <v>118</v>
      </c>
      <c r="C22" s="85" t="s">
        <v>84</v>
      </c>
      <c r="D22" s="178">
        <f>'Rate Design'!G23</f>
        <v>9.415646011623603E-5</v>
      </c>
    </row>
    <row r="23" spans="2:4">
      <c r="B23" s="84" t="s">
        <v>116</v>
      </c>
      <c r="C23" s="85" t="s">
        <v>117</v>
      </c>
      <c r="D23" s="178">
        <f>'Rate Design'!H23</f>
        <v>1.6644928828811573E-4</v>
      </c>
    </row>
    <row r="24" spans="2:4">
      <c r="B24" s="84" t="s">
        <v>78</v>
      </c>
      <c r="C24" s="85" t="s">
        <v>83</v>
      </c>
      <c r="D24" s="178">
        <f>'Rate Design'!I23</f>
        <v>1.6504828904883415E-4</v>
      </c>
    </row>
    <row r="25" spans="2:4">
      <c r="B25" s="86" t="s">
        <v>85</v>
      </c>
      <c r="C25" s="85" t="s">
        <v>55</v>
      </c>
      <c r="D25" s="178">
        <f>'Rate Design'!J23</f>
        <v>0</v>
      </c>
    </row>
    <row r="26" spans="2:4">
      <c r="B26" s="87"/>
      <c r="C26" s="88" t="s">
        <v>86</v>
      </c>
      <c r="D26" s="179">
        <f>'Rate Design'!C23</f>
        <v>1.501421340913818E-4</v>
      </c>
    </row>
    <row r="27" spans="2:4">
      <c r="B27" s="108"/>
      <c r="C27" s="107"/>
      <c r="D27" s="109"/>
    </row>
  </sheetData>
  <mergeCells count="1">
    <mergeCell ref="B17:D17"/>
  </mergeCells>
  <pageMargins left="0.7" right="0.7" top="0.75" bottom="0.75" header="0.3" footer="0.3"/>
  <pageSetup orientation="portrait" r:id="rId1"/>
  <customProperties>
    <customPr name="xxe4aPID" r:id="rId2"/>
  </customProperties>
  <ignoredErrors>
    <ignoredError sqref="B20" twoDigitTextYear="1"/>
    <ignoredError sqref="B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E53C2EFDE4924E9C6F63C3F4B2038B" ma:contentTypeVersion="24" ma:contentTypeDescription="" ma:contentTypeScope="" ma:versionID="866b001577789591cc246a3eee8e01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2023-09-01T07:00:00+00:00</OpenedDate>
    <SignificantOrder xmlns="dc463f71-b30c-4ab2-9473-d307f9d35888">false</SignificantOrder>
    <Date1 xmlns="dc463f71-b30c-4ab2-9473-d307f9d35888">2023-09-01T07:00:00+00:00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230710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C26A81BE-DD74-4ADE-8968-FB48701DA5CD}"/>
</file>

<file path=customXml/itemProps3.xml><?xml version="1.0" encoding="utf-8"?>
<ds:datastoreItem xmlns:ds="http://schemas.openxmlformats.org/officeDocument/2006/customXml" ds:itemID="{E22E6E19-024C-4CBA-82FA-D579E0D247AB}"/>
</file>

<file path=customXml/itemProps4.xml><?xml version="1.0" encoding="utf-8"?>
<ds:datastoreItem xmlns:ds="http://schemas.openxmlformats.org/officeDocument/2006/customXml" ds:itemID="{F7BC6C36-A1DC-42D3-918F-483CEE132FDF}"/>
</file>

<file path=customXml/itemProps5.xml><?xml version="1.0" encoding="utf-8"?>
<ds:datastoreItem xmlns:ds="http://schemas.openxmlformats.org/officeDocument/2006/customXml" ds:itemID="{4D21D9A0-5195-4A80-B16E-C39FBF39D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Rate Design</vt:lpstr>
      <vt:lpstr>Deferral Balance</vt:lpstr>
      <vt:lpstr>Deferral Schedule</vt:lpstr>
      <vt:lpstr>Forecasted Revenue</vt:lpstr>
      <vt:lpstr>kWh Forecast</vt:lpstr>
      <vt:lpstr>CF WA Elec</vt:lpstr>
      <vt:lpstr>Tables for Cust Notice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Anderson, Joel</cp:lastModifiedBy>
  <cp:lastPrinted>2022-11-08T19:42:35Z</cp:lastPrinted>
  <dcterms:created xsi:type="dcterms:W3CDTF">2016-02-09T19:01:57Z</dcterms:created>
  <dcterms:modified xsi:type="dcterms:W3CDTF">2023-08-28T17:38:01Z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0x0101006E56B4D1795A2E4DB2F0B01679ED314A00EDE53C2EFDE4924E9C6F63C3F4B2038B</vt:lpwstr>
  </property>
  <property fmtid="{D5CDD505-2E9C-101B-9397-08002B2CF9AE}" pid="3" name="_docset_NoMedatataSyncRequired">
    <vt:lpwstr>False</vt:lpwstr>
  </property>
</Properties>
</file>