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7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11.2022\"/>
    </mc:Choice>
  </mc:AlternateContent>
  <xr:revisionPtr revIDLastSave="0" documentId="13_ncr:1_{07AB1954-7F39-4A1E-B87D-7B43EC3A69F5}" xr6:coauthVersionLast="47" xr6:coauthVersionMax="47" xr10:uidLastSave="{00000000-0000-0000-0000-000000000000}"/>
  <bookViews>
    <workbookView xWindow="28680" yWindow="-120" windowWidth="29040" windowHeight="15840" tabRatio="772" firstSheet="3" activeTab="10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Jun 22" sheetId="79" r:id="rId6"/>
    <sheet name="Jul 22" sheetId="80" r:id="rId7"/>
    <sheet name="Aug 22" sheetId="81" r:id="rId8"/>
    <sheet name="Sep 22" sheetId="82" r:id="rId9"/>
    <sheet name="Oct 22" sheetId="83" r:id="rId10"/>
    <sheet name="Nov 22" sheetId="84" r:id="rId11"/>
    <sheet name="191010 WA DEF" sheetId="39" r:id="rId12"/>
    <sheet name="191000 WA Amort" sheetId="41" r:id="rId13"/>
  </sheets>
  <externalReferences>
    <externalReference r:id="rId14"/>
    <externalReference r:id="rId15"/>
    <externalReference r:id="rId16"/>
  </externalReferences>
  <definedNames>
    <definedName name="Actual_Cost_Per_MMBtu" localSheetId="12">'[1]Oregon Gas Costs - 1999'!#REF!</definedName>
    <definedName name="Actual_Cost_Per_MMBtu">'[1]Oregon Gas Costs - 1999'!#REF!</definedName>
    <definedName name="Actual_Gas_Costs" localSheetId="12">#REF!</definedName>
    <definedName name="Actual_Gas_Costs">#REF!</definedName>
    <definedName name="Actual_Volumes" localSheetId="12">#REF!</definedName>
    <definedName name="Actual_Volumes">#REF!</definedName>
    <definedName name="Analysis_of_Year_to_Date_Gas_Costs___WWP_System" localSheetId="12">#REF!</definedName>
    <definedName name="Analysis_of_Year_to_Date_Gas_Costs___WWP_System">#REF!</definedName>
    <definedName name="Balancing_Account_Summary" localSheetId="12">#REF!</definedName>
    <definedName name="Balancing_Account_Summary">#REF!</definedName>
    <definedName name="Budgeted_Costs_Volumes" localSheetId="12">#REF!</definedName>
    <definedName name="Budgeted_Costs_Volumes">#REF!</definedName>
    <definedName name="Commodity_Costs" localSheetId="12">#REF!</definedName>
    <definedName name="Commodity_Costs">#REF!</definedName>
    <definedName name="_xlnm.Database" localSheetId="12">'[2]May 2000'!#REF!</definedName>
    <definedName name="_xlnm.Database">'[2]May 2000'!#REF!</definedName>
    <definedName name="EIA857_Report_Info" localSheetId="12">#REF!</definedName>
    <definedName name="EIA857_Report_Info">#REF!</definedName>
    <definedName name="InputMonth">[3]Start!$B$2</definedName>
    <definedName name="JanJunPretaxRate">[3]Start!$C$7</definedName>
    <definedName name="jj" localSheetId="12">'[1]Oregon Gas Costs - 1999'!#REF!</definedName>
    <definedName name="jj">'[1]Oregon Gas Costs - 1999'!#REF!</definedName>
    <definedName name="Journal_Entry_Dollars" localSheetId="12">#REF!</definedName>
    <definedName name="Journal_Entry_Dollars">#REF!</definedName>
    <definedName name="Journal_Entry_Volumes" localSheetId="12">#REF!</definedName>
    <definedName name="Journal_Entry_Volumes">#REF!</definedName>
    <definedName name="JournalEntryPrintArea" localSheetId="12">#REF!</definedName>
    <definedName name="JournalEntryPrintArea">#REF!</definedName>
    <definedName name="JulDecPretaxRate">[3]Start!$C$8</definedName>
    <definedName name="Notes" localSheetId="12">#REF!</definedName>
    <definedName name="Notes">#REF!</definedName>
    <definedName name="_xlnm.Print_Area" localSheetId="12">'191000 WA Amort'!$A$1:$S$45</definedName>
    <definedName name="_xlnm.Print_Area" localSheetId="11">'191010 WA DEF'!$A$1:$L$45</definedName>
    <definedName name="_xlnm.Print_Area" localSheetId="3">'Apr 22'!$B$1:$R$48</definedName>
    <definedName name="_xlnm.Print_Area" localSheetId="7">'Aug 22'!$B$1:$R$48</definedName>
    <definedName name="_xlnm.Print_Area" localSheetId="1">'Feb 22'!$B$1:$R$48</definedName>
    <definedName name="_xlnm.Print_Area" localSheetId="0">'Jan 22'!$B$1:$R$48</definedName>
    <definedName name="_xlnm.Print_Area" localSheetId="6">'Jul 22'!$B$1:$R$48</definedName>
    <definedName name="_xlnm.Print_Area" localSheetId="5">'Jun 22'!$B$1:$R$48</definedName>
    <definedName name="_xlnm.Print_Area" localSheetId="2">'Mar 22'!$B$1:$R$48</definedName>
    <definedName name="_xlnm.Print_Area" localSheetId="4">'May 22'!$B$1:$R$48</definedName>
    <definedName name="_xlnm.Print_Area" localSheetId="10">'Nov 22'!$B$1:$R$48</definedName>
    <definedName name="_xlnm.Print_Area" localSheetId="9">'Oct 22'!$B$1:$R$48</definedName>
    <definedName name="_xlnm.Print_Area" localSheetId="8">'Sep 22'!$B$1:$R$48</definedName>
    <definedName name="SPREADSHEET_DOCUMENTATION" localSheetId="12">#REF!</definedName>
    <definedName name="SPREADSHEET_DOCUMENTATION">#REF!</definedName>
    <definedName name="Summary_of_Off_system_Sales" localSheetId="12">'[1]Oregon Gas Costs - 1999'!#REF!</definedName>
    <definedName name="Summary_of_Off_system_Sales">'[1]Oregon Gas Costs - 1999'!#REF!</definedName>
    <definedName name="Transportation_Costs" localSheetId="12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1" l="1"/>
  <c r="F29" i="41"/>
  <c r="I44" i="41"/>
  <c r="H45" i="41" s="1"/>
  <c r="D1396" i="84" l="1"/>
  <c r="L28" i="84"/>
  <c r="P27" i="84"/>
  <c r="L27" i="84"/>
  <c r="P26" i="84"/>
  <c r="L26" i="84"/>
  <c r="P25" i="84"/>
  <c r="L25" i="84"/>
  <c r="P24" i="84"/>
  <c r="L24" i="84"/>
  <c r="P23" i="84"/>
  <c r="L23" i="84"/>
  <c r="L17" i="84"/>
  <c r="L19" i="84" s="1"/>
  <c r="P15" i="84"/>
  <c r="P17" i="84" s="1"/>
  <c r="Q11" i="84"/>
  <c r="Q12" i="84" s="1"/>
  <c r="N17" i="84"/>
  <c r="E8" i="84"/>
  <c r="F28" i="41"/>
  <c r="D1396" i="83"/>
  <c r="L28" i="83"/>
  <c r="N28" i="83" s="1"/>
  <c r="P27" i="83"/>
  <c r="R27" i="83" s="1"/>
  <c r="L27" i="83"/>
  <c r="N27" i="83" s="1"/>
  <c r="P26" i="83"/>
  <c r="R26" i="83" s="1"/>
  <c r="L26" i="83"/>
  <c r="N26" i="83" s="1"/>
  <c r="P25" i="83"/>
  <c r="R25" i="83" s="1"/>
  <c r="L25" i="83"/>
  <c r="N25" i="83" s="1"/>
  <c r="P24" i="83"/>
  <c r="R24" i="83" s="1"/>
  <c r="L24" i="83"/>
  <c r="N24" i="83" s="1"/>
  <c r="P23" i="83"/>
  <c r="R23" i="83" s="1"/>
  <c r="L23" i="83"/>
  <c r="L17" i="83"/>
  <c r="L19" i="83" s="1"/>
  <c r="N16" i="83"/>
  <c r="P15" i="83"/>
  <c r="P17" i="83" s="1"/>
  <c r="N15" i="83"/>
  <c r="N14" i="83"/>
  <c r="N13" i="83"/>
  <c r="N12" i="83"/>
  <c r="Q11" i="83"/>
  <c r="Q12" i="83" s="1"/>
  <c r="Q13" i="83" s="1"/>
  <c r="N11" i="83"/>
  <c r="R10" i="83"/>
  <c r="N10" i="83"/>
  <c r="E8" i="83"/>
  <c r="F27" i="41"/>
  <c r="L29" i="84" l="1"/>
  <c r="L31" i="84" s="1"/>
  <c r="P28" i="84"/>
  <c r="P30" i="84" s="1"/>
  <c r="G35" i="84"/>
  <c r="I36" i="84"/>
  <c r="E13" i="84"/>
  <c r="E31" i="84" s="1"/>
  <c r="E12" i="84"/>
  <c r="G33" i="84"/>
  <c r="E32" i="84"/>
  <c r="I34" i="84"/>
  <c r="L36" i="84"/>
  <c r="N29" i="84"/>
  <c r="M36" i="84" s="1"/>
  <c r="R28" i="84"/>
  <c r="O36" i="84" s="1"/>
  <c r="Q13" i="84"/>
  <c r="R11" i="83"/>
  <c r="L29" i="83"/>
  <c r="L31" i="83" s="1"/>
  <c r="N17" i="83"/>
  <c r="L36" i="83" s="1"/>
  <c r="E13" i="83"/>
  <c r="E31" i="83" s="1"/>
  <c r="E32" i="83" s="1"/>
  <c r="G35" i="83"/>
  <c r="I34" i="83"/>
  <c r="I36" i="83"/>
  <c r="G33" i="83"/>
  <c r="E12" i="83"/>
  <c r="Q14" i="83"/>
  <c r="R14" i="83" s="1"/>
  <c r="R13" i="83"/>
  <c r="R28" i="83"/>
  <c r="O36" i="83" s="1"/>
  <c r="R12" i="83"/>
  <c r="R15" i="83" s="1"/>
  <c r="N36" i="83" s="1"/>
  <c r="P28" i="83"/>
  <c r="P30" i="83" s="1"/>
  <c r="N23" i="83"/>
  <c r="N29" i="83" s="1"/>
  <c r="M36" i="83" s="1"/>
  <c r="D1396" i="82"/>
  <c r="L28" i="82"/>
  <c r="N28" i="82" s="1"/>
  <c r="P27" i="82"/>
  <c r="R27" i="82" s="1"/>
  <c r="L27" i="82"/>
  <c r="N27" i="82" s="1"/>
  <c r="P26" i="82"/>
  <c r="R26" i="82" s="1"/>
  <c r="L26" i="82"/>
  <c r="N26" i="82" s="1"/>
  <c r="P25" i="82"/>
  <c r="R25" i="82" s="1"/>
  <c r="L25" i="82"/>
  <c r="N25" i="82" s="1"/>
  <c r="P24" i="82"/>
  <c r="L24" i="82"/>
  <c r="N24" i="82" s="1"/>
  <c r="P23" i="82"/>
  <c r="R23" i="82" s="1"/>
  <c r="L23" i="82"/>
  <c r="L17" i="82"/>
  <c r="L19" i="82" s="1"/>
  <c r="N16" i="82"/>
  <c r="P15" i="82"/>
  <c r="P17" i="82" s="1"/>
  <c r="N15" i="82"/>
  <c r="N14" i="82"/>
  <c r="N13" i="82"/>
  <c r="N12" i="82"/>
  <c r="Q11" i="82"/>
  <c r="Q12" i="82" s="1"/>
  <c r="N11" i="82"/>
  <c r="R10" i="82"/>
  <c r="N10" i="82"/>
  <c r="E8" i="82"/>
  <c r="E14" i="83" l="1"/>
  <c r="F14" i="83" s="1"/>
  <c r="F39" i="83" s="1"/>
  <c r="L35" i="83" s="1"/>
  <c r="L37" i="83" s="1"/>
  <c r="G28" i="39" s="1"/>
  <c r="G8" i="84"/>
  <c r="I8" i="84" s="1"/>
  <c r="I32" i="84" s="1"/>
  <c r="I39" i="84" s="1"/>
  <c r="O35" i="84" s="1"/>
  <c r="O37" i="84" s="1"/>
  <c r="E14" i="84"/>
  <c r="H14" i="84" s="1"/>
  <c r="H39" i="84" s="1"/>
  <c r="N35" i="84" s="1"/>
  <c r="Q14" i="84"/>
  <c r="E37" i="84"/>
  <c r="E37" i="83"/>
  <c r="E39" i="83" s="1"/>
  <c r="P36" i="83"/>
  <c r="G8" i="83"/>
  <c r="I8" i="83" s="1"/>
  <c r="I32" i="83" s="1"/>
  <c r="I39" i="83" s="1"/>
  <c r="O35" i="83" s="1"/>
  <c r="O37" i="83" s="1"/>
  <c r="N17" i="82"/>
  <c r="L36" i="82" s="1"/>
  <c r="L29" i="82"/>
  <c r="R11" i="82"/>
  <c r="P28" i="82"/>
  <c r="P30" i="82" s="1"/>
  <c r="N23" i="82"/>
  <c r="N29" i="82" s="1"/>
  <c r="M36" i="82" s="1"/>
  <c r="R24" i="82"/>
  <c r="R28" i="82" s="1"/>
  <c r="O36" i="82" s="1"/>
  <c r="I36" i="82"/>
  <c r="G35" i="82"/>
  <c r="E13" i="82"/>
  <c r="E31" i="82" s="1"/>
  <c r="E32" i="82" s="1"/>
  <c r="G33" i="82"/>
  <c r="E12" i="82"/>
  <c r="I34" i="82"/>
  <c r="Q13" i="82"/>
  <c r="R12" i="82"/>
  <c r="H14" i="83" l="1"/>
  <c r="H39" i="83" s="1"/>
  <c r="N35" i="83" s="1"/>
  <c r="N37" i="83" s="1"/>
  <c r="E39" i="84"/>
  <c r="E42" i="84" s="1"/>
  <c r="E14" i="82"/>
  <c r="H14" i="82" s="1"/>
  <c r="H39" i="82" s="1"/>
  <c r="N35" i="82" s="1"/>
  <c r="G32" i="84"/>
  <c r="G39" i="84" s="1"/>
  <c r="M35" i="84" s="1"/>
  <c r="M37" i="84" s="1"/>
  <c r="F29" i="39" s="1"/>
  <c r="F14" i="84"/>
  <c r="F39" i="84" s="1"/>
  <c r="L35" i="84" s="1"/>
  <c r="L37" i="84" s="1"/>
  <c r="R15" i="84"/>
  <c r="O39" i="83"/>
  <c r="G32" i="83"/>
  <c r="G39" i="83" s="1"/>
  <c r="M35" i="83" s="1"/>
  <c r="M37" i="83" s="1"/>
  <c r="E42" i="83"/>
  <c r="G8" i="82"/>
  <c r="I8" i="82" s="1"/>
  <c r="I32" i="82" s="1"/>
  <c r="I39" i="82" s="1"/>
  <c r="O35" i="82" s="1"/>
  <c r="O37" i="82" s="1"/>
  <c r="L31" i="82"/>
  <c r="E37" i="82"/>
  <c r="R13" i="82"/>
  <c r="Q14" i="82"/>
  <c r="R14" i="82" s="1"/>
  <c r="E39" i="82" l="1"/>
  <c r="F14" i="82"/>
  <c r="F39" i="82" s="1"/>
  <c r="L35" i="82" s="1"/>
  <c r="L37" i="82" s="1"/>
  <c r="G27" i="39" s="1"/>
  <c r="M39" i="84"/>
  <c r="G29" i="39"/>
  <c r="P35" i="84"/>
  <c r="N36" i="84"/>
  <c r="N37" i="84" s="1"/>
  <c r="M39" i="83"/>
  <c r="F28" i="39"/>
  <c r="P35" i="83"/>
  <c r="G32" i="82"/>
  <c r="G39" i="82" s="1"/>
  <c r="M35" i="82" s="1"/>
  <c r="M37" i="82" s="1"/>
  <c r="F27" i="39" s="1"/>
  <c r="R15" i="82"/>
  <c r="N36" i="82" s="1"/>
  <c r="P36" i="82" s="1"/>
  <c r="E42" i="82"/>
  <c r="M39" i="82" l="1"/>
  <c r="O39" i="84"/>
  <c r="P36" i="84"/>
  <c r="P35" i="82"/>
  <c r="N37" i="82"/>
  <c r="F26" i="41"/>
  <c r="D1396" i="81"/>
  <c r="N29" i="81"/>
  <c r="M36" i="81" s="1"/>
  <c r="R28" i="81"/>
  <c r="O36" i="81" s="1"/>
  <c r="L28" i="81"/>
  <c r="P27" i="81"/>
  <c r="L27" i="81"/>
  <c r="P26" i="81"/>
  <c r="L26" i="81"/>
  <c r="P25" i="81"/>
  <c r="L25" i="81"/>
  <c r="P24" i="81"/>
  <c r="L24" i="81"/>
  <c r="P23" i="81"/>
  <c r="L23" i="81"/>
  <c r="L17" i="81"/>
  <c r="L19" i="81" s="1"/>
  <c r="N16" i="81"/>
  <c r="P15" i="81"/>
  <c r="P17" i="81" s="1"/>
  <c r="N15" i="81"/>
  <c r="N14" i="81"/>
  <c r="N13" i="81"/>
  <c r="N12" i="81"/>
  <c r="Q11" i="81"/>
  <c r="R11" i="81" s="1"/>
  <c r="N11" i="81"/>
  <c r="R10" i="81"/>
  <c r="N10" i="81"/>
  <c r="E8" i="81"/>
  <c r="F25" i="41"/>
  <c r="O39" i="82" l="1"/>
  <c r="L29" i="81"/>
  <c r="L31" i="81" s="1"/>
  <c r="N17" i="81"/>
  <c r="L36" i="81" s="1"/>
  <c r="P28" i="81"/>
  <c r="P30" i="81" s="1"/>
  <c r="I36" i="81"/>
  <c r="G35" i="81"/>
  <c r="G33" i="81"/>
  <c r="E13" i="81"/>
  <c r="E31" i="81" s="1"/>
  <c r="E32" i="81" s="1"/>
  <c r="E12" i="81"/>
  <c r="E14" i="81" s="1"/>
  <c r="I34" i="81"/>
  <c r="Q12" i="81"/>
  <c r="D1396" i="80"/>
  <c r="L28" i="80"/>
  <c r="P27" i="80"/>
  <c r="L27" i="80"/>
  <c r="P26" i="80"/>
  <c r="L26" i="80"/>
  <c r="P25" i="80"/>
  <c r="L25" i="80"/>
  <c r="P24" i="80"/>
  <c r="L24" i="80"/>
  <c r="P23" i="80"/>
  <c r="L23" i="80"/>
  <c r="L17" i="80"/>
  <c r="L19" i="80" s="1"/>
  <c r="N16" i="80"/>
  <c r="P15" i="80"/>
  <c r="P17" i="80" s="1"/>
  <c r="N15" i="80"/>
  <c r="N14" i="80"/>
  <c r="N13" i="80"/>
  <c r="N12" i="80"/>
  <c r="Q11" i="80"/>
  <c r="R11" i="80" s="1"/>
  <c r="N11" i="80"/>
  <c r="R10" i="80"/>
  <c r="N10" i="80"/>
  <c r="E8" i="80"/>
  <c r="F24" i="4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23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G8" i="81" l="1"/>
  <c r="I8" i="81" s="1"/>
  <c r="I32" i="81" s="1"/>
  <c r="I39" i="81" s="1"/>
  <c r="O35" i="81" s="1"/>
  <c r="O37" i="81" s="1"/>
  <c r="H14" i="81"/>
  <c r="H39" i="81" s="1"/>
  <c r="N35" i="81" s="1"/>
  <c r="F14" i="81"/>
  <c r="F39" i="81" s="1"/>
  <c r="L35" i="81" s="1"/>
  <c r="L37" i="81" s="1"/>
  <c r="G26" i="39" s="1"/>
  <c r="E37" i="81"/>
  <c r="E39" i="81" s="1"/>
  <c r="R12" i="81"/>
  <c r="Q13" i="81"/>
  <c r="P28" i="80"/>
  <c r="P30" i="80" s="1"/>
  <c r="N17" i="80"/>
  <c r="L36" i="80" s="1"/>
  <c r="L29" i="80"/>
  <c r="G35" i="80"/>
  <c r="E13" i="80"/>
  <c r="E31" i="80" s="1"/>
  <c r="E32" i="80" s="1"/>
  <c r="I36" i="80"/>
  <c r="G33" i="80"/>
  <c r="E12" i="80"/>
  <c r="E14" i="80" s="1"/>
  <c r="I34" i="80"/>
  <c r="R28" i="80"/>
  <c r="O36" i="80" s="1"/>
  <c r="Q12" i="80"/>
  <c r="N17" i="79"/>
  <c r="L36" i="79" s="1"/>
  <c r="L29" i="79"/>
  <c r="E13" i="79"/>
  <c r="E31" i="79" s="1"/>
  <c r="E32" i="79" s="1"/>
  <c r="R28" i="79"/>
  <c r="O36" i="79" s="1"/>
  <c r="N24" i="79"/>
  <c r="P28" i="79"/>
  <c r="P30" i="79" s="1"/>
  <c r="I36" i="79"/>
  <c r="G35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G32" i="81" l="1"/>
  <c r="G39" i="81" s="1"/>
  <c r="M35" i="81" s="1"/>
  <c r="M37" i="81" s="1"/>
  <c r="F26" i="39" s="1"/>
  <c r="Q14" i="81"/>
  <c r="R14" i="81" s="1"/>
  <c r="R13" i="81"/>
  <c r="R15" i="81" s="1"/>
  <c r="E42" i="81"/>
  <c r="G8" i="80"/>
  <c r="I8" i="80" s="1"/>
  <c r="I32" i="80" s="1"/>
  <c r="I39" i="80" s="1"/>
  <c r="O35" i="80" s="1"/>
  <c r="O37" i="80" s="1"/>
  <c r="L31" i="80"/>
  <c r="F14" i="80"/>
  <c r="F39" i="80" s="1"/>
  <c r="H14" i="80"/>
  <c r="H39" i="80" s="1"/>
  <c r="N35" i="80" s="1"/>
  <c r="N29" i="80"/>
  <c r="M36" i="80" s="1"/>
  <c r="E37" i="80"/>
  <c r="E39" i="80" s="1"/>
  <c r="Q13" i="80"/>
  <c r="R12" i="80"/>
  <c r="G8" i="79"/>
  <c r="I8" i="79" s="1"/>
  <c r="N25" i="79"/>
  <c r="E14" i="79"/>
  <c r="F14" i="79" s="1"/>
  <c r="F39" i="79" s="1"/>
  <c r="L35" i="79" s="1"/>
  <c r="L37" i="79" s="1"/>
  <c r="G24" i="39" s="1"/>
  <c r="M28" i="79"/>
  <c r="N28" i="79" s="1"/>
  <c r="N27" i="79"/>
  <c r="Q13" i="79"/>
  <c r="R12" i="79"/>
  <c r="N26" i="79"/>
  <c r="E37" i="79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E39" i="78" s="1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E39" i="79" l="1"/>
  <c r="P35" i="81"/>
  <c r="M39" i="81"/>
  <c r="N36" i="81"/>
  <c r="N37" i="81" s="1"/>
  <c r="L35" i="80"/>
  <c r="L37" i="80" s="1"/>
  <c r="G25" i="39" s="1"/>
  <c r="G32" i="80"/>
  <c r="G39" i="80" s="1"/>
  <c r="M35" i="80" s="1"/>
  <c r="M37" i="80" s="1"/>
  <c r="E42" i="80"/>
  <c r="R13" i="80"/>
  <c r="Q14" i="80"/>
  <c r="R14" i="80" s="1"/>
  <c r="N29" i="79"/>
  <c r="M36" i="79" s="1"/>
  <c r="M37" i="79" s="1"/>
  <c r="H14" i="79"/>
  <c r="H39" i="79" s="1"/>
  <c r="N35" i="79" s="1"/>
  <c r="P35" i="79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H14" i="77" l="1"/>
  <c r="H39" i="77" s="1"/>
  <c r="N35" i="77" s="1"/>
  <c r="E39" i="77"/>
  <c r="P36" i="81"/>
  <c r="O39" i="81"/>
  <c r="P35" i="80"/>
  <c r="R15" i="80"/>
  <c r="N36" i="80" s="1"/>
  <c r="M39" i="80"/>
  <c r="F25" i="39"/>
  <c r="F24" i="39"/>
  <c r="M39" i="79"/>
  <c r="N36" i="79"/>
  <c r="N37" i="79" s="1"/>
  <c r="O39" i="78"/>
  <c r="G23" i="39"/>
  <c r="P35" i="78"/>
  <c r="M28" i="78"/>
  <c r="N28" i="78" s="1"/>
  <c r="N27" i="78"/>
  <c r="N29" i="78" s="1"/>
  <c r="G32" i="77"/>
  <c r="G39" i="77" s="1"/>
  <c r="M35" i="77" s="1"/>
  <c r="M28" i="77"/>
  <c r="N28" i="77" s="1"/>
  <c r="N27" i="77"/>
  <c r="P35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20" i="41"/>
  <c r="N37" i="80" l="1"/>
  <c r="P36" i="80"/>
  <c r="O39" i="79"/>
  <c r="P36" i="79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O39" i="80" l="1"/>
  <c r="P36" i="78"/>
  <c r="M37" i="78"/>
  <c r="P36" i="77"/>
  <c r="F22" i="39"/>
  <c r="M39" i="77"/>
  <c r="M37" i="76"/>
  <c r="F21" i="39" s="1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M39" i="76" l="1"/>
  <c r="F23" i="39"/>
  <c r="M39" i="78"/>
  <c r="L29" i="75"/>
  <c r="L31" i="75" s="1"/>
  <c r="R15" i="75"/>
  <c r="N36" i="75" s="1"/>
  <c r="N17" i="75"/>
  <c r="L36" i="75" s="1"/>
  <c r="I36" i="75"/>
  <c r="G35" i="75"/>
  <c r="G33" i="75"/>
  <c r="E12" i="75"/>
  <c r="E32" i="75"/>
  <c r="E13" i="75"/>
  <c r="E31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M27" i="75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A23" i="39" l="1"/>
  <c r="G32" i="74"/>
  <c r="G39" i="74" s="1"/>
  <c r="O39" i="74"/>
  <c r="F14" i="74"/>
  <c r="F39" i="74" s="1"/>
  <c r="L35" i="74" s="1"/>
  <c r="L37" i="74" s="1"/>
  <c r="G19" i="39" s="1"/>
  <c r="E42" i="74"/>
  <c r="A24" i="39" l="1"/>
  <c r="M35" i="74"/>
  <c r="M37" i="74" s="1"/>
  <c r="F19" i="39" s="1"/>
  <c r="M39" i="74"/>
  <c r="P35" i="74"/>
  <c r="A25" i="39" l="1"/>
  <c r="H17" i="41"/>
  <c r="A26" i="39" l="1"/>
  <c r="F17" i="41"/>
  <c r="A27" i="39" l="1"/>
  <c r="F16" i="41"/>
  <c r="A28" i="39" l="1"/>
  <c r="F15" i="41"/>
  <c r="A29" i="39" l="1"/>
  <c r="F14" i="41"/>
  <c r="A30" i="39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H39" i="41" l="1"/>
  <c r="A9" i="39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F31" i="39"/>
  <c r="E39" i="39" l="1"/>
  <c r="I39" i="41"/>
  <c r="F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/>
  <c r="S8" i="41" l="1"/>
  <c r="E9" i="41"/>
  <c r="O9" i="41" s="1"/>
  <c r="P9" i="41" s="1"/>
  <c r="I8" i="39"/>
  <c r="S9" i="41" l="1"/>
  <c r="E10" i="41"/>
  <c r="L8" i="39"/>
  <c r="E9" i="39"/>
  <c r="H9" i="39" s="1"/>
  <c r="O10" i="41"/>
  <c r="P10" i="41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I10" i="39"/>
  <c r="O13" i="41"/>
  <c r="P13" i="41" s="1"/>
  <c r="E14" i="41" l="1"/>
  <c r="O14" i="41" s="1"/>
  <c r="P14" i="41" s="1"/>
  <c r="S13" i="41"/>
  <c r="L10" i="39"/>
  <c r="E11" i="39"/>
  <c r="H11" i="39" s="1"/>
  <c r="E15" i="41" l="1"/>
  <c r="O15" i="41" s="1"/>
  <c r="P15" i="41" s="1"/>
  <c r="S14" i="41"/>
  <c r="I11" i="39"/>
  <c r="E16" i="41" l="1"/>
  <c r="O16" i="41" s="1"/>
  <c r="P16" i="41" s="1"/>
  <c r="S15" i="41"/>
  <c r="L11" i="39"/>
  <c r="E12" i="39"/>
  <c r="H12" i="39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P22" i="41"/>
  <c r="E24" i="39" l="1"/>
  <c r="H24" i="39" s="1"/>
  <c r="L23" i="39"/>
  <c r="E23" i="41"/>
  <c r="O23" i="41" s="1"/>
  <c r="S22" i="41"/>
  <c r="I24" i="39" l="1"/>
  <c r="P23" i="41"/>
  <c r="E25" i="39" l="1"/>
  <c r="H25" i="39" s="1"/>
  <c r="L24" i="39"/>
  <c r="E24" i="41"/>
  <c r="O24" i="41" s="1"/>
  <c r="S23" i="41"/>
  <c r="I25" i="39" l="1"/>
  <c r="P24" i="41"/>
  <c r="E26" i="39" l="1"/>
  <c r="H26" i="39" s="1"/>
  <c r="L25" i="39"/>
  <c r="E25" i="41"/>
  <c r="O25" i="41" s="1"/>
  <c r="S24" i="41"/>
  <c r="I26" i="39" l="1"/>
  <c r="P25" i="41"/>
  <c r="E27" i="39" l="1"/>
  <c r="H27" i="39" s="1"/>
  <c r="L26" i="39"/>
  <c r="E26" i="41"/>
  <c r="O26" i="41" s="1"/>
  <c r="S25" i="41"/>
  <c r="I27" i="39" l="1"/>
  <c r="P26" i="41"/>
  <c r="E28" i="39" l="1"/>
  <c r="H28" i="39" s="1"/>
  <c r="L27" i="39"/>
  <c r="E27" i="41"/>
  <c r="O27" i="41" s="1"/>
  <c r="S26" i="41"/>
  <c r="I28" i="39" l="1"/>
  <c r="L28" i="39" s="1"/>
  <c r="P27" i="41"/>
  <c r="D29" i="39" l="1"/>
  <c r="E28" i="41"/>
  <c r="O28" i="41" s="1"/>
  <c r="S27" i="41"/>
  <c r="E29" i="39" l="1"/>
  <c r="H29" i="39" s="1"/>
  <c r="C29" i="41"/>
  <c r="F44" i="39"/>
  <c r="E45" i="39" s="1"/>
  <c r="D31" i="39"/>
  <c r="I29" i="39"/>
  <c r="H31" i="39"/>
  <c r="P28" i="41"/>
  <c r="E29" i="41" l="1"/>
  <c r="O29" i="41" s="1"/>
  <c r="S28" i="41"/>
  <c r="E30" i="39"/>
  <c r="H30" i="39" s="1"/>
  <c r="I30" i="39" s="1"/>
  <c r="L29" i="39"/>
  <c r="E38" i="39"/>
  <c r="F38" i="39"/>
  <c r="F36" i="39"/>
  <c r="E37" i="39"/>
  <c r="P29" i="41" l="1"/>
  <c r="O31" i="41"/>
  <c r="F41" i="39"/>
  <c r="I38" i="41" l="1"/>
  <c r="I36" i="41"/>
  <c r="H37" i="41"/>
  <c r="H38" i="41"/>
  <c r="E30" i="41"/>
  <c r="O30" i="41" s="1"/>
  <c r="P30" i="41" s="1"/>
  <c r="S29" i="41"/>
  <c r="E47" i="79" l="1"/>
  <c r="F47" i="79" s="1"/>
  <c r="E47" i="74"/>
  <c r="F47" i="74" s="1"/>
  <c r="E47" i="84"/>
  <c r="F47" i="84" s="1"/>
  <c r="E47" i="80"/>
  <c r="F47" i="80" s="1"/>
  <c r="E47" i="77"/>
  <c r="F47" i="77" s="1"/>
  <c r="E47" i="83"/>
  <c r="F47" i="83" s="1"/>
  <c r="E47" i="76"/>
  <c r="F47" i="76" s="1"/>
  <c r="I41" i="41"/>
  <c r="E47" i="82"/>
  <c r="F47" i="82" s="1"/>
  <c r="E47" i="75"/>
  <c r="F47" i="75" s="1"/>
  <c r="E47" i="81"/>
  <c r="F47" i="81" s="1"/>
  <c r="E47" i="78"/>
  <c r="F47" i="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C30E8BD-4BCF-458A-A49B-66A10895854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A14B0E1-7DB6-428F-A98E-A5ADF397B76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811AA7A-E8DA-44A9-88CE-31250AC0697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78BF7E1-5A6A-4914-8662-DF9072BFD5E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C94E626-BDF7-4D8B-81F4-0F384CFE52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2182DE65-0353-4A27-83DF-15BEE164A4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C4486E2-A914-4E5A-B815-99EFE9881162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72DADDA5-4CEA-494E-8194-605B168A2881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A138C1E-028E-444B-AF22-AC2FF8E3B39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AC3072F-789F-4656-AD89-01088B3098F1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29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<sst xmlns="http://schemas.openxmlformats.org/spreadsheetml/2006/main" count="1739" uniqueCount="158">
  <si>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</si>
  <si>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</si>
  <si>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</si>
  <si>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</si>
  <si>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</si>
  <si>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</si>
  <si>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</si>
  <si>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</si>
  <si>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</si>
  <si>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</si>
  <si>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</si>
  <si>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</si>
  <si>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</si>
  <si>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</si>
  <si>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</si>
  <si>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</si>
  <si>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</si>
  <si>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</si>
  <si>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</si>
  <si>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</si>
  <si>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</si>
  <si>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</si>
  <si>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</si>
  <si>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</si>
  <si>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</si>
  <si>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</si>
  <si>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</si>
  <si>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</si>
  <si>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</si>
  <si>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</si>
  <si>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</si>
  <si>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</si>
  <si>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</si>
  <si>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</si>
  <si>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</si>
  <si>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</si>
  <si>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</si>
  <si>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</si>
  <si>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</si>
  <si>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</si>
  <si>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</si>
  <si>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</si>
  <si>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</si>
  <si>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</si>
  <si>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</si>
  <si>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</si>
  <si>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</si>
  <si>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</si>
  <si>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</si>
  <si>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</si>
  <si>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</si>
  <si>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</si>
  <si>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</si>
  <si>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</si>
  <si>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</si>
  <si>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</si>
  <si>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</si>
  <si>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</si>
  <si>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</si>
  <si>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</si>
  <si>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</si>
  <si>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</si>
  <si>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</si>
  <si>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</si>
  <si>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</si>
  <si>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</si>
  <si>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</si>
  <si>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</si>
  <si>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</si>
  <si>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</si>
  <si>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</si>
  <si>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</si>
  <si>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</si>
  <si>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</si>
  <si>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</si>
  <si>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</si>
  <si>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</si>
  <si>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</si>
  <si>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</si>
  <si>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</si>
  <si>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</si>
  <si>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</si>
  <si>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</si>
  <si>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</si>
  <si>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</si>
  <si>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</si>
  <si>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</si>
  <si>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</si>
  <si>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</si>
  <si>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</si>
  <si>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</si>
  <si>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</si>
  <si>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</si>
  <si>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</si>
  <si>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</si>
  <si>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</si>
  <si>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</si>
  <si>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</si>
  <si>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</si>
  <si>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</si>
  <si>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</si>
  <si>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</si>
  <si>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</si>
  <si>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</si>
  <si>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</si>
  <si>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</si>
  <si>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</si>
  <si>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</si>
  <si>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</si>
  <si>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</si>
  <si>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</si>
  <si>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</si>
  <si>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</si>
  <si>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</si>
  <si>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</si>
  <si>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</si>
  <si>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</si>
  <si>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</si>
  <si>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</si>
  <si>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</si>
  <si>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</si>
  <si>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</si>
  <si>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</si>
  <si>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</si>
  <si>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</si>
  <si>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</si>
  <si>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</si>
  <si>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</si>
  <si>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</si>
  <si>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</si>
  <si>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</si>
  <si>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</si>
  <si>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</si>
  <si>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</si>
  <si>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</si>
  <si>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</si>
  <si>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</si>
  <si>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</si>
  <si>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</si>
  <si>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</si>
  <si>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</si>
  <si>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</si>
  <si>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NOVEMBER ENTRY - LARGE CUSTOMER TRUEUP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</si>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</sst>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6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7" fillId="4" borderId="0" xfId="24" applyFont="1" applyFill="1" applyBorder="1"/>
    <xf numFmtId="0" fontId="29" fillId="4" borderId="0" xfId="24" applyFont="1" applyFill="1"/>
    <xf numFmtId="43" fontId="29" fillId="4" borderId="0" xfId="24" applyNumberFormat="1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97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topLeftCell="A7"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202201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59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59">
        <v>11983473</v>
      </c>
      <c r="Q10" s="182">
        <v>9.2030000000000001E-2</v>
      </c>
      <c r="R10" s="249">
        <f>P10*Q10</f>
        <v>1102839.0201900001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59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59">
        <v>3429612</v>
      </c>
      <c r="Q11" s="182">
        <v>9.2030000000000001E-2</v>
      </c>
      <c r="R11" s="249">
        <f>P11*Q11</f>
        <v>315627.19235999999</v>
      </c>
    </row>
    <row r="12" spans="2:20" ht="15.6" customHeight="1" thickBot="1">
      <c r="B12" s="172" t="s">
        <v>103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59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59">
        <v>1204</v>
      </c>
      <c r="Q12" s="182">
        <v>9.2030000000000001E-2</v>
      </c>
      <c r="R12" s="249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59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59">
        <v>0</v>
      </c>
      <c r="Q13" s="182">
        <v>9.2030000000000001E-2</v>
      </c>
      <c r="R13" s="24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v>9.2030000000000001E-2</v>
      </c>
      <c r="R14" s="24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1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1">
        <f>+P10</f>
        <v>11983473</v>
      </c>
      <c r="Q23" s="182">
        <v>0.20177</v>
      </c>
      <c r="R23" s="249">
        <f>P23*Q23</f>
        <v>2417905.3472100003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1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1">
        <f t="shared" ref="P24:P27" si="3">+P11</f>
        <v>3429612</v>
      </c>
      <c r="Q24" s="182">
        <v>0.20177</v>
      </c>
      <c r="R24" s="249">
        <f>P24*Q24</f>
        <v>691992.81324000005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1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1">
        <f t="shared" si="3"/>
        <v>1204</v>
      </c>
      <c r="Q25" s="182">
        <v>0.20177</v>
      </c>
      <c r="R25" s="249">
        <f>P25*Q25</f>
        <v>242.93108000000001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1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1">
        <f t="shared" si="3"/>
        <v>0</v>
      </c>
      <c r="Q26" s="182">
        <v>0.20177</v>
      </c>
      <c r="R26" s="24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1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1">
        <f t="shared" si="3"/>
        <v>0</v>
      </c>
      <c r="Q27" s="182">
        <v>0.20177</v>
      </c>
      <c r="R27" s="24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1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111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114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112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96" priority="27" operator="equal">
      <formula>"ERROR"</formula>
    </cfRule>
  </conditionalFormatting>
  <conditionalFormatting sqref="D43:D46">
    <cfRule type="cellIs" dxfId="295" priority="26" operator="equal">
      <formula>"ERROR"</formula>
    </cfRule>
  </conditionalFormatting>
  <conditionalFormatting sqref="P31">
    <cfRule type="cellIs" dxfId="294" priority="25" operator="notEqual">
      <formula>0</formula>
    </cfRule>
  </conditionalFormatting>
  <conditionalFormatting sqref="L19">
    <cfRule type="cellIs" dxfId="293" priority="23" stopIfTrue="1" operator="equal">
      <formula>0</formula>
    </cfRule>
    <cfRule type="cellIs" dxfId="292" priority="24" stopIfTrue="1" operator="notEqual">
      <formula>0</formula>
    </cfRule>
  </conditionalFormatting>
  <conditionalFormatting sqref="L19">
    <cfRule type="cellIs" dxfId="291" priority="21" stopIfTrue="1" operator="equal">
      <formula>0</formula>
    </cfRule>
    <cfRule type="cellIs" dxfId="290" priority="22" stopIfTrue="1" operator="notEqual">
      <formula>0</formula>
    </cfRule>
  </conditionalFormatting>
  <conditionalFormatting sqref="L31">
    <cfRule type="cellIs" dxfId="289" priority="19" stopIfTrue="1" operator="equal">
      <formula>0</formula>
    </cfRule>
    <cfRule type="cellIs" dxfId="288" priority="20" stopIfTrue="1" operator="notEqual">
      <formula>0</formula>
    </cfRule>
  </conditionalFormatting>
  <conditionalFormatting sqref="L31">
    <cfRule type="cellIs" dxfId="287" priority="17" stopIfTrue="1" operator="equal">
      <formula>0</formula>
    </cfRule>
    <cfRule type="cellIs" dxfId="286" priority="18" stopIfTrue="1" operator="notEqual">
      <formula>0</formula>
    </cfRule>
  </conditionalFormatting>
  <conditionalFormatting sqref="P17">
    <cfRule type="cellIs" dxfId="285" priority="15" stopIfTrue="1" operator="equal">
      <formula>0</formula>
    </cfRule>
    <cfRule type="cellIs" dxfId="284" priority="16" stopIfTrue="1" operator="notEqual">
      <formula>0</formula>
    </cfRule>
  </conditionalFormatting>
  <conditionalFormatting sqref="P17">
    <cfRule type="cellIs" dxfId="283" priority="13" stopIfTrue="1" operator="equal">
      <formula>0</formula>
    </cfRule>
    <cfRule type="cellIs" dxfId="282" priority="14" stopIfTrue="1" operator="notEqual">
      <formula>0</formula>
    </cfRule>
  </conditionalFormatting>
  <conditionalFormatting sqref="P30">
    <cfRule type="cellIs" dxfId="281" priority="11" stopIfTrue="1" operator="equal">
      <formula>0</formula>
    </cfRule>
    <cfRule type="cellIs" dxfId="280" priority="12" stopIfTrue="1" operator="notEqual">
      <formula>0</formula>
    </cfRule>
  </conditionalFormatting>
  <conditionalFormatting sqref="P30">
    <cfRule type="cellIs" dxfId="279" priority="9" stopIfTrue="1" operator="equal">
      <formula>0</formula>
    </cfRule>
    <cfRule type="cellIs" dxfId="278" priority="10" stopIfTrue="1" operator="notEqual">
      <formula>0</formula>
    </cfRule>
  </conditionalFormatting>
  <conditionalFormatting sqref="P35:P36">
    <cfRule type="cellIs" dxfId="277" priority="7" stopIfTrue="1" operator="equal">
      <formula>0</formula>
    </cfRule>
    <cfRule type="cellIs" dxfId="276" priority="8" stopIfTrue="1" operator="notEqual">
      <formula>0</formula>
    </cfRule>
  </conditionalFormatting>
  <conditionalFormatting sqref="P35:P36">
    <cfRule type="cellIs" dxfId="275" priority="5" stopIfTrue="1" operator="equal">
      <formula>0</formula>
    </cfRule>
    <cfRule type="cellIs" dxfId="274" priority="6" stopIfTrue="1" operator="notEqual">
      <formula>0</formula>
    </cfRule>
  </conditionalFormatting>
  <conditionalFormatting sqref="E42">
    <cfRule type="cellIs" dxfId="273" priority="3" stopIfTrue="1" operator="equal">
      <formula>0</formula>
    </cfRule>
    <cfRule type="cellIs" dxfId="272" priority="4" stopIfTrue="1" operator="notEqual">
      <formula>0</formula>
    </cfRule>
  </conditionalFormatting>
  <conditionalFormatting sqref="E42">
    <cfRule type="cellIs" dxfId="271" priority="1" stopIfTrue="1" operator="equal">
      <formula>0</formula>
    </cfRule>
    <cfRule type="cellIs" dxfId="27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202202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59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59">
        <v>10247431</v>
      </c>
      <c r="Q10" s="182">
        <v>9.2030000000000001E-2</v>
      </c>
      <c r="R10" s="249">
        <f>P10*Q10</f>
        <v>943071.07493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59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59">
        <v>3348762</v>
      </c>
      <c r="Q11" s="182">
        <f>Q10</f>
        <v>9.2030000000000001E-2</v>
      </c>
      <c r="R11" s="249">
        <f>P11*Q11</f>
        <v>308186.56686000002</v>
      </c>
    </row>
    <row r="12" spans="2:20" ht="15.6" customHeight="1" thickBot="1">
      <c r="B12" s="172" t="s">
        <v>103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59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59">
        <v>1265</v>
      </c>
      <c r="Q12" s="182">
        <f t="shared" ref="Q12:Q14" si="1">Q11</f>
        <v>9.2030000000000001E-2</v>
      </c>
      <c r="R12" s="249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59">
        <v>0</v>
      </c>
      <c r="M13" s="182">
        <v>8.7319999999999995E-2</v>
      </c>
      <c r="N13" s="159">
        <f t="shared" si="0"/>
        <v>0</v>
      </c>
      <c r="O13" s="25" t="s">
        <v>13</v>
      </c>
      <c r="P13" s="259">
        <v>0</v>
      </c>
      <c r="Q13" s="182">
        <f t="shared" si="1"/>
        <v>9.2030000000000001E-2</v>
      </c>
      <c r="R13" s="24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24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1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1">
        <f>+P10</f>
        <v>10247431</v>
      </c>
      <c r="Q23" s="182" t="s">
        <v>140</v>
      </c>
      <c r="R23" s="260">
        <v>2825515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1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1">
        <f t="shared" ref="P24:P27" si="4">+P11</f>
        <v>3348762</v>
      </c>
      <c r="Q24" s="182" t="s">
        <v>140</v>
      </c>
      <c r="R24" s="260">
        <v>896077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1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1">
        <f t="shared" si="4"/>
        <v>1265</v>
      </c>
      <c r="Q25" s="182" t="s">
        <v>140</v>
      </c>
      <c r="R25" s="260">
        <v>309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1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1">
        <f t="shared" si="4"/>
        <v>0</v>
      </c>
      <c r="Q26" s="182" t="s">
        <v>140</v>
      </c>
      <c r="R26" s="260"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1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1">
        <f t="shared" si="4"/>
        <v>0</v>
      </c>
      <c r="Q27" s="182" t="s">
        <v>140</v>
      </c>
      <c r="R27" s="260"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1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111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114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Amort'!H36:H45)+SUM(#REF!)+SUM(#REF!)+'191010 WA DEF'!#REF!-0.01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9" priority="27" operator="equal">
      <formula>"ERROR"</formula>
    </cfRule>
  </conditionalFormatting>
  <conditionalFormatting sqref="D43:D46">
    <cfRule type="cellIs" dxfId="268" priority="26" operator="equal">
      <formula>"ERROR"</formula>
    </cfRule>
  </conditionalFormatting>
  <conditionalFormatting sqref="P31">
    <cfRule type="cellIs" dxfId="267" priority="25" operator="notEqual">
      <formula>0</formula>
    </cfRule>
  </conditionalFormatting>
  <conditionalFormatting sqref="L19">
    <cfRule type="cellIs" dxfId="266" priority="23" stopIfTrue="1" operator="equal">
      <formula>0</formula>
    </cfRule>
    <cfRule type="cellIs" dxfId="265" priority="24" stopIfTrue="1" operator="notEqual">
      <formula>0</formula>
    </cfRule>
  </conditionalFormatting>
  <conditionalFormatting sqref="L19">
    <cfRule type="cellIs" dxfId="264" priority="21" stopIfTrue="1" operator="equal">
      <formula>0</formula>
    </cfRule>
    <cfRule type="cellIs" dxfId="263" priority="22" stopIfTrue="1" operator="notEqual">
      <formula>0</formula>
    </cfRule>
  </conditionalFormatting>
  <conditionalFormatting sqref="L31">
    <cfRule type="cellIs" dxfId="262" priority="19" stopIfTrue="1" operator="equal">
      <formula>0</formula>
    </cfRule>
    <cfRule type="cellIs" dxfId="261" priority="20" stopIfTrue="1" operator="notEqual">
      <formula>0</formula>
    </cfRule>
  </conditionalFormatting>
  <conditionalFormatting sqref="L31">
    <cfRule type="cellIs" dxfId="260" priority="17" stopIfTrue="1" operator="equal">
      <formula>0</formula>
    </cfRule>
    <cfRule type="cellIs" dxfId="259" priority="18" stopIfTrue="1" operator="notEqual">
      <formula>0</formula>
    </cfRule>
  </conditionalFormatting>
  <conditionalFormatting sqref="P17">
    <cfRule type="cellIs" dxfId="258" priority="15" stopIfTrue="1" operator="equal">
      <formula>0</formula>
    </cfRule>
    <cfRule type="cellIs" dxfId="257" priority="16" stopIfTrue="1" operator="notEqual">
      <formula>0</formula>
    </cfRule>
  </conditionalFormatting>
  <conditionalFormatting sqref="P17">
    <cfRule type="cellIs" dxfId="256" priority="13" stopIfTrue="1" operator="equal">
      <formula>0</formula>
    </cfRule>
    <cfRule type="cellIs" dxfId="255" priority="14" stopIfTrue="1" operator="notEqual">
      <formula>0</formula>
    </cfRule>
  </conditionalFormatting>
  <conditionalFormatting sqref="P30">
    <cfRule type="cellIs" dxfId="254" priority="11" stopIfTrue="1" operator="equal">
      <formula>0</formula>
    </cfRule>
    <cfRule type="cellIs" dxfId="253" priority="12" stopIfTrue="1" operator="notEqual">
      <formula>0</formula>
    </cfRule>
  </conditionalFormatting>
  <conditionalFormatting sqref="P30">
    <cfRule type="cellIs" dxfId="252" priority="9" stopIfTrue="1" operator="equal">
      <formula>0</formula>
    </cfRule>
    <cfRule type="cellIs" dxfId="251" priority="10" stopIfTrue="1" operator="notEqual">
      <formula>0</formula>
    </cfRule>
  </conditionalFormatting>
  <conditionalFormatting sqref="P35:P36">
    <cfRule type="cellIs" dxfId="250" priority="7" stopIfTrue="1" operator="equal">
      <formula>0</formula>
    </cfRule>
    <cfRule type="cellIs" dxfId="249" priority="8" stopIfTrue="1" operator="notEqual">
      <formula>0</formula>
    </cfRule>
  </conditionalFormatting>
  <conditionalFormatting sqref="P35:P36">
    <cfRule type="cellIs" dxfId="248" priority="5" stopIfTrue="1" operator="equal">
      <formula>0</formula>
    </cfRule>
    <cfRule type="cellIs" dxfId="247" priority="6" stopIfTrue="1" operator="notEqual">
      <formula>0</formula>
    </cfRule>
  </conditionalFormatting>
  <conditionalFormatting sqref="E42">
    <cfRule type="cellIs" dxfId="246" priority="3" stopIfTrue="1" operator="equal">
      <formula>0</formula>
    </cfRule>
    <cfRule type="cellIs" dxfId="245" priority="4" stopIfTrue="1" operator="notEqual">
      <formula>0</formula>
    </cfRule>
  </conditionalFormatting>
  <conditionalFormatting sqref="E42">
    <cfRule type="cellIs" dxfId="244" priority="1" stopIfTrue="1" operator="equal">
      <formula>0</formula>
    </cfRule>
    <cfRule type="cellIs" dxfId="243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opLeftCell="A4" zoomScale="60" zoomScaleNormal="60" workbookViewId="0">
      <selection activeCell="Q23" sqref="Q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202203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59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59">
        <v>7426725</v>
      </c>
      <c r="Q10" s="182">
        <v>9.2030000000000001E-2</v>
      </c>
      <c r="R10" s="249">
        <f>P10*Q10</f>
        <v>683481.50175000005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59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59">
        <v>2721000</v>
      </c>
      <c r="Q11" s="182">
        <f>Q10</f>
        <v>9.2030000000000001E-2</v>
      </c>
      <c r="R11" s="249">
        <f>P11*Q11</f>
        <v>250413.63</v>
      </c>
    </row>
    <row r="12" spans="2:20" ht="15.6" customHeight="1" thickBot="1">
      <c r="B12" s="172" t="s">
        <v>103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59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59">
        <v>993</v>
      </c>
      <c r="Q12" s="182">
        <f t="shared" ref="Q12:Q14" si="1">Q11</f>
        <v>9.2030000000000001E-2</v>
      </c>
      <c r="R12" s="249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59">
        <v>0</v>
      </c>
      <c r="M13" s="182">
        <v>8.7319999999999995E-2</v>
      </c>
      <c r="N13" s="159">
        <f t="shared" si="0"/>
        <v>0</v>
      </c>
      <c r="O13" s="25" t="s">
        <v>13</v>
      </c>
      <c r="P13" s="259">
        <v>0</v>
      </c>
      <c r="Q13" s="182">
        <f t="shared" si="1"/>
        <v>9.2030000000000001E-2</v>
      </c>
      <c r="R13" s="24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24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1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1">
        <f>+P10</f>
        <v>7426725</v>
      </c>
      <c r="Q23" s="182" t="s">
        <v>140</v>
      </c>
      <c r="R23" s="260">
        <v>1960801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1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1">
        <f t="shared" ref="P24:P27" si="4">+P11</f>
        <v>2721000</v>
      </c>
      <c r="Q24" s="182" t="s">
        <v>140</v>
      </c>
      <c r="R24" s="260">
        <v>717331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1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1">
        <f t="shared" si="4"/>
        <v>993</v>
      </c>
      <c r="Q25" s="182" t="s">
        <v>140</v>
      </c>
      <c r="R25" s="260">
        <v>262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1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1">
        <f t="shared" si="4"/>
        <v>0</v>
      </c>
      <c r="Q26" s="182" t="s">
        <v>140</v>
      </c>
      <c r="R26" s="260"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1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1">
        <f t="shared" si="4"/>
        <v>0</v>
      </c>
      <c r="Q27" s="182" t="s">
        <v>140</v>
      </c>
      <c r="R27" s="260"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1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111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114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42" priority="27" operator="equal">
      <formula>"ERROR"</formula>
    </cfRule>
  </conditionalFormatting>
  <conditionalFormatting sqref="D43:D46">
    <cfRule type="cellIs" dxfId="241" priority="26" operator="equal">
      <formula>"ERROR"</formula>
    </cfRule>
  </conditionalFormatting>
  <conditionalFormatting sqref="P31">
    <cfRule type="cellIs" dxfId="240" priority="25" operator="notEqual">
      <formula>0</formula>
    </cfRule>
  </conditionalFormatting>
  <conditionalFormatting sqref="L19">
    <cfRule type="cellIs" dxfId="239" priority="23" stopIfTrue="1" operator="equal">
      <formula>0</formula>
    </cfRule>
    <cfRule type="cellIs" dxfId="238" priority="24" stopIfTrue="1" operator="notEqual">
      <formula>0</formula>
    </cfRule>
  </conditionalFormatting>
  <conditionalFormatting sqref="L19">
    <cfRule type="cellIs" dxfId="237" priority="21" stopIfTrue="1" operator="equal">
      <formula>0</formula>
    </cfRule>
    <cfRule type="cellIs" dxfId="236" priority="22" stopIfTrue="1" operator="notEqual">
      <formula>0</formula>
    </cfRule>
  </conditionalFormatting>
  <conditionalFormatting sqref="L31">
    <cfRule type="cellIs" dxfId="235" priority="19" stopIfTrue="1" operator="equal">
      <formula>0</formula>
    </cfRule>
    <cfRule type="cellIs" dxfId="234" priority="20" stopIfTrue="1" operator="notEqual">
      <formula>0</formula>
    </cfRule>
  </conditionalFormatting>
  <conditionalFormatting sqref="L31">
    <cfRule type="cellIs" dxfId="233" priority="17" stopIfTrue="1" operator="equal">
      <formula>0</formula>
    </cfRule>
    <cfRule type="cellIs" dxfId="232" priority="18" stopIfTrue="1" operator="notEqual">
      <formula>0</formula>
    </cfRule>
  </conditionalFormatting>
  <conditionalFormatting sqref="P17">
    <cfRule type="cellIs" dxfId="231" priority="15" stopIfTrue="1" operator="equal">
      <formula>0</formula>
    </cfRule>
    <cfRule type="cellIs" dxfId="230" priority="16" stopIfTrue="1" operator="notEqual">
      <formula>0</formula>
    </cfRule>
  </conditionalFormatting>
  <conditionalFormatting sqref="P17">
    <cfRule type="cellIs" dxfId="229" priority="13" stopIfTrue="1" operator="equal">
      <formula>0</formula>
    </cfRule>
    <cfRule type="cellIs" dxfId="228" priority="14" stopIfTrue="1" operator="notEqual">
      <formula>0</formula>
    </cfRule>
  </conditionalFormatting>
  <conditionalFormatting sqref="P30">
    <cfRule type="cellIs" dxfId="227" priority="11" stopIfTrue="1" operator="equal">
      <formula>0</formula>
    </cfRule>
    <cfRule type="cellIs" dxfId="226" priority="12" stopIfTrue="1" operator="notEqual">
      <formula>0</formula>
    </cfRule>
  </conditionalFormatting>
  <conditionalFormatting sqref="P30">
    <cfRule type="cellIs" dxfId="225" priority="9" stopIfTrue="1" operator="equal">
      <formula>0</formula>
    </cfRule>
    <cfRule type="cellIs" dxfId="224" priority="10" stopIfTrue="1" operator="notEqual">
      <formula>0</formula>
    </cfRule>
  </conditionalFormatting>
  <conditionalFormatting sqref="P35:P36">
    <cfRule type="cellIs" dxfId="223" priority="7" stopIfTrue="1" operator="equal">
      <formula>0</formula>
    </cfRule>
    <cfRule type="cellIs" dxfId="222" priority="8" stopIfTrue="1" operator="notEqual">
      <formula>0</formula>
    </cfRule>
  </conditionalFormatting>
  <conditionalFormatting sqref="P35:P36">
    <cfRule type="cellIs" dxfId="221" priority="5" stopIfTrue="1" operator="equal">
      <formula>0</formula>
    </cfRule>
    <cfRule type="cellIs" dxfId="220" priority="6" stopIfTrue="1" operator="notEqual">
      <formula>0</formula>
    </cfRule>
  </conditionalFormatting>
  <conditionalFormatting sqref="E42">
    <cfRule type="cellIs" dxfId="219" priority="3" stopIfTrue="1" operator="equal">
      <formula>0</formula>
    </cfRule>
    <cfRule type="cellIs" dxfId="218" priority="4" stopIfTrue="1" operator="notEqual">
      <formula>0</formula>
    </cfRule>
  </conditionalFormatting>
  <conditionalFormatting sqref="E42">
    <cfRule type="cellIs" dxfId="217" priority="1" stopIfTrue="1" operator="equal">
      <formula>0</formula>
    </cfRule>
    <cfRule type="cellIs" dxfId="216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opLeftCell="A7"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202204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59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59">
        <v>6663215</v>
      </c>
      <c r="Q10" s="182">
        <v>9.2030000000000001E-2</v>
      </c>
      <c r="R10" s="249">
        <f>P10*Q10</f>
        <v>613215.67645000003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59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59">
        <v>2320122</v>
      </c>
      <c r="Q11" s="182">
        <f>Q10</f>
        <v>9.2030000000000001E-2</v>
      </c>
      <c r="R11" s="249">
        <f>P11*Q11</f>
        <v>213520.82766000001</v>
      </c>
    </row>
    <row r="12" spans="2:20" ht="15.6" customHeight="1" thickBot="1">
      <c r="B12" s="172" t="s">
        <v>103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59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59">
        <v>15477</v>
      </c>
      <c r="Q12" s="182">
        <f t="shared" ref="Q12:Q14" si="1">Q11</f>
        <v>9.2030000000000001E-2</v>
      </c>
      <c r="R12" s="249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59">
        <v>0</v>
      </c>
      <c r="M13" s="182">
        <v>8.7319999999999995E-2</v>
      </c>
      <c r="N13" s="159">
        <f t="shared" si="0"/>
        <v>0</v>
      </c>
      <c r="O13" s="25" t="s">
        <v>13</v>
      </c>
      <c r="P13" s="259">
        <v>0</v>
      </c>
      <c r="Q13" s="182">
        <f t="shared" si="1"/>
        <v>9.2030000000000001E-2</v>
      </c>
      <c r="R13" s="24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24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1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1">
        <f>+P10</f>
        <v>6663215</v>
      </c>
      <c r="Q23" s="182">
        <v>0.26384000000000002</v>
      </c>
      <c r="R23" s="249">
        <f>P23*Q23</f>
        <v>1758022.6456000002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1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1">
        <f t="shared" ref="P24:P27" si="4">+P11</f>
        <v>2320122</v>
      </c>
      <c r="Q24" s="182">
        <v>0.26384000000000002</v>
      </c>
      <c r="R24" s="249">
        <f>P24*Q24</f>
        <v>612140.98848000006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1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1">
        <f t="shared" si="4"/>
        <v>15477</v>
      </c>
      <c r="Q25" s="182">
        <v>0.26384000000000002</v>
      </c>
      <c r="R25" s="249">
        <f>P25*Q25</f>
        <v>4083.4516800000001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1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1">
        <f t="shared" si="4"/>
        <v>0</v>
      </c>
      <c r="Q26" s="182">
        <v>0.26384000000000002</v>
      </c>
      <c r="R26" s="24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1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1">
        <f t="shared" si="4"/>
        <v>0</v>
      </c>
      <c r="Q27" s="182">
        <v>0.26384000000000002</v>
      </c>
      <c r="R27" s="24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1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111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114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6" zoomScale="70" zoomScaleNormal="7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202205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0.66249999999999998</v>
      </c>
      <c r="H8" s="208">
        <v>0.31669999999999998</v>
      </c>
      <c r="I8" s="171">
        <f>1-G8</f>
        <v>0.33750000000000002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2358473.85</v>
      </c>
      <c r="F10" s="210"/>
      <c r="G10" s="211"/>
      <c r="H10" s="210"/>
      <c r="I10" s="201"/>
      <c r="J10" s="31"/>
      <c r="K10" s="25" t="s">
        <v>10</v>
      </c>
      <c r="L10" s="259">
        <v>7528936</v>
      </c>
      <c r="M10" s="182">
        <v>9.3729999999999994E-2</v>
      </c>
      <c r="N10" s="159">
        <f t="shared" ref="N10:N16" si="0">L10*M10</f>
        <v>705687.17128000001</v>
      </c>
      <c r="O10" s="25" t="s">
        <v>10</v>
      </c>
      <c r="P10" s="259">
        <v>4002566</v>
      </c>
      <c r="Q10" s="182">
        <v>9.2030000000000001E-2</v>
      </c>
      <c r="R10" s="249">
        <f>P10*Q10</f>
        <v>368356.14898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23372.799999999999</v>
      </c>
      <c r="F11" s="210"/>
      <c r="G11" s="211"/>
      <c r="H11" s="210"/>
      <c r="I11" s="201"/>
      <c r="J11" s="31"/>
      <c r="K11" s="25" t="s">
        <v>42</v>
      </c>
      <c r="L11" s="259">
        <v>22516</v>
      </c>
      <c r="M11" s="182">
        <v>9.3729999999999994E-2</v>
      </c>
      <c r="N11" s="159">
        <f t="shared" si="0"/>
        <v>2110.4246800000001</v>
      </c>
      <c r="O11" s="25" t="s">
        <v>11</v>
      </c>
      <c r="P11" s="259">
        <v>1773056</v>
      </c>
      <c r="Q11" s="182">
        <f>Q10</f>
        <v>9.2030000000000001E-2</v>
      </c>
      <c r="R11" s="249">
        <f>P11*Q11</f>
        <v>163174.34367999999</v>
      </c>
    </row>
    <row r="12" spans="2:20" ht="15.6" customHeight="1" thickBot="1">
      <c r="B12" s="172" t="s">
        <v>103</v>
      </c>
      <c r="C12" s="6"/>
      <c r="D12" s="6"/>
      <c r="E12" s="220">
        <f>SUM(E10:E11)</f>
        <v>2381846.65</v>
      </c>
      <c r="F12" s="212"/>
      <c r="G12" s="213"/>
      <c r="H12" s="212"/>
      <c r="I12" s="202"/>
      <c r="J12" s="31"/>
      <c r="K12" s="25" t="s">
        <v>11</v>
      </c>
      <c r="L12" s="259">
        <v>3861543</v>
      </c>
      <c r="M12" s="182">
        <v>8.7319999999999995E-2</v>
      </c>
      <c r="N12" s="159">
        <f t="shared" si="0"/>
        <v>337189.93475999997</v>
      </c>
      <c r="O12" s="25" t="s">
        <v>12</v>
      </c>
      <c r="P12" s="259">
        <v>84209</v>
      </c>
      <c r="Q12" s="182">
        <f t="shared" ref="Q12:Q14" si="1">Q11</f>
        <v>9.2030000000000001E-2</v>
      </c>
      <c r="R12" s="249">
        <f>P12*Q12</f>
        <v>7749.7542700000004</v>
      </c>
    </row>
    <row r="13" spans="2:20" ht="15.6" customHeight="1" thickBot="1">
      <c r="B13" s="173" t="s">
        <v>25</v>
      </c>
      <c r="C13" s="1"/>
      <c r="D13" s="1"/>
      <c r="E13" s="221">
        <f>-E11</f>
        <v>-23372.799999999999</v>
      </c>
      <c r="F13" s="210"/>
      <c r="G13" s="211"/>
      <c r="H13" s="210"/>
      <c r="I13" s="201"/>
      <c r="J13" s="31"/>
      <c r="K13" s="25" t="s">
        <v>12</v>
      </c>
      <c r="L13" s="259">
        <v>0</v>
      </c>
      <c r="M13" s="182">
        <v>8.7319999999999995E-2</v>
      </c>
      <c r="N13" s="159">
        <f t="shared" si="0"/>
        <v>0</v>
      </c>
      <c r="O13" s="25" t="s">
        <v>13</v>
      </c>
      <c r="P13" s="259">
        <v>0</v>
      </c>
      <c r="Q13" s="182">
        <f t="shared" si="1"/>
        <v>9.2030000000000001E-2</v>
      </c>
      <c r="R13" s="24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2358473.85</v>
      </c>
      <c r="F14" s="227">
        <f>E14*F8</f>
        <v>1611545.1817050001</v>
      </c>
      <c r="G14" s="228"/>
      <c r="H14" s="227">
        <f>E14*H8</f>
        <v>746928.66829499998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24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88225</v>
      </c>
      <c r="M15" s="182">
        <v>5.4429999999999999E-2</v>
      </c>
      <c r="N15" s="159">
        <f t="shared" si="0"/>
        <v>4802.0867499999995</v>
      </c>
      <c r="O15" s="24" t="s">
        <v>29</v>
      </c>
      <c r="P15" s="131">
        <f>SUM(P10:P14)</f>
        <v>5859831</v>
      </c>
      <c r="Q15" s="132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2848454</v>
      </c>
      <c r="M16" s="182">
        <v>5.4000000000000001E-4</v>
      </c>
      <c r="N16" s="159">
        <f t="shared" si="0"/>
        <v>1538.16516</v>
      </c>
      <c r="O16" s="25"/>
      <c r="P16" s="183">
        <v>5859831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24605282.289999999</v>
      </c>
      <c r="F17" s="233"/>
      <c r="G17" s="231"/>
      <c r="H17" s="230"/>
      <c r="I17" s="232"/>
      <c r="J17" s="31"/>
      <c r="K17" s="24" t="s">
        <v>29</v>
      </c>
      <c r="L17" s="131">
        <f>SUM(L10:L16)</f>
        <v>14349674</v>
      </c>
      <c r="M17" s="4"/>
      <c r="N17" s="22">
        <f>SUM(N10:N16)</f>
        <v>1051327.78263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-338052.1</v>
      </c>
      <c r="F18" s="230"/>
      <c r="G18" s="231"/>
      <c r="H18" s="230"/>
      <c r="I18" s="232"/>
      <c r="J18" s="31"/>
      <c r="K18" s="15"/>
      <c r="L18" s="183">
        <v>14349674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53547.45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15196.65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-2553044.14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1408993.33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19339.34</v>
      </c>
      <c r="F23" s="230"/>
      <c r="G23" s="231"/>
      <c r="H23" s="230"/>
      <c r="I23" s="232"/>
      <c r="J23" s="31"/>
      <c r="K23" s="25" t="s">
        <v>10</v>
      </c>
      <c r="L23" s="251">
        <f>+L10</f>
        <v>7528936</v>
      </c>
      <c r="M23" s="182">
        <v>0.22319</v>
      </c>
      <c r="N23" s="159">
        <f t="shared" ref="N23" si="2">L23*M23</f>
        <v>1680383.22584</v>
      </c>
      <c r="O23" s="25" t="s">
        <v>10</v>
      </c>
      <c r="P23" s="251">
        <f>+P10</f>
        <v>4002566</v>
      </c>
      <c r="Q23" s="182">
        <v>0.26384000000000002</v>
      </c>
      <c r="R23" s="249">
        <f>P23*Q23</f>
        <v>1056037.0134400001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-9102589.4100000001</v>
      </c>
      <c r="F24" s="230"/>
      <c r="G24" s="231"/>
      <c r="H24" s="230"/>
      <c r="I24" s="232"/>
      <c r="J24" s="31"/>
      <c r="K24" s="25" t="s">
        <v>42</v>
      </c>
      <c r="L24" s="251">
        <f t="shared" ref="L24:L28" si="3">+L11</f>
        <v>22516</v>
      </c>
      <c r="M24" s="182">
        <f>M23</f>
        <v>0.22319</v>
      </c>
      <c r="N24" s="159">
        <f>L24*M24</f>
        <v>5025.3460400000004</v>
      </c>
      <c r="O24" s="25" t="s">
        <v>11</v>
      </c>
      <c r="P24" s="251">
        <f t="shared" ref="P24:P27" si="4">+P11</f>
        <v>1773056</v>
      </c>
      <c r="Q24" s="182">
        <v>0.26384000000000002</v>
      </c>
      <c r="R24" s="249">
        <f>P24*Q24</f>
        <v>467803.09504000004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-75360.25</v>
      </c>
      <c r="F25" s="230"/>
      <c r="G25" s="231"/>
      <c r="H25" s="230"/>
      <c r="I25" s="232"/>
      <c r="J25" s="31"/>
      <c r="K25" s="25" t="s">
        <v>11</v>
      </c>
      <c r="L25" s="251">
        <f t="shared" si="3"/>
        <v>3861543</v>
      </c>
      <c r="M25" s="182">
        <f t="shared" ref="M25:M28" si="5">M24</f>
        <v>0.22319</v>
      </c>
      <c r="N25" s="159">
        <f>L25*M25</f>
        <v>861857.78217000002</v>
      </c>
      <c r="O25" s="25" t="s">
        <v>12</v>
      </c>
      <c r="P25" s="251">
        <f t="shared" si="4"/>
        <v>84209</v>
      </c>
      <c r="Q25" s="182">
        <v>0.26384000000000002</v>
      </c>
      <c r="R25" s="249">
        <f>P25*Q25</f>
        <v>22217.702560000002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-3062334.55</v>
      </c>
      <c r="F26" s="233"/>
      <c r="G26" s="231"/>
      <c r="H26" s="230"/>
      <c r="I26" s="232"/>
      <c r="J26" s="31"/>
      <c r="K26" s="25" t="s">
        <v>12</v>
      </c>
      <c r="L26" s="251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1">
        <f t="shared" si="4"/>
        <v>0</v>
      </c>
      <c r="Q26" s="182">
        <v>0.26384000000000002</v>
      </c>
      <c r="R26" s="24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486610.87</v>
      </c>
      <c r="F27" s="230"/>
      <c r="G27" s="231"/>
      <c r="H27" s="230"/>
      <c r="I27" s="232"/>
      <c r="J27" s="31"/>
      <c r="K27" s="25" t="s">
        <v>13</v>
      </c>
      <c r="L27" s="251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1">
        <f t="shared" si="4"/>
        <v>0</v>
      </c>
      <c r="Q27" s="182">
        <v>0.26384000000000002</v>
      </c>
      <c r="R27" s="24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-4136328.48</v>
      </c>
      <c r="F28" s="230"/>
      <c r="G28" s="231"/>
      <c r="H28" s="230"/>
      <c r="I28" s="232"/>
      <c r="J28" s="31"/>
      <c r="K28" s="25" t="s">
        <v>14</v>
      </c>
      <c r="L28" s="251">
        <f t="shared" si="3"/>
        <v>88225</v>
      </c>
      <c r="M28" s="182">
        <f t="shared" si="5"/>
        <v>0.22319</v>
      </c>
      <c r="N28" s="159">
        <f>L28*M28</f>
        <v>19690.937750000001</v>
      </c>
      <c r="O28" s="24" t="s">
        <v>31</v>
      </c>
      <c r="P28" s="131">
        <f>SUM(P23:P27)</f>
        <v>5859831</v>
      </c>
      <c r="Q28" s="132"/>
      <c r="R28" s="22">
        <f>SUM(R23:R27)</f>
        <v>1546057.8110400001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11501220</v>
      </c>
      <c r="M29" s="132"/>
      <c r="N29" s="139">
        <f>SUM(N23:N28)</f>
        <v>2566957.2918000002</v>
      </c>
      <c r="O29" s="24"/>
      <c r="P29" s="183">
        <v>5859831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11501220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23372.799999999999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6875883.7999999942</v>
      </c>
      <c r="F32" s="237"/>
      <c r="G32" s="211">
        <f>E32*G8</f>
        <v>4555273.0174999963</v>
      </c>
      <c r="H32" s="128"/>
      <c r="I32" s="201">
        <f>E32*I8</f>
        <v>2320610.7824999983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316601.59000000003</v>
      </c>
      <c r="F35" s="230"/>
      <c r="G35" s="211">
        <f>E35</f>
        <v>316601.59000000003</v>
      </c>
      <c r="H35" s="128"/>
      <c r="I35" s="201"/>
      <c r="J35" s="31"/>
      <c r="K35" s="14" t="s">
        <v>111</v>
      </c>
      <c r="L35" s="129">
        <f>$F$39</f>
        <v>1611545.1817050001</v>
      </c>
      <c r="M35" s="129">
        <f>G39</f>
        <v>4871874.6074999962</v>
      </c>
      <c r="N35" s="129">
        <f>$H$39</f>
        <v>746928.66829499998</v>
      </c>
      <c r="O35" s="129">
        <f>I39</f>
        <v>2478542.7724999981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157931.99</v>
      </c>
      <c r="F36" s="230"/>
      <c r="G36" s="211"/>
      <c r="H36" s="128"/>
      <c r="I36" s="201">
        <f>E36</f>
        <v>157931.99</v>
      </c>
      <c r="J36" s="31"/>
      <c r="K36" s="14" t="s">
        <v>114</v>
      </c>
      <c r="L36" s="184">
        <f>-$N$17</f>
        <v>-1051327.78263</v>
      </c>
      <c r="M36" s="184">
        <f>-N29</f>
        <v>-2566957.2918000002</v>
      </c>
      <c r="N36" s="184">
        <f>-$R$15</f>
        <v>-539280.24693000002</v>
      </c>
      <c r="O36" s="184">
        <f>-R28</f>
        <v>-1546057.8110400001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7350417.3799999943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560217.39907500008</v>
      </c>
      <c r="M37" s="134">
        <f>SUM(M35:M36)</f>
        <v>2304917.315699996</v>
      </c>
      <c r="N37" s="134">
        <f t="shared" si="6"/>
        <v>207648.42136499996</v>
      </c>
      <c r="O37" s="134">
        <f t="shared" si="6"/>
        <v>932484.96145999804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9708891.2299999949</v>
      </c>
      <c r="F39" s="225">
        <f>SUM(F14:F37)</f>
        <v>1611545.1817050001</v>
      </c>
      <c r="G39" s="226">
        <f t="shared" ref="G39:I39" si="7">SUM(G14:G37)</f>
        <v>4871874.6074999962</v>
      </c>
      <c r="H39" s="225">
        <f t="shared" si="7"/>
        <v>746928.66829499998</v>
      </c>
      <c r="I39" s="181">
        <f t="shared" si="7"/>
        <v>2478542.7724999981</v>
      </c>
      <c r="J39" s="31"/>
      <c r="K39" s="190"/>
      <c r="L39" s="193" t="s">
        <v>36</v>
      </c>
      <c r="M39" s="191">
        <f>SUM(L37:M37)</f>
        <v>2865134.714774996</v>
      </c>
      <c r="N39" s="194" t="s">
        <v>37</v>
      </c>
      <c r="O39" s="191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9708891.2300000004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A7" zoomScale="60" zoomScaleNormal="60" workbookViewId="0">
      <selection activeCell="G27" sqref="G2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202206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0.65900000000000003</v>
      </c>
      <c r="H8" s="208">
        <v>0.31669999999999998</v>
      </c>
      <c r="I8" s="171">
        <f>1-G8</f>
        <v>0.34099999999999997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2249962.0699999998</v>
      </c>
      <c r="F10" s="210"/>
      <c r="G10" s="211"/>
      <c r="H10" s="210"/>
      <c r="I10" s="201"/>
      <c r="J10" s="31"/>
      <c r="K10" s="25" t="s">
        <v>10</v>
      </c>
      <c r="L10" s="259">
        <v>3513630</v>
      </c>
      <c r="M10" s="182">
        <v>9.3729999999999994E-2</v>
      </c>
      <c r="N10" s="159">
        <f t="shared" ref="N10:N16" si="0">L10*M10</f>
        <v>329332.53989999997</v>
      </c>
      <c r="O10" s="25" t="s">
        <v>10</v>
      </c>
      <c r="P10" s="259">
        <v>1848959</v>
      </c>
      <c r="Q10" s="182">
        <v>9.2030000000000001E-2</v>
      </c>
      <c r="R10" s="159">
        <f>P10*Q10</f>
        <v>170159.69677000001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26012.959999999999</v>
      </c>
      <c r="F11" s="210"/>
      <c r="G11" s="211"/>
      <c r="H11" s="210"/>
      <c r="I11" s="201"/>
      <c r="J11" s="31"/>
      <c r="K11" s="25" t="s">
        <v>42</v>
      </c>
      <c r="L11" s="259">
        <v>10109</v>
      </c>
      <c r="M11" s="182">
        <v>9.3729999999999994E-2</v>
      </c>
      <c r="N11" s="159">
        <f t="shared" si="0"/>
        <v>947.51656999999989</v>
      </c>
      <c r="O11" s="25" t="s">
        <v>11</v>
      </c>
      <c r="P11" s="259">
        <v>1190481</v>
      </c>
      <c r="Q11" s="182">
        <f>Q10</f>
        <v>9.2030000000000001E-2</v>
      </c>
      <c r="R11" s="159">
        <f>P11*Q11</f>
        <v>109559.96643</v>
      </c>
    </row>
    <row r="12" spans="2:20" ht="15.6" customHeight="1" thickBot="1">
      <c r="B12" s="172" t="s">
        <v>103</v>
      </c>
      <c r="C12" s="6"/>
      <c r="D12" s="6"/>
      <c r="E12" s="220">
        <f>SUM(E10:E11)</f>
        <v>2275975.0299999998</v>
      </c>
      <c r="F12" s="212"/>
      <c r="G12" s="213"/>
      <c r="H12" s="212"/>
      <c r="I12" s="202"/>
      <c r="J12" s="31"/>
      <c r="K12" s="25" t="s">
        <v>11</v>
      </c>
      <c r="L12" s="259">
        <v>2400538</v>
      </c>
      <c r="M12" s="182">
        <v>8.7319999999999995E-2</v>
      </c>
      <c r="N12" s="159">
        <f t="shared" si="0"/>
        <v>209614.97816</v>
      </c>
      <c r="O12" s="25" t="s">
        <v>12</v>
      </c>
      <c r="P12" s="259">
        <v>60747</v>
      </c>
      <c r="Q12" s="182">
        <f t="shared" ref="Q12:Q14" si="1">Q11</f>
        <v>9.2030000000000001E-2</v>
      </c>
      <c r="R12" s="159">
        <f>P12*Q12</f>
        <v>5590.5464099999999</v>
      </c>
    </row>
    <row r="13" spans="2:20" ht="15.6" customHeight="1" thickBot="1">
      <c r="B13" s="173" t="s">
        <v>25</v>
      </c>
      <c r="C13" s="1"/>
      <c r="D13" s="1"/>
      <c r="E13" s="221">
        <f>-E11</f>
        <v>-26012.959999999999</v>
      </c>
      <c r="F13" s="210"/>
      <c r="G13" s="211"/>
      <c r="H13" s="210"/>
      <c r="I13" s="201"/>
      <c r="J13" s="31"/>
      <c r="K13" s="25" t="s">
        <v>12</v>
      </c>
      <c r="L13" s="259">
        <v>0</v>
      </c>
      <c r="M13" s="182">
        <v>8.7319999999999995E-2</v>
      </c>
      <c r="N13" s="159">
        <f t="shared" si="0"/>
        <v>0</v>
      </c>
      <c r="O13" s="25" t="s">
        <v>13</v>
      </c>
      <c r="P13" s="259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2249962.0699999998</v>
      </c>
      <c r="F14" s="227">
        <f>E14*F8</f>
        <v>1537399.082431</v>
      </c>
      <c r="G14" s="228"/>
      <c r="H14" s="227">
        <f>E14*H8</f>
        <v>712562.98756899987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66891</v>
      </c>
      <c r="M15" s="182">
        <v>5.4429999999999999E-2</v>
      </c>
      <c r="N15" s="159">
        <f t="shared" si="0"/>
        <v>3640.8771299999999</v>
      </c>
      <c r="O15" s="24" t="s">
        <v>29</v>
      </c>
      <c r="P15" s="131">
        <f>SUM(P10:P14)</f>
        <v>3100187</v>
      </c>
      <c r="Q15" s="132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2450070</v>
      </c>
      <c r="M16" s="182">
        <v>5.4000000000000001E-4</v>
      </c>
      <c r="N16" s="159">
        <f t="shared" si="0"/>
        <v>1323.0378000000001</v>
      </c>
      <c r="O16" s="25"/>
      <c r="P16" s="183">
        <v>3100187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23966515</v>
      </c>
      <c r="F17" s="233"/>
      <c r="G17" s="231"/>
      <c r="H17" s="230"/>
      <c r="I17" s="232"/>
      <c r="J17" s="31"/>
      <c r="K17" s="24" t="s">
        <v>29</v>
      </c>
      <c r="L17" s="131">
        <f>SUM(L10:L16)</f>
        <v>8441238</v>
      </c>
      <c r="M17" s="4"/>
      <c r="N17" s="22">
        <f>SUM(N10:N16)</f>
        <v>544858.94955999998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175199.84</v>
      </c>
      <c r="F18" s="230"/>
      <c r="G18" s="231"/>
      <c r="H18" s="230"/>
      <c r="I18" s="232"/>
      <c r="J18" s="31"/>
      <c r="K18" s="15"/>
      <c r="L18" s="183">
        <v>8441238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41623.9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16218.91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-3490993.11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851053.66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19804.14</v>
      </c>
      <c r="F23" s="230"/>
      <c r="G23" s="231"/>
      <c r="H23" s="230"/>
      <c r="I23" s="232"/>
      <c r="J23" s="31"/>
      <c r="K23" s="25" t="s">
        <v>10</v>
      </c>
      <c r="L23" s="251">
        <f>+L10</f>
        <v>3513630</v>
      </c>
      <c r="M23" s="182">
        <v>0.22319</v>
      </c>
      <c r="N23" s="159">
        <f t="shared" ref="N23" si="2">L23*M23</f>
        <v>784207.0797</v>
      </c>
      <c r="O23" s="25" t="s">
        <v>10</v>
      </c>
      <c r="P23" s="251">
        <f>+P10</f>
        <v>1848959</v>
      </c>
      <c r="Q23" s="182">
        <v>0.26384000000000002</v>
      </c>
      <c r="R23" s="159">
        <f>P23*Q23</f>
        <v>487829.34256000002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-13826538.439999999</v>
      </c>
      <c r="F24" s="230"/>
      <c r="G24" s="231"/>
      <c r="H24" s="230"/>
      <c r="I24" s="232"/>
      <c r="J24" s="31"/>
      <c r="K24" s="25" t="s">
        <v>42</v>
      </c>
      <c r="L24" s="251">
        <f t="shared" ref="L24:L28" si="3">+L11</f>
        <v>10109</v>
      </c>
      <c r="M24" s="182">
        <f>M23</f>
        <v>0.22319</v>
      </c>
      <c r="N24" s="159">
        <f>L24*M24</f>
        <v>2256.2277100000001</v>
      </c>
      <c r="O24" s="25" t="s">
        <v>11</v>
      </c>
      <c r="P24" s="251">
        <f t="shared" ref="P24:P27" si="4">+P11</f>
        <v>1190481</v>
      </c>
      <c r="Q24" s="182">
        <v>0.26384000000000002</v>
      </c>
      <c r="R24" s="159">
        <f>P24*Q24</f>
        <v>314096.50704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-51440.58</v>
      </c>
      <c r="F25" s="230"/>
      <c r="G25" s="231"/>
      <c r="H25" s="230"/>
      <c r="I25" s="232"/>
      <c r="J25" s="31"/>
      <c r="K25" s="25" t="s">
        <v>11</v>
      </c>
      <c r="L25" s="251">
        <f t="shared" si="3"/>
        <v>2400538</v>
      </c>
      <c r="M25" s="182">
        <f t="shared" ref="M25:M28" si="5">M24</f>
        <v>0.22319</v>
      </c>
      <c r="N25" s="159">
        <f>L25*M25</f>
        <v>535776.07622000005</v>
      </c>
      <c r="O25" s="25" t="s">
        <v>12</v>
      </c>
      <c r="P25" s="251">
        <f t="shared" si="4"/>
        <v>60747</v>
      </c>
      <c r="Q25" s="182">
        <v>0.26384000000000002</v>
      </c>
      <c r="R25" s="159">
        <f>P25*Q25</f>
        <v>16027.488480000002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-2518596.36</v>
      </c>
      <c r="F26" s="233"/>
      <c r="G26" s="231"/>
      <c r="H26" s="230"/>
      <c r="I26" s="232"/>
      <c r="J26" s="31"/>
      <c r="K26" s="25" t="s">
        <v>12</v>
      </c>
      <c r="L26" s="251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1">
        <f t="shared" si="4"/>
        <v>0</v>
      </c>
      <c r="Q26" s="182">
        <v>0.26384000000000002</v>
      </c>
      <c r="R26" s="15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652657.5</v>
      </c>
      <c r="F27" s="230"/>
      <c r="G27" s="231"/>
      <c r="H27" s="230"/>
      <c r="I27" s="232"/>
      <c r="J27" s="31"/>
      <c r="K27" s="25" t="s">
        <v>13</v>
      </c>
      <c r="L27" s="251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1">
        <f t="shared" si="4"/>
        <v>0</v>
      </c>
      <c r="Q27" s="182">
        <v>0.26384000000000002</v>
      </c>
      <c r="R27" s="15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-2665988.52</v>
      </c>
      <c r="F28" s="230"/>
      <c r="G28" s="231"/>
      <c r="H28" s="230"/>
      <c r="I28" s="232"/>
      <c r="J28" s="31"/>
      <c r="K28" s="25" t="s">
        <v>14</v>
      </c>
      <c r="L28" s="251">
        <f t="shared" si="3"/>
        <v>66891</v>
      </c>
      <c r="M28" s="182">
        <f t="shared" si="5"/>
        <v>0.22319</v>
      </c>
      <c r="N28" s="159">
        <f>L28*M28</f>
        <v>14929.40229</v>
      </c>
      <c r="O28" s="24" t="s">
        <v>31</v>
      </c>
      <c r="P28" s="131">
        <f>SUM(P23:P27)</f>
        <v>3100187</v>
      </c>
      <c r="Q28" s="132"/>
      <c r="R28" s="22">
        <f>SUM(R23:R27)</f>
        <v>817953.33808000013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5991168</v>
      </c>
      <c r="M29" s="132"/>
      <c r="N29" s="139">
        <f>SUM(N23:N28)</f>
        <v>1337168.7859200002</v>
      </c>
      <c r="O29" s="24"/>
      <c r="P29" s="183">
        <v>3100187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5991168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26012.959999999999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2726778.9000000008</v>
      </c>
      <c r="F32" s="237"/>
      <c r="G32" s="211">
        <f>E32*G8</f>
        <v>1796947.2951000007</v>
      </c>
      <c r="H32" s="128"/>
      <c r="I32" s="201">
        <f>E32*I8</f>
        <v>929831.60490000015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-97742.06</v>
      </c>
      <c r="F35" s="230"/>
      <c r="G35" s="211">
        <f>E35</f>
        <v>-97742.06</v>
      </c>
      <c r="H35" s="128"/>
      <c r="I35" s="201"/>
      <c r="J35" s="31"/>
      <c r="K35" s="14" t="s">
        <v>111</v>
      </c>
      <c r="L35" s="129">
        <f>$F$39</f>
        <v>1537399.082431</v>
      </c>
      <c r="M35" s="129">
        <f>G39</f>
        <v>1699205.2351000006</v>
      </c>
      <c r="N35" s="129">
        <f>$H$39</f>
        <v>712562.98756899987</v>
      </c>
      <c r="O35" s="129">
        <f>I39</f>
        <v>880067.86490000016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-49763.74</v>
      </c>
      <c r="F36" s="230"/>
      <c r="G36" s="211"/>
      <c r="H36" s="128"/>
      <c r="I36" s="201">
        <f>E36</f>
        <v>-49763.74</v>
      </c>
      <c r="J36" s="31"/>
      <c r="K36" s="14" t="s">
        <v>114</v>
      </c>
      <c r="L36" s="184">
        <f>-$N$17</f>
        <v>-544858.94955999998</v>
      </c>
      <c r="M36" s="184">
        <f>-N29</f>
        <v>-1337168.7859200002</v>
      </c>
      <c r="N36" s="184">
        <f>-$R$15</f>
        <v>-285310.20961000002</v>
      </c>
      <c r="O36" s="184">
        <f>-R28</f>
        <v>-817953.33808000013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2579273.1000000006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992540.13287099998</v>
      </c>
      <c r="M37" s="134">
        <f>SUM(M35:M36)</f>
        <v>362036.44918000046</v>
      </c>
      <c r="N37" s="134">
        <f t="shared" si="6"/>
        <v>427252.77795899985</v>
      </c>
      <c r="O37" s="134">
        <f t="shared" si="6"/>
        <v>62114.526820000028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4829235.17</v>
      </c>
      <c r="F39" s="225">
        <f>SUM(F14:F37)</f>
        <v>1537399.082431</v>
      </c>
      <c r="G39" s="226">
        <f t="shared" ref="G39:I39" si="7">SUM(G14:G37)</f>
        <v>1699205.2351000006</v>
      </c>
      <c r="H39" s="225">
        <f t="shared" si="7"/>
        <v>712562.98756899987</v>
      </c>
      <c r="I39" s="181">
        <f t="shared" si="7"/>
        <v>880067.86490000016</v>
      </c>
      <c r="J39" s="31"/>
      <c r="K39" s="190"/>
      <c r="L39" s="193" t="s">
        <v>36</v>
      </c>
      <c r="M39" s="191">
        <f>SUM(L37:M37)</f>
        <v>1354576.5820510006</v>
      </c>
      <c r="N39" s="194" t="s">
        <v>37</v>
      </c>
      <c r="O39" s="191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4829235.17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7561-A2EF-4B3D-A728-A5B3EE123161}">
  <sheetPr>
    <pageSetUpPr fitToPage="1"/>
  </sheetPr>
  <dimension ref="A1:T1396"/>
  <sheetViews>
    <sheetView zoomScale="60" zoomScaleNormal="60" workbookViewId="0">
      <selection activeCell="P20" sqref="P20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202207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0.66010000000000002</v>
      </c>
      <c r="H8" s="208">
        <v>0.31669999999999998</v>
      </c>
      <c r="I8" s="171">
        <f>1-G8</f>
        <v>0.33989999999999998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2343543.09</v>
      </c>
      <c r="F10" s="210"/>
      <c r="G10" s="211"/>
      <c r="H10" s="210"/>
      <c r="I10" s="201"/>
      <c r="J10" s="31"/>
      <c r="K10" s="25" t="s">
        <v>10</v>
      </c>
      <c r="L10" s="259">
        <v>2224703</v>
      </c>
      <c r="M10" s="182">
        <v>9.3729999999999994E-2</v>
      </c>
      <c r="N10" s="159">
        <f t="shared" ref="N10:N16" si="0">L10*M10</f>
        <v>208521.41218999997</v>
      </c>
      <c r="O10" s="25" t="s">
        <v>10</v>
      </c>
      <c r="P10" s="259">
        <v>1197969</v>
      </c>
      <c r="Q10" s="182">
        <v>9.2030000000000001E-2</v>
      </c>
      <c r="R10" s="159">
        <f>P10*Q10</f>
        <v>110249.08706999999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20224.349999999999</v>
      </c>
      <c r="F11" s="210"/>
      <c r="G11" s="211"/>
      <c r="H11" s="210"/>
      <c r="I11" s="201"/>
      <c r="J11" s="31"/>
      <c r="K11" s="25" t="s">
        <v>42</v>
      </c>
      <c r="L11" s="259">
        <v>5190</v>
      </c>
      <c r="M11" s="182">
        <v>9.3729999999999994E-2</v>
      </c>
      <c r="N11" s="159">
        <f t="shared" si="0"/>
        <v>486.45869999999996</v>
      </c>
      <c r="O11" s="25" t="s">
        <v>11</v>
      </c>
      <c r="P11" s="259">
        <v>933655</v>
      </c>
      <c r="Q11" s="182">
        <f>Q10</f>
        <v>9.2030000000000001E-2</v>
      </c>
      <c r="R11" s="159">
        <f>P11*Q11</f>
        <v>85924.269650000002</v>
      </c>
    </row>
    <row r="12" spans="2:20" ht="15.6" customHeight="1" thickBot="1">
      <c r="B12" s="172" t="s">
        <v>103</v>
      </c>
      <c r="C12" s="6"/>
      <c r="D12" s="6"/>
      <c r="E12" s="220">
        <f>SUM(E10:E11)</f>
        <v>2363767.44</v>
      </c>
      <c r="F12" s="212"/>
      <c r="G12" s="213"/>
      <c r="H12" s="212"/>
      <c r="I12" s="202"/>
      <c r="J12" s="31"/>
      <c r="K12" s="25" t="s">
        <v>11</v>
      </c>
      <c r="L12" s="259">
        <v>1968103</v>
      </c>
      <c r="M12" s="182">
        <v>8.7319999999999995E-2</v>
      </c>
      <c r="N12" s="159">
        <f t="shared" si="0"/>
        <v>171854.75396</v>
      </c>
      <c r="O12" s="25" t="s">
        <v>12</v>
      </c>
      <c r="P12" s="259">
        <v>52381</v>
      </c>
      <c r="Q12" s="182">
        <f t="shared" ref="Q12:Q14" si="1">Q11</f>
        <v>9.2030000000000001E-2</v>
      </c>
      <c r="R12" s="159">
        <f>P12*Q12</f>
        <v>4820.6234299999996</v>
      </c>
    </row>
    <row r="13" spans="2:20" ht="15.6" customHeight="1" thickBot="1">
      <c r="B13" s="173" t="s">
        <v>25</v>
      </c>
      <c r="C13" s="1"/>
      <c r="D13" s="1"/>
      <c r="E13" s="221">
        <f>-E11</f>
        <v>-20224.349999999999</v>
      </c>
      <c r="F13" s="210"/>
      <c r="G13" s="211"/>
      <c r="H13" s="210"/>
      <c r="I13" s="201"/>
      <c r="J13" s="31"/>
      <c r="K13" s="25" t="s">
        <v>12</v>
      </c>
      <c r="L13" s="259">
        <v>0</v>
      </c>
      <c r="M13" s="182">
        <v>8.7319999999999995E-2</v>
      </c>
      <c r="N13" s="159">
        <f t="shared" si="0"/>
        <v>0</v>
      </c>
      <c r="O13" s="25" t="s">
        <v>13</v>
      </c>
      <c r="P13" s="259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2343543.09</v>
      </c>
      <c r="F14" s="227">
        <f>E14*F8</f>
        <v>1601342.993397</v>
      </c>
      <c r="G14" s="228"/>
      <c r="H14" s="227">
        <f>E14*H8</f>
        <v>742200.09660299995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43650</v>
      </c>
      <c r="M15" s="182">
        <v>5.4429999999999999E-2</v>
      </c>
      <c r="N15" s="159">
        <f t="shared" si="0"/>
        <v>2375.8694999999998</v>
      </c>
      <c r="O15" s="24" t="s">
        <v>29</v>
      </c>
      <c r="P15" s="131">
        <f>SUM(P10:P14)</f>
        <v>2184005</v>
      </c>
      <c r="Q15" s="132"/>
      <c r="R15" s="22">
        <f>SUM(R10:R14)</f>
        <v>200993.98014999999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2120903</v>
      </c>
      <c r="M16" s="182">
        <v>5.4000000000000001E-4</v>
      </c>
      <c r="N16" s="159">
        <f t="shared" si="0"/>
        <v>1145.2876200000001</v>
      </c>
      <c r="O16" s="25"/>
      <c r="P16" s="183">
        <v>2184005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20395325.77</v>
      </c>
      <c r="F17" s="233"/>
      <c r="G17" s="231"/>
      <c r="H17" s="230"/>
      <c r="I17" s="232"/>
      <c r="J17" s="31"/>
      <c r="K17" s="24" t="s">
        <v>29</v>
      </c>
      <c r="L17" s="131">
        <f>SUM(L10:L16)</f>
        <v>6362549</v>
      </c>
      <c r="M17" s="4"/>
      <c r="N17" s="22">
        <f>SUM(N10:N16)</f>
        <v>384383.78196999995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-101905.24</v>
      </c>
      <c r="F18" s="230"/>
      <c r="G18" s="231"/>
      <c r="H18" s="230"/>
      <c r="I18" s="232"/>
      <c r="J18" s="31"/>
      <c r="K18" s="15"/>
      <c r="L18" s="183">
        <v>6362549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48228.3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17239.939999999999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-2388206.29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959122.23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97028.92</v>
      </c>
      <c r="F23" s="230"/>
      <c r="G23" s="231"/>
      <c r="H23" s="230"/>
      <c r="I23" s="232"/>
      <c r="J23" s="31"/>
      <c r="K23" s="25" t="s">
        <v>10</v>
      </c>
      <c r="L23" s="251">
        <f>+L10</f>
        <v>2224703</v>
      </c>
      <c r="M23" s="182" t="s">
        <v>140</v>
      </c>
      <c r="N23" s="260">
        <v>770483</v>
      </c>
      <c r="O23" s="25" t="s">
        <v>10</v>
      </c>
      <c r="P23" s="251">
        <f>+P10</f>
        <v>1197969</v>
      </c>
      <c r="Q23" s="182" t="s">
        <v>140</v>
      </c>
      <c r="R23" s="260">
        <v>434521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-11282821.470000001</v>
      </c>
      <c r="F24" s="230"/>
      <c r="G24" s="231"/>
      <c r="H24" s="230"/>
      <c r="I24" s="232"/>
      <c r="J24" s="31"/>
      <c r="K24" s="25" t="s">
        <v>42</v>
      </c>
      <c r="L24" s="251">
        <f t="shared" ref="L24:L28" si="2">+L11</f>
        <v>5190</v>
      </c>
      <c r="M24" s="182" t="s">
        <v>140</v>
      </c>
      <c r="N24" s="260">
        <v>1875</v>
      </c>
      <c r="O24" s="25" t="s">
        <v>11</v>
      </c>
      <c r="P24" s="251">
        <f t="shared" ref="P24:P27" si="3">+P11</f>
        <v>933655</v>
      </c>
      <c r="Q24" s="182" t="s">
        <v>140</v>
      </c>
      <c r="R24" s="260">
        <v>324896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-55052.13</v>
      </c>
      <c r="F25" s="230"/>
      <c r="G25" s="231"/>
      <c r="H25" s="230"/>
      <c r="I25" s="232"/>
      <c r="J25" s="31"/>
      <c r="K25" s="25" t="s">
        <v>11</v>
      </c>
      <c r="L25" s="251">
        <f t="shared" si="2"/>
        <v>1968103</v>
      </c>
      <c r="M25" s="182" t="s">
        <v>140</v>
      </c>
      <c r="N25" s="260">
        <v>645580</v>
      </c>
      <c r="O25" s="25" t="s">
        <v>12</v>
      </c>
      <c r="P25" s="251">
        <f t="shared" si="3"/>
        <v>52381</v>
      </c>
      <c r="Q25" s="182" t="s">
        <v>140</v>
      </c>
      <c r="R25" s="260">
        <v>17153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-1977646.18</v>
      </c>
      <c r="F26" s="233"/>
      <c r="G26" s="231"/>
      <c r="H26" s="230"/>
      <c r="I26" s="232"/>
      <c r="J26" s="31"/>
      <c r="K26" s="25" t="s">
        <v>12</v>
      </c>
      <c r="L26" s="251">
        <f t="shared" si="2"/>
        <v>0</v>
      </c>
      <c r="M26" s="182" t="s">
        <v>140</v>
      </c>
      <c r="N26" s="260">
        <v>0</v>
      </c>
      <c r="O26" s="25" t="s">
        <v>13</v>
      </c>
      <c r="P26" s="251">
        <f t="shared" si="3"/>
        <v>0</v>
      </c>
      <c r="Q26" s="182" t="s">
        <v>140</v>
      </c>
      <c r="R26" s="260"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898449.75</v>
      </c>
      <c r="F27" s="230"/>
      <c r="G27" s="231"/>
      <c r="H27" s="230"/>
      <c r="I27" s="232"/>
      <c r="J27" s="31"/>
      <c r="K27" s="25" t="s">
        <v>13</v>
      </c>
      <c r="L27" s="251">
        <f t="shared" si="2"/>
        <v>0</v>
      </c>
      <c r="M27" s="182" t="s">
        <v>140</v>
      </c>
      <c r="N27" s="260">
        <v>0</v>
      </c>
      <c r="O27" s="25" t="s">
        <v>14</v>
      </c>
      <c r="P27" s="251">
        <f t="shared" si="3"/>
        <v>0</v>
      </c>
      <c r="Q27" s="182" t="s">
        <v>140</v>
      </c>
      <c r="R27" s="260"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-5269743.13</v>
      </c>
      <c r="F28" s="230"/>
      <c r="G28" s="231"/>
      <c r="H28" s="230"/>
      <c r="I28" s="232"/>
      <c r="J28" s="31"/>
      <c r="K28" s="25" t="s">
        <v>14</v>
      </c>
      <c r="L28" s="251">
        <f t="shared" si="2"/>
        <v>43650</v>
      </c>
      <c r="M28" s="182" t="s">
        <v>140</v>
      </c>
      <c r="N28" s="260">
        <v>12903</v>
      </c>
      <c r="O28" s="24" t="s">
        <v>31</v>
      </c>
      <c r="P28" s="131">
        <f>SUM(P23:P27)</f>
        <v>2184005</v>
      </c>
      <c r="Q28" s="132"/>
      <c r="R28" s="22">
        <f>SUM(R23:R27)</f>
        <v>776570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4241646</v>
      </c>
      <c r="M29" s="132"/>
      <c r="N29" s="139">
        <f>SUM(N23:N28)</f>
        <v>1430841</v>
      </c>
      <c r="O29" s="24"/>
      <c r="P29" s="183">
        <v>2184005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4241646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20224.349999999999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891494.82000000624</v>
      </c>
      <c r="F32" s="237"/>
      <c r="G32" s="211">
        <f>E32*G8</f>
        <v>588475.73068200413</v>
      </c>
      <c r="H32" s="128"/>
      <c r="I32" s="201">
        <f>E32*I8</f>
        <v>303019.08931800211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-151290.91</v>
      </c>
      <c r="F35" s="230"/>
      <c r="G35" s="211">
        <f>E35</f>
        <v>-151290.91</v>
      </c>
      <c r="H35" s="128"/>
      <c r="I35" s="201"/>
      <c r="J35" s="31"/>
      <c r="K35" s="14" t="s">
        <v>111</v>
      </c>
      <c r="L35" s="129">
        <f>$F$39</f>
        <v>1601342.993397</v>
      </c>
      <c r="M35" s="129">
        <f>G39</f>
        <v>437184.82068200409</v>
      </c>
      <c r="N35" s="129">
        <f>$H$39</f>
        <v>742200.09660299995</v>
      </c>
      <c r="O35" s="129">
        <f>I39</f>
        <v>225156.56931800209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-77862.52</v>
      </c>
      <c r="F36" s="230"/>
      <c r="G36" s="211"/>
      <c r="H36" s="128"/>
      <c r="I36" s="201">
        <f>E36</f>
        <v>-77862.52</v>
      </c>
      <c r="J36" s="31"/>
      <c r="K36" s="14" t="s">
        <v>114</v>
      </c>
      <c r="L36" s="184">
        <f>-$N$17</f>
        <v>-384383.78196999995</v>
      </c>
      <c r="M36" s="184">
        <f>-N29</f>
        <v>-1430841</v>
      </c>
      <c r="N36" s="184">
        <f>-$R$15</f>
        <v>-200993.98014999999</v>
      </c>
      <c r="O36" s="184">
        <f>-R28</f>
        <v>-776570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662341.39000000618</v>
      </c>
      <c r="F37" s="212"/>
      <c r="G37" s="214"/>
      <c r="H37" s="212"/>
      <c r="I37" s="175"/>
      <c r="J37" s="31"/>
      <c r="K37" s="172" t="s">
        <v>112</v>
      </c>
      <c r="L37" s="134">
        <f t="shared" ref="L37:O37" si="4">SUM(L35:L36)</f>
        <v>1216959.2114270001</v>
      </c>
      <c r="M37" s="134">
        <f>SUM(M35:M36)</f>
        <v>-993656.17931799591</v>
      </c>
      <c r="N37" s="134">
        <f t="shared" si="4"/>
        <v>541206.116453</v>
      </c>
      <c r="O37" s="134">
        <f t="shared" si="4"/>
        <v>-551413.43068199791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3005884.480000006</v>
      </c>
      <c r="F39" s="225">
        <f>SUM(F14:F37)</f>
        <v>1601342.993397</v>
      </c>
      <c r="G39" s="226">
        <f t="shared" ref="G39:I39" si="5">SUM(G14:G37)</f>
        <v>437184.82068200409</v>
      </c>
      <c r="H39" s="225">
        <f t="shared" si="5"/>
        <v>742200.09660299995</v>
      </c>
      <c r="I39" s="181">
        <f t="shared" si="5"/>
        <v>225156.56931800209</v>
      </c>
      <c r="J39" s="31"/>
      <c r="K39" s="190"/>
      <c r="L39" s="193" t="s">
        <v>36</v>
      </c>
      <c r="M39" s="191">
        <f>SUM(L37:M37)</f>
        <v>223303.03210900421</v>
      </c>
      <c r="N39" s="194" t="s">
        <v>37</v>
      </c>
      <c r="O39" s="191">
        <f>SUM(N37:O37)</f>
        <v>-10207.314228997915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3005884.48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C7B-491B-487F-893C-B4029F47D6AC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202208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0.62539999999999996</v>
      </c>
      <c r="H8" s="208">
        <v>0.31669999999999998</v>
      </c>
      <c r="I8" s="171">
        <f>1-G8</f>
        <v>0.37460000000000004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2242053.17</v>
      </c>
      <c r="F10" s="210"/>
      <c r="G10" s="211"/>
      <c r="H10" s="210"/>
      <c r="I10" s="201"/>
      <c r="J10" s="31"/>
      <c r="K10" s="25" t="s">
        <v>10</v>
      </c>
      <c r="L10" s="259">
        <v>1985915</v>
      </c>
      <c r="M10" s="182">
        <v>9.3729999999999994E-2</v>
      </c>
      <c r="N10" s="159">
        <f t="shared" ref="N10:N16" si="0">L10*M10</f>
        <v>186139.81294999999</v>
      </c>
      <c r="O10" s="25" t="s">
        <v>10</v>
      </c>
      <c r="P10" s="259">
        <v>1020601</v>
      </c>
      <c r="Q10" s="182">
        <v>9.2030000000000001E-2</v>
      </c>
      <c r="R10" s="159">
        <f>P10*Q10</f>
        <v>93925.910029999999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11960.31</v>
      </c>
      <c r="F11" s="210"/>
      <c r="G11" s="211"/>
      <c r="H11" s="210"/>
      <c r="I11" s="201"/>
      <c r="J11" s="31"/>
      <c r="K11" s="25" t="s">
        <v>42</v>
      </c>
      <c r="L11" s="259">
        <v>4782</v>
      </c>
      <c r="M11" s="182">
        <v>9.3729999999999994E-2</v>
      </c>
      <c r="N11" s="159">
        <f t="shared" si="0"/>
        <v>448.21686</v>
      </c>
      <c r="O11" s="25" t="s">
        <v>11</v>
      </c>
      <c r="P11" s="259">
        <v>1211431</v>
      </c>
      <c r="Q11" s="182">
        <f>Q10</f>
        <v>9.2030000000000001E-2</v>
      </c>
      <c r="R11" s="159">
        <f>P11*Q11</f>
        <v>111487.99493</v>
      </c>
    </row>
    <row r="12" spans="2:20" ht="15.6" customHeight="1" thickBot="1">
      <c r="B12" s="172" t="s">
        <v>103</v>
      </c>
      <c r="C12" s="6"/>
      <c r="D12" s="6"/>
      <c r="E12" s="220">
        <f>SUM(E10:E11)</f>
        <v>2254013.48</v>
      </c>
      <c r="F12" s="212"/>
      <c r="G12" s="213"/>
      <c r="H12" s="212"/>
      <c r="I12" s="202"/>
      <c r="J12" s="31"/>
      <c r="K12" s="25" t="s">
        <v>11</v>
      </c>
      <c r="L12" s="259">
        <v>1803204</v>
      </c>
      <c r="M12" s="182">
        <v>8.7319999999999995E-2</v>
      </c>
      <c r="N12" s="159">
        <f t="shared" si="0"/>
        <v>157455.77327999999</v>
      </c>
      <c r="O12" s="25" t="s">
        <v>12</v>
      </c>
      <c r="P12" s="259">
        <v>70612</v>
      </c>
      <c r="Q12" s="182">
        <f t="shared" ref="Q12:Q14" si="1">Q11</f>
        <v>9.2030000000000001E-2</v>
      </c>
      <c r="R12" s="159">
        <f>P12*Q12</f>
        <v>6498.4223600000005</v>
      </c>
    </row>
    <row r="13" spans="2:20" ht="15.6" customHeight="1" thickBot="1">
      <c r="B13" s="173" t="s">
        <v>25</v>
      </c>
      <c r="C13" s="1"/>
      <c r="D13" s="1"/>
      <c r="E13" s="221">
        <f>-E11</f>
        <v>-11960.31</v>
      </c>
      <c r="F13" s="210"/>
      <c r="G13" s="211"/>
      <c r="H13" s="210"/>
      <c r="I13" s="201"/>
      <c r="J13" s="31"/>
      <c r="K13" s="25" t="s">
        <v>12</v>
      </c>
      <c r="L13" s="259">
        <v>10449</v>
      </c>
      <c r="M13" s="182">
        <v>8.7319999999999995E-2</v>
      </c>
      <c r="N13" s="159">
        <f t="shared" si="0"/>
        <v>912.40667999999994</v>
      </c>
      <c r="O13" s="25" t="s">
        <v>13</v>
      </c>
      <c r="P13" s="259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2242053.17</v>
      </c>
      <c r="F14" s="227">
        <f>E14*F8</f>
        <v>1531994.9310610001</v>
      </c>
      <c r="G14" s="228"/>
      <c r="H14" s="227">
        <f>E14*H8</f>
        <v>710058.23893899994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40664</v>
      </c>
      <c r="M15" s="182">
        <v>5.4429999999999999E-2</v>
      </c>
      <c r="N15" s="159">
        <f t="shared" si="0"/>
        <v>2213.3415199999999</v>
      </c>
      <c r="O15" s="24" t="s">
        <v>29</v>
      </c>
      <c r="P15" s="131">
        <f>SUM(P10:P14)</f>
        <v>2302644</v>
      </c>
      <c r="Q15" s="132"/>
      <c r="R15" s="22">
        <f>SUM(R10:R14)</f>
        <v>211912.32732000001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2117375</v>
      </c>
      <c r="M16" s="182">
        <v>5.4000000000000001E-4</v>
      </c>
      <c r="N16" s="159">
        <f t="shared" si="0"/>
        <v>1143.3824999999999</v>
      </c>
      <c r="O16" s="25"/>
      <c r="P16" s="183">
        <v>2302644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7225017.2400000002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5962389</v>
      </c>
      <c r="M17" s="4"/>
      <c r="N17" s="22">
        <f>SUM(N10:N16)</f>
        <v>348312.93378999998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126173.75</v>
      </c>
      <c r="F18" s="230"/>
      <c r="G18" s="231"/>
      <c r="H18" s="230"/>
      <c r="I18" s="232"/>
      <c r="J18" s="31"/>
      <c r="K18" s="15"/>
      <c r="L18" s="183">
        <v>5962389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35014.120000000003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16358.7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-3143949.89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367277.58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1880554.87</v>
      </c>
      <c r="F23" s="230"/>
      <c r="G23" s="231"/>
      <c r="H23" s="230"/>
      <c r="I23" s="232"/>
      <c r="J23" s="31"/>
      <c r="K23" s="25" t="s">
        <v>10</v>
      </c>
      <c r="L23" s="251">
        <f>+L10</f>
        <v>1985915</v>
      </c>
      <c r="M23" s="182" t="s">
        <v>140</v>
      </c>
      <c r="N23" s="260">
        <v>662507</v>
      </c>
      <c r="O23" s="25" t="s">
        <v>10</v>
      </c>
      <c r="P23" s="251">
        <f>+P10</f>
        <v>1020601</v>
      </c>
      <c r="Q23" s="182" t="s">
        <v>140</v>
      </c>
      <c r="R23" s="260">
        <v>357272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-1545888.91</v>
      </c>
      <c r="F24" s="230"/>
      <c r="G24" s="231"/>
      <c r="H24" s="230"/>
      <c r="I24" s="232"/>
      <c r="J24" s="31"/>
      <c r="K24" s="25" t="s">
        <v>42</v>
      </c>
      <c r="L24" s="251">
        <f t="shared" ref="L24:L28" si="2">+L11</f>
        <v>4782</v>
      </c>
      <c r="M24" s="182" t="s">
        <v>140</v>
      </c>
      <c r="N24" s="260">
        <v>1596</v>
      </c>
      <c r="O24" s="25" t="s">
        <v>11</v>
      </c>
      <c r="P24" s="251">
        <f t="shared" ref="P24:P27" si="3">+P11</f>
        <v>1211431</v>
      </c>
      <c r="Q24" s="182" t="s">
        <v>140</v>
      </c>
      <c r="R24" s="260">
        <v>420628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-59830.99</v>
      </c>
      <c r="F25" s="230"/>
      <c r="G25" s="231"/>
      <c r="H25" s="230"/>
      <c r="I25" s="232"/>
      <c r="J25" s="31"/>
      <c r="K25" s="25" t="s">
        <v>11</v>
      </c>
      <c r="L25" s="251">
        <f t="shared" si="2"/>
        <v>1803204</v>
      </c>
      <c r="M25" s="182" t="s">
        <v>140</v>
      </c>
      <c r="N25" s="260">
        <v>600782</v>
      </c>
      <c r="O25" s="25" t="s">
        <v>12</v>
      </c>
      <c r="P25" s="251">
        <f t="shared" si="3"/>
        <v>70612</v>
      </c>
      <c r="Q25" s="182" t="s">
        <v>140</v>
      </c>
      <c r="R25" s="260">
        <v>24726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-2466988.9</v>
      </c>
      <c r="F26" s="233"/>
      <c r="G26" s="231"/>
      <c r="H26" s="230"/>
      <c r="I26" s="232"/>
      <c r="J26" s="31"/>
      <c r="K26" s="25" t="s">
        <v>12</v>
      </c>
      <c r="L26" s="251">
        <f t="shared" si="2"/>
        <v>10449</v>
      </c>
      <c r="M26" s="182" t="s">
        <v>140</v>
      </c>
      <c r="N26" s="260">
        <v>3490</v>
      </c>
      <c r="O26" s="25" t="s">
        <v>13</v>
      </c>
      <c r="P26" s="251">
        <f t="shared" si="3"/>
        <v>0</v>
      </c>
      <c r="Q26" s="182" t="s">
        <v>140</v>
      </c>
      <c r="R26" s="260"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2222151.2999999998</v>
      </c>
      <c r="F27" s="230"/>
      <c r="G27" s="231"/>
      <c r="H27" s="230"/>
      <c r="I27" s="232"/>
      <c r="J27" s="31"/>
      <c r="K27" s="25" t="s">
        <v>13</v>
      </c>
      <c r="L27" s="251">
        <f t="shared" si="2"/>
        <v>0</v>
      </c>
      <c r="M27" s="182" t="s">
        <v>140</v>
      </c>
      <c r="N27" s="260">
        <v>0</v>
      </c>
      <c r="O27" s="25" t="s">
        <v>14</v>
      </c>
      <c r="P27" s="251">
        <f t="shared" si="3"/>
        <v>0</v>
      </c>
      <c r="Q27" s="182" t="s">
        <v>140</v>
      </c>
      <c r="R27" s="260"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-4530966.92</v>
      </c>
      <c r="F28" s="230"/>
      <c r="G28" s="231"/>
      <c r="H28" s="230"/>
      <c r="I28" s="232"/>
      <c r="J28" s="31"/>
      <c r="K28" s="25" t="s">
        <v>14</v>
      </c>
      <c r="L28" s="251">
        <f t="shared" si="2"/>
        <v>40664</v>
      </c>
      <c r="M28" s="182" t="s">
        <v>140</v>
      </c>
      <c r="N28" s="260">
        <v>13572</v>
      </c>
      <c r="O28" s="24" t="s">
        <v>31</v>
      </c>
      <c r="P28" s="131">
        <f>SUM(P23:P27)</f>
        <v>2302644</v>
      </c>
      <c r="Q28" s="132"/>
      <c r="R28" s="22">
        <f>SUM(R23:R27)</f>
        <v>802626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3845014</v>
      </c>
      <c r="M29" s="132"/>
      <c r="N29" s="139">
        <f>SUM(N23:N28)</f>
        <v>1281947</v>
      </c>
      <c r="O29" s="24"/>
      <c r="P29" s="183">
        <v>2302644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3845014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11960.31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-331867.74000000075</v>
      </c>
      <c r="F32" s="237"/>
      <c r="G32" s="211">
        <f>E32*G8</f>
        <v>-207550.08459600047</v>
      </c>
      <c r="H32" s="128"/>
      <c r="I32" s="201">
        <f>E32*I8</f>
        <v>-124317.6554040003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122402.62</v>
      </c>
      <c r="F35" s="230"/>
      <c r="G35" s="211">
        <f>E35</f>
        <v>122402.62</v>
      </c>
      <c r="H35" s="128"/>
      <c r="I35" s="201"/>
      <c r="J35" s="31"/>
      <c r="K35" s="14" t="s">
        <v>111</v>
      </c>
      <c r="L35" s="129">
        <f>$F$39</f>
        <v>1531994.9310610001</v>
      </c>
      <c r="M35" s="129">
        <f>G39</f>
        <v>-85147.464596000471</v>
      </c>
      <c r="N35" s="129">
        <f>$H$39</f>
        <v>710058.23893899994</v>
      </c>
      <c r="O35" s="129">
        <f>I39</f>
        <v>-66822.645404000301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57495.01</v>
      </c>
      <c r="F36" s="230"/>
      <c r="G36" s="211"/>
      <c r="H36" s="128"/>
      <c r="I36" s="201">
        <f>E36</f>
        <v>57495.01</v>
      </c>
      <c r="J36" s="31"/>
      <c r="K36" s="14" t="s">
        <v>114</v>
      </c>
      <c r="L36" s="184">
        <f>-$N$17</f>
        <v>-348312.93378999998</v>
      </c>
      <c r="M36" s="184">
        <f>-N29</f>
        <v>-1281947</v>
      </c>
      <c r="N36" s="184">
        <f>-$R$15</f>
        <v>-211912.32732000001</v>
      </c>
      <c r="O36" s="184">
        <f>-R28</f>
        <v>-802626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-151970.11000000074</v>
      </c>
      <c r="F37" s="212"/>
      <c r="G37" s="214"/>
      <c r="H37" s="212"/>
      <c r="I37" s="175"/>
      <c r="J37" s="31"/>
      <c r="K37" s="172" t="s">
        <v>112</v>
      </c>
      <c r="L37" s="134">
        <f t="shared" ref="L37:O37" si="4">SUM(L35:L36)</f>
        <v>1183681.9972710002</v>
      </c>
      <c r="M37" s="134">
        <f>SUM(M35:M36)</f>
        <v>-1367094.4645960005</v>
      </c>
      <c r="N37" s="134">
        <f t="shared" si="4"/>
        <v>498145.9116189999</v>
      </c>
      <c r="O37" s="134">
        <f t="shared" si="4"/>
        <v>-869448.6454040003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2090083.0599999991</v>
      </c>
      <c r="F39" s="225">
        <f>SUM(F14:F37)</f>
        <v>1531994.9310610001</v>
      </c>
      <c r="G39" s="226">
        <f t="shared" ref="G39:I39" si="5">SUM(G14:G37)</f>
        <v>-85147.464596000471</v>
      </c>
      <c r="H39" s="225">
        <f t="shared" si="5"/>
        <v>710058.23893899994</v>
      </c>
      <c r="I39" s="181">
        <f t="shared" si="5"/>
        <v>-66822.645404000301</v>
      </c>
      <c r="J39" s="31"/>
      <c r="K39" s="190"/>
      <c r="L39" s="193" t="s">
        <v>36</v>
      </c>
      <c r="M39" s="191">
        <f>SUM(L37:M37)</f>
        <v>-183412.46732500033</v>
      </c>
      <c r="N39" s="194" t="s">
        <v>37</v>
      </c>
      <c r="O39" s="191">
        <f>SUM(N37:O37)</f>
        <v>-371302.7337850004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2090083.06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0580-0CC0-474E-AD3D-2FB73FB14B3A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202209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0.6593</v>
      </c>
      <c r="H8" s="208">
        <v>0.31669999999999998</v>
      </c>
      <c r="I8" s="171">
        <f>1-G8</f>
        <v>0.3407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2159318.21</v>
      </c>
      <c r="F10" s="210"/>
      <c r="G10" s="211"/>
      <c r="H10" s="210"/>
      <c r="I10" s="201"/>
      <c r="J10" s="31"/>
      <c r="K10" s="25" t="s">
        <v>10</v>
      </c>
      <c r="L10" s="259">
        <v>2606125</v>
      </c>
      <c r="M10" s="182">
        <v>9.3729999999999994E-2</v>
      </c>
      <c r="N10" s="159">
        <f t="shared" ref="N10:N16" si="0">L10*M10</f>
        <v>244272.09624999997</v>
      </c>
      <c r="O10" s="25" t="s">
        <v>10</v>
      </c>
      <c r="P10" s="259">
        <v>1247221</v>
      </c>
      <c r="Q10" s="182">
        <v>9.2030000000000001E-2</v>
      </c>
      <c r="R10" s="159">
        <f>P10*Q10</f>
        <v>114781.74863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17322.830000000002</v>
      </c>
      <c r="F11" s="210"/>
      <c r="G11" s="211"/>
      <c r="H11" s="210"/>
      <c r="I11" s="201"/>
      <c r="J11" s="31"/>
      <c r="K11" s="25" t="s">
        <v>42</v>
      </c>
      <c r="L11" s="259">
        <v>6911</v>
      </c>
      <c r="M11" s="182">
        <v>9.3729999999999994E-2</v>
      </c>
      <c r="N11" s="159">
        <f t="shared" si="0"/>
        <v>647.76802999999995</v>
      </c>
      <c r="O11" s="25" t="s">
        <v>11</v>
      </c>
      <c r="P11" s="259">
        <v>1212753</v>
      </c>
      <c r="Q11" s="182">
        <f>Q10</f>
        <v>9.2030000000000001E-2</v>
      </c>
      <c r="R11" s="159">
        <f>P11*Q11</f>
        <v>111609.65859000001</v>
      </c>
    </row>
    <row r="12" spans="2:20" ht="15.6" customHeight="1" thickBot="1">
      <c r="B12" s="172" t="s">
        <v>103</v>
      </c>
      <c r="C12" s="6"/>
      <c r="D12" s="6"/>
      <c r="E12" s="220">
        <f>SUM(E10:E11)</f>
        <v>2176641.04</v>
      </c>
      <c r="F12" s="212"/>
      <c r="G12" s="213"/>
      <c r="H12" s="212"/>
      <c r="I12" s="202"/>
      <c r="J12" s="31"/>
      <c r="K12" s="25" t="s">
        <v>11</v>
      </c>
      <c r="L12" s="259">
        <v>2229934</v>
      </c>
      <c r="M12" s="182">
        <v>8.7319999999999995E-2</v>
      </c>
      <c r="N12" s="159">
        <f t="shared" si="0"/>
        <v>194717.83687999999</v>
      </c>
      <c r="O12" s="25" t="s">
        <v>12</v>
      </c>
      <c r="P12" s="259">
        <v>67757</v>
      </c>
      <c r="Q12" s="182">
        <f t="shared" ref="Q12:Q14" si="1">Q11</f>
        <v>9.2030000000000001E-2</v>
      </c>
      <c r="R12" s="159">
        <f>P12*Q12</f>
        <v>6235.6767099999997</v>
      </c>
    </row>
    <row r="13" spans="2:20" ht="15.6" customHeight="1" thickBot="1">
      <c r="B13" s="173" t="s">
        <v>25</v>
      </c>
      <c r="C13" s="1"/>
      <c r="D13" s="1"/>
      <c r="E13" s="221">
        <f>-E11</f>
        <v>-17322.830000000002</v>
      </c>
      <c r="F13" s="210"/>
      <c r="G13" s="211"/>
      <c r="H13" s="210"/>
      <c r="I13" s="201"/>
      <c r="J13" s="31"/>
      <c r="K13" s="25" t="s">
        <v>12</v>
      </c>
      <c r="L13" s="259">
        <v>5494</v>
      </c>
      <c r="M13" s="182">
        <v>8.7319999999999995E-2</v>
      </c>
      <c r="N13" s="159">
        <f t="shared" si="0"/>
        <v>479.73607999999996</v>
      </c>
      <c r="O13" s="25" t="s">
        <v>13</v>
      </c>
      <c r="P13" s="259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2159318.21</v>
      </c>
      <c r="F14" s="227">
        <f>E14*F8</f>
        <v>1475462.132893</v>
      </c>
      <c r="G14" s="228"/>
      <c r="H14" s="227">
        <f>E14*H8</f>
        <v>683856.07710699993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42124</v>
      </c>
      <c r="M15" s="182">
        <v>5.4429999999999999E-2</v>
      </c>
      <c r="N15" s="159">
        <f t="shared" si="0"/>
        <v>2292.8093199999998</v>
      </c>
      <c r="O15" s="24" t="s">
        <v>29</v>
      </c>
      <c r="P15" s="131">
        <f>SUM(P10:P14)</f>
        <v>2527731</v>
      </c>
      <c r="Q15" s="132"/>
      <c r="R15" s="22">
        <f>SUM(R10:R14)</f>
        <v>232627.08392999999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2187690</v>
      </c>
      <c r="M16" s="182">
        <v>5.4000000000000001E-4</v>
      </c>
      <c r="N16" s="159">
        <f t="shared" si="0"/>
        <v>1181.3525999999999</v>
      </c>
      <c r="O16" s="25"/>
      <c r="P16" s="183">
        <v>2527731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11957941.380000001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7078278</v>
      </c>
      <c r="M17" s="4"/>
      <c r="N17" s="22">
        <f>SUM(N10:N16)</f>
        <v>443591.59915999993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98610</v>
      </c>
      <c r="F18" s="230"/>
      <c r="G18" s="231"/>
      <c r="H18" s="230"/>
      <c r="I18" s="232"/>
      <c r="J18" s="31"/>
      <c r="K18" s="15"/>
      <c r="L18" s="183">
        <v>7078278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26687.81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9060.17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-2953118.91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241763.07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731390.1</v>
      </c>
      <c r="F23" s="230"/>
      <c r="G23" s="231"/>
      <c r="H23" s="230"/>
      <c r="I23" s="232"/>
      <c r="J23" s="31"/>
      <c r="K23" s="25" t="s">
        <v>10</v>
      </c>
      <c r="L23" s="251">
        <f>+L10</f>
        <v>2606125</v>
      </c>
      <c r="M23" s="182">
        <v>0.33449000000000001</v>
      </c>
      <c r="N23" s="159">
        <f>L23*M23</f>
        <v>871722.75124999997</v>
      </c>
      <c r="O23" s="25" t="s">
        <v>10</v>
      </c>
      <c r="P23" s="251">
        <f>+P10</f>
        <v>1247221</v>
      </c>
      <c r="Q23" s="182">
        <v>0.34988000000000002</v>
      </c>
      <c r="R23" s="159">
        <f>P23*Q23</f>
        <v>436377.68348000001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-5732759.79</v>
      </c>
      <c r="F24" s="230"/>
      <c r="G24" s="231"/>
      <c r="H24" s="230"/>
      <c r="I24" s="232"/>
      <c r="J24" s="31"/>
      <c r="K24" s="25" t="s">
        <v>42</v>
      </c>
      <c r="L24" s="251">
        <f t="shared" ref="L24:L28" si="2">+L11</f>
        <v>6911</v>
      </c>
      <c r="M24" s="182">
        <v>0.33449000000000001</v>
      </c>
      <c r="N24" s="159">
        <f t="shared" ref="N24:N28" si="3">L24*M24</f>
        <v>2311.66039</v>
      </c>
      <c r="O24" s="25" t="s">
        <v>11</v>
      </c>
      <c r="P24" s="251">
        <f t="shared" ref="P24:P27" si="4">+P11</f>
        <v>1212753</v>
      </c>
      <c r="Q24" s="182">
        <v>0.34988000000000002</v>
      </c>
      <c r="R24" s="159">
        <f t="shared" ref="R24:R27" si="5">P24*Q24</f>
        <v>424318.01964000001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-67262.09</v>
      </c>
      <c r="F25" s="230"/>
      <c r="G25" s="231"/>
      <c r="H25" s="230"/>
      <c r="I25" s="232"/>
      <c r="J25" s="31"/>
      <c r="K25" s="25" t="s">
        <v>11</v>
      </c>
      <c r="L25" s="251">
        <f t="shared" si="2"/>
        <v>2229934</v>
      </c>
      <c r="M25" s="182">
        <v>0.33449000000000001</v>
      </c>
      <c r="N25" s="159">
        <f t="shared" si="3"/>
        <v>745890.62366000004</v>
      </c>
      <c r="O25" s="25" t="s">
        <v>12</v>
      </c>
      <c r="P25" s="251">
        <f t="shared" si="4"/>
        <v>67757</v>
      </c>
      <c r="Q25" s="182">
        <v>0.34988000000000002</v>
      </c>
      <c r="R25" s="159">
        <f t="shared" si="5"/>
        <v>23706.819160000003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-777298.79</v>
      </c>
      <c r="F26" s="233"/>
      <c r="G26" s="231"/>
      <c r="H26" s="230"/>
      <c r="I26" s="232"/>
      <c r="J26" s="31"/>
      <c r="K26" s="25" t="s">
        <v>12</v>
      </c>
      <c r="L26" s="251">
        <f t="shared" si="2"/>
        <v>5494</v>
      </c>
      <c r="M26" s="182">
        <v>0.33449000000000001</v>
      </c>
      <c r="N26" s="159">
        <f t="shared" si="3"/>
        <v>1837.68806</v>
      </c>
      <c r="O26" s="25" t="s">
        <v>13</v>
      </c>
      <c r="P26" s="251">
        <f t="shared" si="4"/>
        <v>0</v>
      </c>
      <c r="Q26" s="182">
        <v>0.34988000000000002</v>
      </c>
      <c r="R26" s="159">
        <f t="shared" si="5"/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1871842.5</v>
      </c>
      <c r="F27" s="230"/>
      <c r="G27" s="231"/>
      <c r="H27" s="230"/>
      <c r="I27" s="232"/>
      <c r="J27" s="31"/>
      <c r="K27" s="25" t="s">
        <v>13</v>
      </c>
      <c r="L27" s="251">
        <f t="shared" si="2"/>
        <v>0</v>
      </c>
      <c r="M27" s="182">
        <v>0.33449000000000001</v>
      </c>
      <c r="N27" s="159">
        <f t="shared" si="3"/>
        <v>0</v>
      </c>
      <c r="O27" s="25" t="s">
        <v>14</v>
      </c>
      <c r="P27" s="251">
        <f t="shared" si="4"/>
        <v>0</v>
      </c>
      <c r="Q27" s="182">
        <v>0.34988000000000002</v>
      </c>
      <c r="R27" s="159">
        <f t="shared" si="5"/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-4867349.29</v>
      </c>
      <c r="F28" s="230"/>
      <c r="G28" s="231"/>
      <c r="H28" s="230"/>
      <c r="I28" s="232"/>
      <c r="J28" s="31"/>
      <c r="K28" s="25" t="s">
        <v>14</v>
      </c>
      <c r="L28" s="251">
        <f t="shared" si="2"/>
        <v>42124</v>
      </c>
      <c r="M28" s="182">
        <v>0.33449000000000001</v>
      </c>
      <c r="N28" s="159">
        <f t="shared" si="3"/>
        <v>14090.056760000001</v>
      </c>
      <c r="O28" s="24" t="s">
        <v>31</v>
      </c>
      <c r="P28" s="131">
        <f>SUM(P23:P27)</f>
        <v>2527731</v>
      </c>
      <c r="Q28" s="132"/>
      <c r="R28" s="22">
        <f>SUM(R23:R27)</f>
        <v>884402.52227999992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4890588</v>
      </c>
      <c r="M29" s="132"/>
      <c r="N29" s="139">
        <f>SUM(N23:N28)</f>
        <v>1635852.7801200002</v>
      </c>
      <c r="O29" s="24"/>
      <c r="P29" s="183">
        <v>2527731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4890588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17322.830000000002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88078.990000001082</v>
      </c>
      <c r="F32" s="237"/>
      <c r="G32" s="211">
        <f>E32*G8</f>
        <v>58070.478107000716</v>
      </c>
      <c r="H32" s="128"/>
      <c r="I32" s="201">
        <f>E32*I8</f>
        <v>30008.51189300037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801.45</v>
      </c>
      <c r="F35" s="230"/>
      <c r="G35" s="211">
        <f>E35</f>
        <v>801.45</v>
      </c>
      <c r="H35" s="128"/>
      <c r="I35" s="201"/>
      <c r="J35" s="31"/>
      <c r="K35" s="14" t="s">
        <v>111</v>
      </c>
      <c r="L35" s="129">
        <f>$F$39</f>
        <v>1475462.132893</v>
      </c>
      <c r="M35" s="129">
        <f>G39</f>
        <v>58871.928107000713</v>
      </c>
      <c r="N35" s="129">
        <f>$H$39</f>
        <v>683856.07710699993</v>
      </c>
      <c r="O35" s="129">
        <f>I39</f>
        <v>34345.92189300037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4337.41</v>
      </c>
      <c r="F36" s="230"/>
      <c r="G36" s="211"/>
      <c r="H36" s="128"/>
      <c r="I36" s="201">
        <f>E36</f>
        <v>4337.41</v>
      </c>
      <c r="J36" s="31"/>
      <c r="K36" s="14" t="s">
        <v>114</v>
      </c>
      <c r="L36" s="184">
        <f>-$N$17</f>
        <v>-443591.59915999993</v>
      </c>
      <c r="M36" s="184">
        <f>-N29</f>
        <v>-1635852.7801200002</v>
      </c>
      <c r="N36" s="184">
        <f>-$R$15</f>
        <v>-232627.08392999999</v>
      </c>
      <c r="O36" s="184">
        <f>-R28</f>
        <v>-884402.52227999992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93217.850000001083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1031870.533733</v>
      </c>
      <c r="M37" s="134">
        <f>SUM(M35:M36)</f>
        <v>-1576980.8520129996</v>
      </c>
      <c r="N37" s="134">
        <f t="shared" si="6"/>
        <v>451228.99317699997</v>
      </c>
      <c r="O37" s="134">
        <f t="shared" si="6"/>
        <v>-850056.60038699955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2252536.060000001</v>
      </c>
      <c r="F39" s="225">
        <f>SUM(F14:F37)</f>
        <v>1475462.132893</v>
      </c>
      <c r="G39" s="226">
        <f t="shared" ref="G39:I39" si="7">SUM(G14:G37)</f>
        <v>58871.928107000713</v>
      </c>
      <c r="H39" s="225">
        <f t="shared" si="7"/>
        <v>683856.07710699993</v>
      </c>
      <c r="I39" s="181">
        <f t="shared" si="7"/>
        <v>34345.92189300037</v>
      </c>
      <c r="J39" s="31"/>
      <c r="K39" s="190"/>
      <c r="L39" s="193" t="s">
        <v>36</v>
      </c>
      <c r="M39" s="191">
        <f>SUM(L37:M37)</f>
        <v>-545110.31827999954</v>
      </c>
      <c r="N39" s="194" t="s">
        <v>37</v>
      </c>
      <c r="O39" s="191">
        <f>SUM(N37:O37)</f>
        <v>-398827.60720999958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2252536.06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BB89-26D1-4454-AA91-88F1833D3251}">
  <sheetPr>
    <pageSetUpPr fitToPage="1"/>
  </sheetPr>
  <dimension ref="A1:T1396"/>
  <sheetViews>
    <sheetView topLeftCell="A13"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202210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0.64959999999999996</v>
      </c>
      <c r="H8" s="208">
        <v>0.31669999999999998</v>
      </c>
      <c r="I8" s="171">
        <f>1-G8</f>
        <v>0.35040000000000004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2360515.83</v>
      </c>
      <c r="F10" s="210"/>
      <c r="G10" s="211"/>
      <c r="H10" s="210"/>
      <c r="I10" s="201"/>
      <c r="J10" s="31"/>
      <c r="K10" s="25" t="s">
        <v>10</v>
      </c>
      <c r="L10" s="259">
        <v>5688582</v>
      </c>
      <c r="M10" s="182">
        <v>9.3729999999999994E-2</v>
      </c>
      <c r="N10" s="159">
        <f t="shared" ref="N10:N16" si="0">L10*M10</f>
        <v>533190.79085999995</v>
      </c>
      <c r="O10" s="25" t="s">
        <v>10</v>
      </c>
      <c r="P10" s="259">
        <v>3481744</v>
      </c>
      <c r="Q10" s="182">
        <v>9.2030000000000001E-2</v>
      </c>
      <c r="R10" s="159">
        <f>P10*Q10</f>
        <v>320424.90032000002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18011.22</v>
      </c>
      <c r="F11" s="210"/>
      <c r="G11" s="211"/>
      <c r="H11" s="210"/>
      <c r="I11" s="201"/>
      <c r="J11" s="31"/>
      <c r="K11" s="25" t="s">
        <v>42</v>
      </c>
      <c r="L11" s="259">
        <v>17723</v>
      </c>
      <c r="M11" s="182">
        <v>9.3729999999999994E-2</v>
      </c>
      <c r="N11" s="159">
        <f t="shared" si="0"/>
        <v>1661.17679</v>
      </c>
      <c r="O11" s="25" t="s">
        <v>11</v>
      </c>
      <c r="P11" s="259">
        <v>1850119</v>
      </c>
      <c r="Q11" s="182">
        <f>Q10</f>
        <v>9.2030000000000001E-2</v>
      </c>
      <c r="R11" s="159">
        <f>P11*Q11</f>
        <v>170266.45157</v>
      </c>
    </row>
    <row r="12" spans="2:20" ht="15.6" customHeight="1" thickBot="1">
      <c r="B12" s="172" t="s">
        <v>103</v>
      </c>
      <c r="C12" s="6"/>
      <c r="D12" s="6"/>
      <c r="E12" s="220">
        <f>SUM(E10:E11)</f>
        <v>2378527.0500000003</v>
      </c>
      <c r="F12" s="212"/>
      <c r="G12" s="213"/>
      <c r="H12" s="212"/>
      <c r="I12" s="202"/>
      <c r="J12" s="31"/>
      <c r="K12" s="25" t="s">
        <v>11</v>
      </c>
      <c r="L12" s="259">
        <v>4185171</v>
      </c>
      <c r="M12" s="182">
        <v>8.7319999999999995E-2</v>
      </c>
      <c r="N12" s="159">
        <f t="shared" si="0"/>
        <v>365449.13172</v>
      </c>
      <c r="O12" s="25" t="s">
        <v>12</v>
      </c>
      <c r="P12" s="259">
        <v>74662</v>
      </c>
      <c r="Q12" s="182">
        <f t="shared" ref="Q12:Q14" si="1">Q11</f>
        <v>9.2030000000000001E-2</v>
      </c>
      <c r="R12" s="159">
        <f>P12*Q12</f>
        <v>6871.1438600000001</v>
      </c>
    </row>
    <row r="13" spans="2:20" ht="15.6" customHeight="1" thickBot="1">
      <c r="B13" s="173" t="s">
        <v>25</v>
      </c>
      <c r="C13" s="1"/>
      <c r="D13" s="1"/>
      <c r="E13" s="221">
        <f>-E11</f>
        <v>-18011.22</v>
      </c>
      <c r="F13" s="210"/>
      <c r="G13" s="211"/>
      <c r="H13" s="210"/>
      <c r="I13" s="201"/>
      <c r="J13" s="31"/>
      <c r="K13" s="25" t="s">
        <v>12</v>
      </c>
      <c r="L13" s="259">
        <v>81937</v>
      </c>
      <c r="M13" s="182">
        <v>8.7319999999999995E-2</v>
      </c>
      <c r="N13" s="159">
        <f t="shared" si="0"/>
        <v>7154.73884</v>
      </c>
      <c r="O13" s="25" t="s">
        <v>13</v>
      </c>
      <c r="P13" s="259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2360515.83</v>
      </c>
      <c r="F14" s="227">
        <f>E14*F8</f>
        <v>1612940.466639</v>
      </c>
      <c r="G14" s="228"/>
      <c r="H14" s="227">
        <f>E14*H8</f>
        <v>747575.36336099997</v>
      </c>
      <c r="I14" s="229"/>
      <c r="J14" s="31"/>
      <c r="K14" s="25" t="s">
        <v>13</v>
      </c>
      <c r="L14" s="259">
        <v>0</v>
      </c>
      <c r="M14" s="182">
        <v>5.4429999999999999E-2</v>
      </c>
      <c r="N14" s="159">
        <f t="shared" si="0"/>
        <v>0</v>
      </c>
      <c r="O14" s="25" t="s">
        <v>14</v>
      </c>
      <c r="P14" s="259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50784</v>
      </c>
      <c r="M15" s="182">
        <v>5.4429999999999999E-2</v>
      </c>
      <c r="N15" s="159">
        <f t="shared" si="0"/>
        <v>2764.1731199999999</v>
      </c>
      <c r="O15" s="24" t="s">
        <v>29</v>
      </c>
      <c r="P15" s="131">
        <f>SUM(P10:P14)</f>
        <v>5406525</v>
      </c>
      <c r="Q15" s="132"/>
      <c r="R15" s="22">
        <f>SUM(R10:R14)</f>
        <v>497562.49575000006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2452960</v>
      </c>
      <c r="M16" s="182">
        <v>5.4000000000000001E-4</v>
      </c>
      <c r="N16" s="159">
        <f t="shared" si="0"/>
        <v>1324.5984000000001</v>
      </c>
      <c r="O16" s="25"/>
      <c r="P16" s="183">
        <v>5406525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11721914.460000001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12477157</v>
      </c>
      <c r="M17" s="4"/>
      <c r="N17" s="22">
        <f>SUM(N10:N16)</f>
        <v>911544.60973000003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-217479.46</v>
      </c>
      <c r="F18" s="230"/>
      <c r="G18" s="231"/>
      <c r="H18" s="230"/>
      <c r="I18" s="232"/>
      <c r="J18" s="31"/>
      <c r="K18" s="15"/>
      <c r="L18" s="183">
        <v>12477157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35864.46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13570.46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-1510126.86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363638.75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2083353.29</v>
      </c>
      <c r="F23" s="230"/>
      <c r="G23" s="231"/>
      <c r="H23" s="230"/>
      <c r="I23" s="232"/>
      <c r="J23" s="31"/>
      <c r="K23" s="25" t="s">
        <v>10</v>
      </c>
      <c r="L23" s="251">
        <f>+L10</f>
        <v>5688582</v>
      </c>
      <c r="M23" s="182">
        <v>0.33449000000000001</v>
      </c>
      <c r="N23" s="159">
        <f>L23*M23</f>
        <v>1902773.79318</v>
      </c>
      <c r="O23" s="25" t="s">
        <v>10</v>
      </c>
      <c r="P23" s="251">
        <f>+P10</f>
        <v>3481744</v>
      </c>
      <c r="Q23" s="182">
        <v>0.34988000000000002</v>
      </c>
      <c r="R23" s="159">
        <f>P23*Q23</f>
        <v>1218192.59072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-551721</v>
      </c>
      <c r="F24" s="230"/>
      <c r="G24" s="231"/>
      <c r="H24" s="230"/>
      <c r="I24" s="232"/>
      <c r="J24" s="31"/>
      <c r="K24" s="25" t="s">
        <v>42</v>
      </c>
      <c r="L24" s="251">
        <f t="shared" ref="L24:L28" si="2">+L11</f>
        <v>17723</v>
      </c>
      <c r="M24" s="182">
        <v>0.33449000000000001</v>
      </c>
      <c r="N24" s="159">
        <f t="shared" ref="N24:N28" si="3">L24*M24</f>
        <v>5928.1662700000006</v>
      </c>
      <c r="O24" s="25" t="s">
        <v>11</v>
      </c>
      <c r="P24" s="251">
        <f t="shared" ref="P24:P27" si="4">+P11</f>
        <v>1850119</v>
      </c>
      <c r="Q24" s="182">
        <v>0.34988000000000002</v>
      </c>
      <c r="R24" s="159">
        <f t="shared" ref="R24:R27" si="5">P24*Q24</f>
        <v>647319.63572000002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-49128.4</v>
      </c>
      <c r="F25" s="230"/>
      <c r="G25" s="231"/>
      <c r="H25" s="230"/>
      <c r="I25" s="232"/>
      <c r="J25" s="31"/>
      <c r="K25" s="25" t="s">
        <v>11</v>
      </c>
      <c r="L25" s="251">
        <f t="shared" si="2"/>
        <v>4185171</v>
      </c>
      <c r="M25" s="182">
        <v>0.33449000000000001</v>
      </c>
      <c r="N25" s="159">
        <f t="shared" si="3"/>
        <v>1399897.84779</v>
      </c>
      <c r="O25" s="25" t="s">
        <v>12</v>
      </c>
      <c r="P25" s="251">
        <f t="shared" si="4"/>
        <v>74662</v>
      </c>
      <c r="Q25" s="182">
        <v>0.34988000000000002</v>
      </c>
      <c r="R25" s="159">
        <f t="shared" si="5"/>
        <v>26122.740560000002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-2353700.7200000002</v>
      </c>
      <c r="F26" s="233"/>
      <c r="G26" s="231"/>
      <c r="H26" s="230"/>
      <c r="I26" s="232"/>
      <c r="J26" s="31"/>
      <c r="K26" s="25" t="s">
        <v>12</v>
      </c>
      <c r="L26" s="251">
        <f t="shared" si="2"/>
        <v>81937</v>
      </c>
      <c r="M26" s="182">
        <v>0.33449000000000001</v>
      </c>
      <c r="N26" s="159">
        <f t="shared" si="3"/>
        <v>27407.10713</v>
      </c>
      <c r="O26" s="25" t="s">
        <v>13</v>
      </c>
      <c r="P26" s="251">
        <f t="shared" si="4"/>
        <v>0</v>
      </c>
      <c r="Q26" s="182">
        <v>0.34988000000000002</v>
      </c>
      <c r="R26" s="159">
        <f t="shared" si="5"/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363397.5</v>
      </c>
      <c r="F27" s="230"/>
      <c r="G27" s="231"/>
      <c r="H27" s="230"/>
      <c r="I27" s="232"/>
      <c r="J27" s="31"/>
      <c r="K27" s="25" t="s">
        <v>13</v>
      </c>
      <c r="L27" s="251">
        <f t="shared" si="2"/>
        <v>0</v>
      </c>
      <c r="M27" s="182">
        <v>0.33449000000000001</v>
      </c>
      <c r="N27" s="159">
        <f t="shared" si="3"/>
        <v>0</v>
      </c>
      <c r="O27" s="25" t="s">
        <v>14</v>
      </c>
      <c r="P27" s="251">
        <f t="shared" si="4"/>
        <v>0</v>
      </c>
      <c r="Q27" s="182">
        <v>0.34988000000000002</v>
      </c>
      <c r="R27" s="159">
        <f t="shared" si="5"/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-6043523.6799999997</v>
      </c>
      <c r="F28" s="230"/>
      <c r="G28" s="231"/>
      <c r="H28" s="230"/>
      <c r="I28" s="232"/>
      <c r="J28" s="31"/>
      <c r="K28" s="25" t="s">
        <v>14</v>
      </c>
      <c r="L28" s="251">
        <f t="shared" si="2"/>
        <v>50784</v>
      </c>
      <c r="M28" s="182">
        <v>0.33449000000000001</v>
      </c>
      <c r="N28" s="159">
        <f t="shared" si="3"/>
        <v>16986.740160000001</v>
      </c>
      <c r="O28" s="24" t="s">
        <v>31</v>
      </c>
      <c r="P28" s="131">
        <f>SUM(P23:P27)</f>
        <v>5406525</v>
      </c>
      <c r="Q28" s="132"/>
      <c r="R28" s="22">
        <f>SUM(R23:R27)</f>
        <v>1891634.9669999999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10024197</v>
      </c>
      <c r="M29" s="132"/>
      <c r="N29" s="139">
        <f>SUM(N23:N28)</f>
        <v>3352993.6545299999</v>
      </c>
      <c r="O29" s="24"/>
      <c r="P29" s="183">
        <v>5406525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10024197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18011.22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3405320.0200000009</v>
      </c>
      <c r="F32" s="237"/>
      <c r="G32" s="211">
        <f>E32*G8</f>
        <v>2212095.8849920006</v>
      </c>
      <c r="H32" s="128"/>
      <c r="I32" s="201">
        <f>E32*I8</f>
        <v>1193224.1350080005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-12090.95</v>
      </c>
      <c r="F35" s="230"/>
      <c r="G35" s="211">
        <f>E35</f>
        <v>-12090.95</v>
      </c>
      <c r="H35" s="128"/>
      <c r="I35" s="201"/>
      <c r="J35" s="31"/>
      <c r="K35" s="14" t="s">
        <v>111</v>
      </c>
      <c r="L35" s="129">
        <f>$F$39</f>
        <v>1612940.466639</v>
      </c>
      <c r="M35" s="129">
        <f>G39</f>
        <v>2200004.9349920005</v>
      </c>
      <c r="N35" s="129">
        <f>$H$39</f>
        <v>747575.36336099997</v>
      </c>
      <c r="O35" s="129">
        <f>I39</f>
        <v>1185239.3350080005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-7984.8</v>
      </c>
      <c r="F36" s="230"/>
      <c r="G36" s="211"/>
      <c r="H36" s="128"/>
      <c r="I36" s="201">
        <f>E36</f>
        <v>-7984.8</v>
      </c>
      <c r="J36" s="31"/>
      <c r="K36" s="14" t="s">
        <v>114</v>
      </c>
      <c r="L36" s="184">
        <f>-$N$17</f>
        <v>-911544.60973000003</v>
      </c>
      <c r="M36" s="184">
        <f>-N29</f>
        <v>-3352993.6545299999</v>
      </c>
      <c r="N36" s="184">
        <f>-$R$15</f>
        <v>-497562.49575000006</v>
      </c>
      <c r="O36" s="184">
        <f>-R28</f>
        <v>-1891634.9669999999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3385244.2700000009</v>
      </c>
      <c r="F37" s="212"/>
      <c r="G37" s="214"/>
      <c r="H37" s="212"/>
      <c r="I37" s="175"/>
      <c r="J37" s="31"/>
      <c r="K37" s="172" t="s">
        <v>112</v>
      </c>
      <c r="L37" s="134">
        <f t="shared" ref="L37:O37" si="6">SUM(L35:L36)</f>
        <v>701395.85690899997</v>
      </c>
      <c r="M37" s="134">
        <f>SUM(M35:M36)</f>
        <v>-1152988.7195379995</v>
      </c>
      <c r="N37" s="134">
        <f t="shared" si="6"/>
        <v>250012.86761099991</v>
      </c>
      <c r="O37" s="134">
        <f t="shared" si="6"/>
        <v>-706395.63199199946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5745760.1000000015</v>
      </c>
      <c r="F39" s="225">
        <f>SUM(F14:F37)</f>
        <v>1612940.466639</v>
      </c>
      <c r="G39" s="226">
        <f t="shared" ref="G39:I39" si="7">SUM(G14:G37)</f>
        <v>2200004.9349920005</v>
      </c>
      <c r="H39" s="225">
        <f t="shared" si="7"/>
        <v>747575.36336099997</v>
      </c>
      <c r="I39" s="181">
        <f t="shared" si="7"/>
        <v>1185239.3350080005</v>
      </c>
      <c r="J39" s="31"/>
      <c r="K39" s="190"/>
      <c r="L39" s="193" t="s">
        <v>36</v>
      </c>
      <c r="M39" s="191">
        <f>SUM(L37:M37)</f>
        <v>-451592.86262899952</v>
      </c>
      <c r="N39" s="194" t="s">
        <v>37</v>
      </c>
      <c r="O39" s="191">
        <f>SUM(N37:O37)</f>
        <v>-456382.76438099955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5745760.0999999996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2A9D-462B-4DBB-AF7F-108A2F8B6CE1}">
  <sheetPr>
    <pageSetUpPr fitToPage="1"/>
  </sheetPr>
  <dimension ref="A1:T1396"/>
  <sheetViews>
    <sheetView tabSelected="1" topLeftCell="A10" zoomScale="60" zoomScaleNormal="60" workbookViewId="0">
      <selection activeCell="O42" sqref="O42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9.7109375" style="7" bestFit="1" customWidth="1"/>
    <col min="6" max="6" width="18.28515625" style="31" bestFit="1" customWidth="1"/>
    <col min="7" max="7" width="18.5703125" style="31" bestFit="1" customWidth="1"/>
    <col min="8" max="8" width="17.5703125" style="31" customWidth="1"/>
    <col min="9" max="9" width="18.28515625" style="31" bestFit="1" customWidth="1"/>
    <col min="10" max="10" width="4.85546875" style="30" bestFit="1" customWidth="1"/>
    <col min="11" max="11" width="29" style="30" bestFit="1" customWidth="1"/>
    <col min="12" max="13" width="24" style="30" bestFit="1" customWidth="1"/>
    <col min="14" max="15" width="24.140625" style="30" bestFit="1" customWidth="1"/>
    <col min="16" max="16" width="18" style="30" bestFit="1" customWidth="1"/>
    <col min="17" max="17" width="11.28515625" style="30" bestFit="1" customWidth="1"/>
    <col min="18" max="18" width="24" style="30" bestFit="1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115</v>
      </c>
      <c r="C1" s="165">
        <v>202211</v>
      </c>
      <c r="D1" s="248"/>
      <c r="E1" s="121"/>
      <c r="F1" s="121"/>
      <c r="G1" s="121"/>
      <c r="H1" s="121"/>
      <c r="I1" s="121"/>
      <c r="K1" s="160" t="s">
        <v>100</v>
      </c>
      <c r="L1" s="166" t="s">
        <v>101</v>
      </c>
      <c r="N1" s="269"/>
      <c r="O1" s="269"/>
      <c r="T1" s="245" t="s">
        <v>120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102</v>
      </c>
      <c r="N2" s="243"/>
      <c r="O2" s="243"/>
      <c r="T2" s="246" t="s">
        <v>121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122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123</v>
      </c>
    </row>
    <row r="5" spans="2:20" ht="15.6" customHeight="1" thickBot="1">
      <c r="B5" s="169"/>
      <c r="C5" s="13"/>
      <c r="D5" s="13"/>
      <c r="E5" s="224" t="s">
        <v>17</v>
      </c>
      <c r="F5" s="270" t="s">
        <v>32</v>
      </c>
      <c r="G5" s="271"/>
      <c r="H5" s="270" t="s">
        <v>33</v>
      </c>
      <c r="I5" s="272"/>
      <c r="J5" s="31"/>
      <c r="K5" s="273" t="s">
        <v>32</v>
      </c>
      <c r="L5" s="274"/>
      <c r="M5" s="274"/>
      <c r="N5" s="275"/>
      <c r="O5" s="273" t="s">
        <v>33</v>
      </c>
      <c r="P5" s="274"/>
      <c r="Q5" s="274"/>
      <c r="R5" s="275"/>
      <c r="T5" s="246" t="s">
        <v>124</v>
      </c>
    </row>
    <row r="6" spans="2:20" ht="15.6" customHeight="1" thickBot="1">
      <c r="B6" s="170" t="s">
        <v>18</v>
      </c>
      <c r="C6" s="3"/>
      <c r="D6" s="3"/>
      <c r="E6" s="217" t="s">
        <v>113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125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126</v>
      </c>
    </row>
    <row r="8" spans="2:20" ht="15.6" customHeight="1">
      <c r="B8" s="14"/>
      <c r="C8" s="3"/>
      <c r="D8" s="3"/>
      <c r="E8" s="238">
        <f>F8+H8</f>
        <v>1</v>
      </c>
      <c r="F8" s="208">
        <v>0.6845</v>
      </c>
      <c r="G8" s="209">
        <f>ROUND($L$29/($L$29+$P$28),4)</f>
        <v>0.65920000000000001</v>
      </c>
      <c r="H8" s="208">
        <v>0.3155</v>
      </c>
      <c r="I8" s="171">
        <f>1-G8</f>
        <v>0.34079999999999999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127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99</v>
      </c>
      <c r="E10" s="219">
        <v>2288052.31</v>
      </c>
      <c r="F10" s="210"/>
      <c r="G10" s="211"/>
      <c r="H10" s="210"/>
      <c r="I10" s="201"/>
      <c r="J10" s="31"/>
      <c r="K10" s="25" t="s">
        <v>10</v>
      </c>
      <c r="L10" s="259">
        <v>21123575</v>
      </c>
      <c r="M10" s="182" t="s">
        <v>140</v>
      </c>
      <c r="N10" s="260">
        <v>2128218</v>
      </c>
      <c r="O10" s="25" t="s">
        <v>10</v>
      </c>
      <c r="P10" s="259">
        <v>11917514</v>
      </c>
      <c r="Q10" s="182" t="s">
        <v>140</v>
      </c>
      <c r="R10" s="260">
        <v>1097433</v>
      </c>
    </row>
    <row r="11" spans="2:20" ht="15.6" customHeight="1" thickBot="1">
      <c r="B11" s="163" t="s">
        <v>157</v>
      </c>
      <c r="C11" s="27">
        <v>804002</v>
      </c>
      <c r="D11" s="27" t="s">
        <v>99</v>
      </c>
      <c r="E11" s="219">
        <v>41942.17</v>
      </c>
      <c r="F11" s="210"/>
      <c r="G11" s="211"/>
      <c r="H11" s="210"/>
      <c r="I11" s="201"/>
      <c r="J11" s="31"/>
      <c r="K11" s="25" t="s">
        <v>42</v>
      </c>
      <c r="L11" s="259">
        <v>64852</v>
      </c>
      <c r="M11" s="182" t="s">
        <v>140</v>
      </c>
      <c r="N11" s="260">
        <v>6531</v>
      </c>
      <c r="O11" s="25" t="s">
        <v>11</v>
      </c>
      <c r="P11" s="259">
        <v>3409212</v>
      </c>
      <c r="Q11" s="182" t="str">
        <f>Q10</f>
        <v>pro rated</v>
      </c>
      <c r="R11" s="260">
        <v>314005</v>
      </c>
    </row>
    <row r="12" spans="2:20" ht="15.6" customHeight="1" thickBot="1">
      <c r="B12" s="172" t="s">
        <v>103</v>
      </c>
      <c r="C12" s="6"/>
      <c r="D12" s="6"/>
      <c r="E12" s="220">
        <f>SUM(E10:E11)</f>
        <v>2329994.48</v>
      </c>
      <c r="F12" s="212"/>
      <c r="G12" s="213"/>
      <c r="H12" s="212"/>
      <c r="I12" s="202"/>
      <c r="J12" s="31"/>
      <c r="K12" s="25" t="s">
        <v>11</v>
      </c>
      <c r="L12" s="259">
        <v>8371710</v>
      </c>
      <c r="M12" s="182" t="s">
        <v>140</v>
      </c>
      <c r="N12" s="260">
        <v>773116</v>
      </c>
      <c r="O12" s="25" t="s">
        <v>12</v>
      </c>
      <c r="P12" s="259">
        <v>61336</v>
      </c>
      <c r="Q12" s="182" t="str">
        <f t="shared" ref="Q12:Q14" si="0">Q11</f>
        <v>pro rated</v>
      </c>
      <c r="R12" s="260">
        <v>5653</v>
      </c>
    </row>
    <row r="13" spans="2:20" ht="15.6" customHeight="1" thickBot="1">
      <c r="B13" s="173" t="s">
        <v>25</v>
      </c>
      <c r="C13" s="1"/>
      <c r="D13" s="1"/>
      <c r="E13" s="221">
        <f>-E11</f>
        <v>-41942.17</v>
      </c>
      <c r="F13" s="210"/>
      <c r="G13" s="211"/>
      <c r="H13" s="210"/>
      <c r="I13" s="201"/>
      <c r="J13" s="31"/>
      <c r="K13" s="25" t="s">
        <v>12</v>
      </c>
      <c r="L13" s="259">
        <v>46456</v>
      </c>
      <c r="M13" s="182" t="s">
        <v>140</v>
      </c>
      <c r="N13" s="260">
        <v>4372</v>
      </c>
      <c r="O13" s="25" t="s">
        <v>13</v>
      </c>
      <c r="P13" s="259">
        <v>0</v>
      </c>
      <c r="Q13" s="182" t="str">
        <f t="shared" si="0"/>
        <v>pro rated</v>
      </c>
      <c r="R13" s="260">
        <v>0</v>
      </c>
    </row>
    <row r="14" spans="2:20" ht="15.6" customHeight="1" thickBot="1">
      <c r="B14" s="172" t="s">
        <v>116</v>
      </c>
      <c r="C14" s="174"/>
      <c r="D14" s="174"/>
      <c r="E14" s="220">
        <f>SUM(E12:E13)</f>
        <v>2288052.31</v>
      </c>
      <c r="F14" s="227">
        <f>E14*F8</f>
        <v>1566171.806195</v>
      </c>
      <c r="G14" s="228"/>
      <c r="H14" s="227">
        <f>E14*H8</f>
        <v>721880.50380499999</v>
      </c>
      <c r="I14" s="229"/>
      <c r="J14" s="31"/>
      <c r="K14" s="25" t="s">
        <v>13</v>
      </c>
      <c r="L14" s="259">
        <v>0</v>
      </c>
      <c r="M14" s="182" t="s">
        <v>140</v>
      </c>
      <c r="N14" s="260">
        <v>0</v>
      </c>
      <c r="O14" s="25" t="s">
        <v>14</v>
      </c>
      <c r="P14" s="259">
        <v>0</v>
      </c>
      <c r="Q14" s="182" t="str">
        <f t="shared" si="0"/>
        <v>pro rated</v>
      </c>
      <c r="R14" s="260"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59">
        <v>163545</v>
      </c>
      <c r="M15" s="182" t="s">
        <v>140</v>
      </c>
      <c r="N15" s="260">
        <v>9615</v>
      </c>
      <c r="O15" s="24" t="s">
        <v>29</v>
      </c>
      <c r="P15" s="131">
        <f>SUM(P10:P14)</f>
        <v>15388062</v>
      </c>
      <c r="Q15" s="132"/>
      <c r="R15" s="22">
        <f>SUM(R10:R14)</f>
        <v>1417091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59">
        <v>3560014</v>
      </c>
      <c r="M16" s="182" t="s">
        <v>140</v>
      </c>
      <c r="N16" s="260">
        <v>1909</v>
      </c>
      <c r="O16" s="25"/>
      <c r="P16" s="183">
        <v>15388062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99</v>
      </c>
      <c r="E17" s="219">
        <v>23324075.079999998</v>
      </c>
      <c r="F17" s="233"/>
      <c r="G17" s="231"/>
      <c r="H17" s="230"/>
      <c r="I17" s="232"/>
      <c r="J17" s="31"/>
      <c r="K17" s="24" t="s">
        <v>29</v>
      </c>
      <c r="L17" s="131">
        <f>SUM(L10:L16)</f>
        <v>33330152</v>
      </c>
      <c r="M17" s="4"/>
      <c r="N17" s="22">
        <f>SUM(N10:N16)</f>
        <v>2923761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99</v>
      </c>
      <c r="E18" s="219">
        <v>117418.7</v>
      </c>
      <c r="F18" s="230"/>
      <c r="G18" s="231"/>
      <c r="H18" s="230"/>
      <c r="I18" s="232"/>
      <c r="J18" s="31"/>
      <c r="K18" s="15"/>
      <c r="L18" s="183">
        <v>33330152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99</v>
      </c>
      <c r="E19" s="219">
        <v>38757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99</v>
      </c>
      <c r="E20" s="219">
        <v>10438.129999999999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99</v>
      </c>
      <c r="E21" s="219">
        <v>-2213848.12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99</v>
      </c>
      <c r="E22" s="219">
        <v>141770.22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99</v>
      </c>
      <c r="E23" s="219">
        <v>10485531.16</v>
      </c>
      <c r="F23" s="230"/>
      <c r="G23" s="231"/>
      <c r="H23" s="230"/>
      <c r="I23" s="232"/>
      <c r="J23" s="31"/>
      <c r="K23" s="25" t="s">
        <v>10</v>
      </c>
      <c r="L23" s="251">
        <f>+L10</f>
        <v>21123575</v>
      </c>
      <c r="M23" s="182" t="s">
        <v>140</v>
      </c>
      <c r="N23" s="260">
        <v>7420665</v>
      </c>
      <c r="O23" s="25" t="s">
        <v>10</v>
      </c>
      <c r="P23" s="251">
        <f>+P10</f>
        <v>11917514</v>
      </c>
      <c r="Q23" s="182" t="s">
        <v>140</v>
      </c>
      <c r="R23" s="260">
        <v>4159062</v>
      </c>
    </row>
    <row r="24" spans="2:18" ht="15.6" customHeight="1">
      <c r="B24" s="163" t="s">
        <v>150</v>
      </c>
      <c r="C24" s="27">
        <v>808200</v>
      </c>
      <c r="D24" s="27" t="s">
        <v>99</v>
      </c>
      <c r="E24" s="219">
        <v>0</v>
      </c>
      <c r="F24" s="230"/>
      <c r="G24" s="231"/>
      <c r="H24" s="230"/>
      <c r="I24" s="232"/>
      <c r="J24" s="31"/>
      <c r="K24" s="25" t="s">
        <v>42</v>
      </c>
      <c r="L24" s="251">
        <f t="shared" ref="L24:L28" si="1">+L11</f>
        <v>64852</v>
      </c>
      <c r="M24" s="182" t="s">
        <v>140</v>
      </c>
      <c r="N24" s="260">
        <v>22773</v>
      </c>
      <c r="O24" s="25" t="s">
        <v>11</v>
      </c>
      <c r="P24" s="251">
        <f t="shared" ref="P24:P27" si="2">+P11</f>
        <v>3409212</v>
      </c>
      <c r="Q24" s="182" t="s">
        <v>140</v>
      </c>
      <c r="R24" s="260">
        <v>1189424</v>
      </c>
    </row>
    <row r="25" spans="2:18" ht="15.6" customHeight="1">
      <c r="B25" s="163" t="s">
        <v>151</v>
      </c>
      <c r="C25" s="27">
        <v>811000</v>
      </c>
      <c r="D25" s="27" t="s">
        <v>99</v>
      </c>
      <c r="E25" s="219">
        <v>-53844.82</v>
      </c>
      <c r="F25" s="230"/>
      <c r="G25" s="231"/>
      <c r="H25" s="230"/>
      <c r="I25" s="232"/>
      <c r="J25" s="31"/>
      <c r="K25" s="25" t="s">
        <v>11</v>
      </c>
      <c r="L25" s="251">
        <f t="shared" si="1"/>
        <v>8371710</v>
      </c>
      <c r="M25" s="182" t="s">
        <v>140</v>
      </c>
      <c r="N25" s="260">
        <v>2956861</v>
      </c>
      <c r="O25" s="25" t="s">
        <v>12</v>
      </c>
      <c r="P25" s="251">
        <f t="shared" si="2"/>
        <v>61336</v>
      </c>
      <c r="Q25" s="182" t="s">
        <v>140</v>
      </c>
      <c r="R25" s="260">
        <v>21434</v>
      </c>
    </row>
    <row r="26" spans="2:18" ht="15.6" customHeight="1">
      <c r="B26" s="163" t="s">
        <v>152</v>
      </c>
      <c r="C26" s="27">
        <v>483000</v>
      </c>
      <c r="D26" s="27" t="s">
        <v>99</v>
      </c>
      <c r="E26" s="219">
        <v>-8481012.9299999997</v>
      </c>
      <c r="F26" s="233"/>
      <c r="G26" s="231"/>
      <c r="H26" s="230"/>
      <c r="I26" s="232"/>
      <c r="J26" s="31"/>
      <c r="K26" s="25" t="s">
        <v>12</v>
      </c>
      <c r="L26" s="251">
        <f t="shared" si="1"/>
        <v>46456</v>
      </c>
      <c r="M26" s="182" t="s">
        <v>140</v>
      </c>
      <c r="N26" s="260">
        <v>16708</v>
      </c>
      <c r="O26" s="25" t="s">
        <v>13</v>
      </c>
      <c r="P26" s="251">
        <f t="shared" si="2"/>
        <v>0</v>
      </c>
      <c r="Q26" s="182" t="s">
        <v>140</v>
      </c>
      <c r="R26" s="260">
        <v>0</v>
      </c>
    </row>
    <row r="27" spans="2:18" ht="15.6" customHeight="1">
      <c r="B27" s="163" t="s">
        <v>153</v>
      </c>
      <c r="C27" s="27">
        <v>483600</v>
      </c>
      <c r="D27" s="27" t="s">
        <v>99</v>
      </c>
      <c r="E27" s="219">
        <v>-863021.25</v>
      </c>
      <c r="F27" s="230"/>
      <c r="G27" s="231"/>
      <c r="H27" s="230"/>
      <c r="I27" s="232"/>
      <c r="J27" s="31"/>
      <c r="K27" s="25" t="s">
        <v>13</v>
      </c>
      <c r="L27" s="251">
        <f t="shared" si="1"/>
        <v>0</v>
      </c>
      <c r="M27" s="182" t="s">
        <v>140</v>
      </c>
      <c r="N27" s="260">
        <v>0</v>
      </c>
      <c r="O27" s="25" t="s">
        <v>14</v>
      </c>
      <c r="P27" s="251">
        <f t="shared" si="2"/>
        <v>0</v>
      </c>
      <c r="Q27" s="182" t="s">
        <v>140</v>
      </c>
      <c r="R27" s="260">
        <v>0</v>
      </c>
    </row>
    <row r="28" spans="2:18" ht="15.6" customHeight="1" thickBot="1">
      <c r="B28" s="163" t="s">
        <v>154</v>
      </c>
      <c r="C28" s="27">
        <v>483730</v>
      </c>
      <c r="D28" s="27" t="s">
        <v>99</v>
      </c>
      <c r="E28" s="219">
        <v>-1179926</v>
      </c>
      <c r="F28" s="230"/>
      <c r="G28" s="231"/>
      <c r="H28" s="230"/>
      <c r="I28" s="232"/>
      <c r="J28" s="31"/>
      <c r="K28" s="25" t="s">
        <v>14</v>
      </c>
      <c r="L28" s="251">
        <f t="shared" si="1"/>
        <v>163545</v>
      </c>
      <c r="M28" s="182" t="s">
        <v>140</v>
      </c>
      <c r="N28" s="260">
        <v>57111</v>
      </c>
      <c r="O28" s="24" t="s">
        <v>31</v>
      </c>
      <c r="P28" s="131">
        <f>SUM(P23:P27)</f>
        <v>15388062</v>
      </c>
      <c r="Q28" s="132"/>
      <c r="R28" s="22">
        <f>SUM(R23:R27)</f>
        <v>5369920</v>
      </c>
    </row>
    <row r="29" spans="2:18" ht="15.6" customHeight="1" thickTop="1" thickBot="1">
      <c r="B29" s="163" t="s">
        <v>155</v>
      </c>
      <c r="C29" s="27">
        <v>495028</v>
      </c>
      <c r="D29" s="27" t="s">
        <v>99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29770138</v>
      </c>
      <c r="M29" s="132"/>
      <c r="N29" s="139">
        <f>SUM(N23:N28)</f>
        <v>10474118</v>
      </c>
      <c r="O29" s="24"/>
      <c r="P29" s="183">
        <v>15388062</v>
      </c>
      <c r="Q29" s="16"/>
      <c r="R29" s="136"/>
    </row>
    <row r="30" spans="2:18" ht="15.6" customHeight="1" thickTop="1">
      <c r="B30" s="163" t="s">
        <v>98</v>
      </c>
      <c r="C30" s="27">
        <v>495100</v>
      </c>
      <c r="D30" s="27" t="s">
        <v>99</v>
      </c>
      <c r="E30" s="219">
        <v>0</v>
      </c>
      <c r="F30" s="234"/>
      <c r="G30" s="235"/>
      <c r="H30" s="234"/>
      <c r="I30" s="236"/>
      <c r="J30" s="31"/>
      <c r="K30" s="15"/>
      <c r="L30" s="183">
        <v>29770138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41942.17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20899529.339999996</v>
      </c>
      <c r="F32" s="237"/>
      <c r="G32" s="211">
        <f>E32*G8</f>
        <v>13776969.740927998</v>
      </c>
      <c r="H32" s="128"/>
      <c r="I32" s="201">
        <f>E32*I8</f>
        <v>7122559.5990719981</v>
      </c>
      <c r="J32" s="31"/>
    </row>
    <row r="33" spans="1:20" ht="15.6" customHeight="1">
      <c r="B33" s="163" t="s">
        <v>97</v>
      </c>
      <c r="C33" s="27">
        <v>495100</v>
      </c>
      <c r="D33" s="3" t="s">
        <v>104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84</v>
      </c>
      <c r="C34" s="27">
        <v>495100</v>
      </c>
      <c r="D34" s="3" t="s">
        <v>105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19">
        <v>-255175.3</v>
      </c>
      <c r="F35" s="230"/>
      <c r="G35" s="211">
        <f>E35</f>
        <v>-255175.3</v>
      </c>
      <c r="H35" s="128"/>
      <c r="I35" s="201"/>
      <c r="J35" s="31"/>
      <c r="K35" s="14" t="s">
        <v>111</v>
      </c>
      <c r="L35" s="129">
        <f>$F$39</f>
        <v>1566171.806195</v>
      </c>
      <c r="M35" s="129">
        <f>G39</f>
        <v>13521794.440927997</v>
      </c>
      <c r="N35" s="129">
        <f>$H$39</f>
        <v>721880.50380499999</v>
      </c>
      <c r="O35" s="129">
        <f>I39</f>
        <v>6992731.9990719985</v>
      </c>
      <c r="P35" s="195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19">
        <v>-129827.6</v>
      </c>
      <c r="F36" s="230"/>
      <c r="G36" s="211"/>
      <c r="H36" s="128"/>
      <c r="I36" s="201">
        <f>E36</f>
        <v>-129827.6</v>
      </c>
      <c r="J36" s="31"/>
      <c r="K36" s="14" t="s">
        <v>114</v>
      </c>
      <c r="L36" s="184">
        <f>-$N$17</f>
        <v>-2923761</v>
      </c>
      <c r="M36" s="184">
        <f>-N29</f>
        <v>-10474118</v>
      </c>
      <c r="N36" s="184">
        <f>-$R$15</f>
        <v>-1417091</v>
      </c>
      <c r="O36" s="184">
        <f>-R28</f>
        <v>-5369920</v>
      </c>
      <c r="P36" s="195">
        <f>SUM(L36:O36)+N17+N29+R15+R28</f>
        <v>0</v>
      </c>
      <c r="Q36" s="1"/>
    </row>
    <row r="37" spans="1:20" ht="15.6" customHeight="1" thickBot="1">
      <c r="B37" s="172" t="s">
        <v>117</v>
      </c>
      <c r="C37" s="27"/>
      <c r="D37" s="3"/>
      <c r="E37" s="220">
        <f>SUM(E32:E36)</f>
        <v>20514526.439999994</v>
      </c>
      <c r="F37" s="212"/>
      <c r="G37" s="214"/>
      <c r="H37" s="212"/>
      <c r="I37" s="175"/>
      <c r="J37" s="31"/>
      <c r="K37" s="172" t="s">
        <v>112</v>
      </c>
      <c r="L37" s="134">
        <f t="shared" ref="L37:O37" si="3">SUM(L35:L36)</f>
        <v>-1357589.193805</v>
      </c>
      <c r="M37" s="134">
        <f>SUM(M35:M36)</f>
        <v>3047676.4409279972</v>
      </c>
      <c r="N37" s="134">
        <f t="shared" si="3"/>
        <v>-695210.49619500001</v>
      </c>
      <c r="O37" s="134">
        <f t="shared" si="3"/>
        <v>1622811.9990719985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108</v>
      </c>
      <c r="C39" s="180"/>
      <c r="D39" s="180"/>
      <c r="E39" s="220">
        <f>E37+E14</f>
        <v>22802578.749999993</v>
      </c>
      <c r="F39" s="225">
        <f>SUM(F14:F37)</f>
        <v>1566171.806195</v>
      </c>
      <c r="G39" s="226">
        <f t="shared" ref="G39:I39" si="4">SUM(G14:G37)</f>
        <v>13521794.440927997</v>
      </c>
      <c r="H39" s="225">
        <f t="shared" si="4"/>
        <v>721880.50380499999</v>
      </c>
      <c r="I39" s="181">
        <f t="shared" si="4"/>
        <v>6992731.9990719985</v>
      </c>
      <c r="J39" s="31"/>
      <c r="K39" s="190"/>
      <c r="L39" s="193" t="s">
        <v>36</v>
      </c>
      <c r="M39" s="191">
        <f>SUM(L37:M37)</f>
        <v>1690087.2471229972</v>
      </c>
      <c r="N39" s="194" t="s">
        <v>37</v>
      </c>
      <c r="O39" s="191">
        <f>SUM(N37:O37)</f>
        <v>927601.50287699851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119</v>
      </c>
      <c r="C41" s="240"/>
      <c r="D41" s="10" t="s">
        <v>118</v>
      </c>
      <c r="E41" s="250">
        <v>22802578.75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7" t="s">
        <v>110</v>
      </c>
      <c r="F45" s="268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zoomScale="90" zoomScaleNormal="90" workbookViewId="0">
      <pane ySplit="6" topLeftCell="A7" activePane="bottomLeft" state="frozen"/>
      <selection activeCell="F26" sqref="F26"/>
      <selection pane="bottomLeft" activeCell="D29" sqref="D29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33.5703125" style="32" bestFit="1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79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80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3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29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2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141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75">
      <c r="A22" s="72">
        <f t="shared" si="23"/>
        <v>202204</v>
      </c>
      <c r="B22" s="77">
        <v>3.2500000000000001E-2</v>
      </c>
      <c r="C22" s="57"/>
      <c r="D22" s="60">
        <v>0</v>
      </c>
      <c r="E22" s="79">
        <f t="shared" si="19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5">ROUND(((E22)*(B22/12))+((SUM(F22:G22)/2)*(B22/12)),2)</f>
        <v>30017.78</v>
      </c>
      <c r="I22" s="98">
        <f t="shared" si="21"/>
        <v>13046917.447410995</v>
      </c>
      <c r="J22" s="59"/>
      <c r="K22" s="80">
        <v>13046917.439999999</v>
      </c>
      <c r="L22" s="81">
        <f t="shared" ref="L22" si="26">K22-I22</f>
        <v>-7.4109956622123718E-3</v>
      </c>
      <c r="M22" s="70"/>
      <c r="N22" s="242"/>
      <c r="O22" s="242"/>
    </row>
    <row r="23" spans="1:23" s="40" customFormat="1" ht="15.75">
      <c r="A23" s="72">
        <f t="shared" si="23"/>
        <v>202205</v>
      </c>
      <c r="B23" s="77">
        <v>3.2500000000000001E-2</v>
      </c>
      <c r="C23" s="57"/>
      <c r="D23" s="60">
        <v>0</v>
      </c>
      <c r="E23" s="79">
        <f t="shared" si="19"/>
        <v>13046917.447410995</v>
      </c>
      <c r="F23" s="78">
        <f>'May 22'!M$37</f>
        <v>2304917.315699996</v>
      </c>
      <c r="G23" s="78">
        <f>'May 22'!L$37</f>
        <v>560217.39907500008</v>
      </c>
      <c r="H23" s="58">
        <f t="shared" si="25"/>
        <v>39215.269999999997</v>
      </c>
      <c r="I23" s="98">
        <f t="shared" si="21"/>
        <v>15951267.432185991</v>
      </c>
      <c r="J23" s="59"/>
      <c r="K23" s="80">
        <v>15951267.42</v>
      </c>
      <c r="L23" s="81">
        <f t="shared" ref="L23" si="27">K23-I23</f>
        <v>-1.2185990810394287E-2</v>
      </c>
      <c r="M23" s="70"/>
      <c r="N23" s="242"/>
      <c r="O23" s="242"/>
    </row>
    <row r="24" spans="1:23" s="40" customFormat="1" ht="15.75">
      <c r="A24" s="72">
        <f t="shared" si="23"/>
        <v>202206</v>
      </c>
      <c r="B24" s="77">
        <v>3.2500000000000001E-2</v>
      </c>
      <c r="C24" s="57"/>
      <c r="D24" s="60">
        <v>0</v>
      </c>
      <c r="E24" s="79">
        <f t="shared" si="19"/>
        <v>15951267.432185991</v>
      </c>
      <c r="F24" s="78">
        <f>'Jun 22'!M$37</f>
        <v>362036.44918000046</v>
      </c>
      <c r="G24" s="78">
        <f>'Jun 22'!L$37</f>
        <v>992540.13287099998</v>
      </c>
      <c r="H24" s="58">
        <f t="shared" si="25"/>
        <v>45035.67</v>
      </c>
      <c r="I24" s="98">
        <f t="shared" si="21"/>
        <v>17350879.684236992</v>
      </c>
      <c r="J24" s="59"/>
      <c r="K24" s="80">
        <v>17350879.670000002</v>
      </c>
      <c r="L24" s="81">
        <f t="shared" ref="L24" si="28">K24-I24</f>
        <v>-1.4236990362405777E-2</v>
      </c>
      <c r="M24" s="70"/>
      <c r="N24" s="242"/>
      <c r="O24" s="242"/>
    </row>
    <row r="25" spans="1:23" s="40" customFormat="1" ht="15.75">
      <c r="A25" s="72">
        <f t="shared" si="23"/>
        <v>202207</v>
      </c>
      <c r="B25" s="77">
        <v>3.5999999999999997E-2</v>
      </c>
      <c r="C25" s="57"/>
      <c r="D25" s="60">
        <v>0</v>
      </c>
      <c r="E25" s="79">
        <f t="shared" si="19"/>
        <v>17350879.684236992</v>
      </c>
      <c r="F25" s="78">
        <f>'Jul 22'!M$37</f>
        <v>-993656.17931799591</v>
      </c>
      <c r="G25" s="78">
        <f>'Jul 22'!L$37</f>
        <v>1216959.2114270001</v>
      </c>
      <c r="H25" s="58">
        <f t="shared" si="25"/>
        <v>52387.59</v>
      </c>
      <c r="I25" s="98">
        <f>SUM(E25:H25)</f>
        <v>17626570.306345996</v>
      </c>
      <c r="J25" s="59"/>
      <c r="K25" s="80">
        <v>17626570.289999999</v>
      </c>
      <c r="L25" s="81">
        <f t="shared" ref="L25" si="29">K25-I25</f>
        <v>-1.6345996409654617E-2</v>
      </c>
      <c r="M25" s="70"/>
      <c r="N25" s="242"/>
    </row>
    <row r="26" spans="1:23" s="40" customFormat="1" ht="15.75">
      <c r="A26" s="72">
        <f t="shared" si="23"/>
        <v>202208</v>
      </c>
      <c r="B26" s="77">
        <v>3.5999999999999997E-2</v>
      </c>
      <c r="C26" s="57"/>
      <c r="D26" s="60">
        <v>0</v>
      </c>
      <c r="E26" s="79">
        <f t="shared" si="19"/>
        <v>17626570.306345996</v>
      </c>
      <c r="F26" s="78">
        <f>'Aug 22'!M$37</f>
        <v>-1367094.4645960005</v>
      </c>
      <c r="G26" s="78">
        <f>'Aug 22'!L$37</f>
        <v>1183681.9972710002</v>
      </c>
      <c r="H26" s="58">
        <f t="shared" si="25"/>
        <v>52604.59</v>
      </c>
      <c r="I26" s="98">
        <f>SUM(E26:H26)</f>
        <v>17495762.429020997</v>
      </c>
      <c r="J26" s="59"/>
      <c r="K26" s="80">
        <v>17495762.41</v>
      </c>
      <c r="L26" s="81">
        <f t="shared" ref="L26" si="30">K26-I26</f>
        <v>-1.9020996987819672E-2</v>
      </c>
      <c r="M26" s="70"/>
    </row>
    <row r="27" spans="1:23" s="40" customFormat="1" ht="15.75">
      <c r="A27" s="72">
        <f t="shared" si="23"/>
        <v>202209</v>
      </c>
      <c r="B27" s="77">
        <v>3.5999999999999997E-2</v>
      </c>
      <c r="C27" s="57"/>
      <c r="D27" s="60">
        <v>0</v>
      </c>
      <c r="E27" s="79">
        <f t="shared" si="19"/>
        <v>17495762.429020997</v>
      </c>
      <c r="F27" s="78">
        <f>'Sep 22'!M$37</f>
        <v>-1576980.8520129996</v>
      </c>
      <c r="G27" s="78">
        <f>'Sep 22'!L$37</f>
        <v>1031870.533733</v>
      </c>
      <c r="H27" s="58">
        <f t="shared" si="25"/>
        <v>51669.62</v>
      </c>
      <c r="I27" s="98">
        <f t="shared" ref="I27:I28" si="31">SUM(E27:H27)</f>
        <v>17002321.730740998</v>
      </c>
      <c r="J27" s="59"/>
      <c r="K27" s="80">
        <v>17002321.710000001</v>
      </c>
      <c r="L27" s="81">
        <f t="shared" ref="L27" si="32">K27-I27</f>
        <v>-2.0740997046232224E-2</v>
      </c>
      <c r="M27" s="70"/>
    </row>
    <row r="28" spans="1:23" s="40" customFormat="1" ht="15.75">
      <c r="A28" s="72">
        <f t="shared" si="23"/>
        <v>202210</v>
      </c>
      <c r="B28" s="77">
        <v>4.9099999999999998E-2</v>
      </c>
      <c r="C28" s="57"/>
      <c r="D28" s="60">
        <v>0</v>
      </c>
      <c r="E28" s="79">
        <f t="shared" si="19"/>
        <v>17002321.730740998</v>
      </c>
      <c r="F28" s="78">
        <f>'Oct 22'!M$37</f>
        <v>-1152988.7195379995</v>
      </c>
      <c r="G28" s="78">
        <f>'Oct 22'!L$37</f>
        <v>701395.85690899997</v>
      </c>
      <c r="H28" s="58">
        <f t="shared" si="25"/>
        <v>68643.95</v>
      </c>
      <c r="I28" s="98">
        <f t="shared" si="31"/>
        <v>16619372.818111997</v>
      </c>
      <c r="J28" s="59"/>
      <c r="K28" s="80">
        <v>16619372.82</v>
      </c>
      <c r="L28" s="81">
        <f t="shared" ref="L28" si="33">K28-I28</f>
        <v>1.8880032002925873E-3</v>
      </c>
      <c r="M28" s="70"/>
    </row>
    <row r="29" spans="1:23" s="40" customFormat="1" ht="15.75">
      <c r="A29" s="72">
        <f t="shared" si="23"/>
        <v>202211</v>
      </c>
      <c r="B29" s="77">
        <v>4.9099999999999998E-2</v>
      </c>
      <c r="C29" s="57"/>
      <c r="D29" s="60">
        <f>-I28</f>
        <v>-16619372.818111997</v>
      </c>
      <c r="E29" s="79">
        <f t="shared" si="19"/>
        <v>0</v>
      </c>
      <c r="F29" s="78">
        <f>'Nov 22'!M$37</f>
        <v>3047676.4409279972</v>
      </c>
      <c r="G29" s="78">
        <f>'Nov 22'!L$37</f>
        <v>-1357589.193805</v>
      </c>
      <c r="H29" s="58">
        <f t="shared" si="25"/>
        <v>3457.64</v>
      </c>
      <c r="I29" s="98">
        <f>SUM(E29:H29)</f>
        <v>1693544.8871229971</v>
      </c>
      <c r="J29" s="59"/>
      <c r="K29" s="80">
        <v>1693544.89</v>
      </c>
      <c r="L29" s="81">
        <f t="shared" ref="L29" si="34">K29-I29</f>
        <v>2.877002814784646E-3</v>
      </c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>I29+D30</f>
        <v>1693544.8871229971</v>
      </c>
      <c r="F30" s="62"/>
      <c r="G30" s="62"/>
      <c r="H30" s="63">
        <f t="shared" si="25"/>
        <v>0</v>
      </c>
      <c r="I30" s="107">
        <f t="shared" ref="I30" si="35">SUM(E30:H30)</f>
        <v>1693544.8871229971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-16619372.818111997</v>
      </c>
      <c r="E31" s="55"/>
      <c r="F31" s="64">
        <f>SUMIF($A$7:$A$30,$D34,F$7:F$30)</f>
        <v>3047676.4409279972</v>
      </c>
      <c r="G31" s="64">
        <f>SUMIF($A$7:$A$30,$D34,G$7:G$30)</f>
        <v>-1357589.193805</v>
      </c>
      <c r="H31" s="64">
        <f>SUMIF($A$7:$A$30,$D34,H$7:H$30)</f>
        <v>3457.64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202211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3457.64</v>
      </c>
      <c r="G36" s="68" t="s">
        <v>62</v>
      </c>
      <c r="H36" s="55"/>
      <c r="I36" s="66"/>
      <c r="J36" s="66"/>
      <c r="K36" s="261"/>
      <c r="L36" s="261"/>
      <c r="M36" s="262"/>
      <c r="N36" s="263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1"/>
      <c r="L37" s="261"/>
      <c r="M37" s="262"/>
      <c r="N37" s="263"/>
    </row>
    <row r="38" spans="1:23">
      <c r="A38" s="55"/>
      <c r="B38" s="55"/>
      <c r="C38" s="66" t="s">
        <v>82</v>
      </c>
      <c r="D38" s="52" t="s">
        <v>56</v>
      </c>
      <c r="E38" s="54">
        <f>IF($F$31+$G$31+H31&gt;0,ABS($F$31+$G$31+H31),"")</f>
        <v>1693544.8871229971</v>
      </c>
      <c r="F38" s="54" t="str">
        <f>IF($F$31+$G$31+H31&lt;0,ABS($F$31+$G$31+H31),"")</f>
        <v/>
      </c>
      <c r="G38" s="68" t="s">
        <v>63</v>
      </c>
      <c r="H38" s="55"/>
      <c r="I38" s="66"/>
      <c r="J38" s="66"/>
      <c r="K38" s="261"/>
      <c r="L38" s="261"/>
      <c r="M38" s="262"/>
      <c r="N38" s="263"/>
    </row>
    <row r="39" spans="1:23">
      <c r="A39" s="55"/>
      <c r="B39" s="55"/>
      <c r="C39" s="66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1690087.2471229972</v>
      </c>
      <c r="G39" s="68" t="s">
        <v>64</v>
      </c>
      <c r="H39" s="55"/>
      <c r="I39" s="66"/>
      <c r="J39" s="66"/>
      <c r="K39" s="261"/>
      <c r="L39" s="261"/>
      <c r="M39" s="262"/>
      <c r="N39" s="263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75">
      <c r="D43" s="264" t="s">
        <v>66</v>
      </c>
      <c r="E43" s="265"/>
      <c r="F43" s="266"/>
      <c r="G43" s="114"/>
    </row>
    <row r="44" spans="1:23">
      <c r="D44" s="52" t="s">
        <v>56</v>
      </c>
      <c r="E44" s="54"/>
      <c r="F44" s="84">
        <f>-D29</f>
        <v>16619372.818111997</v>
      </c>
      <c r="G44" s="68" t="s">
        <v>67</v>
      </c>
    </row>
    <row r="45" spans="1:23">
      <c r="D45" s="83" t="s">
        <v>68</v>
      </c>
      <c r="E45" s="84">
        <f>F44</f>
        <v>16619372.818111997</v>
      </c>
      <c r="F45" s="54"/>
      <c r="G45" s="85"/>
    </row>
  </sheetData>
  <printOptions horizontalCentered="1"/>
  <pageMargins left="0.25" right="0.25" top="0.5" bottom="0.5" header="0.3" footer="0.3"/>
  <pageSetup scale="7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O30" sqref="K30:O30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76</v>
      </c>
      <c r="G6" s="93" t="s">
        <v>70</v>
      </c>
      <c r="H6" s="94" t="s">
        <v>48</v>
      </c>
      <c r="I6" s="92" t="s">
        <v>77</v>
      </c>
      <c r="J6" s="93" t="s">
        <v>70</v>
      </c>
      <c r="K6" s="94" t="s">
        <v>48</v>
      </c>
      <c r="L6" s="92" t="s">
        <v>78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85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5">
        <f>20652318+32556</f>
        <v>20684874</v>
      </c>
      <c r="G7" s="90">
        <v>6.9899999999999997E-3</v>
      </c>
      <c r="H7" s="101">
        <f>F7*G7</f>
        <v>144587.26926</v>
      </c>
      <c r="I7" s="255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86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5">
        <f>21465565+35195</f>
        <v>21500760</v>
      </c>
      <c r="G8" s="90">
        <v>6.9899999999999997E-3</v>
      </c>
      <c r="H8" s="101">
        <f t="shared" ref="H8:H16" si="4">F8*G8</f>
        <v>150290.3124</v>
      </c>
      <c r="I8" s="255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87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5">
        <f>14741098+24419</f>
        <v>14765517</v>
      </c>
      <c r="G9" s="90">
        <v>6.9899999999999997E-3</v>
      </c>
      <c r="H9" s="101">
        <f t="shared" si="4"/>
        <v>103210.96382999999</v>
      </c>
      <c r="I9" s="255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88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5">
        <f>8945038+17127</f>
        <v>8962165</v>
      </c>
      <c r="G10" s="90">
        <v>6.9899999999999997E-3</v>
      </c>
      <c r="H10" s="101">
        <f t="shared" si="4"/>
        <v>62645.533349999998</v>
      </c>
      <c r="I10" s="255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89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5">
        <f>4457469+8599</f>
        <v>4466068</v>
      </c>
      <c r="G11" s="90">
        <v>6.9899999999999997E-3</v>
      </c>
      <c r="H11" s="101">
        <f t="shared" si="4"/>
        <v>31217.815319999998</v>
      </c>
      <c r="I11" s="255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90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5">
        <f>2740706+4893</f>
        <v>2745599</v>
      </c>
      <c r="G12" s="90">
        <v>6.9899999999999997E-3</v>
      </c>
      <c r="H12" s="101">
        <f t="shared" si="4"/>
        <v>19191.737010000001</v>
      </c>
      <c r="I12" s="255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91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5">
        <f>2045371+3096</f>
        <v>2048467</v>
      </c>
      <c r="G13" s="90">
        <v>6.9899999999999997E-3</v>
      </c>
      <c r="H13" s="101">
        <f t="shared" si="4"/>
        <v>14318.784329999999</v>
      </c>
      <c r="I13" s="255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92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5">
        <f>2327290+3614</f>
        <v>2330904</v>
      </c>
      <c r="G14" s="90">
        <v>6.9899999999999997E-3</v>
      </c>
      <c r="H14" s="101">
        <f t="shared" si="4"/>
        <v>16293.018959999999</v>
      </c>
      <c r="I14" s="255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93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5">
        <f>3150157+5844</f>
        <v>3156001</v>
      </c>
      <c r="G15" s="90">
        <v>6.9899999999999997E-3</v>
      </c>
      <c r="H15" s="101">
        <f t="shared" si="4"/>
        <v>22060.44699</v>
      </c>
      <c r="I15" s="255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94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5">
        <f>8294470+22138</f>
        <v>8316608</v>
      </c>
      <c r="G16" s="90">
        <v>6.9899999999999997E-3</v>
      </c>
      <c r="H16" s="101">
        <f t="shared" si="4"/>
        <v>58133.089919999999</v>
      </c>
      <c r="I16" s="255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95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5">
        <f>14184948+34356</f>
        <v>14219304</v>
      </c>
      <c r="G17" s="78" t="s">
        <v>71</v>
      </c>
      <c r="H17" s="95">
        <f>-266279-654</f>
        <v>-266933</v>
      </c>
      <c r="I17" s="255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96</v>
      </c>
      <c r="B18" s="105">
        <v>3.2500000000000001E-2</v>
      </c>
      <c r="C18" s="62">
        <v>0</v>
      </c>
      <c r="D18" s="62">
        <v>0</v>
      </c>
      <c r="E18" s="254">
        <f t="shared" si="3"/>
        <v>9082567.0742069986</v>
      </c>
      <c r="F18" s="258">
        <f>23742763+54518</f>
        <v>23797281</v>
      </c>
      <c r="G18" s="82" t="s">
        <v>71</v>
      </c>
      <c r="H18" s="96">
        <f>-473797-1091</f>
        <v>-474888</v>
      </c>
      <c r="I18" s="257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128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6">
        <f>24086808+54910</f>
        <v>24141718</v>
      </c>
      <c r="G19" s="90">
        <v>-2.0060000000000001E-2</v>
      </c>
      <c r="H19" s="101">
        <f>F19*G19</f>
        <v>-484282.86308000004</v>
      </c>
      <c r="I19" s="256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 t="shared" ref="S19:S24" si="20">R19-P19</f>
        <v>-1.6786999069154263E-2</v>
      </c>
    </row>
    <row r="20" spans="1:23">
      <c r="A20" s="135" t="s">
        <v>129</v>
      </c>
      <c r="B20" s="89">
        <v>3.2500000000000001E-2</v>
      </c>
      <c r="C20" s="60">
        <v>0</v>
      </c>
      <c r="D20" s="60">
        <v>0</v>
      </c>
      <c r="E20" s="91">
        <f t="shared" ref="E20:E30" si="21">P19+C20+D20</f>
        <v>7650655.6067869989</v>
      </c>
      <c r="F20" s="255">
        <f>19884076+50305</f>
        <v>19934381</v>
      </c>
      <c r="G20" s="90">
        <v>-2.0060000000000001E-2</v>
      </c>
      <c r="H20" s="101">
        <f t="shared" ref="H20:H28" si="22">F20*G20</f>
        <v>-399883.68286</v>
      </c>
      <c r="I20" s="255">
        <v>7967454</v>
      </c>
      <c r="J20" s="90">
        <v>-2.9020000000000001E-2</v>
      </c>
      <c r="K20" s="101">
        <f t="shared" ref="K20:K28" si="23">I20*J20</f>
        <v>-231215.51508000001</v>
      </c>
      <c r="L20" s="99"/>
      <c r="M20" s="90"/>
      <c r="N20" s="101">
        <f t="shared" ref="N20:N28" si="24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 t="shared" si="20"/>
        <v>-1.8846998922526836E-2</v>
      </c>
    </row>
    <row r="21" spans="1:23">
      <c r="A21" s="135" t="s">
        <v>130</v>
      </c>
      <c r="B21" s="89">
        <v>3.2500000000000001E-2</v>
      </c>
      <c r="C21" s="60">
        <v>0</v>
      </c>
      <c r="D21" s="60">
        <v>0</v>
      </c>
      <c r="E21" s="91">
        <f t="shared" si="21"/>
        <v>7039422.3188469987</v>
      </c>
      <c r="F21" s="255">
        <f>14466885+38681</f>
        <v>14505566</v>
      </c>
      <c r="G21" s="90">
        <v>-2.0060000000000001E-2</v>
      </c>
      <c r="H21" s="101">
        <f t="shared" si="22"/>
        <v>-290981.65396000003</v>
      </c>
      <c r="I21" s="255">
        <v>6530840</v>
      </c>
      <c r="J21" s="90">
        <v>-2.9020000000000001E-2</v>
      </c>
      <c r="K21" s="101">
        <f t="shared" si="23"/>
        <v>-189524.9768</v>
      </c>
      <c r="L21" s="99"/>
      <c r="M21" s="90"/>
      <c r="N21" s="101">
        <f t="shared" si="24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 t="shared" si="20"/>
        <v>-1.8086998723447323E-2</v>
      </c>
    </row>
    <row r="22" spans="1:23">
      <c r="A22" s="135" t="s">
        <v>131</v>
      </c>
      <c r="B22" s="89">
        <v>3.2500000000000001E-2</v>
      </c>
      <c r="C22" s="60">
        <v>0</v>
      </c>
      <c r="D22" s="60">
        <v>0</v>
      </c>
      <c r="E22" s="91">
        <f t="shared" si="21"/>
        <v>6577330.1080869986</v>
      </c>
      <c r="F22" s="255">
        <f>12130478+33753</f>
        <v>12164231</v>
      </c>
      <c r="G22" s="90">
        <v>-2.0060000000000001E-2</v>
      </c>
      <c r="H22" s="101">
        <f t="shared" si="22"/>
        <v>-244014.47386000003</v>
      </c>
      <c r="I22" s="255">
        <v>5534897</v>
      </c>
      <c r="J22" s="90">
        <v>-2.9020000000000001E-2</v>
      </c>
      <c r="K22" s="101">
        <f t="shared" si="23"/>
        <v>-160622.71093999999</v>
      </c>
      <c r="L22" s="99"/>
      <c r="M22" s="90"/>
      <c r="N22" s="101">
        <f t="shared" si="24"/>
        <v>0</v>
      </c>
      <c r="O22" s="98">
        <f t="shared" si="12"/>
        <v>17265.66</v>
      </c>
      <c r="P22" s="58">
        <f t="shared" si="18"/>
        <v>6189958.5832869988</v>
      </c>
      <c r="Q22" s="46"/>
      <c r="R22" s="80">
        <v>6189958.5700000003</v>
      </c>
      <c r="S22" s="81">
        <f t="shared" si="20"/>
        <v>-1.3286998495459557E-2</v>
      </c>
    </row>
    <row r="23" spans="1:23">
      <c r="A23" s="135" t="s">
        <v>132</v>
      </c>
      <c r="B23" s="89">
        <v>3.2500000000000001E-2</v>
      </c>
      <c r="C23" s="60">
        <v>0</v>
      </c>
      <c r="D23" s="60">
        <v>0</v>
      </c>
      <c r="E23" s="91">
        <f t="shared" si="21"/>
        <v>6189958.5832869988</v>
      </c>
      <c r="F23" s="255">
        <f>7528936+22516</f>
        <v>7551452</v>
      </c>
      <c r="G23" s="90">
        <v>-2.0060000000000001E-2</v>
      </c>
      <c r="H23" s="101">
        <f t="shared" si="22"/>
        <v>-151482.12712000002</v>
      </c>
      <c r="I23" s="255">
        <v>3861543</v>
      </c>
      <c r="J23" s="90">
        <v>-2.9020000000000001E-2</v>
      </c>
      <c r="K23" s="101">
        <f t="shared" si="23"/>
        <v>-112061.97786</v>
      </c>
      <c r="L23" s="99"/>
      <c r="M23" s="90"/>
      <c r="N23" s="101">
        <f t="shared" si="24"/>
        <v>0</v>
      </c>
      <c r="O23" s="98">
        <f t="shared" si="12"/>
        <v>16407.59</v>
      </c>
      <c r="P23" s="58">
        <f t="shared" si="18"/>
        <v>5942822.0683069983</v>
      </c>
      <c r="Q23" s="46"/>
      <c r="R23" s="80">
        <v>5942822.0599999996</v>
      </c>
      <c r="S23" s="81">
        <f t="shared" si="20"/>
        <v>-8.3069987595081329E-3</v>
      </c>
    </row>
    <row r="24" spans="1:23">
      <c r="A24" s="135" t="s">
        <v>133</v>
      </c>
      <c r="B24" s="89">
        <v>3.2500000000000001E-2</v>
      </c>
      <c r="C24" s="60">
        <v>0</v>
      </c>
      <c r="D24" s="60">
        <v>0</v>
      </c>
      <c r="E24" s="91">
        <f t="shared" si="21"/>
        <v>5942822.0683069983</v>
      </c>
      <c r="F24" s="255">
        <f>3513630+10109</f>
        <v>3523739</v>
      </c>
      <c r="G24" s="90">
        <v>-2.0060000000000001E-2</v>
      </c>
      <c r="H24" s="101">
        <f t="shared" si="22"/>
        <v>-70686.204340000011</v>
      </c>
      <c r="I24" s="255">
        <v>2400538</v>
      </c>
      <c r="J24" s="90">
        <v>-2.9020000000000001E-2</v>
      </c>
      <c r="K24" s="101">
        <f t="shared" si="23"/>
        <v>-69663.612760000004</v>
      </c>
      <c r="L24" s="99"/>
      <c r="M24" s="90"/>
      <c r="N24" s="101">
        <f t="shared" si="24"/>
        <v>0</v>
      </c>
      <c r="O24" s="98">
        <f>ROUND(((E24*(B24/12))+(H24+K24+N24)/2*(B24/12)),2)</f>
        <v>15905.09</v>
      </c>
      <c r="P24" s="58">
        <f t="shared" si="18"/>
        <v>5818377.3412069986</v>
      </c>
      <c r="Q24" s="46"/>
      <c r="R24" s="80">
        <v>5818377.3300000001</v>
      </c>
      <c r="S24" s="81">
        <f t="shared" si="20"/>
        <v>-1.1206998489797115E-2</v>
      </c>
    </row>
    <row r="25" spans="1:23">
      <c r="A25" s="135" t="s">
        <v>134</v>
      </c>
      <c r="B25" s="89">
        <v>3.5999999999999997E-2</v>
      </c>
      <c r="C25" s="60">
        <v>0</v>
      </c>
      <c r="D25" s="60">
        <v>0</v>
      </c>
      <c r="E25" s="91">
        <f t="shared" si="21"/>
        <v>5818377.3412069986</v>
      </c>
      <c r="F25" s="255">
        <f>2224703+5190</f>
        <v>2229893</v>
      </c>
      <c r="G25" s="90">
        <v>-2.0060000000000001E-2</v>
      </c>
      <c r="H25" s="101">
        <f t="shared" si="22"/>
        <v>-44731.653580000006</v>
      </c>
      <c r="I25" s="255">
        <v>1968103</v>
      </c>
      <c r="J25" s="90">
        <v>-2.9020000000000001E-2</v>
      </c>
      <c r="K25" s="101">
        <f t="shared" si="23"/>
        <v>-57114.34906</v>
      </c>
      <c r="L25" s="99"/>
      <c r="M25" s="90"/>
      <c r="N25" s="101">
        <f t="shared" si="24"/>
        <v>0</v>
      </c>
      <c r="O25" s="98">
        <f t="shared" ref="O25:O30" si="25">ROUND(((E25*(B25/12))+(H25+K25+N25)/2*(B25/12)),2)</f>
        <v>17302.36</v>
      </c>
      <c r="P25" s="58">
        <f t="shared" si="18"/>
        <v>5733833.6985669993</v>
      </c>
      <c r="Q25" s="46"/>
      <c r="R25" s="80">
        <v>5733833.6900000004</v>
      </c>
      <c r="S25" s="81">
        <f t="shared" ref="S25" si="26">R25-P25</f>
        <v>-8.5669988766312599E-3</v>
      </c>
    </row>
    <row r="26" spans="1:23">
      <c r="A26" s="135" t="s">
        <v>135</v>
      </c>
      <c r="B26" s="89">
        <v>3.5999999999999997E-2</v>
      </c>
      <c r="C26" s="60">
        <v>0</v>
      </c>
      <c r="D26" s="60">
        <v>0</v>
      </c>
      <c r="E26" s="91">
        <f t="shared" si="21"/>
        <v>5733833.6985669993</v>
      </c>
      <c r="F26" s="255">
        <f>1985915+4782</f>
        <v>1990697</v>
      </c>
      <c r="G26" s="90">
        <v>-2.0060000000000001E-2</v>
      </c>
      <c r="H26" s="101">
        <f t="shared" si="22"/>
        <v>-39933.381820000002</v>
      </c>
      <c r="I26" s="255">
        <v>1803204</v>
      </c>
      <c r="J26" s="90">
        <v>-2.9020000000000001E-2</v>
      </c>
      <c r="K26" s="101">
        <f t="shared" si="23"/>
        <v>-52328.980080000001</v>
      </c>
      <c r="L26" s="99"/>
      <c r="M26" s="90"/>
      <c r="N26" s="101">
        <f t="shared" si="24"/>
        <v>0</v>
      </c>
      <c r="O26" s="98">
        <f t="shared" si="25"/>
        <v>17063.11</v>
      </c>
      <c r="P26" s="58">
        <f t="shared" si="18"/>
        <v>5658634.4466669997</v>
      </c>
      <c r="Q26" s="46"/>
      <c r="R26" s="80">
        <v>5658634.4400000004</v>
      </c>
      <c r="S26" s="81">
        <f t="shared" ref="S26" si="27">R26-P26</f>
        <v>-6.6669993102550507E-3</v>
      </c>
      <c r="U26" s="148"/>
    </row>
    <row r="27" spans="1:23">
      <c r="A27" s="135" t="s">
        <v>136</v>
      </c>
      <c r="B27" s="89">
        <v>3.5999999999999997E-2</v>
      </c>
      <c r="C27" s="60">
        <v>0</v>
      </c>
      <c r="D27" s="60">
        <v>0</v>
      </c>
      <c r="E27" s="91">
        <f t="shared" si="21"/>
        <v>5658634.4466669997</v>
      </c>
      <c r="F27" s="255">
        <f>2606125+6911</f>
        <v>2613036</v>
      </c>
      <c r="G27" s="90">
        <v>-2.0060000000000001E-2</v>
      </c>
      <c r="H27" s="101">
        <f t="shared" si="22"/>
        <v>-52417.502160000004</v>
      </c>
      <c r="I27" s="255">
        <v>2229934</v>
      </c>
      <c r="J27" s="90">
        <v>-2.9020000000000001E-2</v>
      </c>
      <c r="K27" s="101">
        <f t="shared" si="23"/>
        <v>-64712.684679999998</v>
      </c>
      <c r="L27" s="99"/>
      <c r="M27" s="90"/>
      <c r="N27" s="101">
        <f t="shared" si="24"/>
        <v>0</v>
      </c>
      <c r="O27" s="98">
        <f t="shared" si="25"/>
        <v>16800.21</v>
      </c>
      <c r="P27" s="58">
        <f t="shared" si="18"/>
        <v>5558304.4698270001</v>
      </c>
      <c r="Q27" s="46"/>
      <c r="R27" s="80">
        <v>5558304.46</v>
      </c>
      <c r="S27" s="81">
        <f t="shared" ref="S27" si="28">R27-P27</f>
        <v>-9.8270000889897346E-3</v>
      </c>
    </row>
    <row r="28" spans="1:23">
      <c r="A28" s="135" t="s">
        <v>137</v>
      </c>
      <c r="B28" s="89">
        <v>4.9099999999999998E-2</v>
      </c>
      <c r="C28" s="60">
        <v>0</v>
      </c>
      <c r="D28" s="60">
        <v>0</v>
      </c>
      <c r="E28" s="91">
        <f t="shared" si="21"/>
        <v>5558304.4698270001</v>
      </c>
      <c r="F28" s="255">
        <f>5688582+17723</f>
        <v>5706305</v>
      </c>
      <c r="G28" s="90">
        <v>-2.0060000000000001E-2</v>
      </c>
      <c r="H28" s="101">
        <f t="shared" si="22"/>
        <v>-114468.4783</v>
      </c>
      <c r="I28" s="255">
        <v>4185171</v>
      </c>
      <c r="J28" s="90">
        <v>-2.9020000000000001E-2</v>
      </c>
      <c r="K28" s="101">
        <f t="shared" si="23"/>
        <v>-121453.66242000001</v>
      </c>
      <c r="L28" s="99"/>
      <c r="M28" s="90"/>
      <c r="N28" s="101">
        <f t="shared" si="24"/>
        <v>0</v>
      </c>
      <c r="O28" s="98">
        <f t="shared" si="25"/>
        <v>22260.07</v>
      </c>
      <c r="P28" s="58">
        <f t="shared" si="18"/>
        <v>5344642.3991070008</v>
      </c>
      <c r="Q28" s="46"/>
      <c r="R28" s="80">
        <v>5344642.4000000004</v>
      </c>
      <c r="S28" s="81">
        <f t="shared" ref="S28" si="29">R28-P28</f>
        <v>8.9299958199262619E-4</v>
      </c>
    </row>
    <row r="29" spans="1:23">
      <c r="A29" s="135" t="s">
        <v>138</v>
      </c>
      <c r="B29" s="89">
        <v>4.9099999999999998E-2</v>
      </c>
      <c r="C29" s="60">
        <f>-'191010 WA DEF'!D29</f>
        <v>16619372.818111997</v>
      </c>
      <c r="D29" s="60">
        <v>-57695.35</v>
      </c>
      <c r="E29" s="91">
        <f t="shared" si="21"/>
        <v>21906319.867218997</v>
      </c>
      <c r="F29" s="255">
        <f>21123575+64852</f>
        <v>21188427</v>
      </c>
      <c r="G29" s="78" t="s">
        <v>71</v>
      </c>
      <c r="H29" s="95">
        <f>-1566507-4817</f>
        <v>-1571324</v>
      </c>
      <c r="I29" s="255">
        <v>8371710</v>
      </c>
      <c r="J29" s="78" t="s">
        <v>71</v>
      </c>
      <c r="K29" s="95">
        <v>-959889</v>
      </c>
      <c r="L29" s="99"/>
      <c r="M29" s="78" t="s">
        <v>71</v>
      </c>
      <c r="N29" s="95">
        <v>0</v>
      </c>
      <c r="O29" s="98">
        <f t="shared" si="25"/>
        <v>84454.92</v>
      </c>
      <c r="P29" s="58">
        <f>E29+H29+K29+N29+O29</f>
        <v>19459561.787218999</v>
      </c>
      <c r="Q29" s="46"/>
      <c r="R29" s="80">
        <v>19459561.789999999</v>
      </c>
      <c r="S29" s="81">
        <f t="shared" ref="S29" si="30">R29-P29</f>
        <v>2.7809999883174896E-3</v>
      </c>
    </row>
    <row r="30" spans="1:23" ht="13.5" thickBot="1">
      <c r="A30" s="156" t="s">
        <v>139</v>
      </c>
      <c r="B30" s="105"/>
      <c r="C30" s="62">
        <v>0</v>
      </c>
      <c r="D30" s="62">
        <v>0</v>
      </c>
      <c r="E30" s="254">
        <f t="shared" si="21"/>
        <v>19459561.787218999</v>
      </c>
      <c r="F30" s="258"/>
      <c r="G30" s="82" t="s">
        <v>71</v>
      </c>
      <c r="H30" s="96"/>
      <c r="I30" s="257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5"/>
        <v>0</v>
      </c>
      <c r="P30" s="63">
        <f t="shared" ref="P30" si="31">E30+H30+K30+N30+O30</f>
        <v>19459561.787218999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-57695.35</v>
      </c>
      <c r="E31" s="64"/>
      <c r="F31" s="64"/>
      <c r="G31" s="64"/>
      <c r="H31" s="64">
        <f>SUMIF($A$7:$A$30,$G34,H$7:H$30)</f>
        <v>-1571324</v>
      </c>
      <c r="I31" s="65"/>
      <c r="J31" s="109"/>
      <c r="K31" s="64">
        <f>SUMIF($A$7:$A$30,$G34,K$7:N$30)</f>
        <v>-959889</v>
      </c>
      <c r="L31" s="68"/>
      <c r="M31" s="111"/>
      <c r="N31" s="64">
        <f>SUMIF($A$7:$A$18,$G34,N$7:N$18)</f>
        <v>0</v>
      </c>
      <c r="O31" s="64">
        <f>SUMIF($A$7:$A$30,$G34,O$7:O$30)</f>
        <v>84454.92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202211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84454.92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83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2446758.08</v>
      </c>
      <c r="J38" s="68" t="s">
        <v>74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75</v>
      </c>
      <c r="G39" s="52" t="s">
        <v>73</v>
      </c>
      <c r="H39" s="54">
        <f>IF(H31+$K$31+$N$31&lt;0,ABS(H31+$K$31+$N$31),"")</f>
        <v>2531213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264" t="s">
        <v>142</v>
      </c>
      <c r="H43" s="265"/>
      <c r="I43" s="266"/>
      <c r="J43" s="114"/>
      <c r="M43" s="33"/>
      <c r="P43" s="71"/>
    </row>
    <row r="44" spans="4:26" s="32" customFormat="1" ht="15">
      <c r="F44" s="33"/>
      <c r="G44" s="83" t="s">
        <v>68</v>
      </c>
      <c r="H44" s="54"/>
      <c r="I44" s="84">
        <f>-D29</f>
        <v>57695.35</v>
      </c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>
        <f>+I44</f>
        <v>57695.35</v>
      </c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4AA462-55DC-4DCB-9736-D23E74694DFD}"/>
</file>

<file path=customXml/itemProps2.xml><?xml version="1.0" encoding="utf-8"?>
<ds:datastoreItem xmlns:ds="http://schemas.openxmlformats.org/officeDocument/2006/customXml" ds:itemID="{40B09772-7211-49F4-810F-20E1FDB0DB47}"/>
</file>

<file path=customXml/itemProps3.xml><?xml version="1.0" encoding="utf-8"?>
<ds:datastoreItem xmlns:ds="http://schemas.openxmlformats.org/officeDocument/2006/customXml" ds:itemID="{B88A32B6-DB79-4BDD-ACE4-8772765640A3}"/>
</file>

<file path=customXml/itemProps4.xml><?xml version="1.0" encoding="utf-8"?>
<ds:datastoreItem xmlns:ds="http://schemas.openxmlformats.org/officeDocument/2006/customXml" ds:itemID="{9A467657-2642-4B8B-A5A8-6AC787A2B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 22</vt:lpstr>
      <vt:lpstr>Feb 22</vt:lpstr>
      <vt:lpstr>Mar 22</vt:lpstr>
      <vt:lpstr>Apr 22</vt:lpstr>
      <vt:lpstr>May 22</vt:lpstr>
      <vt:lpstr>Jun 22</vt:lpstr>
      <vt:lpstr>Jul 22</vt:lpstr>
      <vt:lpstr>Aug 22</vt:lpstr>
      <vt:lpstr>Sep 22</vt:lpstr>
      <vt:lpstr>Oct 22</vt:lpstr>
      <vt:lpstr>Nov 22</vt:lpstr>
      <vt:lpstr>191010 WA DEF</vt:lpstr>
      <vt:lpstr>191000 WA Amort</vt:lpstr>
      <vt:lpstr>'191000 WA Amort'!Print_Area</vt:lpstr>
      <vt:lpstr>'191010 WA DEF'!Print_Area</vt:lpstr>
      <vt:lpstr>'Apr 22'!Print_Area</vt:lpstr>
      <vt:lpstr>'Aug 22'!Print_Area</vt:lpstr>
      <vt:lpstr>'Feb 22'!Print_Area</vt:lpstr>
      <vt:lpstr>'Jan 22'!Print_Area</vt:lpstr>
      <vt:lpstr>'Jul 22'!Print_Area</vt:lpstr>
      <vt:lpstr>'Jun 22'!Print_Area</vt:lpstr>
      <vt:lpstr>'Mar 22'!Print_Area</vt:lpstr>
      <vt:lpstr>'May 22'!Print_Area</vt:lpstr>
      <vt:lpstr>'Nov 22'!Print_Area</vt:lpstr>
      <vt:lpstr>'Oct 22'!Print_Area</vt:lpstr>
      <vt:lpstr>'Sep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2022-12-21T21:28:15Z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