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6.xml" ContentType="application/vnd.openxmlformats-officedocument.spreadsheetml.worksheet+xml"/>
  <Override PartName="/xl/drawings/drawing2.xml" ContentType="application/vnd.openxmlformats-officedocument.drawing+xml"/>
  <Override PartName="/xl/connections.xml" ContentType="application/vnd.openxmlformats-officedocument.spreadsheetml.connections+xml"/>
  <Override PartName="/xl/tables/table1.xml" ContentType="application/vnd.openxmlformats-officedocument.spreadsheetml.table+xml"/>
  <Override PartName="/xl/comments1.xml" ContentType="application/vnd.openxmlformats-officedocument.spreadsheetml.comment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queryTables/queryTable1.xml" ContentType="application/vnd.openxmlformats-officedocument.spreadsheetml.query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aoo7788\Downloads\"/>
    </mc:Choice>
  </mc:AlternateContent>
  <xr:revisionPtr revIDLastSave="0" documentId="13_ncr:1_{6044FBB3-2887-4413-AC6C-4F07314B585A}" xr6:coauthVersionLast="47" xr6:coauthVersionMax="47" xr10:uidLastSave="{00000000-0000-0000-0000-000000000000}"/>
  <bookViews>
    <workbookView xWindow="-120" yWindow="-120" windowWidth="29040" windowHeight="15990" tabRatio="719" activeTab="1" xr2:uid="{00000000-000D-0000-FFFF-FFFF00000000}"/>
  </bookViews>
  <sheets>
    <sheet name="Background" sheetId="21" r:id="rId1"/>
    <sheet name="Conservation Report" sheetId="18" r:id="rId2"/>
    <sheet name="Metadata" sheetId="22" state="hidden" r:id="rId3"/>
    <sheet name="CON_Contact Data" sheetId="24" state="hidden" r:id="rId4"/>
    <sheet name="CON_Compliance Data" sheetId="23" state="hidden" r:id="rId5"/>
    <sheet name="CON_Sector Data" sheetId="27" state="hidden" r:id="rId6"/>
  </sheets>
  <definedNames>
    <definedName name="Compliance_Yr">'Conservation Report'!$B$5</definedName>
    <definedName name="CON_10Yr_Potential_Current_Biennial_Period">'Conservation Report'!$G$7</definedName>
    <definedName name="CON_10Yr_Potential_Subsequent_Period">'Conservation Report'!$I$7</definedName>
    <definedName name="CON_Contact_Name">'Conservation Report'!$B$8</definedName>
    <definedName name="CON_Current_2Yr_Achievement">'Conservation Report'!$G$10</definedName>
    <definedName name="CON_Current_2Yr_ProRata_Target">'Conservation Report'!$G$8</definedName>
    <definedName name="CON_Current_2Yr_Target">'Conservation Report'!$G$9</definedName>
    <definedName name="CON_Email">'Conservation Report'!$B$10</definedName>
    <definedName name="CON_Phone">'Conservation Report'!$B$9</definedName>
    <definedName name="CON_Report_Date">'Conservation Report'!$B$7</definedName>
    <definedName name="CON_Subsequent_2Yr_ProRata_Target">'Conservation Report'!$I$8</definedName>
    <definedName name="CON_Subsequent_2Yr_Target">'Conservation Report'!$I$9</definedName>
    <definedName name="Current_Biennial_Period">'Conservation Report'!$G$5</definedName>
    <definedName name="Current_Biennial_Period_Yr1_Achievement">'Conservation Report'!$L$20</definedName>
    <definedName name="Current_Biennial_Period_Yr2_Achievement">'Conservation Report'!$L$22</definedName>
    <definedName name="Excess_Conservation">'Conservation Report'!$G$11</definedName>
    <definedName name="Excess_or_Deficit">'Conservation Report'!$G$13</definedName>
    <definedName name="ExternalData_1" localSheetId="5" hidden="1">'CON_Sector Data'!$E$1:$H$9</definedName>
    <definedName name="Notes">'Conservation Report'!$A$27</definedName>
    <definedName name="_xlnm.Print_Area" localSheetId="1">'Conservation Report'!$A$3:$I$27</definedName>
    <definedName name="Prior_Biennial_Conservation_Achievement">'Conservation Report'!$G$10</definedName>
    <definedName name="Subsequent_Biennial_Period">'Conservation Report'!$I$5</definedName>
    <definedName name="Total_Biennial_Conservation">'Conservation Report'!$G$12</definedName>
    <definedName name="Utility_List">Metadata!$A$2:$A$20</definedName>
    <definedName name="Utility_Name">'Conservation Report'!$B$6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8" l="1"/>
  <c r="I22" i="18"/>
  <c r="D22" i="18"/>
  <c r="C22" i="18"/>
  <c r="C21" i="18"/>
  <c r="D20" i="18"/>
  <c r="F2" i="24" l="1"/>
  <c r="D2" i="24"/>
  <c r="D3" i="23" l="1"/>
  <c r="D2" i="23"/>
  <c r="G8" i="18" l="1"/>
  <c r="B9" i="27"/>
  <c r="C9" i="27"/>
  <c r="D9" i="27"/>
  <c r="B10" i="27"/>
  <c r="C10" i="27"/>
  <c r="D10" i="27"/>
  <c r="B11" i="27"/>
  <c r="C11" i="27"/>
  <c r="D11" i="27"/>
  <c r="B12" i="27"/>
  <c r="C12" i="27"/>
  <c r="D12" i="27"/>
  <c r="B13" i="27"/>
  <c r="C13" i="27"/>
  <c r="D13" i="27"/>
  <c r="B14" i="27"/>
  <c r="C14" i="27"/>
  <c r="D14" i="27"/>
  <c r="B15" i="27"/>
  <c r="C15" i="27"/>
  <c r="D15" i="27"/>
  <c r="B16" i="27"/>
  <c r="C16" i="27"/>
  <c r="D16" i="27"/>
  <c r="B17" i="27"/>
  <c r="C17" i="27"/>
  <c r="D17" i="27"/>
  <c r="B5" i="27"/>
  <c r="C5" i="27"/>
  <c r="D5" i="27"/>
  <c r="B6" i="27"/>
  <c r="C6" i="27"/>
  <c r="D6" i="27"/>
  <c r="B7" i="27"/>
  <c r="C7" i="27"/>
  <c r="D7" i="27"/>
  <c r="B8" i="27"/>
  <c r="C8" i="27"/>
  <c r="D8" i="27"/>
  <c r="B3" i="27"/>
  <c r="C3" i="27"/>
  <c r="D3" i="27"/>
  <c r="B4" i="27"/>
  <c r="C4" i="27"/>
  <c r="D4" i="27"/>
  <c r="D2" i="27"/>
  <c r="C2" i="27"/>
  <c r="B2" i="27"/>
  <c r="L21" i="18"/>
  <c r="L22" i="18"/>
  <c r="L23" i="18"/>
  <c r="L20" i="18"/>
  <c r="A12" i="27" l="1"/>
  <c r="A16" i="27"/>
  <c r="A6" i="27"/>
  <c r="A15" i="27"/>
  <c r="A11" i="27"/>
  <c r="A5" i="27"/>
  <c r="A14" i="27"/>
  <c r="A10" i="27"/>
  <c r="A8" i="27"/>
  <c r="A17" i="27"/>
  <c r="A13" i="27"/>
  <c r="A9" i="27"/>
  <c r="A7" i="27"/>
  <c r="A2" i="27"/>
  <c r="A4" i="27"/>
  <c r="A3" i="27"/>
  <c r="A22" i="18"/>
  <c r="A20" i="18"/>
  <c r="M2" i="23" l="1"/>
  <c r="J2" i="23"/>
  <c r="H3" i="23"/>
  <c r="F3" i="23"/>
  <c r="F2" i="23"/>
  <c r="C3" i="23"/>
  <c r="C2" i="23"/>
  <c r="B3" i="23"/>
  <c r="B2" i="23"/>
  <c r="H2" i="24"/>
  <c r="G2" i="24"/>
  <c r="C2" i="24"/>
  <c r="A2" i="24" s="1"/>
  <c r="E2" i="24"/>
  <c r="B2" i="24"/>
  <c r="A3" i="23" l="1"/>
  <c r="H7" i="18" l="1"/>
  <c r="F7" i="18"/>
  <c r="A2" i="23"/>
  <c r="G5" i="18"/>
  <c r="I5" i="18"/>
  <c r="I8" i="18"/>
  <c r="G3" i="23" s="1"/>
  <c r="E3" i="23" l="1"/>
  <c r="H9" i="18"/>
  <c r="F10" i="18"/>
  <c r="E2" i="23"/>
  <c r="A3" i="18"/>
  <c r="B16" i="18"/>
  <c r="F9" i="18"/>
  <c r="H2" i="23" l="1"/>
  <c r="G2" i="23"/>
  <c r="G10" i="18" l="1"/>
  <c r="G12" i="18" s="1"/>
  <c r="G13" i="18" s="1"/>
  <c r="I2" i="23" l="1"/>
  <c r="L2" i="23" l="1"/>
  <c r="K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Tam, Aaron (COM)</author>
    <author>Blackmon, Glenn (COM)</author>
  </authors>
  <commentList>
    <comment ref="F9" authorId="0" shapeId="0" xr:uid="{00000000-0006-0000-0100-000001000000}">
      <text>
        <r>
          <rPr>
            <b/>
            <sz val="9"/>
            <color indexed="81"/>
            <rFont val="Tahoma"/>
            <family val="2"/>
          </rPr>
          <t>Tam, Aaron (COM):</t>
        </r>
        <r>
          <rPr>
            <sz val="9"/>
            <color indexed="81"/>
            <rFont val="Tahoma"/>
            <family val="2"/>
          </rPr>
          <t xml:space="preserve">
If the established biennial target is not the same as the equal pro rata share of the 10 year conservation potential (20%), please explain why in the notes.</t>
        </r>
      </text>
    </comment>
    <comment ref="A10" authorId="1" shapeId="0" xr:uid="{00000000-0006-0000-0100-000002000000}">
      <text>
        <r>
          <rPr>
            <b/>
            <sz val="9"/>
            <color indexed="81"/>
            <rFont val="Tahoma"/>
            <family val="2"/>
          </rPr>
          <t xml:space="preserve">Note:
</t>
        </r>
        <r>
          <rPr>
            <sz val="9"/>
            <color indexed="81"/>
            <rFont val="Tahoma"/>
            <family val="2"/>
          </rPr>
          <t xml:space="preserve">Separate multiple email addresses with a semicolon
</t>
        </r>
      </text>
    </comment>
    <comment ref="F11" authorId="0" shapeId="0" xr:uid="{00000000-0006-0000-0100-000003000000}">
      <text>
        <r>
          <rPr>
            <b/>
            <sz val="9"/>
            <color indexed="81"/>
            <rFont val="Tahoma"/>
            <family val="2"/>
          </rPr>
          <t>Tam, Aaron (COM):</t>
        </r>
        <r>
          <rPr>
            <sz val="9"/>
            <color indexed="81"/>
            <rFont val="Tahoma"/>
            <family val="2"/>
          </rPr>
          <t xml:space="preserve">
No more than 20% of any biennial target may be met with excess conservation savings from prior two biennial acquisition targets. An additional 5% may come from single large facility/industrial facility conservation savings in excess of its biennial target. See RCW 19.285.040(1)(c) for more details.</t>
        </r>
      </text>
    </comment>
    <comment ref="F13" authorId="1" shapeId="0" xr:uid="{00000000-0006-0000-0100-000004000000}">
      <text>
        <r>
          <rPr>
            <b/>
            <sz val="9"/>
            <color indexed="81"/>
            <rFont val="Tahoma"/>
            <family val="2"/>
          </rPr>
          <t>Note:</t>
        </r>
        <r>
          <rPr>
            <sz val="9"/>
            <color indexed="81"/>
            <rFont val="Tahoma"/>
            <family val="2"/>
          </rPr>
          <t xml:space="preserve">
If the utility relies on excess conservation from 2016-17 or 2018-19 to meet the 2020-21 target, report that information in the Notes section below.</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<sst xmlns="http://schemas.openxmlformats.org/spreadsheetml/2006/main" count="105" uniqueCount="72">
  <si>
    <t>Phone</t>
  </si>
  <si>
    <t>Email</t>
  </si>
  <si>
    <t>Utility</t>
  </si>
  <si>
    <t xml:space="preserve"> NEEA</t>
  </si>
  <si>
    <t>Total</t>
  </si>
  <si>
    <t>MWh</t>
  </si>
  <si>
    <t xml:space="preserve"> Residential </t>
  </si>
  <si>
    <t xml:space="preserve"> Commercial</t>
  </si>
  <si>
    <t xml:space="preserve"> Industrial</t>
  </si>
  <si>
    <t xml:space="preserve"> Agriculture</t>
  </si>
  <si>
    <t xml:space="preserve"> Distribution Efficiency</t>
  </si>
  <si>
    <t xml:space="preserve"> Production Efficiency</t>
  </si>
  <si>
    <t>Contact Name/Dept</t>
  </si>
  <si>
    <t>Report Date</t>
  </si>
  <si>
    <t>Notes, including a brief description of the methodology used to establish the utility's ten-year potential and biennial target to capture cost-effective conservation:</t>
  </si>
  <si>
    <t>Summary of Achievement and Targets (MWh)</t>
  </si>
  <si>
    <t>Biennial</t>
  </si>
  <si>
    <t>Biennial Period</t>
  </si>
  <si>
    <t>Deadline: June 1, 2024</t>
  </si>
  <si>
    <t>Utility List</t>
  </si>
  <si>
    <t>Claimant ID</t>
  </si>
  <si>
    <t>Avista Corp.</t>
  </si>
  <si>
    <t>Benton County PUD No. 1</t>
  </si>
  <si>
    <t>Chelan County PUD No. 1</t>
  </si>
  <si>
    <t>Clallam County PUD No. 1</t>
  </si>
  <si>
    <t>Clark County PUD No. 1</t>
  </si>
  <si>
    <t>Cowlitz County PUD No. 1</t>
  </si>
  <si>
    <t>Franklin County PUD No. 1</t>
  </si>
  <si>
    <t>Grant County PUD No. 2</t>
  </si>
  <si>
    <t>Grays Harbor County PUD No. 1</t>
  </si>
  <si>
    <t>Inland Power and Light Co.</t>
  </si>
  <si>
    <t>Lewis County PUD No. 1</t>
  </si>
  <si>
    <t>Mason County PUD No. 3</t>
  </si>
  <si>
    <t>PacifiCorp</t>
  </si>
  <si>
    <t>Peninsula Light Company</t>
  </si>
  <si>
    <t>Puget Sound Energy, Inc.</t>
  </si>
  <si>
    <t>Richland Energy Services</t>
  </si>
  <si>
    <t>Seattle City Light</t>
  </si>
  <si>
    <t>Snohomish County PUD No. 1</t>
  </si>
  <si>
    <t>Tacoma Power</t>
  </si>
  <si>
    <t>Compliance Year</t>
  </si>
  <si>
    <t>Proportionate Biennial Target</t>
  </si>
  <si>
    <r>
      <t xml:space="preserve">Conservation expenditures </t>
    </r>
    <r>
      <rPr>
        <i/>
        <sz val="10"/>
        <color theme="1"/>
        <rFont val="Arial"/>
        <family val="2"/>
      </rPr>
      <t xml:space="preserve">NOT </t>
    </r>
    <r>
      <rPr>
        <sz val="10"/>
        <color theme="1"/>
        <rFont val="Arial"/>
        <family val="2"/>
      </rPr>
      <t>included in sector expenditures</t>
    </r>
  </si>
  <si>
    <t>Enter information in yellow-shaded fields.</t>
  </si>
  <si>
    <t>Do not modify grey-shaded fields.</t>
  </si>
  <si>
    <t xml:space="preserve"> </t>
  </si>
  <si>
    <t>Excess Conservation from Prior Periods</t>
  </si>
  <si>
    <t>Biennial Achievement</t>
  </si>
  <si>
    <t>Excess/Deficit</t>
  </si>
  <si>
    <t>EIA_ID</t>
  </si>
  <si>
    <t>10 Year Conservation Target</t>
  </si>
  <si>
    <t>Biennial Target</t>
  </si>
  <si>
    <t>Notes</t>
  </si>
  <si>
    <t>Total Biennial Conservation Savings</t>
  </si>
  <si>
    <t>Excess Conservation</t>
  </si>
  <si>
    <t>Utility Contact Name/Dept</t>
  </si>
  <si>
    <t>Utility Name</t>
  </si>
  <si>
    <t>Achievement Year</t>
  </si>
  <si>
    <t>Utility Expenditures</t>
  </si>
  <si>
    <t>Value</t>
  </si>
  <si>
    <t>Misc Category 1</t>
  </si>
  <si>
    <t>Misc Category 2</t>
  </si>
  <si>
    <t>Equal Pro Rata Biennial Target</t>
  </si>
  <si>
    <t>Sector</t>
  </si>
  <si>
    <t>Energy Independence Act (I-937) Conservation Report Workbook</t>
  </si>
  <si>
    <r>
      <rPr>
        <b/>
        <sz val="11"/>
        <rFont val="Arial"/>
        <family val="2"/>
      </rPr>
      <t xml:space="preserve">Submission: </t>
    </r>
    <r>
      <rPr>
        <sz val="11"/>
        <rFont val="Arial"/>
        <family val="2"/>
      </rPr>
      <t xml:space="preserve">Upload this workbook and all supporting documentation to Smartsheet. </t>
    </r>
    <r>
      <rPr>
        <u/>
        <sz val="11"/>
        <color theme="10"/>
        <rFont val="Arial"/>
        <family val="2"/>
      </rPr>
      <t>https://app.smartsheet.com/b/form/4116d4a978534183bb866d774dbc7b5d</t>
    </r>
  </si>
  <si>
    <r>
      <rPr>
        <b/>
        <sz val="11"/>
        <rFont val="Arial"/>
        <family val="2"/>
      </rPr>
      <t>Questions:</t>
    </r>
    <r>
      <rPr>
        <sz val="11"/>
        <rFont val="Arial"/>
        <family val="2"/>
      </rPr>
      <t xml:space="preserve"> Aaron Tam, State Energy Office, 206-454-2251, aaron.tam@commerce.wa.gov</t>
    </r>
  </si>
  <si>
    <t>Published April 15, 2024</t>
  </si>
  <si>
    <t>Avista engages with an independent third party to provide a Conservation Potential Assessment (CPA) study to identify the level of technical, achievable technical, and economic potential that is estimated to occur over the next 25 years. The first ten years of that study are used as the utility's ten-year potential.  To set the utility's biennial target, Avista uses a pro-rata 10-year approach to setting its CPA value which is consistent with WAC 480-109-100(3)(b) requirements.</t>
  </si>
  <si>
    <t>Kim Boynton / Energy Efficiency</t>
  </si>
  <si>
    <t>509-495-4744</t>
  </si>
  <si>
    <t>kim.boynton@avistacorp.com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</si>
</sst>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409]mmmm\ d\,\ yyyy;@"/>
    <numFmt numFmtId="166" formatCode="_(&quot;$&quot;* #,##0_);_(&quot;$&quot;* \(#,##0\);_(&quot;$&quot;* &quot;-&quot;??_);_(@_)"/>
    <numFmt numFmtId="167" formatCode="_(* #,##0.0_);_(* \(#,##0.0\);_(* &quot;-&quot;??_);_(@_)"/>
  </numFmts>
  <fonts count="22" x14ac:knownFonts="1">
    <font>
      <sz val="1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b/>
      <sz val="11"/>
      <color rgb="FF000000"/>
      <name val="Arial"/>
      <family val="2"/>
    </font>
    <font>
      <sz val="11"/>
      <name val="Arial"/>
      <family val="2"/>
    </font>
    <font>
      <sz val="9"/>
      <color indexed="81"/>
      <name val="Tahoma"/>
      <family val="2"/>
    </font>
    <font>
      <b/>
      <sz val="9"/>
      <color indexed="81"/>
      <name val="Tahoma"/>
      <family val="2"/>
    </font>
    <font>
      <sz val="11"/>
      <name val="Calibri"/>
      <family val="2"/>
      <scheme val="minor"/>
    </font>
    <font>
      <sz val="12"/>
      <name val="Arial Black"/>
      <family val="2"/>
    </font>
    <font>
      <b/>
      <sz val="11"/>
      <name val="Arial"/>
      <family val="2"/>
    </font>
    <font>
      <sz val="11"/>
      <color theme="0"/>
      <name val="Calibri"/>
      <family val="2"/>
      <scheme val="minor"/>
    </font>
    <font>
      <b/>
      <sz val="11"/>
      <name val="Calibri"/>
      <family val="2"/>
      <scheme val="minor"/>
    </font>
    <font>
      <b/>
      <sz val="10"/>
      <color theme="2" tint="-0.89999084444715716"/>
      <name val="Arial"/>
      <family val="2"/>
    </font>
    <font>
      <u/>
      <sz val="11"/>
      <color theme="10"/>
      <name val="Arial"/>
      <family val="2"/>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8"/>
      </patternFill>
    </fill>
    <fill>
      <patternFill patternType="solid">
        <fgColor theme="8" tint="0.79998168889431442"/>
        <bgColor indexed="65"/>
      </patternFill>
    </fill>
    <fill>
      <patternFill patternType="darkTrellis">
        <bgColor theme="6" tint="0.79995117038483843"/>
      </patternFill>
    </fill>
  </fills>
  <borders count="15">
    <border>
      <left/>
      <right/>
      <top/>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s>
  <cellStyleXfs count="12">
    <xf numFmtId="2" fontId="0" fillId="0" borderId="0"/>
    <xf numFmtId="43" fontId="6" fillId="0" borderId="0" applyFont="0" applyFill="0" applyBorder="0" applyAlignment="0" applyProtection="0"/>
    <xf numFmtId="0"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3" fillId="0" borderId="0"/>
    <xf numFmtId="164" fontId="4" fillId="4" borderId="6">
      <protection locked="0"/>
    </xf>
    <xf numFmtId="164" fontId="4" fillId="6" borderId="10">
      <alignment horizontal="center"/>
    </xf>
    <xf numFmtId="0" fontId="2" fillId="0" borderId="0"/>
    <xf numFmtId="44" fontId="15" fillId="0" borderId="0" applyFont="0" applyFill="0" applyBorder="0" applyAlignment="0" applyProtection="0"/>
    <xf numFmtId="0" fontId="18" fillId="7" borderId="0" applyNumberFormat="0" applyBorder="0" applyAlignment="0" applyProtection="0"/>
    <xf numFmtId="0" fontId="1" fillId="8" borderId="0" applyNumberFormat="0" applyBorder="0" applyAlignment="0" applyProtection="0"/>
    <xf numFmtId="164" fontId="4" fillId="9" borderId="6">
      <protection locked="0"/>
    </xf>
  </cellStyleXfs>
  <cellXfs count="92">
    <xf numFmtId="2" fontId="0" fillId="0" borderId="0" xfId="0"/>
    <xf numFmtId="2" fontId="8" fillId="2" borderId="0" xfId="0" applyFont="1" applyFill="1"/>
    <xf numFmtId="2" fontId="11" fillId="3" borderId="0" xfId="0" applyFont="1" applyFill="1" applyBorder="1" applyAlignment="1">
      <alignment vertical="center" wrapText="1"/>
    </xf>
    <xf numFmtId="2" fontId="8" fillId="2" borderId="0" xfId="0" applyFont="1" applyFill="1" applyProtection="1">
      <protection locked="0"/>
    </xf>
    <xf numFmtId="2" fontId="8" fillId="2" borderId="0" xfId="0" applyFont="1" applyFill="1" applyProtection="1"/>
    <xf numFmtId="2" fontId="8" fillId="2" borderId="0" xfId="0" applyFont="1" applyFill="1" applyBorder="1" applyProtection="1"/>
    <xf numFmtId="0" fontId="8" fillId="2" borderId="0" xfId="0" applyNumberFormat="1" applyFont="1" applyFill="1" applyProtection="1"/>
    <xf numFmtId="2" fontId="10" fillId="2" borderId="0" xfId="0" applyFont="1" applyFill="1" applyBorder="1" applyProtection="1"/>
    <xf numFmtId="2" fontId="8" fillId="2" borderId="0" xfId="0" applyFont="1" applyFill="1" applyAlignment="1" applyProtection="1">
      <alignment horizontal="right"/>
    </xf>
    <xf numFmtId="2" fontId="9" fillId="2" borderId="0" xfId="0" applyFont="1" applyFill="1" applyAlignment="1" applyProtection="1">
      <alignment horizontal="right"/>
    </xf>
    <xf numFmtId="2" fontId="9" fillId="2" borderId="0" xfId="0" applyFont="1" applyFill="1" applyBorder="1" applyAlignment="1" applyProtection="1">
      <alignment horizontal="center"/>
    </xf>
    <xf numFmtId="2" fontId="4" fillId="2" borderId="0" xfId="0" applyFont="1" applyFill="1" applyAlignment="1">
      <alignment horizontal="right"/>
    </xf>
    <xf numFmtId="165" fontId="12" fillId="0" borderId="0" xfId="0" applyNumberFormat="1" applyFont="1" applyFill="1" applyBorder="1" applyAlignment="1">
      <alignment horizontal="left" vertical="center"/>
    </xf>
    <xf numFmtId="2" fontId="16" fillId="2" borderId="0" xfId="0" applyFont="1" applyFill="1" applyBorder="1" applyAlignment="1" applyProtection="1"/>
    <xf numFmtId="2" fontId="4" fillId="2" borderId="0" xfId="0" applyFont="1" applyFill="1" applyBorder="1" applyAlignment="1" applyProtection="1">
      <alignment horizontal="right"/>
    </xf>
    <xf numFmtId="2" fontId="4" fillId="2" borderId="0" xfId="0" applyFont="1" applyFill="1" applyAlignment="1" applyProtection="1">
      <alignment horizontal="right"/>
    </xf>
    <xf numFmtId="2" fontId="5" fillId="2" borderId="0" xfId="0" applyFont="1" applyFill="1" applyAlignment="1">
      <alignment horizontal="center"/>
    </xf>
    <xf numFmtId="2" fontId="4" fillId="2" borderId="0" xfId="0" applyFont="1" applyFill="1" applyProtection="1"/>
    <xf numFmtId="2" fontId="5" fillId="2" borderId="0" xfId="0" applyFont="1" applyFill="1" applyBorder="1" applyProtection="1"/>
    <xf numFmtId="164" fontId="5" fillId="2" borderId="0" xfId="0" applyNumberFormat="1" applyFont="1" applyFill="1" applyBorder="1" applyAlignment="1" applyProtection="1">
      <alignment horizontal="center"/>
    </xf>
    <xf numFmtId="164" fontId="5" fillId="2" borderId="0" xfId="1" applyNumberFormat="1" applyFont="1" applyFill="1" applyBorder="1" applyAlignment="1" applyProtection="1">
      <alignment horizontal="center"/>
    </xf>
    <xf numFmtId="2" fontId="4" fillId="2" borderId="0" xfId="0" applyFont="1" applyFill="1" applyBorder="1" applyProtection="1"/>
    <xf numFmtId="0" fontId="17" fillId="0" borderId="0" xfId="4" applyFont="1"/>
    <xf numFmtId="0" fontId="17" fillId="0" borderId="0" xfId="4" applyFont="1" applyAlignment="1">
      <alignment horizontal="left"/>
    </xf>
    <xf numFmtId="0" fontId="3" fillId="0" borderId="0" xfId="4"/>
    <xf numFmtId="0" fontId="12" fillId="0" borderId="0" xfId="4" applyFont="1" applyAlignment="1">
      <alignment vertical="center"/>
    </xf>
    <xf numFmtId="0" fontId="12" fillId="0" borderId="0" xfId="4" applyNumberFormat="1" applyFont="1" applyFill="1" applyBorder="1" applyAlignment="1" applyProtection="1">
      <alignment vertical="center" wrapText="1"/>
    </xf>
    <xf numFmtId="164" fontId="4" fillId="4" borderId="6" xfId="5">
      <protection locked="0"/>
    </xf>
    <xf numFmtId="164" fontId="4" fillId="6" borderId="10" xfId="6">
      <alignment horizontal="center"/>
    </xf>
    <xf numFmtId="164" fontId="4" fillId="6" borderId="10" xfId="6">
      <alignment horizontal="center"/>
    </xf>
    <xf numFmtId="164" fontId="4" fillId="4" borderId="6" xfId="5">
      <protection locked="0"/>
    </xf>
    <xf numFmtId="0" fontId="12" fillId="0" borderId="0" xfId="4" applyFont="1" applyFill="1" applyAlignment="1">
      <alignment vertical="center"/>
    </xf>
    <xf numFmtId="0" fontId="12" fillId="0" borderId="0" xfId="4" applyFont="1" applyFill="1" applyBorder="1" applyAlignment="1">
      <alignment vertical="center"/>
    </xf>
    <xf numFmtId="0" fontId="3" fillId="0" borderId="0" xfId="4" applyFill="1"/>
    <xf numFmtId="2" fontId="5" fillId="2" borderId="0" xfId="0" applyFont="1" applyFill="1" applyBorder="1" applyAlignment="1" applyProtection="1"/>
    <xf numFmtId="2" fontId="8" fillId="2" borderId="0" xfId="0" applyFont="1" applyFill="1" applyBorder="1" applyAlignment="1" applyProtection="1">
      <alignment wrapText="1"/>
    </xf>
    <xf numFmtId="2" fontId="5" fillId="2" borderId="0" xfId="0" applyFont="1" applyFill="1" applyBorder="1" applyAlignment="1">
      <alignment horizontal="center"/>
    </xf>
    <xf numFmtId="0" fontId="2" fillId="0" borderId="0" xfId="7"/>
    <xf numFmtId="166" fontId="4" fillId="4" borderId="6" xfId="8" applyNumberFormat="1" applyFont="1" applyFill="1" applyBorder="1" applyProtection="1">
      <protection locked="0"/>
    </xf>
    <xf numFmtId="2" fontId="8" fillId="2" borderId="8" xfId="0" applyFont="1" applyFill="1" applyBorder="1" applyProtection="1"/>
    <xf numFmtId="2" fontId="8" fillId="2" borderId="8" xfId="0" applyFont="1" applyFill="1" applyBorder="1" applyAlignment="1" applyProtection="1"/>
    <xf numFmtId="2" fontId="15" fillId="0" borderId="0" xfId="0" applyFont="1"/>
    <xf numFmtId="0" fontId="0" fillId="0" borderId="0" xfId="0" applyNumberFormat="1"/>
    <xf numFmtId="1" fontId="0" fillId="0" borderId="0" xfId="0" applyNumberFormat="1"/>
    <xf numFmtId="0" fontId="15" fillId="0" borderId="0" xfId="7" applyFont="1"/>
    <xf numFmtId="167" fontId="15" fillId="0" borderId="0" xfId="1" applyNumberFormat="1" applyFont="1"/>
    <xf numFmtId="164" fontId="15" fillId="0" borderId="0" xfId="1" applyNumberFormat="1" applyFont="1"/>
    <xf numFmtId="164" fontId="4" fillId="4" borderId="3" xfId="5" applyBorder="1">
      <protection locked="0"/>
    </xf>
    <xf numFmtId="164" fontId="4" fillId="4" borderId="7" xfId="5" applyBorder="1">
      <protection locked="0"/>
    </xf>
    <xf numFmtId="164" fontId="4" fillId="4" borderId="1" xfId="5" applyBorder="1">
      <protection locked="0"/>
    </xf>
    <xf numFmtId="2" fontId="18" fillId="7" borderId="10" xfId="9" applyNumberFormat="1" applyBorder="1" applyAlignment="1" applyProtection="1">
      <alignment horizontal="left"/>
    </xf>
    <xf numFmtId="2" fontId="18" fillId="7" borderId="10" xfId="9" applyNumberFormat="1" applyBorder="1" applyAlignment="1" applyProtection="1">
      <alignment horizontal="center" vertical="center"/>
    </xf>
    <xf numFmtId="2" fontId="15" fillId="8" borderId="13" xfId="10" applyNumberFormat="1" applyFont="1" applyBorder="1" applyAlignment="1" applyProtection="1">
      <alignment horizontal="left"/>
    </xf>
    <xf numFmtId="2" fontId="15" fillId="8" borderId="10" xfId="10" applyNumberFormat="1" applyFont="1" applyBorder="1" applyAlignment="1" applyProtection="1">
      <alignment horizontal="left"/>
    </xf>
    <xf numFmtId="164" fontId="4" fillId="9" borderId="6" xfId="11">
      <protection locked="0"/>
    </xf>
    <xf numFmtId="166" fontId="4" fillId="4" borderId="3" xfId="8" applyNumberFormat="1" applyFont="1" applyFill="1" applyBorder="1" applyProtection="1">
      <protection locked="0"/>
    </xf>
    <xf numFmtId="2" fontId="18" fillId="7" borderId="14" xfId="9" applyNumberFormat="1" applyBorder="1" applyAlignment="1" applyProtection="1">
      <alignment horizontal="center"/>
    </xf>
    <xf numFmtId="1" fontId="15" fillId="8" borderId="13" xfId="10" applyNumberFormat="1" applyFont="1" applyBorder="1" applyAlignment="1" applyProtection="1">
      <alignment horizontal="center" vertical="center"/>
    </xf>
    <xf numFmtId="1" fontId="15" fillId="8" borderId="4" xfId="10" applyNumberFormat="1" applyFont="1" applyBorder="1" applyAlignment="1" applyProtection="1">
      <alignment horizontal="center" vertical="center"/>
    </xf>
    <xf numFmtId="1" fontId="15" fillId="8" borderId="12" xfId="10" applyNumberFormat="1" applyFont="1" applyBorder="1" applyAlignment="1" applyProtection="1">
      <alignment horizontal="center" vertical="center"/>
    </xf>
    <xf numFmtId="164" fontId="4" fillId="6" borderId="14" xfId="6" applyBorder="1">
      <alignment horizontal="center"/>
    </xf>
    <xf numFmtId="166" fontId="4" fillId="6" borderId="14" xfId="8" applyNumberFormat="1" applyFont="1" applyFill="1" applyBorder="1" applyAlignment="1">
      <alignment horizontal="center"/>
    </xf>
    <xf numFmtId="2" fontId="19" fillId="0" borderId="0" xfId="0" applyFont="1"/>
    <xf numFmtId="164" fontId="20" fillId="4" borderId="3" xfId="5" applyFont="1" applyBorder="1">
      <protection locked="0"/>
    </xf>
    <xf numFmtId="164" fontId="20" fillId="4" borderId="9" xfId="5" applyFont="1" applyBorder="1">
      <protection locked="0"/>
    </xf>
    <xf numFmtId="0" fontId="0" fillId="0" borderId="0" xfId="7" applyFont="1"/>
    <xf numFmtId="2" fontId="11" fillId="3" borderId="0" xfId="0" applyFont="1" applyFill="1" applyBorder="1" applyAlignment="1">
      <alignment vertical="center"/>
    </xf>
    <xf numFmtId="2" fontId="4" fillId="0" borderId="0" xfId="0" applyFont="1" applyFill="1" applyAlignment="1" applyProtection="1">
      <alignment horizontal="right"/>
    </xf>
    <xf numFmtId="2" fontId="4" fillId="0" borderId="0" xfId="0" applyFont="1" applyFill="1" applyAlignment="1">
      <alignment horizontal="right"/>
    </xf>
    <xf numFmtId="2" fontId="4" fillId="0" borderId="0" xfId="0" applyFont="1" applyFill="1" applyBorder="1" applyAlignment="1" applyProtection="1">
      <alignment horizontal="right"/>
    </xf>
    <xf numFmtId="2" fontId="4" fillId="0" borderId="0" xfId="0" applyFont="1" applyFill="1" applyProtection="1"/>
    <xf numFmtId="2" fontId="12" fillId="3" borderId="0" xfId="0" applyFont="1" applyFill="1" applyBorder="1" applyAlignment="1">
      <alignment vertical="center" wrapText="1"/>
    </xf>
    <xf numFmtId="0" fontId="21" fillId="0" borderId="0" xfId="2" applyFont="1" applyFill="1" applyBorder="1" applyAlignment="1" applyProtection="1">
      <alignment vertical="center" wrapText="1"/>
    </xf>
    <xf numFmtId="2" fontId="0" fillId="0" borderId="0" xfId="0" applyFill="1"/>
    <xf numFmtId="2" fontId="8" fillId="0" borderId="2" xfId="0" applyFont="1" applyFill="1" applyBorder="1" applyAlignment="1" applyProtection="1">
      <alignment horizontal="center" wrapText="1"/>
    </xf>
    <xf numFmtId="0" fontId="4" fillId="4" borderId="9" xfId="5" applyNumberFormat="1" applyBorder="1" applyAlignment="1">
      <alignment horizontal="left" vertical="top" wrapText="1"/>
      <protection locked="0"/>
    </xf>
    <xf numFmtId="0" fontId="4" fillId="4" borderId="5" xfId="5" applyNumberFormat="1" applyBorder="1" applyAlignment="1">
      <alignment horizontal="left" vertical="top" wrapText="1"/>
      <protection locked="0"/>
    </xf>
    <xf numFmtId="0" fontId="4" fillId="4" borderId="3" xfId="5" applyNumberFormat="1" applyBorder="1" applyAlignment="1">
      <alignment horizontal="left" vertical="top" wrapText="1"/>
      <protection locked="0"/>
    </xf>
    <xf numFmtId="0" fontId="4" fillId="4" borderId="9" xfId="5" applyNumberFormat="1" applyBorder="1" applyAlignment="1">
      <alignment horizontal="center"/>
      <protection locked="0"/>
    </xf>
    <xf numFmtId="0" fontId="4" fillId="4" borderId="5" xfId="5" applyNumberFormat="1" applyBorder="1" applyAlignment="1">
      <alignment horizontal="center"/>
      <protection locked="0"/>
    </xf>
    <xf numFmtId="0" fontId="4" fillId="4" borderId="3" xfId="5" applyNumberFormat="1" applyBorder="1" applyAlignment="1">
      <alignment horizontal="center"/>
      <protection locked="0"/>
    </xf>
    <xf numFmtId="2" fontId="11" fillId="4" borderId="0" xfId="0" applyFont="1" applyFill="1" applyBorder="1" applyAlignment="1" applyProtection="1">
      <alignment horizontal="center" vertical="center" wrapText="1"/>
    </xf>
    <xf numFmtId="2" fontId="11" fillId="5" borderId="0" xfId="0" applyFont="1" applyFill="1" applyBorder="1" applyAlignment="1" applyProtection="1">
      <alignment horizontal="center" vertical="center" wrapText="1"/>
    </xf>
    <xf numFmtId="164" fontId="4" fillId="4" borderId="9" xfId="5" applyBorder="1" applyAlignment="1">
      <alignment horizontal="center"/>
      <protection locked="0"/>
    </xf>
    <xf numFmtId="164" fontId="4" fillId="4" borderId="5" xfId="5" applyBorder="1" applyAlignment="1">
      <alignment horizontal="center"/>
      <protection locked="0"/>
    </xf>
    <xf numFmtId="164" fontId="4" fillId="4" borderId="3" xfId="5" applyBorder="1" applyAlignment="1">
      <alignment horizontal="center"/>
      <protection locked="0"/>
    </xf>
    <xf numFmtId="14" fontId="4" fillId="4" borderId="9" xfId="5" applyNumberFormat="1" applyBorder="1" applyAlignment="1">
      <alignment horizontal="center"/>
      <protection locked="0"/>
    </xf>
    <xf numFmtId="14" fontId="4" fillId="4" borderId="5" xfId="5" applyNumberFormat="1" applyBorder="1" applyAlignment="1">
      <alignment horizontal="center"/>
      <protection locked="0"/>
    </xf>
    <xf numFmtId="14" fontId="4" fillId="4" borderId="3" xfId="5" applyNumberFormat="1" applyBorder="1" applyAlignment="1">
      <alignment horizontal="center"/>
      <protection locked="0"/>
    </xf>
    <xf numFmtId="2" fontId="5" fillId="2" borderId="11" xfId="0" applyFont="1" applyFill="1" applyBorder="1" applyAlignment="1" applyProtection="1">
      <alignment horizontal="center"/>
    </xf>
    <xf numFmtId="2" fontId="5" fillId="2" borderId="8" xfId="0" applyFont="1" applyFill="1" applyBorder="1" applyAlignment="1">
      <alignment horizontal="center"/>
    </xf>
    <xf numFmtId="2" fontId="5" fillId="2" borderId="0" xfId="0" applyFont="1" applyFill="1" applyAlignment="1" applyProtection="1">
      <alignment horizontal="left" vertical="top" wrapText="1"/>
    </xf>
  </cellXfs>
  <cellStyles count="12">
    <cellStyle name="20% - Accent5" xfId="10" builtinId="46"/>
    <cellStyle name="Accent5" xfId="9" builtinId="45"/>
    <cellStyle name="Comma" xfId="1" builtinId="3"/>
    <cellStyle name="Currency" xfId="8" builtinId="4"/>
    <cellStyle name="Data Entry" xfId="5" xr:uid="{00000000-0005-0000-0000-000004000000}"/>
    <cellStyle name="Do Not Modify" xfId="6" xr:uid="{00000000-0005-0000-0000-000005000000}"/>
    <cellStyle name="Do Not Modify 2" xfId="11" xr:uid="{00000000-0005-0000-0000-000006000000}"/>
    <cellStyle name="Hyperlink" xfId="2" builtinId="8"/>
    <cellStyle name="Normal" xfId="0" builtinId="0" customBuiltin="1"/>
    <cellStyle name="Normal 2" xfId="3" xr:uid="{00000000-0005-0000-0000-000009000000}"/>
    <cellStyle name="Normal 3" xfId="4" xr:uid="{00000000-0005-0000-0000-00000A000000}"/>
    <cellStyle name="Normal 4" xfId="7" xr:uid="{00000000-0005-0000-0000-00000B000000}"/>
  </cellStyles>
  <dxfs count="12">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1"/>
        <color auto="1"/>
        <name val="Calibri"/>
        <scheme val="minor"/>
      </font>
      <numFmt numFmtId="2" formatCode="0.0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scheme val="minor"/>
      </font>
      <numFmt numFmtId="1" formatCode="0"/>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outline="0">
        <left style="thin">
          <color indexed="64"/>
        </left>
        <right style="thin">
          <color indexed="64"/>
        </right>
      </border>
    </dxf>
    <dxf>
      <numFmt numFmtId="2" formatCode="0.00"/>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ill>
        <patternFill patternType="darkTrellis"/>
      </fill>
    </dxf>
    <dxf>
      <fill>
        <patternFill patternType="darkTrellis"/>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31750</xdr:colOff>
      <xdr:row>6</xdr:row>
      <xdr:rowOff>76200</xdr:rowOff>
    </xdr:from>
    <xdr:to>
      <xdr:col>0</xdr:col>
      <xdr:colOff>9013825</xdr:colOff>
      <xdr:row>36</xdr:row>
      <xdr:rowOff>76200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750" y="1390650"/>
          <a:ext cx="8982075"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50" b="1">
              <a:solidFill>
                <a:sysClr val="windowText" lastClr="000000"/>
              </a:solidFill>
              <a:effectLst/>
              <a:latin typeface="Arial" panose="020B0604020202020204" pitchFamily="34" charset="0"/>
              <a:ea typeface="+mn-ea"/>
              <a:cs typeface="Arial" panose="020B0604020202020204" pitchFamily="34" charset="0"/>
            </a:rPr>
            <a:t>Energy</a:t>
          </a:r>
          <a:r>
            <a:rPr lang="en-US" sz="1050" b="1" baseline="0">
              <a:solidFill>
                <a:sysClr val="windowText" lastClr="000000"/>
              </a:solidFill>
              <a:effectLst/>
              <a:latin typeface="Arial" panose="020B0604020202020204" pitchFamily="34" charset="0"/>
              <a:ea typeface="+mn-ea"/>
              <a:cs typeface="Arial" panose="020B0604020202020204" pitchFamily="34" charset="0"/>
            </a:rPr>
            <a:t> Indepence Act </a:t>
          </a:r>
          <a:r>
            <a:rPr lang="en-US" sz="1050" b="1">
              <a:solidFill>
                <a:sysClr val="windowText" lastClr="000000"/>
              </a:solidFill>
              <a:effectLst/>
              <a:latin typeface="Arial" panose="020B0604020202020204" pitchFamily="34" charset="0"/>
              <a:ea typeface="+mn-ea"/>
              <a:cs typeface="Arial" panose="020B0604020202020204" pitchFamily="34" charset="0"/>
            </a:rPr>
            <a:t>Statutes and Rules for</a:t>
          </a:r>
          <a:r>
            <a:rPr lang="en-US" sz="1050" b="1" baseline="0">
              <a:solidFill>
                <a:sysClr val="windowText" lastClr="000000"/>
              </a:solidFill>
              <a:effectLst/>
              <a:latin typeface="Arial" panose="020B0604020202020204" pitchFamily="34" charset="0"/>
              <a:ea typeface="+mn-ea"/>
              <a:cs typeface="Arial" panose="020B0604020202020204" pitchFamily="34" charset="0"/>
            </a:rPr>
            <a:t> Reference</a:t>
          </a:r>
          <a:endParaRPr lang="en-US" sz="1050" b="1">
            <a:solidFill>
              <a:sysClr val="windowText" lastClr="000000"/>
            </a:solidFill>
            <a:effectLst/>
            <a:latin typeface="Arial" panose="020B0604020202020204" pitchFamily="34" charset="0"/>
            <a:cs typeface="Arial" panose="020B0604020202020204" pitchFamily="34" charset="0"/>
          </a:endParaRPr>
        </a:p>
        <a:p>
          <a:endParaRPr lang="en-US" sz="1050" b="1">
            <a:solidFill>
              <a:sysClr val="windowText" lastClr="000000"/>
            </a:solidFill>
            <a:effectLst/>
            <a:latin typeface="Arial" panose="020B0604020202020204" pitchFamily="34" charset="0"/>
            <a:cs typeface="Arial" panose="020B0604020202020204" pitchFamily="34" charset="0"/>
          </a:endParaRPr>
        </a:p>
        <a:p>
          <a:r>
            <a:rPr lang="en-US" sz="1050" b="1">
              <a:solidFill>
                <a:sysClr val="windowText" lastClr="000000"/>
              </a:solidFill>
              <a:effectLst/>
              <a:latin typeface="Arial" panose="020B0604020202020204" pitchFamily="34" charset="0"/>
              <a:cs typeface="Arial" panose="020B0604020202020204" pitchFamily="34" charset="0"/>
            </a:rPr>
            <a:t>RCW 19.285.070</a:t>
          </a:r>
        </a:p>
        <a:p>
          <a:r>
            <a:rPr lang="en-US" sz="1050" b="1">
              <a:solidFill>
                <a:sysClr val="windowText" lastClr="000000"/>
              </a:solidFill>
              <a:effectLst/>
              <a:latin typeface="Arial" panose="020B0604020202020204" pitchFamily="34" charset="0"/>
              <a:cs typeface="Arial" panose="020B0604020202020204" pitchFamily="34" charset="0"/>
            </a:rPr>
            <a:t>Reporting and public disclosure.</a:t>
          </a:r>
        </a:p>
        <a:p>
          <a:r>
            <a:rPr lang="en-US" sz="1050" baseline="0">
              <a:solidFill>
                <a:sysClr val="windowText" lastClr="000000"/>
              </a:solidFill>
              <a:effectLst/>
              <a:latin typeface="Arial" panose="020B0604020202020204" pitchFamily="34" charset="0"/>
              <a:cs typeface="Arial" panose="020B0604020202020204" pitchFamily="34" charset="0"/>
            </a:rPr>
            <a:t>     </a:t>
          </a:r>
          <a:r>
            <a:rPr lang="en-US" sz="1050">
              <a:solidFill>
                <a:sysClr val="windowText" lastClr="000000"/>
              </a:solidFill>
              <a:effectLst/>
              <a:latin typeface="Arial" panose="020B0604020202020204" pitchFamily="34" charset="0"/>
              <a:cs typeface="Arial" panose="020B0604020202020204" pitchFamily="34" charset="0"/>
            </a:rPr>
            <a:t>(1) On or before June 1, 2012, and annually thereafter, each qualifying utility shall report to the department on its progress in the preceding year in meeting the targets established in RCW </a:t>
          </a:r>
          <a:r>
            <a:rPr lang="en-US" sz="1050">
              <a:solidFill>
                <a:sysClr val="windowText" lastClr="000000"/>
              </a:solidFill>
              <a:effectLst/>
              <a:latin typeface="Arial" panose="020B0604020202020204" pitchFamily="34" charset="0"/>
              <a:cs typeface="Arial" panose="020B0604020202020204" pitchFamily="34" charset="0"/>
              <a:hlinkClick xmlns:r="http://schemas.openxmlformats.org/officeDocument/2006/relationships" r:id=""/>
            </a:rPr>
            <a:t>19.285.040</a:t>
          </a:r>
          <a:r>
            <a:rPr lang="en-US" sz="1050">
              <a:solidFill>
                <a:sysClr val="windowText" lastClr="000000"/>
              </a:solidFill>
              <a:effectLst/>
              <a:latin typeface="Arial" panose="020B0604020202020204" pitchFamily="34" charset="0"/>
              <a:cs typeface="Arial" panose="020B0604020202020204" pitchFamily="34" charset="0"/>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sz="1050">
              <a:solidFill>
                <a:sysClr val="windowText" lastClr="000000"/>
              </a:solidFill>
              <a:effectLst/>
              <a:latin typeface="Arial" panose="020B0604020202020204" pitchFamily="34" charset="0"/>
              <a:cs typeface="Arial" panose="020B0604020202020204" pitchFamily="34" charset="0"/>
              <a:hlinkClick xmlns:r="http://schemas.openxmlformats.org/officeDocument/2006/relationships" r:id=""/>
            </a:rPr>
            <a:t>19.285.040</a:t>
          </a:r>
          <a:r>
            <a:rPr lang="en-US" sz="1050">
              <a:solidFill>
                <a:sysClr val="windowText" lastClr="000000"/>
              </a:solidFill>
              <a:effectLst/>
              <a:latin typeface="Arial" panose="020B0604020202020204" pitchFamily="34" charset="0"/>
              <a:cs typeface="Arial" panose="020B0604020202020204" pitchFamily="34" charset="0"/>
            </a:rPr>
            <a:t>(2) (d) or (i) or </a:t>
          </a:r>
          <a:r>
            <a:rPr lang="en-US" sz="1050">
              <a:solidFill>
                <a:sysClr val="windowText" lastClr="000000"/>
              </a:solidFill>
              <a:effectLst/>
              <a:latin typeface="Arial" panose="020B0604020202020204" pitchFamily="34" charset="0"/>
              <a:cs typeface="Arial" panose="020B0604020202020204" pitchFamily="34" charset="0"/>
              <a:hlinkClick xmlns:r="http://schemas.openxmlformats.org/officeDocument/2006/relationships" r:id=""/>
            </a:rPr>
            <a:t>19.285.050</a:t>
          </a:r>
          <a:r>
            <a:rPr lang="en-US" sz="1050">
              <a:solidFill>
                <a:sysClr val="windowText" lastClr="000000"/>
              </a:solidFill>
              <a:effectLst/>
              <a:latin typeface="Arial" panose="020B0604020202020204" pitchFamily="34" charset="0"/>
              <a:cs typeface="Arial" panose="020B0604020202020204" pitchFamily="34" charset="0"/>
            </a:rPr>
            <a:t>(1), it must include in its annual report relevant data to demonstrate that it met the criteria in that section. A qualifying utility may submit its report to the department in conjunction with its annual obligations in chapter </a:t>
          </a:r>
          <a:r>
            <a:rPr lang="en-US" sz="1050">
              <a:solidFill>
                <a:sysClr val="windowText" lastClr="000000"/>
              </a:solidFill>
              <a:effectLst/>
              <a:latin typeface="Arial" panose="020B0604020202020204" pitchFamily="34" charset="0"/>
              <a:cs typeface="Arial" panose="020B0604020202020204" pitchFamily="34" charset="0"/>
              <a:hlinkClick xmlns:r="http://schemas.openxmlformats.org/officeDocument/2006/relationships" r:id=""/>
            </a:rPr>
            <a:t>19.29A</a:t>
          </a:r>
          <a:r>
            <a:rPr lang="en-US" sz="1050">
              <a:solidFill>
                <a:sysClr val="windowText" lastClr="000000"/>
              </a:solidFill>
              <a:effectLst/>
              <a:latin typeface="Arial" panose="020B0604020202020204" pitchFamily="34" charset="0"/>
              <a:cs typeface="Arial" panose="020B0604020202020204" pitchFamily="34" charset="0"/>
            </a:rPr>
            <a:t> RCW.</a:t>
          </a:r>
        </a:p>
        <a:p>
          <a:r>
            <a:rPr lang="en-US" sz="1050">
              <a:solidFill>
                <a:sysClr val="windowText" lastClr="000000"/>
              </a:solidFill>
              <a:effectLst/>
              <a:latin typeface="Arial" panose="020B0604020202020204" pitchFamily="34" charset="0"/>
              <a:cs typeface="Arial" panose="020B0604020202020204" pitchFamily="34" charset="0"/>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sz="1050">
              <a:solidFill>
                <a:sysClr val="windowText" lastClr="000000"/>
              </a:solidFill>
              <a:effectLst/>
              <a:latin typeface="Arial" panose="020B0604020202020204" pitchFamily="34" charset="0"/>
              <a:cs typeface="Arial" panose="020B0604020202020204" pitchFamily="34" charset="0"/>
            </a:rPr>
            <a:t>     (3) A qualifying utility shall also make reports required in this section available to its customers.</a:t>
          </a:r>
        </a:p>
        <a:p>
          <a:endParaRPr lang="en-US" sz="1050" b="1">
            <a:solidFill>
              <a:sysClr val="windowText" lastClr="000000"/>
            </a:solidFill>
            <a:effectLst/>
            <a:latin typeface="Arial" panose="020B0604020202020204" pitchFamily="34" charset="0"/>
            <a:cs typeface="Arial" panose="020B0604020202020204" pitchFamily="34" charset="0"/>
          </a:endParaRPr>
        </a:p>
        <a:p>
          <a:r>
            <a:rPr lang="en-US" sz="1050" b="1">
              <a:solidFill>
                <a:sysClr val="windowText" lastClr="000000"/>
              </a:solidFill>
              <a:effectLst/>
              <a:latin typeface="Arial" panose="020B0604020202020204" pitchFamily="34" charset="0"/>
              <a:cs typeface="Arial" panose="020B0604020202020204" pitchFamily="34" charset="0"/>
            </a:rPr>
            <a:t>WAC 194-37-060</a:t>
          </a:r>
        </a:p>
        <a:p>
          <a:r>
            <a:rPr lang="en-US" sz="1050" b="1">
              <a:solidFill>
                <a:sysClr val="windowText" lastClr="000000"/>
              </a:solidFill>
              <a:effectLst/>
              <a:latin typeface="Arial" panose="020B0604020202020204" pitchFamily="34" charset="0"/>
              <a:cs typeface="Arial" panose="020B0604020202020204" pitchFamily="34" charset="0"/>
            </a:rPr>
            <a:t>Conservation reporting requirements.</a:t>
          </a:r>
        </a:p>
        <a:p>
          <a:r>
            <a:rPr lang="en-US" sz="1050">
              <a:solidFill>
                <a:sysClr val="windowText" lastClr="000000"/>
              </a:solidFill>
              <a:effectLst/>
              <a:latin typeface="Arial" panose="020B0604020202020204" pitchFamily="34" charset="0"/>
              <a:cs typeface="Arial" panose="020B0604020202020204" pitchFamily="34" charset="0"/>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sz="1050">
              <a:solidFill>
                <a:sysClr val="windowText" lastClr="000000"/>
              </a:solidFill>
              <a:effectLst/>
              <a:latin typeface="Arial" panose="020B0604020202020204" pitchFamily="34" charset="0"/>
              <a:cs typeface="Arial" panose="020B0604020202020204" pitchFamily="34" charset="0"/>
              <a:hlinkClick xmlns:r="http://schemas.openxmlformats.org/officeDocument/2006/relationships" r:id=""/>
            </a:rPr>
            <a:t>19.285.040</a:t>
          </a:r>
          <a:r>
            <a:rPr lang="en-US" sz="1050">
              <a:solidFill>
                <a:sysClr val="windowText" lastClr="000000"/>
              </a:solidFill>
              <a:effectLst/>
              <a:latin typeface="Arial" panose="020B0604020202020204" pitchFamily="34" charset="0"/>
              <a:cs typeface="Arial" panose="020B0604020202020204" pitchFamily="34" charset="0"/>
            </a:rPr>
            <a:t> and must include the following:</a:t>
          </a:r>
        </a:p>
        <a:p>
          <a:r>
            <a:rPr lang="en-US" sz="1050">
              <a:solidFill>
                <a:sysClr val="windowText" lastClr="000000"/>
              </a:solidFill>
              <a:effectLst/>
              <a:latin typeface="Arial" panose="020B0604020202020204" pitchFamily="34" charset="0"/>
              <a:cs typeface="Arial" panose="020B0604020202020204" pitchFamily="34" charset="0"/>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sz="1050">
              <a:solidFill>
                <a:sysClr val="windowText" lastClr="000000"/>
              </a:solidFill>
              <a:effectLst/>
              <a:latin typeface="Arial" panose="020B0604020202020204" pitchFamily="34" charset="0"/>
              <a:cs typeface="Arial" panose="020B0604020202020204" pitchFamily="34" charset="0"/>
              <a:hlinkClick xmlns:r="http://schemas.openxmlformats.org/officeDocument/2006/relationships" r:id=""/>
            </a:rPr>
            <a:t>194-37-080</a:t>
          </a:r>
          <a:r>
            <a:rPr lang="en-US" sz="1050">
              <a:solidFill>
                <a:sysClr val="windowText" lastClr="000000"/>
              </a:solidFill>
              <a:effectLst/>
              <a:latin typeface="Arial" panose="020B0604020202020204" pitchFamily="34" charset="0"/>
              <a:cs typeface="Arial" panose="020B0604020202020204" pitchFamily="34" charset="0"/>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sz="1050">
              <a:solidFill>
                <a:sysClr val="windowText" lastClr="000000"/>
              </a:solidFill>
              <a:effectLst/>
              <a:latin typeface="Arial" panose="020B0604020202020204" pitchFamily="34" charset="0"/>
              <a:cs typeface="Arial" panose="020B0604020202020204" pitchFamily="34" charset="0"/>
              <a:hlinkClick xmlns:r="http://schemas.openxmlformats.org/officeDocument/2006/relationships" r:id=""/>
            </a:rPr>
            <a:t>194-37-080</a:t>
          </a:r>
          <a:r>
            <a:rPr lang="en-US" sz="1050">
              <a:solidFill>
                <a:sysClr val="windowText" lastClr="000000"/>
              </a:solidFill>
              <a:effectLst/>
              <a:latin typeface="Arial" panose="020B0604020202020204" pitchFamily="34" charset="0"/>
              <a:cs typeface="Arial" panose="020B0604020202020204" pitchFamily="34" charset="0"/>
            </a:rPr>
            <a:t>.</a:t>
          </a:r>
        </a:p>
        <a:p>
          <a:r>
            <a:rPr lang="en-US" sz="1050">
              <a:solidFill>
                <a:sysClr val="windowText" lastClr="000000"/>
              </a:solidFill>
              <a:effectLst/>
              <a:latin typeface="Arial" panose="020B0604020202020204" pitchFamily="34" charset="0"/>
              <a:cs typeface="Arial" panose="020B0604020202020204" pitchFamily="34" charset="0"/>
            </a:rPr>
            <a:t>     (2) A brief description of the methodology used to establish the utility's ten-year potential and biennial target to capture cost-effective conservation.</a:t>
          </a:r>
        </a:p>
        <a:p>
          <a:r>
            <a:rPr lang="en-US" sz="1050">
              <a:solidFill>
                <a:sysClr val="windowText" lastClr="000000"/>
              </a:solidFill>
              <a:effectLst/>
              <a:latin typeface="Arial" panose="020B0604020202020204" pitchFamily="34" charset="0"/>
              <a:cs typeface="Arial" panose="020B0604020202020204" pitchFamily="34" charset="0"/>
            </a:rPr>
            <a:t>     (3) In even-numbered years the report must include the utility's ten-year conservation potential and biennial targets established pursuant to WAC </a:t>
          </a:r>
          <a:r>
            <a:rPr lang="en-US" sz="1050">
              <a:solidFill>
                <a:sysClr val="windowText" lastClr="000000"/>
              </a:solidFill>
              <a:effectLst/>
              <a:latin typeface="Arial" panose="020B0604020202020204" pitchFamily="34" charset="0"/>
              <a:cs typeface="Arial" panose="020B0604020202020204" pitchFamily="34" charset="0"/>
              <a:hlinkClick xmlns:r="http://schemas.openxmlformats.org/officeDocument/2006/relationships" r:id=""/>
            </a:rPr>
            <a:t>194-37-070</a:t>
          </a:r>
          <a:r>
            <a:rPr lang="en-US" sz="1050">
              <a:solidFill>
                <a:sysClr val="windowText" lastClr="000000"/>
              </a:solidFill>
              <a:effectLst/>
              <a:latin typeface="Arial" panose="020B0604020202020204" pitchFamily="34" charset="0"/>
              <a:cs typeface="Arial" panose="020B0604020202020204" pitchFamily="34" charset="0"/>
            </a:rPr>
            <a:t>.</a:t>
          </a:r>
        </a:p>
        <a:p>
          <a:endParaRPr lang="en-US" sz="1050">
            <a:solidFill>
              <a:sysClr val="windowText" lastClr="000000"/>
            </a:solidFill>
            <a:latin typeface="Arial" panose="020B0604020202020204" pitchFamily="34" charset="0"/>
            <a:cs typeface="Arial" panose="020B0604020202020204" pitchFamily="34" charset="0"/>
          </a:endParaRPr>
        </a:p>
        <a:p>
          <a:r>
            <a:rPr lang="en-US" sz="1050" b="1">
              <a:solidFill>
                <a:sysClr val="windowText" lastClr="000000"/>
              </a:solidFill>
              <a:effectLst/>
              <a:latin typeface="Arial" panose="020B0604020202020204" pitchFamily="34" charset="0"/>
              <a:cs typeface="Arial" panose="020B0604020202020204" pitchFamily="34" charset="0"/>
            </a:rPr>
            <a:t>WAC 194-37-110</a:t>
          </a:r>
        </a:p>
        <a:p>
          <a:r>
            <a:rPr lang="en-US" sz="1050" b="1">
              <a:solidFill>
                <a:sysClr val="windowText" lastClr="000000"/>
              </a:solidFill>
              <a:effectLst/>
              <a:latin typeface="Arial" panose="020B0604020202020204" pitchFamily="34" charset="0"/>
              <a:cs typeface="Arial" panose="020B0604020202020204" pitchFamily="34" charset="0"/>
            </a:rPr>
            <a:t>Renewable resource energy reporting.</a:t>
          </a:r>
        </a:p>
        <a:p>
          <a:r>
            <a:rPr lang="en-US" sz="1050">
              <a:solidFill>
                <a:sysClr val="windowText" lastClr="000000"/>
              </a:solidFill>
              <a:latin typeface="Arial" panose="020B0604020202020204" pitchFamily="34" charset="0"/>
              <a:cs typeface="Arial" panose="020B0604020202020204" pitchFamily="34" charset="0"/>
            </a:rPr>
            <a:t>&lt;Separate worksheet used for renewable reporting.&gt;</a:t>
          </a:r>
        </a:p>
        <a:p>
          <a:endParaRPr lang="en-US" sz="1050">
            <a:latin typeface="Arial" panose="020B0604020202020204" pitchFamily="34" charset="0"/>
            <a:cs typeface="Arial" panose="020B0604020202020204" pitchFamily="34" charset="0"/>
          </a:endParaRPr>
        </a:p>
        <a:p>
          <a:endParaRPr lang="en-US" sz="105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1301750</xdr:colOff>
      <xdr:row>14</xdr:row>
      <xdr:rowOff>12700</xdr:rowOff>
    </xdr:from>
    <xdr:to>
      <xdr:col>9</xdr:col>
      <xdr:colOff>12700</xdr:colOff>
      <xdr:row>16</xdr:row>
      <xdr:rowOff>146050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280650" y="2698750"/>
          <a:ext cx="3454400" cy="48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ysClr val="windowText" lastClr="000000"/>
              </a:solidFill>
            </a:rPr>
            <a:t>Note: Expenditure</a:t>
          </a:r>
          <a:r>
            <a:rPr lang="en-US" sz="1100" i="1" baseline="0">
              <a:solidFill>
                <a:sysClr val="windowText" lastClr="000000"/>
              </a:solidFill>
            </a:rPr>
            <a:t> amounts do not include any customer or other non-utility costs.</a:t>
          </a:r>
          <a:endParaRPr lang="en-US" sz="1100" i="1">
            <a:solidFill>
              <a:sysClr val="windowText" lastClr="000000"/>
            </a:solidFill>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500-000000000000}" autoFormatId="0" applyNumberFormats="0" applyBorderFormats="0" applyFontFormats="1" applyPatternFormats="1" applyAlignmentFormats="0" applyWidthHeightFormats="0">
  <queryTableRefresh preserveSortFilterLayout="0" nextId="5">
    <queryTableFields count="4">
      <queryTableField id="1" name="Achievement Year" tableColumnId="1"/>
      <queryTableField id="2" name="Sector" tableColumnId="2"/>
      <queryTableField id="3" name="MWh" tableColumnId="3"/>
      <queryTableField id="4" name="Utility Expenditures" tableColumnId="4"/>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9:K23" totalsRowShown="0" headerRowDxfId="7" tableBorderDxfId="6" headerRowCellStyle="Accent5">
  <autoFilter ref="A19:K23" xr:uid="{00000000-0009-0000-0100-000001000000}"/>
  <tableColumns count="11">
    <tableColumn id="1" xr3:uid="{00000000-0010-0000-0000-000001000000}" name="Achievement Year" dataDxfId="5" dataCellStyle="20% - Accent5"/>
    <tableColumn id="2" xr3:uid="{00000000-0010-0000-0000-000002000000}" name="Value" dataDxfId="4" dataCellStyle="20% - Accent5"/>
    <tableColumn id="3" xr3:uid="{00000000-0010-0000-0000-000003000000}" name=" Residential "/>
    <tableColumn id="4" xr3:uid="{00000000-0010-0000-0000-000004000000}" name=" Commercial"/>
    <tableColumn id="5" xr3:uid="{00000000-0010-0000-0000-000005000000}" name=" Industrial"/>
    <tableColumn id="6" xr3:uid="{00000000-0010-0000-0000-000006000000}" name=" Agriculture"/>
    <tableColumn id="7" xr3:uid="{00000000-0010-0000-0000-000007000000}" name=" Distribution Efficiency"/>
    <tableColumn id="8" xr3:uid="{00000000-0010-0000-0000-000008000000}" name=" Production Efficiency"/>
    <tableColumn id="9" xr3:uid="{00000000-0010-0000-0000-000009000000}" name=" NEEA"/>
    <tableColumn id="10" xr3:uid="{00000000-0010-0000-0000-00000A000000}" name="Misc Category 1"/>
    <tableColumn id="11" xr3:uid="{00000000-0010-0000-0000-00000B000000}" name="Misc Category 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_2" displayName="Table1_2" ref="E1:H9" tableType="queryTable" totalsRowShown="0">
  <autoFilter ref="E1:H9" xr:uid="{00000000-0009-0000-0100-000002000000}"/>
  <tableColumns count="4">
    <tableColumn id="1" xr3:uid="{00000000-0010-0000-0100-000001000000}" uniqueName="1" name="Achievement Year" queryTableFieldId="1" dataDxfId="3"/>
    <tableColumn id="2" xr3:uid="{00000000-0010-0000-0100-000002000000}" uniqueName="2" name="Sector" queryTableFieldId="2" dataDxfId="2"/>
    <tableColumn id="3" xr3:uid="{00000000-0010-0000-0100-000003000000}" uniqueName="3" name="MWh" queryTableFieldId="3" dataDxfId="1"/>
    <tableColumn id="4" xr3:uid="{00000000-0010-0000-0100-000004000000}" uniqueName="4" name="Utility Expenditures" queryTableFieldId="4" dataDxfId="0"/>
  </tableColumns>
  <tableStyleInfo name="TableStyleMedium7" showFirstColumn="0" showLastColumn="0" showRowStripes="1" showColumnStripes="0"/>
</table>
</file>

<file path=xl/theme/theme1.xml><?xml version="1.0" encoding="utf-8"?>
<a:theme xmlns:a="http://schemas.openxmlformats.org/drawingml/2006/main" name="Commerce Colors">
  <a:themeElements>
    <a:clrScheme name="Commerce Primary">
      <a:dk1>
        <a:srgbClr val="555555"/>
      </a:dk1>
      <a:lt1>
        <a:srgbClr val="FFFFFF"/>
      </a:lt1>
      <a:dk2>
        <a:srgbClr val="555555"/>
      </a:dk2>
      <a:lt2>
        <a:srgbClr val="E6E6E6"/>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martsheet.com/b/form/4116d4a978534183bb866d774dbc7b5d"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
  <sheetViews>
    <sheetView workbookViewId="0">
      <selection activeCell="C28" sqref="C28"/>
    </sheetView>
  </sheetViews>
  <sheetFormatPr defaultRowHeight="15" x14ac:dyDescent="0.25"/>
  <cols>
    <col min="1" max="1" width="135.140625" customWidth="1"/>
    <col min="14" max="14" width="11.85546875" customWidth="1"/>
  </cols>
  <sheetData>
    <row r="1" spans="1:2" x14ac:dyDescent="0.25">
      <c r="A1" s="66" t="s">
        <v>64</v>
      </c>
    </row>
    <row r="2" spans="1:2" x14ac:dyDescent="0.25">
      <c r="A2" s="12" t="s">
        <v>67</v>
      </c>
    </row>
    <row r="3" spans="1:2" x14ac:dyDescent="0.25">
      <c r="A3" s="2" t="s">
        <v>18</v>
      </c>
    </row>
    <row r="4" spans="1:2" ht="29.25" x14ac:dyDescent="0.25">
      <c r="A4" s="72" t="s">
        <v>65</v>
      </c>
      <c r="B4" s="73"/>
    </row>
    <row r="5" spans="1:2" x14ac:dyDescent="0.25">
      <c r="A5" s="71" t="s">
        <v>66</v>
      </c>
    </row>
  </sheetData>
  <hyperlinks>
    <hyperlink ref="A4" r:id="rId1" display="Submission: Upload this workbook and all supporting documentation to Smartsheet: https://app.smartsheet.com/b/form/4116d4a978534183bb866d774dbc7b5d" xr:uid="{00000000-0004-0000-0000-000000000000}"/>
  </hyperlinks>
  <pageMargins left="0.7" right="0.7" top="0.75" bottom="0.75" header="0.3" footer="0.3"/>
  <pageSetup scale="47"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pageSetUpPr fitToPage="1"/>
  </sheetPr>
  <dimension ref="A1:O46"/>
  <sheetViews>
    <sheetView tabSelected="1" zoomScaleNormal="100" workbookViewId="0">
      <selection activeCell="G11" sqref="G11"/>
    </sheetView>
  </sheetViews>
  <sheetFormatPr defaultColWidth="9.140625" defaultRowHeight="12.75" x14ac:dyDescent="0.2"/>
  <cols>
    <col min="1" max="1" width="36.140625" style="4" customWidth="1"/>
    <col min="2" max="2" width="22.28515625" style="4" customWidth="1"/>
    <col min="3" max="3" width="17.140625" style="4" customWidth="1"/>
    <col min="4" max="4" width="16" style="4" customWidth="1"/>
    <col min="5" max="5" width="15.85546875" style="4" customWidth="1"/>
    <col min="6" max="6" width="21.140625" style="4" customWidth="1"/>
    <col min="7" max="7" width="21.5703125" style="4" customWidth="1"/>
    <col min="8" max="8" width="29.140625" style="4" customWidth="1"/>
    <col min="9" max="9" width="18.140625" style="4" customWidth="1"/>
    <col min="10" max="11" width="17.85546875" style="4" customWidth="1"/>
    <col min="12" max="12" width="17.140625" style="4" customWidth="1"/>
    <col min="13" max="16384" width="9.140625" style="4"/>
  </cols>
  <sheetData>
    <row r="1" spans="1:11" ht="15" x14ac:dyDescent="0.2">
      <c r="A1" s="81" t="s">
        <v>43</v>
      </c>
      <c r="B1" s="81"/>
      <c r="C1" s="81"/>
      <c r="D1" s="81"/>
      <c r="E1" s="81"/>
      <c r="F1" s="81"/>
      <c r="G1" s="81"/>
      <c r="H1" s="81"/>
      <c r="I1" s="81"/>
    </row>
    <row r="2" spans="1:11" ht="15" x14ac:dyDescent="0.2">
      <c r="A2" s="82" t="s">
        <v>44</v>
      </c>
      <c r="B2" s="82"/>
      <c r="C2" s="82"/>
      <c r="D2" s="82"/>
      <c r="E2" s="82"/>
      <c r="F2" s="82"/>
      <c r="G2" s="82"/>
      <c r="H2" s="82"/>
      <c r="I2" s="82"/>
    </row>
    <row r="3" spans="1:11" s="5" customFormat="1" ht="19.5" x14ac:dyDescent="0.4">
      <c r="A3" s="13" t="str">
        <f>"Energy Independence Act (I-937) Conservation Report " &amp; Current_Biennial_Period</f>
        <v>Energy Independence Act (I-937) Conservation Report 2022-2023</v>
      </c>
    </row>
    <row r="4" spans="1:11" s="5" customFormat="1" ht="20.25" thickBot="1" x14ac:dyDescent="0.45">
      <c r="A4" s="13"/>
      <c r="F4" s="90" t="s">
        <v>15</v>
      </c>
      <c r="G4" s="90"/>
      <c r="H4" s="90"/>
      <c r="I4" s="90"/>
    </row>
    <row r="5" spans="1:11" ht="15" customHeight="1" x14ac:dyDescent="0.2">
      <c r="A5" s="14" t="s">
        <v>40</v>
      </c>
      <c r="B5" s="78">
        <v>2024</v>
      </c>
      <c r="C5" s="79"/>
      <c r="D5" s="80"/>
      <c r="G5" s="36" t="str">
        <f>IF(ISEVEN(Compliance_Yr), Compliance_Yr-2 &amp; "-" &amp; Compliance_Yr-1, Compliance_Yr-1 &amp; "-" &amp; Compliance_Yr)</f>
        <v>2022-2023</v>
      </c>
      <c r="I5" s="36" t="str">
        <f>IF(ISEVEN(Compliance_Yr), Compliance_Yr &amp; "-" &amp; Compliance_Yr+1, Compliance_Yr+1 &amp; "-" &amp; Compliance_Yr+2)</f>
        <v>2024-2025</v>
      </c>
    </row>
    <row r="6" spans="1:11" ht="14.25" customHeight="1" x14ac:dyDescent="0.2">
      <c r="A6" s="14" t="s">
        <v>2</v>
      </c>
      <c r="B6" s="83" t="s">
        <v>21</v>
      </c>
      <c r="C6" s="84"/>
      <c r="D6" s="85"/>
      <c r="E6" s="5"/>
      <c r="F6" s="1"/>
      <c r="G6" s="16" t="s">
        <v>16</v>
      </c>
      <c r="H6" s="17"/>
      <c r="I6" s="16" t="s">
        <v>16</v>
      </c>
      <c r="K6" s="6"/>
    </row>
    <row r="7" spans="1:11" ht="15" customHeight="1" x14ac:dyDescent="0.2">
      <c r="A7" s="14" t="s">
        <v>13</v>
      </c>
      <c r="B7" s="86">
        <v>45444</v>
      </c>
      <c r="C7" s="87"/>
      <c r="D7" s="88"/>
      <c r="E7" s="7"/>
      <c r="F7" s="15" t="str">
        <f>"Conservation Potential "&amp;IF(ISEVEN(Compliance_Yr),Compliance_Yr-2&amp;"-"&amp;Compliance_Yr-2+9,Compliance_Yr-1&amp;"-"&amp;Compliance_Yr-1+9)</f>
        <v>Conservation Potential 2022-2031</v>
      </c>
      <c r="G7" s="27">
        <v>507829</v>
      </c>
      <c r="H7" s="15" t="str">
        <f>"Conservation Potential "&amp;IF(ISEVEN(Compliance_Yr),Compliance_Yr&amp;"-"&amp;Compliance_Yr+9,Compliance_Yr+1&amp;"-"&amp;Compliance_Yr+1+9)</f>
        <v>Conservation Potential 2024-2033</v>
      </c>
      <c r="I7" s="27">
        <v>317000</v>
      </c>
    </row>
    <row r="8" spans="1:11" ht="15" customHeight="1" x14ac:dyDescent="0.2">
      <c r="A8" s="15" t="s">
        <v>12</v>
      </c>
      <c r="B8" s="83" t="s">
        <v>69</v>
      </c>
      <c r="C8" s="84"/>
      <c r="D8" s="85"/>
      <c r="E8" s="5"/>
      <c r="F8" s="67" t="s">
        <v>62</v>
      </c>
      <c r="G8" s="28">
        <f>CON_10Yr_Potential_Current_Biennial_Period/5</f>
        <v>101565.8</v>
      </c>
      <c r="H8" s="67" t="s">
        <v>62</v>
      </c>
      <c r="I8" s="29">
        <f>CON_10Yr_Potential_Subsequent_Period/5</f>
        <v>63400</v>
      </c>
    </row>
    <row r="9" spans="1:11" ht="15" customHeight="1" x14ac:dyDescent="0.2">
      <c r="A9" s="15" t="s">
        <v>0</v>
      </c>
      <c r="B9" s="83" t="s">
        <v>70</v>
      </c>
      <c r="C9" s="84"/>
      <c r="D9" s="85"/>
      <c r="E9" s="5"/>
      <c r="F9" s="68" t="str">
        <f>"Established Biennial Target " &amp; Current_Biennial_Period</f>
        <v>Established Biennial Target 2022-2023</v>
      </c>
      <c r="G9" s="27">
        <v>101566</v>
      </c>
      <c r="H9" s="11" t="str">
        <f>"Biennial Target " &amp; Subsequent_Biennial_Period</f>
        <v>Biennial Target 2024-2025</v>
      </c>
      <c r="I9" s="27">
        <v>63374</v>
      </c>
    </row>
    <row r="10" spans="1:11" ht="15" customHeight="1" x14ac:dyDescent="0.2">
      <c r="A10" s="15" t="s">
        <v>1</v>
      </c>
      <c r="B10" s="83" t="s">
        <v>71</v>
      </c>
      <c r="C10" s="84"/>
      <c r="D10" s="85"/>
      <c r="E10" s="5"/>
      <c r="F10" s="68" t="str">
        <f>"Actual Achievement " &amp; Current_Biennial_Period</f>
        <v>Actual Achievement 2022-2023</v>
      </c>
      <c r="G10" s="28">
        <f>Current_Biennial_Period_Yr1_Achievement+Current_Biennial_Period_Yr2_Achievement</f>
        <v>84826.94</v>
      </c>
    </row>
    <row r="11" spans="1:11" ht="15" customHeight="1" x14ac:dyDescent="0.2">
      <c r="A11" s="15"/>
      <c r="B11" s="15"/>
      <c r="C11" s="15"/>
      <c r="D11" s="15"/>
      <c r="E11" s="5"/>
      <c r="F11" s="68" t="s">
        <v>46</v>
      </c>
      <c r="G11" s="30">
        <v>4841</v>
      </c>
    </row>
    <row r="12" spans="1:11" ht="15" customHeight="1" x14ac:dyDescent="0.2">
      <c r="A12" s="15"/>
      <c r="B12" s="15"/>
      <c r="C12" s="15"/>
      <c r="D12" s="15"/>
      <c r="E12" s="5"/>
      <c r="F12" s="69" t="s">
        <v>53</v>
      </c>
      <c r="G12" s="29">
        <f>CON_Current_2Yr_Achievement+Excess_Conservation</f>
        <v>89667.94</v>
      </c>
    </row>
    <row r="13" spans="1:11" ht="15" customHeight="1" x14ac:dyDescent="0.2">
      <c r="A13" s="8"/>
      <c r="B13" s="8"/>
      <c r="C13" s="8"/>
      <c r="D13" s="8"/>
      <c r="E13" s="5"/>
      <c r="F13" s="70" t="s">
        <v>48</v>
      </c>
      <c r="G13" s="28">
        <f>Total_Biennial_Conservation-CON_Current_2Yr_Target</f>
        <v>-11898.059999999998</v>
      </c>
      <c r="H13" s="4" t="s">
        <v>45</v>
      </c>
    </row>
    <row r="14" spans="1:11" s="5" customFormat="1" ht="13.5" thickBot="1" x14ac:dyDescent="0.25">
      <c r="A14" s="39"/>
      <c r="B14" s="39"/>
      <c r="C14" s="39"/>
      <c r="D14" s="39"/>
      <c r="E14" s="40"/>
      <c r="F14" s="39"/>
      <c r="G14" s="39"/>
      <c r="H14" s="39"/>
      <c r="I14" s="39"/>
    </row>
    <row r="15" spans="1:11" ht="15" customHeight="1" x14ac:dyDescent="0.2">
      <c r="A15" s="89" t="s">
        <v>47</v>
      </c>
      <c r="B15" s="89"/>
      <c r="C15" s="89"/>
      <c r="D15" s="89"/>
      <c r="E15" s="89"/>
      <c r="F15" s="89"/>
      <c r="G15" s="89"/>
      <c r="H15" s="89"/>
      <c r="I15" s="89"/>
    </row>
    <row r="16" spans="1:11" x14ac:dyDescent="0.2">
      <c r="A16" s="34" t="s">
        <v>17</v>
      </c>
      <c r="B16" s="29" t="str">
        <f>Current_Biennial_Period</f>
        <v>2022-2023</v>
      </c>
      <c r="C16" s="34"/>
      <c r="D16" s="34"/>
      <c r="E16" s="34"/>
      <c r="F16" s="34"/>
      <c r="G16" s="34"/>
    </row>
    <row r="17" spans="1:15" ht="15" customHeight="1" x14ac:dyDescent="0.2">
      <c r="A17" s="18"/>
      <c r="B17" s="19"/>
      <c r="C17" s="20"/>
      <c r="D17" s="19"/>
      <c r="E17" s="20"/>
      <c r="F17" s="21"/>
      <c r="G17" s="17"/>
    </row>
    <row r="18" spans="1:15" ht="38.450000000000003" customHeight="1" x14ac:dyDescent="0.2">
      <c r="J18" s="74" t="s">
        <v>42</v>
      </c>
      <c r="K18" s="74"/>
      <c r="L18" s="35"/>
    </row>
    <row r="19" spans="1:15" ht="15" customHeight="1" x14ac:dyDescent="0.25">
      <c r="A19" s="56" t="s">
        <v>57</v>
      </c>
      <c r="B19" s="50" t="s">
        <v>59</v>
      </c>
      <c r="C19" s="51" t="s">
        <v>6</v>
      </c>
      <c r="D19" s="51" t="s">
        <v>7</v>
      </c>
      <c r="E19" s="51" t="s">
        <v>8</v>
      </c>
      <c r="F19" s="51" t="s">
        <v>9</v>
      </c>
      <c r="G19" s="51" t="s">
        <v>10</v>
      </c>
      <c r="H19" s="51" t="s">
        <v>11</v>
      </c>
      <c r="I19" s="51" t="s">
        <v>3</v>
      </c>
      <c r="J19" s="63" t="s">
        <v>60</v>
      </c>
      <c r="K19" s="64" t="s">
        <v>61</v>
      </c>
      <c r="L19" s="56" t="s">
        <v>4</v>
      </c>
    </row>
    <row r="20" spans="1:15" ht="15" customHeight="1" x14ac:dyDescent="0.25">
      <c r="A20" s="57">
        <f>IF(ISEVEN(Compliance_Yr), Compliance_Yr-2, Compliance_Yr-1)</f>
        <v>2022</v>
      </c>
      <c r="B20" s="52" t="s">
        <v>5</v>
      </c>
      <c r="C20" s="48">
        <v>2118</v>
      </c>
      <c r="D20" s="49">
        <f t="shared" ref="D20" si="0">20900684/1000</f>
        <v>20900.684000000001</v>
      </c>
      <c r="E20" s="49"/>
      <c r="F20" s="49"/>
      <c r="G20" s="49">
        <v>0</v>
      </c>
      <c r="H20" s="49"/>
      <c r="I20" s="49">
        <v>5133</v>
      </c>
      <c r="J20" s="54"/>
      <c r="K20" s="54"/>
      <c r="L20" s="60">
        <f>SUM(C20:K20)</f>
        <v>28151.684000000001</v>
      </c>
    </row>
    <row r="21" spans="1:15" ht="15" customHeight="1" x14ac:dyDescent="0.25">
      <c r="A21" s="58"/>
      <c r="B21" s="53" t="s">
        <v>58</v>
      </c>
      <c r="C21" s="55">
        <f>1746895.32+1583719.06</f>
        <v>3330614.38</v>
      </c>
      <c r="D21" s="38">
        <v>6056699.1200000001</v>
      </c>
      <c r="E21" s="38"/>
      <c r="F21" s="38"/>
      <c r="G21" s="38">
        <v>0</v>
      </c>
      <c r="H21" s="38"/>
      <c r="I21" s="38">
        <v>1683482</v>
      </c>
      <c r="J21" s="38"/>
      <c r="K21" s="38"/>
      <c r="L21" s="61">
        <f t="shared" ref="L21:L23" si="1">SUM(C21:K21)</f>
        <v>11070795.5</v>
      </c>
    </row>
    <row r="22" spans="1:15" ht="15" customHeight="1" x14ac:dyDescent="0.25">
      <c r="A22" s="59">
        <f>IF(ISEVEN(Compliance_Yr), Compliance_Yr-1, Compliance_Yr)</f>
        <v>2023</v>
      </c>
      <c r="B22" s="53" t="s">
        <v>5</v>
      </c>
      <c r="C22" s="47">
        <f>(4070617+451422)/1000</f>
        <v>4522.0389999999998</v>
      </c>
      <c r="D22" s="30">
        <f>35507217/1000</f>
        <v>35507.216999999997</v>
      </c>
      <c r="E22" s="30"/>
      <c r="F22" s="30"/>
      <c r="G22" s="30">
        <v>11324</v>
      </c>
      <c r="H22" s="30"/>
      <c r="I22" s="30">
        <f>10455-I20</f>
        <v>5322</v>
      </c>
      <c r="J22" s="54"/>
      <c r="K22" s="54"/>
      <c r="L22" s="60">
        <f t="shared" si="1"/>
        <v>56675.255999999994</v>
      </c>
    </row>
    <row r="23" spans="1:15" ht="15" customHeight="1" x14ac:dyDescent="0.25">
      <c r="A23" s="58"/>
      <c r="B23" s="53" t="s">
        <v>58</v>
      </c>
      <c r="C23" s="55">
        <f>4388137.66+3456632.21</f>
        <v>7844769.8700000001</v>
      </c>
      <c r="D23" s="38">
        <v>20214472.98</v>
      </c>
      <c r="E23" s="38"/>
      <c r="F23" s="38"/>
      <c r="G23" s="38">
        <v>0</v>
      </c>
      <c r="H23" s="38"/>
      <c r="I23" s="38">
        <v>1370953</v>
      </c>
      <c r="J23" s="38"/>
      <c r="K23" s="38"/>
      <c r="L23" s="61">
        <f t="shared" si="1"/>
        <v>29430195.850000001</v>
      </c>
      <c r="O23" s="35"/>
    </row>
    <row r="24" spans="1:15" s="5" customFormat="1" x14ac:dyDescent="0.2">
      <c r="F24" s="21"/>
      <c r="G24" s="21"/>
    </row>
    <row r="25" spans="1:15" s="5" customFormat="1" x14ac:dyDescent="0.2">
      <c r="A25" s="9"/>
      <c r="B25" s="10"/>
      <c r="C25" s="10"/>
      <c r="D25" s="10"/>
      <c r="E25" s="10"/>
    </row>
    <row r="26" spans="1:15" ht="28.5" customHeight="1" x14ac:dyDescent="0.2">
      <c r="A26" s="91" t="s">
        <v>14</v>
      </c>
      <c r="B26" s="91"/>
      <c r="C26" s="91"/>
      <c r="D26" s="91"/>
      <c r="E26" s="91"/>
      <c r="F26" s="91"/>
      <c r="G26" s="91"/>
      <c r="H26" s="91"/>
      <c r="I26" s="91"/>
    </row>
    <row r="27" spans="1:15" s="3" customFormat="1" ht="270.75" customHeight="1" x14ac:dyDescent="0.2">
      <c r="A27" s="75" t="s">
        <v>68</v>
      </c>
      <c r="B27" s="76"/>
      <c r="C27" s="76"/>
      <c r="D27" s="76"/>
      <c r="E27" s="76"/>
      <c r="F27" s="76"/>
      <c r="G27" s="76"/>
      <c r="H27" s="76"/>
      <c r="I27" s="77"/>
    </row>
    <row r="28" spans="1:15" s="3" customFormat="1" x14ac:dyDescent="0.2"/>
    <row r="29" spans="1:15" s="3" customFormat="1" x14ac:dyDescent="0.2"/>
    <row r="30" spans="1:15" s="3" customFormat="1" x14ac:dyDescent="0.2"/>
    <row r="31" spans="1:15" s="3" customFormat="1" x14ac:dyDescent="0.2"/>
    <row r="32" spans="1:15" s="3" customFormat="1" x14ac:dyDescent="0.2"/>
    <row r="33" spans="1:9" s="3" customFormat="1" x14ac:dyDescent="0.2"/>
    <row r="34" spans="1:9" s="3" customFormat="1" x14ac:dyDescent="0.2"/>
    <row r="35" spans="1:9" s="3" customFormat="1" x14ac:dyDescent="0.2"/>
    <row r="36" spans="1:9" s="3" customFormat="1" x14ac:dyDescent="0.2"/>
    <row r="37" spans="1:9" s="3" customFormat="1" x14ac:dyDescent="0.2">
      <c r="A37" s="4"/>
      <c r="B37" s="4"/>
      <c r="C37" s="4"/>
      <c r="D37" s="4"/>
      <c r="E37" s="4"/>
      <c r="F37" s="4"/>
      <c r="G37" s="4"/>
      <c r="H37" s="4"/>
      <c r="I37" s="35"/>
    </row>
    <row r="38" spans="1:9" s="3" customFormat="1" x14ac:dyDescent="0.2"/>
    <row r="39" spans="1:9" s="3" customFormat="1" x14ac:dyDescent="0.2"/>
    <row r="40" spans="1:9" s="3" customFormat="1" x14ac:dyDescent="0.2"/>
    <row r="41" spans="1:9" s="3" customFormat="1" x14ac:dyDescent="0.2"/>
    <row r="42" spans="1:9" s="3" customFormat="1" x14ac:dyDescent="0.2"/>
    <row r="43" spans="1:9" s="3" customFormat="1" x14ac:dyDescent="0.2"/>
    <row r="44" spans="1:9" s="3" customFormat="1" x14ac:dyDescent="0.2"/>
    <row r="45" spans="1:9" s="3" customFormat="1" x14ac:dyDescent="0.2"/>
    <row r="46" spans="1:9" s="3" customFormat="1" x14ac:dyDescent="0.2"/>
  </sheetData>
  <sheetProtection algorithmName="SHA-512" hashValue="LLpXkAmko9XOjNtE+w3+YwNUR3N4AjCYTU3TzrX5BZXgg5o8z5rfgi/cJwUQ8gjS55tyR1ptGq5lE2ciQ++4qA==" saltValue="qoxoJ28XIM6rGOS5Hjveig==" spinCount="100000" sheet="1" objects="1" scenarios="1"/>
  <mergeCells count="13">
    <mergeCell ref="J18:K18"/>
    <mergeCell ref="A27:I27"/>
    <mergeCell ref="B5:D5"/>
    <mergeCell ref="A1:I1"/>
    <mergeCell ref="A2:I2"/>
    <mergeCell ref="B6:D6"/>
    <mergeCell ref="B7:D7"/>
    <mergeCell ref="B8:D8"/>
    <mergeCell ref="B9:D9"/>
    <mergeCell ref="A15:I15"/>
    <mergeCell ref="B10:D10"/>
    <mergeCell ref="F4:I4"/>
    <mergeCell ref="A26:I26"/>
  </mergeCells>
  <conditionalFormatting sqref="G13">
    <cfRule type="cellIs" dxfId="11" priority="5" operator="lessThan">
      <formula>0</formula>
    </cfRule>
    <cfRule type="cellIs" dxfId="10" priority="6" operator="greaterThan">
      <formula>0</formula>
    </cfRule>
  </conditionalFormatting>
  <conditionalFormatting sqref="H5:I14">
    <cfRule type="expression" dxfId="9" priority="2">
      <formula>ISODD(Compliance_Yr)</formula>
    </cfRule>
  </conditionalFormatting>
  <conditionalFormatting sqref="A22:L23">
    <cfRule type="expression" dxfId="8" priority="1">
      <formula>ISODD(Compliance_Yr)</formula>
    </cfRule>
  </conditionalFormatting>
  <dataValidations count="1">
    <dataValidation type="list" allowBlank="1" showInputMessage="1" showErrorMessage="1" sqref="B6:D6" xr:uid="{00000000-0002-0000-0100-000000000000}">
      <formula1>Utility_List</formula1>
    </dataValidation>
  </dataValidations>
  <pageMargins left="0.7" right="0.7" top="0.75" bottom="0.75" header="0.3" footer="0.3"/>
  <pageSetup scale="97" fitToHeight="0" orientation="landscape" r:id="rId1"/>
  <rowBreaks count="1" manualBreakCount="1">
    <brk id="16" max="16383" man="1"/>
  </rowBreak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1"/>
  <sheetViews>
    <sheetView workbookViewId="0">
      <selection activeCell="B16" sqref="B16"/>
    </sheetView>
  </sheetViews>
  <sheetFormatPr defaultColWidth="8.7109375" defaultRowHeight="15" x14ac:dyDescent="0.25"/>
  <cols>
    <col min="1" max="1" width="30.140625" style="24" bestFit="1" customWidth="1"/>
    <col min="2" max="2" width="11.42578125" style="24" bestFit="1" customWidth="1"/>
    <col min="3" max="16384" width="8.7109375" style="24"/>
  </cols>
  <sheetData>
    <row r="1" spans="1:2" x14ac:dyDescent="0.25">
      <c r="A1" s="22" t="s">
        <v>19</v>
      </c>
      <c r="B1" s="23" t="s">
        <v>20</v>
      </c>
    </row>
    <row r="2" spans="1:2" x14ac:dyDescent="0.25">
      <c r="A2" s="31" t="s">
        <v>21</v>
      </c>
      <c r="B2" s="25">
        <v>109</v>
      </c>
    </row>
    <row r="3" spans="1:2" x14ac:dyDescent="0.25">
      <c r="A3" s="31" t="s">
        <v>22</v>
      </c>
      <c r="B3" s="25">
        <v>4</v>
      </c>
    </row>
    <row r="4" spans="1:2" x14ac:dyDescent="0.25">
      <c r="A4" s="31" t="s">
        <v>23</v>
      </c>
      <c r="B4" s="25">
        <v>19</v>
      </c>
    </row>
    <row r="5" spans="1:2" x14ac:dyDescent="0.25">
      <c r="A5" s="31" t="s">
        <v>24</v>
      </c>
      <c r="B5" s="25">
        <v>22</v>
      </c>
    </row>
    <row r="6" spans="1:2" x14ac:dyDescent="0.25">
      <c r="A6" s="31" t="s">
        <v>25</v>
      </c>
      <c r="B6" s="25">
        <v>23</v>
      </c>
    </row>
    <row r="7" spans="1:2" x14ac:dyDescent="0.25">
      <c r="A7" s="31" t="s">
        <v>26</v>
      </c>
      <c r="B7" s="25">
        <v>33</v>
      </c>
    </row>
    <row r="8" spans="1:2" x14ac:dyDescent="0.25">
      <c r="A8" s="26" t="s">
        <v>27</v>
      </c>
      <c r="B8" s="25">
        <v>46</v>
      </c>
    </row>
    <row r="9" spans="1:2" x14ac:dyDescent="0.25">
      <c r="A9" s="32" t="s">
        <v>28</v>
      </c>
      <c r="B9" s="25">
        <v>82</v>
      </c>
    </row>
    <row r="10" spans="1:2" x14ac:dyDescent="0.25">
      <c r="A10" s="31" t="s">
        <v>29</v>
      </c>
      <c r="B10" s="25">
        <v>47</v>
      </c>
    </row>
    <row r="11" spans="1:2" x14ac:dyDescent="0.25">
      <c r="A11" s="26" t="s">
        <v>30</v>
      </c>
      <c r="B11" s="25">
        <v>48</v>
      </c>
    </row>
    <row r="12" spans="1:2" x14ac:dyDescent="0.25">
      <c r="A12" s="26" t="s">
        <v>31</v>
      </c>
      <c r="B12" s="25">
        <v>56</v>
      </c>
    </row>
    <row r="13" spans="1:2" x14ac:dyDescent="0.25">
      <c r="A13" s="26" t="s">
        <v>32</v>
      </c>
      <c r="B13" s="25">
        <v>111</v>
      </c>
    </row>
    <row r="14" spans="1:2" x14ac:dyDescent="0.25">
      <c r="A14" s="26" t="s">
        <v>33</v>
      </c>
      <c r="B14" s="25">
        <v>130</v>
      </c>
    </row>
    <row r="15" spans="1:2" x14ac:dyDescent="0.25">
      <c r="A15" s="26" t="s">
        <v>34</v>
      </c>
      <c r="B15" s="25">
        <v>84</v>
      </c>
    </row>
    <row r="16" spans="1:2" x14ac:dyDescent="0.25">
      <c r="A16" s="26" t="s">
        <v>35</v>
      </c>
      <c r="B16" s="25">
        <v>90</v>
      </c>
    </row>
    <row r="17" spans="1:2" x14ac:dyDescent="0.25">
      <c r="A17" s="26" t="s">
        <v>36</v>
      </c>
      <c r="B17" s="25">
        <v>91</v>
      </c>
    </row>
    <row r="18" spans="1:2" x14ac:dyDescent="0.25">
      <c r="A18" s="26" t="s">
        <v>37</v>
      </c>
      <c r="B18" s="25">
        <v>95</v>
      </c>
    </row>
    <row r="19" spans="1:2" x14ac:dyDescent="0.25">
      <c r="A19" s="26" t="s">
        <v>38</v>
      </c>
      <c r="B19" s="25">
        <v>97</v>
      </c>
    </row>
    <row r="20" spans="1:2" x14ac:dyDescent="0.25">
      <c r="A20" s="26" t="s">
        <v>39</v>
      </c>
      <c r="B20" s="25">
        <v>102</v>
      </c>
    </row>
    <row r="21" spans="1:2" x14ac:dyDescent="0.25">
      <c r="A21" s="33"/>
      <c r="B21" s="2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
  <sheetViews>
    <sheetView workbookViewId="0">
      <selection activeCell="F43" sqref="F43"/>
    </sheetView>
  </sheetViews>
  <sheetFormatPr defaultRowHeight="15" x14ac:dyDescent="0.25"/>
  <cols>
    <col min="1" max="1" width="19.5703125" bestFit="1" customWidth="1"/>
    <col min="2" max="2" width="14.85546875" bestFit="1" customWidth="1"/>
    <col min="3" max="3" width="14.42578125" bestFit="1" customWidth="1"/>
    <col min="4" max="4" width="14.42578125" customWidth="1"/>
    <col min="5" max="5" width="10.85546875" bestFit="1" customWidth="1"/>
    <col min="6" max="6" width="22.85546875" bestFit="1" customWidth="1"/>
    <col min="7" max="7" width="12.140625" bestFit="1" customWidth="1"/>
    <col min="8" max="8" width="26.85546875" bestFit="1" customWidth="1"/>
  </cols>
  <sheetData>
    <row r="1" spans="1:8" x14ac:dyDescent="0.25">
      <c r="A1" t="s">
        <v>49</v>
      </c>
      <c r="B1" t="s">
        <v>40</v>
      </c>
      <c r="C1" t="s">
        <v>20</v>
      </c>
      <c r="D1" t="s">
        <v>56</v>
      </c>
      <c r="E1" t="s">
        <v>13</v>
      </c>
      <c r="F1" t="s">
        <v>55</v>
      </c>
      <c r="G1" t="s">
        <v>0</v>
      </c>
      <c r="H1" t="s">
        <v>1</v>
      </c>
    </row>
    <row r="2" spans="1:8" x14ac:dyDescent="0.25">
      <c r="A2" s="41" t="str">
        <f>B2&amp;"_"&amp;C2</f>
        <v>2024_109</v>
      </c>
      <c r="B2" s="42">
        <f>Compliance_Yr</f>
        <v>2024</v>
      </c>
      <c r="C2" s="43">
        <f>VLOOKUP(Utility_Name,Metadata!$A$1:$B$20,2, TRUE)</f>
        <v>109</v>
      </c>
      <c r="D2" s="43" t="str">
        <f>Utility_Name</f>
        <v>Avista Corp.</v>
      </c>
      <c r="E2" s="43">
        <f>CON_Report_Date</f>
        <v>45444</v>
      </c>
      <c r="F2" t="str">
        <f>CON_Contact_Name</f>
        <v>Kim Boynton / Energy Efficiency</v>
      </c>
      <c r="G2" t="str">
        <f>CON_Phone</f>
        <v>509-495-4744</v>
      </c>
      <c r="H2" t="str">
        <f>CON_Email</f>
        <v>kim.boynton@avistacorp.com</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
  <sheetViews>
    <sheetView workbookViewId="0">
      <selection activeCell="F43" sqref="F43"/>
    </sheetView>
  </sheetViews>
  <sheetFormatPr defaultColWidth="8.7109375" defaultRowHeight="15" x14ac:dyDescent="0.25"/>
  <cols>
    <col min="1" max="1" width="11.5703125" style="37" bestFit="1" customWidth="1"/>
    <col min="2" max="2" width="14.7109375" style="37" bestFit="1" customWidth="1"/>
    <col min="3" max="4" width="14.7109375" style="37" customWidth="1"/>
    <col min="5" max="5" width="20.28515625" style="37" customWidth="1"/>
    <col min="6" max="6" width="24.42578125" style="37" bestFit="1" customWidth="1"/>
    <col min="7" max="7" width="25.5703125" style="37" bestFit="1" customWidth="1"/>
    <col min="8" max="8" width="13.28515625" style="37" bestFit="1" customWidth="1"/>
    <col min="9" max="9" width="18.85546875" style="37" bestFit="1" customWidth="1"/>
    <col min="10" max="10" width="18.85546875" style="37" customWidth="1"/>
    <col min="11" max="11" width="30.5703125" style="37" bestFit="1" customWidth="1"/>
    <col min="12" max="12" width="12.28515625" style="37" bestFit="1" customWidth="1"/>
    <col min="13" max="13" width="36.5703125" style="37" customWidth="1"/>
    <col min="14" max="16384" width="8.7109375" style="37"/>
  </cols>
  <sheetData>
    <row r="1" spans="1:13" x14ac:dyDescent="0.25">
      <c r="A1" s="44" t="s">
        <v>49</v>
      </c>
      <c r="B1" s="44" t="s">
        <v>40</v>
      </c>
      <c r="C1" s="44" t="s">
        <v>20</v>
      </c>
      <c r="D1" s="65" t="s">
        <v>56</v>
      </c>
      <c r="E1" s="44" t="s">
        <v>17</v>
      </c>
      <c r="F1" s="44" t="s">
        <v>50</v>
      </c>
      <c r="G1" s="44" t="s">
        <v>41</v>
      </c>
      <c r="H1" s="44" t="s">
        <v>51</v>
      </c>
      <c r="I1" s="44" t="s">
        <v>47</v>
      </c>
      <c r="J1" s="44" t="s">
        <v>54</v>
      </c>
      <c r="K1" s="44" t="s">
        <v>53</v>
      </c>
      <c r="L1" s="44" t="s">
        <v>48</v>
      </c>
      <c r="M1" s="44" t="s">
        <v>52</v>
      </c>
    </row>
    <row r="2" spans="1:13" x14ac:dyDescent="0.25">
      <c r="A2" s="44" t="str">
        <f>B2&amp;"_"&amp;C2</f>
        <v>2024_109</v>
      </c>
      <c r="B2" s="44">
        <f>Compliance_Yr</f>
        <v>2024</v>
      </c>
      <c r="C2" s="44">
        <f>VLOOKUP(Utility_Name,Metadata!$A$1:$B$20,2, TRUE)</f>
        <v>109</v>
      </c>
      <c r="D2" s="44" t="str">
        <f>Utility_Name</f>
        <v>Avista Corp.</v>
      </c>
      <c r="E2" s="44" t="str">
        <f>Current_Biennial_Period</f>
        <v>2022-2023</v>
      </c>
      <c r="F2" s="46">
        <f>CON_10Yr_Potential_Current_Biennial_Period</f>
        <v>507829</v>
      </c>
      <c r="G2" s="46">
        <f>CON_Current_2Yr_ProRata_Target</f>
        <v>101565.8</v>
      </c>
      <c r="H2" s="46">
        <f>CON_Current_2Yr_ProRata_Target</f>
        <v>101565.8</v>
      </c>
      <c r="I2" s="46">
        <f>CON_Current_2Yr_Achievement</f>
        <v>84826.94</v>
      </c>
      <c r="J2" s="46">
        <f>Excess_Conservation</f>
        <v>4841</v>
      </c>
      <c r="K2" s="46">
        <f>Total_Biennial_Conservation</f>
        <v>89667.94</v>
      </c>
      <c r="L2" s="46">
        <f>Excess_or_Deficit</f>
        <v>-11898.059999999998</v>
      </c>
      <c r="M2" s="44" t="str">
        <f>Notes</f>
        <v>Avista engages with an independent third party to provide a Conservation Potential Assessment (CPA) study to identify the level of technical, achievable technical, and economic potential that is estimated to occur over the next 25 years. The first ten years of that study are used as the utility's ten-year potential.  To set the utility's biennial target, Avista uses a pro-rata 10-year approach to setting its CPA value which is consistent with WAC 480-109-100(3)(b) requirements.</v>
      </c>
    </row>
    <row r="3" spans="1:13" x14ac:dyDescent="0.25">
      <c r="A3" s="44" t="str">
        <f>IF(ISEVEN(Compliance_Yr), B3&amp;"_"&amp;C3, "DELETE ROW")</f>
        <v>2024_109</v>
      </c>
      <c r="B3" s="44">
        <f>Compliance_Yr</f>
        <v>2024</v>
      </c>
      <c r="C3" s="44">
        <f>VLOOKUP(Utility_Name,Metadata!$A$1:$B$20,2, TRUE)</f>
        <v>109</v>
      </c>
      <c r="D3" s="44" t="str">
        <f>Utility_Name</f>
        <v>Avista Corp.</v>
      </c>
      <c r="E3" s="44" t="str">
        <f>Subsequent_Biennial_Period</f>
        <v>2024-2025</v>
      </c>
      <c r="F3" s="46">
        <f>CON_10Yr_Potential_Subsequent_Period</f>
        <v>317000</v>
      </c>
      <c r="G3" s="46">
        <f>CON_Subsequent_2Yr_ProRata_Target</f>
        <v>63400</v>
      </c>
      <c r="H3" s="46">
        <f>CON_Subsequent_2Yr_Target</f>
        <v>63374</v>
      </c>
      <c r="I3" s="45"/>
      <c r="J3" s="45"/>
      <c r="K3" s="45"/>
      <c r="L3" s="45"/>
      <c r="M3" s="4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7"/>
  <sheetViews>
    <sheetView workbookViewId="0">
      <selection activeCell="F43" sqref="F43"/>
    </sheetView>
  </sheetViews>
  <sheetFormatPr defaultRowHeight="15" x14ac:dyDescent="0.25"/>
  <cols>
    <col min="1" max="1" width="7.85546875" bestFit="1" customWidth="1"/>
    <col min="2" max="2" width="14.85546875" bestFit="1" customWidth="1"/>
    <col min="3" max="3" width="10.5703125" bestFit="1" customWidth="1"/>
    <col min="4" max="4" width="14.42578125" bestFit="1" customWidth="1"/>
    <col min="5" max="5" width="18.28515625" bestFit="1" customWidth="1"/>
    <col min="6" max="6" width="19.5703125" bestFit="1" customWidth="1"/>
    <col min="7" max="7" width="7.7109375" bestFit="1" customWidth="1"/>
    <col min="8" max="8" width="19.7109375" bestFit="1" customWidth="1"/>
  </cols>
  <sheetData>
    <row r="1" spans="1:8" x14ac:dyDescent="0.25">
      <c r="A1" s="62" t="s">
        <v>49</v>
      </c>
      <c r="B1" s="62" t="s">
        <v>40</v>
      </c>
      <c r="C1" s="62" t="s">
        <v>20</v>
      </c>
      <c r="D1" s="62" t="s">
        <v>56</v>
      </c>
      <c r="E1" s="42" t="s">
        <v>57</v>
      </c>
      <c r="F1" s="42" t="s">
        <v>63</v>
      </c>
      <c r="G1" s="42" t="s">
        <v>5</v>
      </c>
      <c r="H1" s="42" t="s">
        <v>58</v>
      </c>
    </row>
    <row r="2" spans="1:8" x14ac:dyDescent="0.25">
      <c r="A2" t="str">
        <f>B2&amp;"_"&amp;C2</f>
        <v>2024_109</v>
      </c>
      <c r="B2" s="43">
        <f t="shared" ref="B2:B17" si="0">Compliance_Yr</f>
        <v>2024</v>
      </c>
      <c r="C2" s="43">
        <f>VLOOKUP(Utility_Name,Metadata!$A$1:$B$20,2, TRUE)</f>
        <v>109</v>
      </c>
      <c r="D2" t="str">
        <f t="shared" ref="D2:D17" si="1">Utility_Name</f>
        <v>Avista Corp.</v>
      </c>
      <c r="E2" s="42">
        <v>2022</v>
      </c>
      <c r="F2" s="42" t="s">
        <v>7</v>
      </c>
      <c r="G2" s="42">
        <v>200</v>
      </c>
      <c r="H2" s="42"/>
    </row>
    <row r="3" spans="1:8" x14ac:dyDescent="0.25">
      <c r="A3" t="str">
        <f t="shared" ref="A3:A4" si="2">B3&amp;"_"&amp;C3</f>
        <v>2024_109</v>
      </c>
      <c r="B3" s="43">
        <f t="shared" si="0"/>
        <v>2024</v>
      </c>
      <c r="C3" s="43">
        <f>VLOOKUP(Utility_Name,Metadata!$A$1:$B$20,2, TRUE)</f>
        <v>109</v>
      </c>
      <c r="D3" t="str">
        <f t="shared" si="1"/>
        <v>Avista Corp.</v>
      </c>
      <c r="E3" s="42">
        <v>2022</v>
      </c>
      <c r="F3" s="42" t="s">
        <v>10</v>
      </c>
      <c r="G3" s="42">
        <v>500</v>
      </c>
      <c r="H3" s="42">
        <v>5000</v>
      </c>
    </row>
    <row r="4" spans="1:8" x14ac:dyDescent="0.25">
      <c r="A4" t="str">
        <f t="shared" si="2"/>
        <v>2024_109</v>
      </c>
      <c r="B4" s="43">
        <f t="shared" si="0"/>
        <v>2024</v>
      </c>
      <c r="C4" s="43">
        <f>VLOOKUP(Utility_Name,Metadata!$A$1:$B$20,2, TRUE)</f>
        <v>109</v>
      </c>
      <c r="D4" t="str">
        <f t="shared" si="1"/>
        <v>Avista Corp.</v>
      </c>
      <c r="E4" s="42">
        <v>2022</v>
      </c>
      <c r="F4" s="42" t="s">
        <v>6</v>
      </c>
      <c r="G4" s="42">
        <v>600</v>
      </c>
      <c r="H4" s="42">
        <v>2000</v>
      </c>
    </row>
    <row r="5" spans="1:8" x14ac:dyDescent="0.25">
      <c r="A5" t="str">
        <f t="shared" ref="A5:A17" si="3">B5&amp;"_"&amp;C5</f>
        <v>2024_109</v>
      </c>
      <c r="B5" s="43">
        <f t="shared" si="0"/>
        <v>2024</v>
      </c>
      <c r="C5" s="43">
        <f>VLOOKUP(Utility_Name,Metadata!$A$1:$B$20,2, TRUE)</f>
        <v>109</v>
      </c>
      <c r="D5" t="str">
        <f t="shared" si="1"/>
        <v>Avista Corp.</v>
      </c>
      <c r="E5" s="42">
        <v>2022</v>
      </c>
      <c r="F5" s="42" t="s">
        <v>60</v>
      </c>
      <c r="G5" s="42"/>
      <c r="H5" s="42">
        <v>9999</v>
      </c>
    </row>
    <row r="6" spans="1:8" x14ac:dyDescent="0.25">
      <c r="A6" t="str">
        <f t="shared" si="3"/>
        <v>2024_109</v>
      </c>
      <c r="B6" s="43">
        <f t="shared" si="0"/>
        <v>2024</v>
      </c>
      <c r="C6" s="43">
        <f>VLOOKUP(Utility_Name,Metadata!$A$1:$B$20,2, TRUE)</f>
        <v>109</v>
      </c>
      <c r="D6" t="str">
        <f t="shared" si="1"/>
        <v>Avista Corp.</v>
      </c>
      <c r="E6" s="42">
        <v>2022</v>
      </c>
      <c r="F6" s="42" t="s">
        <v>61</v>
      </c>
      <c r="G6" s="42"/>
      <c r="H6" s="42">
        <v>10000</v>
      </c>
    </row>
    <row r="7" spans="1:8" x14ac:dyDescent="0.25">
      <c r="A7" t="str">
        <f t="shared" si="3"/>
        <v>2024_109</v>
      </c>
      <c r="B7" s="43">
        <f t="shared" si="0"/>
        <v>2024</v>
      </c>
      <c r="C7" s="43">
        <f>VLOOKUP(Utility_Name,Metadata!$A$1:$B$20,2, TRUE)</f>
        <v>109</v>
      </c>
      <c r="D7" t="str">
        <f t="shared" si="1"/>
        <v>Avista Corp.</v>
      </c>
      <c r="E7" s="42">
        <v>2023</v>
      </c>
      <c r="F7" s="42" t="s">
        <v>8</v>
      </c>
      <c r="G7" s="42">
        <v>2000</v>
      </c>
      <c r="H7" s="42">
        <v>8000</v>
      </c>
    </row>
    <row r="8" spans="1:8" x14ac:dyDescent="0.25">
      <c r="A8" t="str">
        <f t="shared" si="3"/>
        <v>2024_109</v>
      </c>
      <c r="B8" s="43">
        <f t="shared" si="0"/>
        <v>2024</v>
      </c>
      <c r="C8" s="43">
        <f>VLOOKUP(Utility_Name,Metadata!$A$1:$B$20,2, TRUE)</f>
        <v>109</v>
      </c>
      <c r="D8" t="str">
        <f t="shared" si="1"/>
        <v>Avista Corp.</v>
      </c>
      <c r="E8" s="42">
        <v>2023</v>
      </c>
      <c r="F8" s="42" t="s">
        <v>3</v>
      </c>
      <c r="G8" s="42">
        <v>800</v>
      </c>
      <c r="H8" s="42">
        <v>10000</v>
      </c>
    </row>
    <row r="9" spans="1:8" x14ac:dyDescent="0.25">
      <c r="A9" t="str">
        <f t="shared" si="3"/>
        <v>2024_109</v>
      </c>
      <c r="B9" s="43">
        <f t="shared" si="0"/>
        <v>2024</v>
      </c>
      <c r="C9" s="43">
        <f>VLOOKUP(Utility_Name,Metadata!$A$1:$B$20,2, TRUE)</f>
        <v>109</v>
      </c>
      <c r="D9" t="str">
        <f t="shared" si="1"/>
        <v>Avista Corp.</v>
      </c>
      <c r="E9" s="42">
        <v>2023</v>
      </c>
      <c r="F9" s="42" t="s">
        <v>6</v>
      </c>
      <c r="G9" s="42">
        <v>1500</v>
      </c>
      <c r="H9" s="42">
        <v>15000</v>
      </c>
    </row>
    <row r="10" spans="1:8" x14ac:dyDescent="0.25">
      <c r="A10" t="str">
        <f t="shared" si="3"/>
        <v>2024_109</v>
      </c>
      <c r="B10" s="43">
        <f t="shared" si="0"/>
        <v>2024</v>
      </c>
      <c r="C10" s="43">
        <f>VLOOKUP(Utility_Name,Metadata!$A$1:$B$20,2, TRUE)</f>
        <v>109</v>
      </c>
      <c r="D10" t="str">
        <f t="shared" si="1"/>
        <v>Avista Corp.</v>
      </c>
    </row>
    <row r="11" spans="1:8" x14ac:dyDescent="0.25">
      <c r="A11" t="str">
        <f t="shared" si="3"/>
        <v>2024_109</v>
      </c>
      <c r="B11" s="43">
        <f t="shared" si="0"/>
        <v>2024</v>
      </c>
      <c r="C11" s="43">
        <f>VLOOKUP(Utility_Name,Metadata!$A$1:$B$20,2, TRUE)</f>
        <v>109</v>
      </c>
      <c r="D11" t="str">
        <f t="shared" si="1"/>
        <v>Avista Corp.</v>
      </c>
    </row>
    <row r="12" spans="1:8" x14ac:dyDescent="0.25">
      <c r="A12" t="str">
        <f t="shared" si="3"/>
        <v>2024_109</v>
      </c>
      <c r="B12" s="43">
        <f t="shared" si="0"/>
        <v>2024</v>
      </c>
      <c r="C12" s="43">
        <f>VLOOKUP(Utility_Name,Metadata!$A$1:$B$20,2, TRUE)</f>
        <v>109</v>
      </c>
      <c r="D12" t="str">
        <f t="shared" si="1"/>
        <v>Avista Corp.</v>
      </c>
    </row>
    <row r="13" spans="1:8" x14ac:dyDescent="0.25">
      <c r="A13" t="str">
        <f t="shared" si="3"/>
        <v>2024_109</v>
      </c>
      <c r="B13" s="43">
        <f t="shared" si="0"/>
        <v>2024</v>
      </c>
      <c r="C13" s="43">
        <f>VLOOKUP(Utility_Name,Metadata!$A$1:$B$20,2, TRUE)</f>
        <v>109</v>
      </c>
      <c r="D13" t="str">
        <f t="shared" si="1"/>
        <v>Avista Corp.</v>
      </c>
    </row>
    <row r="14" spans="1:8" x14ac:dyDescent="0.25">
      <c r="A14" t="str">
        <f t="shared" si="3"/>
        <v>2024_109</v>
      </c>
      <c r="B14" s="43">
        <f t="shared" si="0"/>
        <v>2024</v>
      </c>
      <c r="C14" s="43">
        <f>VLOOKUP(Utility_Name,Metadata!$A$1:$B$20,2, TRUE)</f>
        <v>109</v>
      </c>
      <c r="D14" t="str">
        <f t="shared" si="1"/>
        <v>Avista Corp.</v>
      </c>
    </row>
    <row r="15" spans="1:8" x14ac:dyDescent="0.25">
      <c r="A15" t="str">
        <f t="shared" si="3"/>
        <v>2024_109</v>
      </c>
      <c r="B15" s="43">
        <f t="shared" si="0"/>
        <v>2024</v>
      </c>
      <c r="C15" s="43">
        <f>VLOOKUP(Utility_Name,Metadata!$A$1:$B$20,2, TRUE)</f>
        <v>109</v>
      </c>
      <c r="D15" t="str">
        <f t="shared" si="1"/>
        <v>Avista Corp.</v>
      </c>
    </row>
    <row r="16" spans="1:8" x14ac:dyDescent="0.25">
      <c r="A16" t="str">
        <f t="shared" si="3"/>
        <v>2024_109</v>
      </c>
      <c r="B16" s="43">
        <f t="shared" si="0"/>
        <v>2024</v>
      </c>
      <c r="C16" s="43">
        <f>VLOOKUP(Utility_Name,Metadata!$A$1:$B$20,2, TRUE)</f>
        <v>109</v>
      </c>
      <c r="D16" t="str">
        <f t="shared" si="1"/>
        <v>Avista Corp.</v>
      </c>
    </row>
    <row r="17" spans="1:4" x14ac:dyDescent="0.25">
      <c r="A17" t="str">
        <f t="shared" si="3"/>
        <v>2024_109</v>
      </c>
      <c r="B17" s="43">
        <f t="shared" si="0"/>
        <v>2024</v>
      </c>
      <c r="C17" s="43">
        <f>VLOOKUP(Utility_Name,Metadata!$A$1:$B$20,2, TRUE)</f>
        <v>109</v>
      </c>
      <c r="D17" t="str">
        <f t="shared" si="1"/>
        <v>Avista Corp.</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s q m i d = " 9 7 4 1 6 4 3 a - d d b 9 - 4 1 a 5 - b 5 8 5 - 9 8 6 e a c e a f 3 f f "   x m l n s = " h t t p : / / s c h e m a s . m i c r o s o f t . c o m / D a t a M a s h u p " > A A A A A M A E A A B Q S w M E F A A C A A g A 6 I a D W N H d V o y m A A A A + A A A A B I A H A B D b 2 5 m a W c v U G F j a 2 F n Z S 5 4 b W w g o h g A K K A U A A A A A A A A A A A A A A A A A A A A A A A A A A A A h Y + 9 D o I w G E V f h X S n f y p R 8 l E G V 0 l M i M a 1 g Q q N U A w t 1 n d z 8 J F 8 B U k U d X O 8 J 2 c 4 9 3 G 7 Q 3 p t m + C i e q s 7 k y C G K Q q U K b p S m y p B g z u G S 5 Q K 2 M r i J C s V j L K x 8 d W W C a q d O 8 e E e O + x n + G u r w i n l J F D t s m L W r U S f W T 9 X w 6 1 s U 6 a Q i E B + 1 e M 4 D h i e M F W H M 8 j B m T C k G n z V f h Y j C m Q H w j r o X F D r 4 Q y 4 S 4 H M k 0 g 7 x f i C V B L A w Q U A A I A C A D o h o N 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a D W J q P l u 2 4 A Q A A P g Q A A B M A H A B G b 3 J t d W x h c y 9 T Z W N 0 a W 9 u M S 5 t I K I Y A C i g F A A A A A A A A A A A A A A A A A A A A A A A A A A A A I V U X U v D M B R 9 H + w / h P j S Q i l U x B f x Y d Q J A 7 9 w 6 p C x h y y 9 W 4 N p M t J E L W P / 3 a Q Z a 2 e r 6 0 v h n H P P v c 2 5 a Q l U M y n Q 1 L + T q + F g O C h z o i B D L 2 T J I U H X i I M e D p B 9 p t I o C h Y Z f 1 P g c W q U A q F n U n 0 s p f w I w u 3 8 g R R w j X 0 l X u z m q R T a S h a R N z j D a U 7 E 2 p l X G 8 D W q Z b G L 4 q I c i V V k U p u C u H I M v D d o u 0 W j 2 j O 4 B M K 6 4 T e g S g c o Y n Q l x e x E + 4 i t M V v h B u w s L Y A 0 v C t a x Q 9 Q 8 k y W 8 U I R 9 0 i l M q i A E U t 2 0 N O R G Z K r T x Z + x J R e W q 0 V o w a r o 2 C D n f D X N H S 1 M c 6 X q 0 Y Z S B o 1 d E 9 K Z k Z e k r 1 M B 6 P f o P 3 r K Q o J R r W U l U o + Z 8 + b 9 O 7 8 J D D L e P c x n A j v 0 Q T g w M d E v z K K e q J o O X 1 K j b s U 2 q r 9 v G V j e O e e t Q 5 q D 0 Z H D d 3 I / f k u 0 / U f h E e a X + g c I D j B D f d n 4 5 6 N 6 1 r P O i b L k J 3 N q T Y J c U E 7 d f M 6 0 a L 8 D B J q / e + f m q K s H e v k x O L 3 Z n Z 7 f j 9 L O 8 u 4 a t m n O n K 3 r c N i I y 5 h X P j + 4 t H K y 9 s J f E M w l 7 A n h w 8 0 S R w P G 5 9 x 9 q n 7 H 4 H 0 m a 8 C 4 c D J v 5 y v / o B U E s B A i 0 A F A A C A A g A 6 I a D W N H d V o y m A A A A + A A A A B I A A A A A A A A A A A A A A A A A A A A A A E N v b m Z p Z y 9 Q Y W N r Y W d l L n h t b F B L A Q I t A B Q A A g A I A O i G g 1 g P y u m r p A A A A O k A A A A T A A A A A A A A A A A A A A A A A P I A A A B b Q 2 9 u d G V u d F 9 U e X B l c 1 0 u e G 1 s U E s B A i 0 A F A A C A A g A 6 I a D W J q P l u 2 4 A Q A A P g Q A A B M A A A A A A A A A A A A A A A A A 4 w E A A E Z v c m 1 1 b G F z L 1 N l Y 3 R p b 2 4 x L m 1 Q S w U G A A A A A A M A A w D C A A A A 6 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Q Q 0 A A A A A A A A f D 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O Y X Z p Z 2 F 0 a W 9 u U 3 R l c E 5 h b W U i I F Z h b H V l P S J z T m F 2 a W d h d G l v b i I g L z 4 8 R W 5 0 c n k g V H l w Z T 0 i Q n V m Z m V y T m V 4 d F J l Z n J l c 2 g i I F Z h b H V l P S J s M S I g L z 4 8 R W 5 0 c n k g V H l w Z T 0 i U m V z d W x 0 V H l w Z S I g V m F s d W U 9 I n N F e G N l c H R p b 2 4 i I C 8 + P E V u d H J 5 I F R 5 c G U 9 I k 5 h b W V V c G R h d G V k Q W Z 0 Z X J G a W x s I i B W Y W x 1 Z T 0 i b D A i I C 8 + P E V u d H J 5 I F R 5 c G U 9 I k Z p b G x F b m F i b G V k I i B W Y W x 1 Z T 0 i b D E i I C 8 + P E V u d H J 5 I F R 5 c G U 9 I k Z p b G x P Y m p l Y 3 R U e X B l I i B W Y W x 1 Z T 0 i c 1 R h Y m x l I i A v P j x F b n R y e S B U e X B l P S J G a W x s V G 9 E Y X R h T W 9 k Z W x F b m F i b G V k I i B W Y W x 1 Z T 0 i b D A i I C 8 + P E V u d H J 5 I F R 5 c G U 9 I k Z p b G x U Y X J n Z X Q i I F Z h b H V l P S J z V G F i b G U x X z I i I C 8 + P E V u d H J 5 I F R 5 c G U 9 I k Z p b G x l Z E N v b X B s Z X R l U m V z d W x 0 V G 9 X b 3 J r c 2 h l Z X Q i I F Z h b H V l P S J s M S I g L z 4 8 R W 5 0 c n k g V H l w Z T 0 i U m V j b 3 Z l c n l U Y X J n Z X R T a G V l d C I g V m F s d W U 9 I n N T a G V l d D I i I C 8 + P E V u d H J 5 I F R 5 c G U 9 I l J l Y 2 9 2 Z X J 5 V G F y Z 2 V 0 Q 2 9 s d W 1 u I i B W Y W x 1 Z T 0 i b D E i I C 8 + P E V u d H J 5 I F R 5 c G U 9 I l J l Y 2 9 2 Z X J 5 V G F y Z 2 V 0 U m 9 3 I i B W Y W x 1 Z T 0 i b D E i I C 8 + P E V u d H J 5 I F R 5 c G U 9 I k Z p b G x T d G F 0 d X M i I F Z h b H V l P S J z V 2 F p d G l u Z 0 Z v c k V 4 Y 2 V s U m V m c m V z a C I g L z 4 8 R W 5 0 c n k g V H l w Z T 0 i R m l s b E N v b H V t b k 5 h b W V z I i B W Y W x 1 Z T 0 i c 1 s m c X V v d D t B Y 2 h p Z X Z l b W V u d C B Z Z W F y J n F 1 b 3 Q 7 L C Z x d W 9 0 O 1 N l Y 3 R v c i Z x d W 9 0 O y w m c X V v d D t N V 2 g m c X V v d D s s J n F 1 b 3 Q 7 V X R p b G l 0 e S B F e H B l b m R p d H V y Z X M m c X V v d D t d I i A v P j x F b n R y e S B U e X B l P S J G a W x s Q 2 9 s d W 1 u V H l w Z X M i I F Z h b H V l P S J z Q X d Z R E V R P T 0 i I C 8 + P E V u d H J 5 I F R 5 c G U 9 I k Z p b G x M Y X N 0 V X B k Y X R l Z C I g V m F s d W U 9 I m Q y M D I 0 L T A 0 L T A z V D I z O j U 1 O j E 0 L j A 5 M j c x M j h a I i A v P j x F b n R y e S B U e X B l P S J G a W x s R X J y b 3 J D b 3 V u d C I g V m F s d W U 9 I m w w I i A v P j x F b n R y e S B U e X B l P S J G a W x s R X J y b 3 J D b 2 R l I i B W Y W x 1 Z T 0 i c 1 V u a 2 5 v d 2 4 i I C 8 + P E V u d H J 5 I F R 5 c G U 9 I k Z p b G x D b 3 V u d C I g V m F s d W U 9 I m w w I i A v P j x F b n R y e S B U e X B l P S J R d W V y e U l E I i B W Y W x 1 Z T 0 i c z A 4 Y z g z Y z c 3 L T M z M z M t N D E 5 N S 0 4 M D B j L T l j N D Z i M z V h O G U 5 Z i 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U Y W J s Z T E v U G l 2 b 3 R l Z C B D b 2 x 1 b W 4 u e 0 F j a G l l d m V t Z W 5 0 I F l l Y X I s M H 0 m c X V v d D s s J n F 1 b 3 Q 7 U 2 V j d G l v b j E v V G F i b G U x L 1 B p d m 9 0 Z W Q g Q 2 9 s d W 1 u L n t B d H R y a W J 1 d G U s M X 0 m c X V v d D s s J n F 1 b 3 Q 7 U 2 V j d G l v b j E v V G F i b G U x L 0 N o Y W 5 n Z W Q g V H l w Z T E u e 0 1 X a C w y f S Z x d W 9 0 O y w m c X V v d D t T Z W N 0 a W 9 u M S 9 U Y W J s Z T E v Q 2 h h b m d l Z C B U e X B l M S 5 7 V X R p b G l 0 e S B F e H B l b m R p d H V y Z X M s M 3 0 m c X V v d D t d L C Z x d W 9 0 O 0 N v b H V t b k N v d W 5 0 J n F 1 b 3 Q 7 O j Q s J n F 1 b 3 Q 7 S 2 V 5 Q 2 9 s d W 1 u T m F t Z X M m c X V v d D s 6 W 1 0 s J n F 1 b 3 Q 7 Q 2 9 s d W 1 u S W R l b n R p d G l l c y Z x d W 9 0 O z p b J n F 1 b 3 Q 7 U 2 V j d G l v b j E v V G F i b G U x L 1 B p d m 9 0 Z W Q g Q 2 9 s d W 1 u L n t B Y 2 h p Z X Z l b W V u d C B Z Z W F y L D B 9 J n F 1 b 3 Q 7 L C Z x d W 9 0 O 1 N l Y 3 R p b 2 4 x L 1 R h Y m x l M S 9 Q a X Z v d G V k I E N v b H V t b i 5 7 Q X R 0 c m l i d X R l L D F 9 J n F 1 b 3 Q 7 L C Z x d W 9 0 O 1 N l Y 3 R p b 2 4 x L 1 R h Y m x l M S 9 D a G F u Z 2 V k I F R 5 c G U x L n t N V 2 g s M n 0 m c X V v d D s s J n F 1 b 3 Q 7 U 2 V j d G l v b j E v V G F i b G U x L 0 N o Y W 5 n Z W Q g V H l w Z T E u e 1 V 0 a W x p d H k g R X h w Z W 5 k a X R 1 c m V z L D N 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G x l Z C U y M E R v d 2 4 8 L 0 l 0 Z W 1 Q Y X R o P j w v S X R l b U x v Y 2 F 0 a W 9 u P j x T d G F i b G V F b n R y a W V z I C 8 + P C 9 J d G V t P j x J d G V t P j x J d G V t T G 9 j Y X R p b 2 4 + P E l 0 Z W 1 U e X B l P k Z v c m 1 1 b G E 8 L 0 l 0 Z W 1 U e X B l P j x J d G V t U G F 0 a D 5 T Z W N 0 a W 9 u M S 9 U Y W J s Z T E v V W 5 w a X Z v d G V k J T I w Q 2 9 s d W 1 u c z w v S X R l b V B h d G g + P C 9 J d G V t T G 9 j Y X R p b 2 4 + P F N 0 Y W J s Z U V u d H J p Z X M g L z 4 8 L 0 l 0 Z W 0 + P E l 0 Z W 0 + P E l 0 Z W 1 M b 2 N h d G l v b j 4 8 S X R l b V R 5 c G U + R m 9 y b X V s Y T w v S X R l b V R 5 c G U + P E l 0 Z W 1 Q Y X R o P l N l Y 3 R p b 2 4 x L 1 R h Y m x l M S 9 Q a X Z v d G V k J T I w Q 2 9 s d W 1 u P C 9 J d G V t U G F 0 a D 4 8 L 0 l 0 Z W 1 M b 2 N h d G l v b j 4 8 U 3 R h Y m x l R W 5 0 c m l l c y A v P j w v S X R l b T 4 8 S X R l b T 4 8 S X R l b U x v Y 2 F 0 a W 9 u P j x J d G V t V H l w Z T 5 G b 3 J t d W x h P C 9 J d G V t V H l w Z T 4 8 S X R l b V B h d G g + U 2 V j d G l v b j E v V G F i b G U x L 0 N o Y W 5 n Z W Q l M j B U e X B l M T w v S X R l b V B h d G g + P C 9 J d G V t T G 9 j Y X R p b 2 4 + P F N 0 Y W J s Z U V u d H J p Z X M g L z 4 8 L 0 l 0 Z W 0 + P E l 0 Z W 0 + P E l 0 Z W 1 M b 2 N h d G l v b j 4 8 S X R l b V R 5 c G U + R m 9 y b X V s Y T w v S X R l b V R 5 c G U + P E l 0 Z W 1 Q Y X R o P l N l Y 3 R p b 2 4 x L 1 R h Y m x l M S 9 S Z W 5 h b W V k J T I w Q 2 9 s d W 1 u c z w v S X R l b V B h d G g + P C 9 J d G V t T G 9 j Y X R p b 2 4 + P F N 0 Y W J s Z U V u d H J p Z X M g L z 4 8 L 0 l 0 Z W 0 + P C 9 J d G V t c z 4 8 L 0 x v Y 2 F s U G F j a 2 F n Z U 1 l d G F k Y X R h R m l s Z T 4 W A A A A U E s F B g A A A A A A A A A A A A A A A A A A A A A A A N o A A A A B A A A A 0 I y d 3 w E V 0 R G M e g D A T 8 K X 6 w E A A A B H T S v L h p 9 0 Q Y 0 v S U Z J a v i P A A A A A A I A A A A A A A N m A A D A A A A A E A A A A P n G B + M 8 G L 9 F G m T t h D Q Z s M k A A A A A B I A A A K A A A A A Q A A A A P i 3 v 2 Z u i O y 2 6 x z s N L H p W h l A A A A A s 3 s q g L C 4 q j r H s 8 7 D k f r e d D l l a q X h I E q 3 Q I v e w z 0 K F X Q n l z S k D 8 Z c M H z 9 z 2 7 D s r V Z o L y U f n j u u O t N + U 5 j 9 G / + a i 8 U F t U + w U E A / 1 d h T / a M N s R Q A A A A Z b 1 W c 6 X J E T q 8 j W J j b e s 2 M Y h g C 2 g = = < / D a t a M a s h u p > 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150</IndustryCode>
    <CaseStatus xmlns="dc463f71-b30c-4ab2-9473-d307f9d35888">Pending</CaseStatus>
    <OpenedDate xmlns="dc463f71-b30c-4ab2-9473-d307f9d35888">2021-11-01T07:00:00+00:00</OpenedDate>
    <SignificantOrder xmlns="dc463f71-b30c-4ab2-9473-d307f9d35888">false</SignificantOrder>
    <Date1 xmlns="dc463f71-b30c-4ab2-9473-d307f9d35888">2024-05-31T07:00:00+00:00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210827</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F2A7429E7A4BD4A98A99580D0BA7C79" ma:contentTypeVersion="44" ma:contentTypeDescription="" ma:contentTypeScope="" ma:versionID="92eb58879339720051ceecaf642782d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D4F4CD4-6E80-4849-8488-74B34127FC6E}">
  <ds:schemaRefs>
    <ds:schemaRef ds:uri="http://schemas.microsoft.com/DataMashup"/>
  </ds:schemaRefs>
</ds:datastoreItem>
</file>

<file path=customXml/itemProps2.xml><?xml version="1.0" encoding="utf-8"?>
<ds:datastoreItem xmlns:ds="http://schemas.openxmlformats.org/officeDocument/2006/customXml" ds:itemID="{B5134EF7-F04D-4218-953F-7A835D8EE7C1}">
  <ds:schemaRefs>
    <ds:schemaRef ds:uri="http://purl.org/dc/elements/1.1/"/>
    <ds:schemaRef ds:uri="http://purl.org/dc/dcmitype/"/>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4.xml><?xml version="1.0" encoding="utf-8"?>
<ds:datastoreItem xmlns:ds="http://schemas.openxmlformats.org/officeDocument/2006/customXml" ds:itemID="{554019CB-09DA-4AE3-A03F-59482231FE68}"/>
</file>

<file path=customXml/itemProps5.xml><?xml version="1.0" encoding="utf-8"?>
<ds:datastoreItem xmlns:ds="http://schemas.openxmlformats.org/officeDocument/2006/customXml" ds:itemID="{60212642-2733-42FE-98B4-446F137A9C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24</vt:i4>
      </vt:variant>
    </vt:vector>
  </HeadingPairs>
  <TitlesOfParts>
    <vt:vector size="30" baseType="lpstr">
      <vt:lpstr>Background</vt:lpstr>
      <vt:lpstr>Conservation Report</vt:lpstr>
      <vt:lpstr>Metadata</vt:lpstr>
      <vt:lpstr>CON_Contact Data</vt:lpstr>
      <vt:lpstr>CON_Compliance Data</vt:lpstr>
      <vt:lpstr>CON_Sector Data</vt:lpstr>
      <vt:lpstr>Compliance_Yr</vt:lpstr>
      <vt:lpstr>CON_10Yr_Potential_Current_Biennial_Period</vt:lpstr>
      <vt:lpstr>CON_10Yr_Potential_Subsequent_Period</vt:lpstr>
      <vt:lpstr>CON_Contact_Name</vt:lpstr>
      <vt:lpstr>CON_Current_2Yr_Achievement</vt:lpstr>
      <vt:lpstr>CON_Current_2Yr_ProRata_Target</vt:lpstr>
      <vt:lpstr>CON_Current_2Yr_Target</vt:lpstr>
      <vt:lpstr>CON_Email</vt:lpstr>
      <vt:lpstr>CON_Phone</vt:lpstr>
      <vt:lpstr>CON_Report_Date</vt:lpstr>
      <vt:lpstr>CON_Subsequent_2Yr_ProRata_Target</vt:lpstr>
      <vt:lpstr>CON_Subsequent_2Yr_Target</vt:lpstr>
      <vt:lpstr>Current_Biennial_Period</vt:lpstr>
      <vt:lpstr>Current_Biennial_Period_Yr1_Achievement</vt:lpstr>
      <vt:lpstr>Current_Biennial_Period_Yr2_Achievement</vt:lpstr>
      <vt:lpstr>Excess_Conservation</vt:lpstr>
      <vt:lpstr>Excess_or_Deficit</vt:lpstr>
      <vt:lpstr>Notes</vt:lpstr>
      <vt:lpstr>'Conservation Report'!Print_Area</vt:lpstr>
      <vt:lpstr>Prior_Biennial_Conservation_Achievement</vt:lpstr>
      <vt:lpstr>Subsequent_Biennial_Period</vt:lpstr>
      <vt:lpstr>Total_Biennial_Conservation</vt:lpstr>
      <vt:lpstr>Utility_List</vt:lpstr>
      <vt:lpstr>Utility_Name</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Oglesby, Austin</cp:lastModifiedBy>
  <cp:lastPrinted>2019-04-03T22:15:51Z</cp:lastPrinted>
  <dcterms:created xsi:type="dcterms:W3CDTF">2012-03-20T21:01:26Z</dcterms:created>
  <dcterms:modified xsi:type="dcterms:W3CDTF">2024-05-31T18:48:46Z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0x0101006E56B4D1795A2E4DB2F0B01679ED314A00BF2A7429E7A4BD4A98A99580D0BA7C79</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ies>
</file>