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8795" windowHeight="8190" activeTab="2"/>
  </bookViews>
  <sheets>
    <sheet name="Summary" sheetId="3" r:id="rId1"/>
    <sheet name="IncHydbyYr" sheetId="1" r:id="rId2"/>
    <sheet name="MonthlyFlowData" sheetId="2" r:id="rId3"/>
  </sheets>
  <definedNames>
    <definedName name="_xlnm.Print_Area" localSheetId="0">Summary!$B$1:$J$10</definedName>
    <definedName name="_xlnm.Print_Titles" localSheetId="1">IncHydbyYr!$1:$2</definedName>
  </definedNames>
  <calcPr calcId="145621"/>
</workbook>
</file>

<file path=xl/calcChain.xml><?xml version="1.0" encoding="utf-8"?>
<calcChain xmlns="http://schemas.openxmlformats.org/spreadsheetml/2006/main">
  <c r="E73" i="1" l="1"/>
  <c r="H79" i="1"/>
  <c r="E79" i="1"/>
  <c r="E78" i="1"/>
  <c r="F78" i="1" s="1"/>
  <c r="E77" i="1"/>
  <c r="F76" i="1"/>
  <c r="E76" i="1"/>
  <c r="H75" i="1"/>
  <c r="E75" i="1"/>
  <c r="H73" i="1"/>
  <c r="E72" i="1"/>
  <c r="F72" i="1" s="1"/>
  <c r="E71" i="1"/>
  <c r="E70" i="1"/>
  <c r="H69" i="1"/>
  <c r="I69" i="1" s="1"/>
  <c r="E69" i="1"/>
  <c r="F69" i="1" s="1"/>
  <c r="P69" i="1" s="1"/>
  <c r="O69" i="1" s="1"/>
  <c r="H67" i="1"/>
  <c r="E67" i="1"/>
  <c r="E66" i="1"/>
  <c r="F66" i="1" s="1"/>
  <c r="E65" i="1"/>
  <c r="I65" i="1" s="1"/>
  <c r="E64" i="1"/>
  <c r="F64" i="1" s="1"/>
  <c r="H63" i="1"/>
  <c r="E63" i="1"/>
  <c r="I75" i="1" l="1"/>
  <c r="I63" i="1"/>
  <c r="P66" i="1"/>
  <c r="O66" i="1" s="1"/>
  <c r="J69" i="1"/>
  <c r="L69" i="1" s="1"/>
  <c r="M69" i="1" s="1"/>
  <c r="K69" i="1"/>
  <c r="Q69" i="1" s="1"/>
  <c r="F70" i="1"/>
  <c r="P70" i="1" s="1"/>
  <c r="O70" i="1" s="1"/>
  <c r="P72" i="1"/>
  <c r="O72" i="1" s="1"/>
  <c r="F75" i="1"/>
  <c r="P75" i="1" s="1"/>
  <c r="O75" i="1" s="1"/>
  <c r="P76" i="1"/>
  <c r="O76" i="1" s="1"/>
  <c r="K75" i="1"/>
  <c r="Q75" i="1" s="1"/>
  <c r="P78" i="1"/>
  <c r="O78" i="1" s="1"/>
  <c r="I79" i="1"/>
  <c r="I73" i="1"/>
  <c r="I67" i="1"/>
  <c r="F63" i="1"/>
  <c r="J63" i="1" s="1"/>
  <c r="K63" i="1"/>
  <c r="F65" i="1"/>
  <c r="J65" i="1" s="1"/>
  <c r="K65" i="1"/>
  <c r="P65" i="1"/>
  <c r="O65" i="1" s="1"/>
  <c r="K67" i="1"/>
  <c r="F67" i="1"/>
  <c r="P67" i="1" s="1"/>
  <c r="O67" i="1" s="1"/>
  <c r="R69" i="1"/>
  <c r="S69" i="1" s="1"/>
  <c r="P64" i="1"/>
  <c r="O64" i="1" s="1"/>
  <c r="K64" i="1"/>
  <c r="I64" i="1"/>
  <c r="J64" i="1" s="1"/>
  <c r="I66" i="1"/>
  <c r="J66" i="1" s="1"/>
  <c r="K66" i="1"/>
  <c r="I70" i="1"/>
  <c r="J70" i="1" s="1"/>
  <c r="K70" i="1"/>
  <c r="F71" i="1"/>
  <c r="P71" i="1" s="1"/>
  <c r="O71" i="1" s="1"/>
  <c r="I72" i="1"/>
  <c r="J72" i="1" s="1"/>
  <c r="K72" i="1"/>
  <c r="F73" i="1"/>
  <c r="K73" i="1"/>
  <c r="P73" i="1"/>
  <c r="O73" i="1" s="1"/>
  <c r="I76" i="1"/>
  <c r="J76" i="1" s="1"/>
  <c r="K76" i="1"/>
  <c r="F77" i="1"/>
  <c r="P77" i="1" s="1"/>
  <c r="O77" i="1" s="1"/>
  <c r="I78" i="1"/>
  <c r="J78" i="1" s="1"/>
  <c r="K78" i="1"/>
  <c r="F79" i="1"/>
  <c r="K79" i="1"/>
  <c r="I71" i="1"/>
  <c r="K71" i="1"/>
  <c r="I77" i="1"/>
  <c r="K77" i="1"/>
  <c r="A9" i="1"/>
  <c r="A15" i="1" s="1"/>
  <c r="A21" i="1" s="1"/>
  <c r="A27" i="1" s="1"/>
  <c r="A33" i="1" s="1"/>
  <c r="A39" i="1" s="1"/>
  <c r="A45" i="1" s="1"/>
  <c r="A51" i="1" s="1"/>
  <c r="A57" i="1" s="1"/>
  <c r="A63" i="1" s="1"/>
  <c r="A69" i="1" s="1"/>
  <c r="A75" i="1" s="1"/>
  <c r="J75" i="1" l="1"/>
  <c r="J71" i="1"/>
  <c r="L75" i="1"/>
  <c r="M75" i="1" s="1"/>
  <c r="P63" i="1"/>
  <c r="O63" i="1" s="1"/>
  <c r="R75" i="1"/>
  <c r="S75" i="1" s="1"/>
  <c r="U69" i="1"/>
  <c r="J77" i="1"/>
  <c r="L77" i="1" s="1"/>
  <c r="M77" i="1" s="1"/>
  <c r="J67" i="1"/>
  <c r="L67" i="1" s="1"/>
  <c r="M67" i="1" s="1"/>
  <c r="J79" i="1"/>
  <c r="L79" i="1" s="1"/>
  <c r="M79" i="1" s="1"/>
  <c r="J73" i="1"/>
  <c r="L73" i="1" s="1"/>
  <c r="M73" i="1" s="1"/>
  <c r="Q77" i="1"/>
  <c r="R77" i="1" s="1"/>
  <c r="S77" i="1" s="1"/>
  <c r="Q66" i="1"/>
  <c r="R66" i="1" s="1"/>
  <c r="S66" i="1" s="1"/>
  <c r="L66" i="1"/>
  <c r="M66" i="1" s="1"/>
  <c r="Q65" i="1"/>
  <c r="R65" i="1" s="1"/>
  <c r="S65" i="1" s="1"/>
  <c r="L65" i="1"/>
  <c r="M65" i="1" s="1"/>
  <c r="Q63" i="1"/>
  <c r="R63" i="1" s="1"/>
  <c r="S63" i="1" s="1"/>
  <c r="L63" i="1"/>
  <c r="M63" i="1" s="1"/>
  <c r="Q71" i="1"/>
  <c r="R71" i="1" s="1"/>
  <c r="S71" i="1" s="1"/>
  <c r="L71" i="1"/>
  <c r="M71" i="1" s="1"/>
  <c r="P79" i="1"/>
  <c r="O79" i="1" s="1"/>
  <c r="Q79" i="1"/>
  <c r="Q78" i="1"/>
  <c r="R78" i="1" s="1"/>
  <c r="S78" i="1" s="1"/>
  <c r="L78" i="1"/>
  <c r="M78" i="1" s="1"/>
  <c r="Q76" i="1"/>
  <c r="R76" i="1" s="1"/>
  <c r="S76" i="1" s="1"/>
  <c r="L76" i="1"/>
  <c r="M76" i="1" s="1"/>
  <c r="Q73" i="1"/>
  <c r="R73" i="1" s="1"/>
  <c r="S73" i="1" s="1"/>
  <c r="Q72" i="1"/>
  <c r="R72" i="1" s="1"/>
  <c r="S72" i="1" s="1"/>
  <c r="L72" i="1"/>
  <c r="M72" i="1" s="1"/>
  <c r="Q70" i="1"/>
  <c r="R70" i="1" s="1"/>
  <c r="S70" i="1" s="1"/>
  <c r="L70" i="1"/>
  <c r="M70" i="1" s="1"/>
  <c r="Q64" i="1"/>
  <c r="R64" i="1" s="1"/>
  <c r="S64" i="1" s="1"/>
  <c r="L64" i="1"/>
  <c r="M64" i="1" s="1"/>
  <c r="Q67" i="1"/>
  <c r="R67" i="1" s="1"/>
  <c r="S67" i="1" s="1"/>
  <c r="H61" i="1"/>
  <c r="E61" i="1"/>
  <c r="F61" i="1" s="1"/>
  <c r="P61" i="1" s="1"/>
  <c r="O61" i="1" s="1"/>
  <c r="E60" i="1"/>
  <c r="E59" i="1"/>
  <c r="E58" i="1"/>
  <c r="H57" i="1"/>
  <c r="E57" i="1"/>
  <c r="H55" i="1"/>
  <c r="E55" i="1"/>
  <c r="E54" i="1"/>
  <c r="E53" i="1"/>
  <c r="F53" i="1" s="1"/>
  <c r="E52" i="1"/>
  <c r="H51" i="1"/>
  <c r="E51" i="1"/>
  <c r="H49" i="1"/>
  <c r="E49" i="1"/>
  <c r="F49" i="1" s="1"/>
  <c r="P49" i="1" s="1"/>
  <c r="O49" i="1" s="1"/>
  <c r="E48" i="1"/>
  <c r="E47" i="1"/>
  <c r="E46" i="1"/>
  <c r="H45" i="1"/>
  <c r="E45" i="1"/>
  <c r="H43" i="1"/>
  <c r="E43" i="1"/>
  <c r="K43" i="1" s="1"/>
  <c r="Q43" i="1" s="1"/>
  <c r="E42" i="1"/>
  <c r="E41" i="1"/>
  <c r="F41" i="1" s="1"/>
  <c r="E40" i="1"/>
  <c r="I40" i="1" s="1"/>
  <c r="H39" i="1"/>
  <c r="E39" i="1"/>
  <c r="H37" i="1"/>
  <c r="E37" i="1"/>
  <c r="F37" i="1" s="1"/>
  <c r="P37" i="1" s="1"/>
  <c r="O37" i="1" s="1"/>
  <c r="E36" i="1"/>
  <c r="I36" i="1" s="1"/>
  <c r="E35" i="1"/>
  <c r="F35" i="1" s="1"/>
  <c r="E34" i="1"/>
  <c r="I34" i="1" s="1"/>
  <c r="H33" i="1"/>
  <c r="E33" i="1"/>
  <c r="H31" i="1"/>
  <c r="E31" i="1"/>
  <c r="E30" i="1"/>
  <c r="E29" i="1"/>
  <c r="E28" i="1"/>
  <c r="F28" i="1" s="1"/>
  <c r="H27" i="1"/>
  <c r="E27" i="1"/>
  <c r="H25" i="1"/>
  <c r="E25" i="1"/>
  <c r="E24" i="1"/>
  <c r="E23" i="1"/>
  <c r="E22" i="1"/>
  <c r="F22" i="1" s="1"/>
  <c r="H21" i="1"/>
  <c r="E21" i="1"/>
  <c r="H19" i="1"/>
  <c r="E19" i="1"/>
  <c r="E18" i="1"/>
  <c r="E17" i="1"/>
  <c r="E16" i="1"/>
  <c r="F16" i="1" s="1"/>
  <c r="H15" i="1"/>
  <c r="E15" i="1"/>
  <c r="K15" i="1" s="1"/>
  <c r="Q15" i="1" s="1"/>
  <c r="H13" i="1"/>
  <c r="E13" i="1"/>
  <c r="E12" i="1"/>
  <c r="E11" i="1"/>
  <c r="E10" i="1"/>
  <c r="F10" i="1" s="1"/>
  <c r="H9" i="1"/>
  <c r="E9" i="1"/>
  <c r="H7" i="1"/>
  <c r="E7" i="1"/>
  <c r="E6" i="1"/>
  <c r="F6" i="1" s="1"/>
  <c r="E5" i="1"/>
  <c r="E4" i="1"/>
  <c r="H3" i="1"/>
  <c r="E3" i="1"/>
  <c r="F3" i="1" s="1"/>
  <c r="P3" i="1" s="1"/>
  <c r="O3" i="1" s="1"/>
  <c r="U75" i="1" l="1"/>
  <c r="U76" i="1"/>
  <c r="U78" i="1"/>
  <c r="U67" i="1"/>
  <c r="U64" i="1"/>
  <c r="U70" i="1"/>
  <c r="U72" i="1"/>
  <c r="U73" i="1"/>
  <c r="R79" i="1"/>
  <c r="S79" i="1" s="1"/>
  <c r="U71" i="1"/>
  <c r="U63" i="1"/>
  <c r="U65" i="1"/>
  <c r="U66" i="1"/>
  <c r="U77" i="1"/>
  <c r="U79" i="1"/>
  <c r="I49" i="1"/>
  <c r="J49" i="1" s="1"/>
  <c r="I61" i="1"/>
  <c r="J61" i="1" s="1"/>
  <c r="I3" i="1"/>
  <c r="J3" i="1" s="1"/>
  <c r="I45" i="1"/>
  <c r="I9" i="1"/>
  <c r="I21" i="1"/>
  <c r="I31" i="1"/>
  <c r="I55" i="1"/>
  <c r="I57" i="1"/>
  <c r="F27" i="1"/>
  <c r="P27" i="1" s="1"/>
  <c r="O27" i="1" s="1"/>
  <c r="F30" i="1"/>
  <c r="P30" i="1" s="1"/>
  <c r="O30" i="1" s="1"/>
  <c r="K3" i="1"/>
  <c r="Q3" i="1" s="1"/>
  <c r="R3" i="1" s="1"/>
  <c r="S3" i="1" s="1"/>
  <c r="F4" i="1"/>
  <c r="P4" i="1" s="1"/>
  <c r="O4" i="1" s="1"/>
  <c r="P6" i="1"/>
  <c r="O6" i="1" s="1"/>
  <c r="F9" i="1"/>
  <c r="P9" i="1" s="1"/>
  <c r="O9" i="1" s="1"/>
  <c r="K9" i="1"/>
  <c r="Q9" i="1" s="1"/>
  <c r="F12" i="1"/>
  <c r="P12" i="1" s="1"/>
  <c r="O12" i="1" s="1"/>
  <c r="I15" i="1"/>
  <c r="F21" i="1"/>
  <c r="P21" i="1" s="1"/>
  <c r="O21" i="1" s="1"/>
  <c r="K21" i="1"/>
  <c r="Q21" i="1" s="1"/>
  <c r="F24" i="1"/>
  <c r="P24" i="1" s="1"/>
  <c r="O24" i="1" s="1"/>
  <c r="I27" i="1"/>
  <c r="J27" i="1" s="1"/>
  <c r="F31" i="1"/>
  <c r="J31" i="1" s="1"/>
  <c r="K31" i="1"/>
  <c r="Q31" i="1" s="1"/>
  <c r="I37" i="1"/>
  <c r="J37" i="1" s="1"/>
  <c r="I43" i="1"/>
  <c r="F15" i="1"/>
  <c r="P15" i="1" s="1"/>
  <c r="O15" i="1" s="1"/>
  <c r="F18" i="1"/>
  <c r="P18" i="1" s="1"/>
  <c r="O18" i="1" s="1"/>
  <c r="K27" i="1"/>
  <c r="Q27" i="1" s="1"/>
  <c r="K37" i="1"/>
  <c r="Q37" i="1" s="1"/>
  <c r="R37" i="1" s="1"/>
  <c r="S37" i="1" s="1"/>
  <c r="F43" i="1"/>
  <c r="P43" i="1" s="1"/>
  <c r="O43" i="1" s="1"/>
  <c r="F47" i="1"/>
  <c r="P47" i="1" s="1"/>
  <c r="O47" i="1" s="1"/>
  <c r="K55" i="1"/>
  <c r="Q55" i="1" s="1"/>
  <c r="R55" i="1" s="1"/>
  <c r="S55" i="1" s="1"/>
  <c r="I7" i="1"/>
  <c r="P10" i="1"/>
  <c r="O10" i="1" s="1"/>
  <c r="I13" i="1"/>
  <c r="P16" i="1"/>
  <c r="O16" i="1" s="1"/>
  <c r="I19" i="1"/>
  <c r="P22" i="1"/>
  <c r="O22" i="1" s="1"/>
  <c r="I25" i="1"/>
  <c r="P28" i="1"/>
  <c r="O28" i="1" s="1"/>
  <c r="I33" i="1"/>
  <c r="P41" i="1"/>
  <c r="O41" i="1" s="1"/>
  <c r="K49" i="1"/>
  <c r="Q49" i="1" s="1"/>
  <c r="R49" i="1" s="1"/>
  <c r="S49" i="1" s="1"/>
  <c r="I51" i="1"/>
  <c r="P53" i="1"/>
  <c r="O53" i="1" s="1"/>
  <c r="F55" i="1"/>
  <c r="P55" i="1" s="1"/>
  <c r="O55" i="1" s="1"/>
  <c r="F59" i="1"/>
  <c r="P59" i="1" s="1"/>
  <c r="O59" i="1" s="1"/>
  <c r="K61" i="1"/>
  <c r="Q61" i="1" s="1"/>
  <c r="R61" i="1" s="1"/>
  <c r="S61" i="1" s="1"/>
  <c r="R15" i="1"/>
  <c r="S15" i="1" s="1"/>
  <c r="I4" i="1"/>
  <c r="K4" i="1"/>
  <c r="F5" i="1"/>
  <c r="P5" i="1" s="1"/>
  <c r="O5" i="1" s="1"/>
  <c r="I6" i="1"/>
  <c r="J6" i="1" s="1"/>
  <c r="K6" i="1"/>
  <c r="F7" i="1"/>
  <c r="P7" i="1" s="1"/>
  <c r="O7" i="1" s="1"/>
  <c r="K7" i="1"/>
  <c r="I10" i="1"/>
  <c r="J10" i="1" s="1"/>
  <c r="K10" i="1"/>
  <c r="F11" i="1"/>
  <c r="P11" i="1" s="1"/>
  <c r="O11" i="1" s="1"/>
  <c r="I12" i="1"/>
  <c r="K12" i="1"/>
  <c r="F13" i="1"/>
  <c r="K13" i="1"/>
  <c r="I16" i="1"/>
  <c r="J16" i="1" s="1"/>
  <c r="K16" i="1"/>
  <c r="F17" i="1"/>
  <c r="P17" i="1" s="1"/>
  <c r="O17" i="1" s="1"/>
  <c r="I18" i="1"/>
  <c r="J18" i="1" s="1"/>
  <c r="K18" i="1"/>
  <c r="F19" i="1"/>
  <c r="J19" i="1" s="1"/>
  <c r="K19" i="1"/>
  <c r="I22" i="1"/>
  <c r="J22" i="1" s="1"/>
  <c r="K22" i="1"/>
  <c r="F23" i="1"/>
  <c r="P23" i="1" s="1"/>
  <c r="O23" i="1" s="1"/>
  <c r="I24" i="1"/>
  <c r="K24" i="1"/>
  <c r="F25" i="1"/>
  <c r="K25" i="1"/>
  <c r="I28" i="1"/>
  <c r="J28" i="1" s="1"/>
  <c r="K28" i="1"/>
  <c r="F29" i="1"/>
  <c r="P29" i="1" s="1"/>
  <c r="O29" i="1" s="1"/>
  <c r="I30" i="1"/>
  <c r="K30" i="1"/>
  <c r="K33" i="1"/>
  <c r="F33" i="1"/>
  <c r="P33" i="1" s="1"/>
  <c r="O33" i="1" s="1"/>
  <c r="P35" i="1"/>
  <c r="O35" i="1" s="1"/>
  <c r="I39" i="1"/>
  <c r="F40" i="1"/>
  <c r="J40" i="1" s="1"/>
  <c r="K40" i="1"/>
  <c r="I5" i="1"/>
  <c r="K5" i="1"/>
  <c r="I11" i="1"/>
  <c r="K11" i="1"/>
  <c r="I17" i="1"/>
  <c r="K17" i="1"/>
  <c r="I23" i="1"/>
  <c r="K23" i="1"/>
  <c r="I29" i="1"/>
  <c r="K29" i="1"/>
  <c r="F34" i="1"/>
  <c r="J34" i="1" s="1"/>
  <c r="K34" i="1"/>
  <c r="F36" i="1"/>
  <c r="J36" i="1" s="1"/>
  <c r="K36" i="1"/>
  <c r="P36" i="1"/>
  <c r="O36" i="1" s="1"/>
  <c r="K39" i="1"/>
  <c r="F39" i="1"/>
  <c r="P39" i="1" s="1"/>
  <c r="O39" i="1" s="1"/>
  <c r="I35" i="1"/>
  <c r="J35" i="1" s="1"/>
  <c r="K35" i="1"/>
  <c r="I41" i="1"/>
  <c r="J41" i="1" s="1"/>
  <c r="K41" i="1"/>
  <c r="F42" i="1"/>
  <c r="P42" i="1" s="1"/>
  <c r="O42" i="1" s="1"/>
  <c r="F45" i="1"/>
  <c r="J45" i="1" s="1"/>
  <c r="K45" i="1"/>
  <c r="F46" i="1"/>
  <c r="P46" i="1" s="1"/>
  <c r="O46" i="1" s="1"/>
  <c r="I47" i="1"/>
  <c r="K47" i="1"/>
  <c r="F48" i="1"/>
  <c r="P48" i="1" s="1"/>
  <c r="O48" i="1" s="1"/>
  <c r="F51" i="1"/>
  <c r="K51" i="1"/>
  <c r="P51" i="1"/>
  <c r="O51" i="1" s="1"/>
  <c r="F52" i="1"/>
  <c r="P52" i="1" s="1"/>
  <c r="O52" i="1" s="1"/>
  <c r="I53" i="1"/>
  <c r="J53" i="1" s="1"/>
  <c r="K53" i="1"/>
  <c r="F54" i="1"/>
  <c r="P54" i="1" s="1"/>
  <c r="O54" i="1" s="1"/>
  <c r="F57" i="1"/>
  <c r="P57" i="1" s="1"/>
  <c r="O57" i="1" s="1"/>
  <c r="K57" i="1"/>
  <c r="F58" i="1"/>
  <c r="P58" i="1" s="1"/>
  <c r="O58" i="1" s="1"/>
  <c r="I59" i="1"/>
  <c r="J59" i="1" s="1"/>
  <c r="K59" i="1"/>
  <c r="F60" i="1"/>
  <c r="P60" i="1" s="1"/>
  <c r="O60" i="1" s="1"/>
  <c r="I42" i="1"/>
  <c r="K42" i="1"/>
  <c r="I46" i="1"/>
  <c r="J46" i="1" s="1"/>
  <c r="K46" i="1"/>
  <c r="I48" i="1"/>
  <c r="K48" i="1"/>
  <c r="I52" i="1"/>
  <c r="K52" i="1"/>
  <c r="I54" i="1"/>
  <c r="K54" i="1"/>
  <c r="I58" i="1"/>
  <c r="J58" i="1" s="1"/>
  <c r="K58" i="1"/>
  <c r="I60" i="1"/>
  <c r="K60" i="1"/>
  <c r="J47" i="1" l="1"/>
  <c r="P40" i="1"/>
  <c r="O40" i="1" s="1"/>
  <c r="J24" i="1"/>
  <c r="J51" i="1"/>
  <c r="L51" i="1" s="1"/>
  <c r="M51" i="1" s="1"/>
  <c r="J12" i="1"/>
  <c r="P34" i="1"/>
  <c r="O34" i="1" s="1"/>
  <c r="J23" i="1"/>
  <c r="J11" i="1"/>
  <c r="J5" i="1"/>
  <c r="J25" i="1"/>
  <c r="J13" i="1"/>
  <c r="L13" i="1" s="1"/>
  <c r="M13" i="1" s="1"/>
  <c r="R27" i="1"/>
  <c r="S27" i="1" s="1"/>
  <c r="L37" i="1"/>
  <c r="M37" i="1" s="1"/>
  <c r="P45" i="1"/>
  <c r="O45" i="1" s="1"/>
  <c r="L49" i="1"/>
  <c r="M49" i="1" s="1"/>
  <c r="U49" i="1" s="1"/>
  <c r="W73" i="1"/>
  <c r="J52" i="1"/>
  <c r="J57" i="1"/>
  <c r="J29" i="1"/>
  <c r="L29" i="1" s="1"/>
  <c r="M29" i="1" s="1"/>
  <c r="J17" i="1"/>
  <c r="L17" i="1" s="1"/>
  <c r="M17" i="1" s="1"/>
  <c r="R43" i="1"/>
  <c r="S43" i="1" s="1"/>
  <c r="J30" i="1"/>
  <c r="J4" i="1"/>
  <c r="L4" i="1" s="1"/>
  <c r="M4" i="1" s="1"/>
  <c r="R21" i="1"/>
  <c r="S21" i="1" s="1"/>
  <c r="R9" i="1"/>
  <c r="S9" i="1" s="1"/>
  <c r="W67" i="1"/>
  <c r="V79" i="1"/>
  <c r="V67" i="1"/>
  <c r="V73" i="1"/>
  <c r="J7" i="1"/>
  <c r="P13" i="1"/>
  <c r="O13" i="1" s="1"/>
  <c r="P19" i="1"/>
  <c r="O19" i="1" s="1"/>
  <c r="P25" i="1"/>
  <c r="O25" i="1" s="1"/>
  <c r="L61" i="1"/>
  <c r="M61" i="1" s="1"/>
  <c r="U61" i="1" s="1"/>
  <c r="J39" i="1"/>
  <c r="L39" i="1" s="1"/>
  <c r="M39" i="1" s="1"/>
  <c r="L31" i="1"/>
  <c r="M31" i="1" s="1"/>
  <c r="L3" i="1"/>
  <c r="M3" i="1" s="1"/>
  <c r="U3" i="1" s="1"/>
  <c r="J43" i="1"/>
  <c r="L43" i="1" s="1"/>
  <c r="M43" i="1" s="1"/>
  <c r="P31" i="1"/>
  <c r="O31" i="1" s="1"/>
  <c r="J15" i="1"/>
  <c r="L15" i="1" s="1"/>
  <c r="M15" i="1" s="1"/>
  <c r="U15" i="1" s="1"/>
  <c r="L27" i="1"/>
  <c r="M27" i="1" s="1"/>
  <c r="J60" i="1"/>
  <c r="J54" i="1"/>
  <c r="L54" i="1" s="1"/>
  <c r="M54" i="1" s="1"/>
  <c r="J48" i="1"/>
  <c r="L48" i="1" s="1"/>
  <c r="M48" i="1" s="1"/>
  <c r="J42" i="1"/>
  <c r="L42" i="1" s="1"/>
  <c r="M42" i="1" s="1"/>
  <c r="J55" i="1"/>
  <c r="L55" i="1" s="1"/>
  <c r="M55" i="1" s="1"/>
  <c r="U55" i="1" s="1"/>
  <c r="J21" i="1"/>
  <c r="L21" i="1" s="1"/>
  <c r="M21" i="1" s="1"/>
  <c r="J9" i="1"/>
  <c r="L9" i="1" s="1"/>
  <c r="M9" i="1" s="1"/>
  <c r="Q60" i="1"/>
  <c r="R60" i="1" s="1"/>
  <c r="S60" i="1" s="1"/>
  <c r="L60" i="1"/>
  <c r="M60" i="1" s="1"/>
  <c r="Q58" i="1"/>
  <c r="R58" i="1" s="1"/>
  <c r="S58" i="1" s="1"/>
  <c r="L58" i="1"/>
  <c r="M58" i="1" s="1"/>
  <c r="Q54" i="1"/>
  <c r="R54" i="1" s="1"/>
  <c r="S54" i="1" s="1"/>
  <c r="Q52" i="1"/>
  <c r="R52" i="1" s="1"/>
  <c r="S52" i="1" s="1"/>
  <c r="L52" i="1"/>
  <c r="M52" i="1" s="1"/>
  <c r="Q48" i="1"/>
  <c r="R48" i="1" s="1"/>
  <c r="S48" i="1" s="1"/>
  <c r="Q46" i="1"/>
  <c r="R46" i="1" s="1"/>
  <c r="S46" i="1" s="1"/>
  <c r="L46" i="1"/>
  <c r="M46" i="1" s="1"/>
  <c r="Q42" i="1"/>
  <c r="R42" i="1" s="1"/>
  <c r="S42" i="1" s="1"/>
  <c r="Q59" i="1"/>
  <c r="R59" i="1" s="1"/>
  <c r="S59" i="1" s="1"/>
  <c r="L59" i="1"/>
  <c r="M59" i="1" s="1"/>
  <c r="Q53" i="1"/>
  <c r="R53" i="1" s="1"/>
  <c r="S53" i="1" s="1"/>
  <c r="L53" i="1"/>
  <c r="M53" i="1" s="1"/>
  <c r="Q47" i="1"/>
  <c r="R47" i="1" s="1"/>
  <c r="S47" i="1" s="1"/>
  <c r="L47" i="1"/>
  <c r="M47" i="1" s="1"/>
  <c r="Q41" i="1"/>
  <c r="R41" i="1" s="1"/>
  <c r="S41" i="1" s="1"/>
  <c r="L41" i="1"/>
  <c r="M41" i="1" s="1"/>
  <c r="Q35" i="1"/>
  <c r="R35" i="1" s="1"/>
  <c r="S35" i="1" s="1"/>
  <c r="L35" i="1"/>
  <c r="M35" i="1" s="1"/>
  <c r="Q36" i="1"/>
  <c r="R36" i="1" s="1"/>
  <c r="S36" i="1" s="1"/>
  <c r="L36" i="1"/>
  <c r="M36" i="1" s="1"/>
  <c r="Q34" i="1"/>
  <c r="R34" i="1" s="1"/>
  <c r="S34" i="1" s="1"/>
  <c r="L34" i="1"/>
  <c r="M34" i="1" s="1"/>
  <c r="Q40" i="1"/>
  <c r="R40" i="1" s="1"/>
  <c r="S40" i="1" s="1"/>
  <c r="L40" i="1"/>
  <c r="M40" i="1" s="1"/>
  <c r="U37" i="1"/>
  <c r="J33" i="1"/>
  <c r="Q33" i="1"/>
  <c r="R33" i="1" s="1"/>
  <c r="S33" i="1" s="1"/>
  <c r="L33" i="1"/>
  <c r="M33" i="1" s="1"/>
  <c r="Q30" i="1"/>
  <c r="R30" i="1" s="1"/>
  <c r="S30" i="1" s="1"/>
  <c r="L30" i="1"/>
  <c r="M30" i="1" s="1"/>
  <c r="Q28" i="1"/>
  <c r="R28" i="1" s="1"/>
  <c r="S28" i="1" s="1"/>
  <c r="L28" i="1"/>
  <c r="M28" i="1" s="1"/>
  <c r="Q25" i="1"/>
  <c r="R25" i="1" s="1"/>
  <c r="S25" i="1" s="1"/>
  <c r="L25" i="1"/>
  <c r="M25" i="1" s="1"/>
  <c r="Q24" i="1"/>
  <c r="R24" i="1" s="1"/>
  <c r="S24" i="1" s="1"/>
  <c r="L24" i="1"/>
  <c r="M24" i="1" s="1"/>
  <c r="Q22" i="1"/>
  <c r="R22" i="1" s="1"/>
  <c r="S22" i="1" s="1"/>
  <c r="L22" i="1"/>
  <c r="M22" i="1" s="1"/>
  <c r="Q19" i="1"/>
  <c r="L19" i="1"/>
  <c r="M19" i="1" s="1"/>
  <c r="Q18" i="1"/>
  <c r="R18" i="1" s="1"/>
  <c r="S18" i="1" s="1"/>
  <c r="L18" i="1"/>
  <c r="M18" i="1" s="1"/>
  <c r="Q16" i="1"/>
  <c r="R16" i="1" s="1"/>
  <c r="S16" i="1" s="1"/>
  <c r="L16" i="1"/>
  <c r="M16" i="1" s="1"/>
  <c r="Q13" i="1"/>
  <c r="Q12" i="1"/>
  <c r="R12" i="1" s="1"/>
  <c r="S12" i="1" s="1"/>
  <c r="L12" i="1"/>
  <c r="M12" i="1" s="1"/>
  <c r="Q10" i="1"/>
  <c r="R10" i="1" s="1"/>
  <c r="S10" i="1" s="1"/>
  <c r="L10" i="1"/>
  <c r="M10" i="1" s="1"/>
  <c r="Q7" i="1"/>
  <c r="R7" i="1" s="1"/>
  <c r="S7" i="1" s="1"/>
  <c r="L7" i="1"/>
  <c r="M7" i="1" s="1"/>
  <c r="Q6" i="1"/>
  <c r="R6" i="1" s="1"/>
  <c r="S6" i="1" s="1"/>
  <c r="L6" i="1"/>
  <c r="M6" i="1" s="1"/>
  <c r="Q4" i="1"/>
  <c r="R4" i="1" s="1"/>
  <c r="S4" i="1" s="1"/>
  <c r="Q57" i="1"/>
  <c r="R57" i="1" s="1"/>
  <c r="S57" i="1" s="1"/>
  <c r="L57" i="1"/>
  <c r="M57" i="1" s="1"/>
  <c r="Q51" i="1"/>
  <c r="R51" i="1" s="1"/>
  <c r="S51" i="1" s="1"/>
  <c r="Q45" i="1"/>
  <c r="R45" i="1" s="1"/>
  <c r="S45" i="1" s="1"/>
  <c r="L45" i="1"/>
  <c r="M45" i="1" s="1"/>
  <c r="Q39" i="1"/>
  <c r="R39" i="1" s="1"/>
  <c r="S39" i="1" s="1"/>
  <c r="Q29" i="1"/>
  <c r="R29" i="1" s="1"/>
  <c r="S29" i="1" s="1"/>
  <c r="Q23" i="1"/>
  <c r="R23" i="1" s="1"/>
  <c r="S23" i="1" s="1"/>
  <c r="L23" i="1"/>
  <c r="M23" i="1" s="1"/>
  <c r="Q17" i="1"/>
  <c r="R17" i="1" s="1"/>
  <c r="S17" i="1" s="1"/>
  <c r="Q11" i="1"/>
  <c r="R11" i="1" s="1"/>
  <c r="S11" i="1" s="1"/>
  <c r="L11" i="1"/>
  <c r="M11" i="1" s="1"/>
  <c r="Q5" i="1"/>
  <c r="R5" i="1" s="1"/>
  <c r="S5" i="1" s="1"/>
  <c r="L5" i="1"/>
  <c r="M5" i="1" s="1"/>
  <c r="R13" i="1" l="1"/>
  <c r="S13" i="1" s="1"/>
  <c r="U27" i="1"/>
  <c r="U9" i="1"/>
  <c r="U43" i="1"/>
  <c r="U21" i="1"/>
  <c r="R19" i="1"/>
  <c r="S19" i="1" s="1"/>
  <c r="U10" i="1"/>
  <c r="U12" i="1"/>
  <c r="U13" i="1"/>
  <c r="U22" i="1"/>
  <c r="U24" i="1"/>
  <c r="U25" i="1"/>
  <c r="R31" i="1"/>
  <c r="S31" i="1" s="1"/>
  <c r="U31" i="1" s="1"/>
  <c r="U5" i="1"/>
  <c r="U11" i="1"/>
  <c r="U17" i="1"/>
  <c r="U23" i="1"/>
  <c r="U29" i="1"/>
  <c r="U39" i="1"/>
  <c r="U45" i="1"/>
  <c r="U51" i="1"/>
  <c r="U57" i="1"/>
  <c r="U4" i="1"/>
  <c r="U6" i="1"/>
  <c r="U7" i="1"/>
  <c r="U16" i="1"/>
  <c r="U18" i="1"/>
  <c r="U19" i="1"/>
  <c r="U28" i="1"/>
  <c r="U30" i="1"/>
  <c r="U33" i="1"/>
  <c r="U40" i="1"/>
  <c r="U34" i="1"/>
  <c r="U36" i="1"/>
  <c r="U35" i="1"/>
  <c r="U41" i="1"/>
  <c r="U47" i="1"/>
  <c r="U53" i="1"/>
  <c r="U59" i="1"/>
  <c r="U42" i="1"/>
  <c r="U46" i="1"/>
  <c r="U48" i="1"/>
  <c r="U52" i="1"/>
  <c r="U54" i="1"/>
  <c r="U58" i="1"/>
  <c r="U60" i="1"/>
  <c r="W31" i="1" l="1"/>
  <c r="W19" i="1"/>
  <c r="W7" i="1"/>
  <c r="W43" i="1"/>
  <c r="W13" i="1"/>
  <c r="W37" i="1"/>
  <c r="W55" i="1"/>
  <c r="W61" i="1"/>
  <c r="W49" i="1"/>
  <c r="W25" i="1"/>
  <c r="V25" i="1"/>
  <c r="V13" i="1"/>
  <c r="V37" i="1"/>
  <c r="V31" i="1"/>
  <c r="V7" i="1"/>
  <c r="V55" i="1"/>
  <c r="V43" i="1"/>
  <c r="V19" i="1"/>
  <c r="V61" i="1"/>
  <c r="V49" i="1"/>
  <c r="W80" i="1" l="1"/>
  <c r="D7" i="3" s="1"/>
  <c r="V80" i="1"/>
  <c r="D8" i="3" s="1"/>
  <c r="I7" i="3" l="1"/>
  <c r="H7" i="3"/>
  <c r="I8" i="3"/>
  <c r="H8" i="3"/>
</calcChain>
</file>

<file path=xl/sharedStrings.xml><?xml version="1.0" encoding="utf-8"?>
<sst xmlns="http://schemas.openxmlformats.org/spreadsheetml/2006/main" count="46" uniqueCount="38">
  <si>
    <t>Before WFUFB</t>
  </si>
  <si>
    <t>After WFUFB</t>
  </si>
  <si>
    <t>Year</t>
  </si>
  <si>
    <t>Month</t>
  </si>
  <si>
    <t>Days</t>
  </si>
  <si>
    <t>Monthly Average Flow cfs</t>
  </si>
  <si>
    <t>Monthly Average Flow kcfs</t>
  </si>
  <si>
    <t>Maximum Power-house Flow</t>
  </si>
  <si>
    <t>Spill Percent</t>
  </si>
  <si>
    <t>Spill kcfs</t>
  </si>
  <si>
    <t>Turbine Flow kcfs</t>
  </si>
  <si>
    <t>H/K</t>
  </si>
  <si>
    <t>Net Generation MWa</t>
  </si>
  <si>
    <t>Net Generation MWH</t>
  </si>
  <si>
    <t>Incremental Generation MWH</t>
  </si>
  <si>
    <t>Annual Incremental Generation MWa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</si>
  <si>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</si>
  <si>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</si>
  <si>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</si>
  <si>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</si>
  <si>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</si>
  <si>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</si>
  <si>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</si>
  <si>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</si>
  <si>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</si>
  <si>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</si>
  <si>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</si>
  <si>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</si>
  <si>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Flow -cfs</t>
  </si>
  <si>
    <t>13 year Average Incremental Generation</t>
  </si>
  <si>
    <t>(MWH)</t>
  </si>
  <si>
    <t>(MWa)</t>
  </si>
  <si>
    <t>Incremental Generation</t>
  </si>
  <si>
    <t>INCREMENTAL GENERATION</t>
  </si>
  <si>
    <t>WANAPUM FUTURE UNIT FISH BYPASS</t>
  </si>
  <si>
    <t>SUMMARY INCREMENTAL HYDRO</t>
  </si>
  <si>
    <t xml:space="preserve">TOTAL </t>
  </si>
  <si>
    <t xml:space="preserve">PACIFICORP's Share     =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</si>
</sst>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2" fontId="0" fillId="0" borderId="0" xfId="0" applyNumberFormat="1"/>
    <xf numFmtId="43" fontId="3" fillId="0" borderId="0" xfId="0" applyNumberFormat="1" applyFont="1"/>
    <xf numFmtId="9" fontId="0" fillId="0" borderId="0" xfId="2" applyFont="1"/>
    <xf numFmtId="164" fontId="0" fillId="0" borderId="0" xfId="0" applyNumberFormat="1"/>
    <xf numFmtId="43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0" fillId="0" borderId="0" xfId="1" applyNumberFormat="1" applyFont="1"/>
    <xf numFmtId="164" fontId="2" fillId="2" borderId="0" xfId="0" applyNumberFormat="1" applyFont="1" applyFill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3" fillId="0" borderId="0" xfId="0" applyFont="1"/>
    <xf numFmtId="166" fontId="3" fillId="0" borderId="0" xfId="0" applyNumberFormat="1" applyFont="1"/>
    <xf numFmtId="165" fontId="3" fillId="0" borderId="0" xfId="0" applyNumberFormat="1" applyFont="1"/>
    <xf numFmtId="166" fontId="2" fillId="0" borderId="0" xfId="1" applyNumberFormat="1" applyFont="1" applyAlignment="1">
      <alignment horizontal="center" wrapText="1"/>
    </xf>
    <xf numFmtId="166" fontId="2" fillId="2" borderId="0" xfId="1" applyNumberFormat="1" applyFont="1" applyFill="1"/>
    <xf numFmtId="0" fontId="5" fillId="0" borderId="0" xfId="0" quotePrefix="1" applyFont="1"/>
    <xf numFmtId="166" fontId="3" fillId="0" borderId="0" xfId="1" applyNumberFormat="1" applyFont="1"/>
    <xf numFmtId="165" fontId="3" fillId="0" borderId="0" xfId="1" applyNumberFormat="1" applyFont="1"/>
    <xf numFmtId="10" fontId="3" fillId="2" borderId="0" xfId="2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9"/>
  <sheetViews>
    <sheetView view="pageLayout" topLeftCell="A2" zoomScaleNormal="100" workbookViewId="0"/>
  </sheetViews>
  <sheetFormatPr defaultRowHeight="15" x14ac:dyDescent="0.25"/>
  <cols>
    <col min="2" max="2" width="23.5703125" bestFit="1" customWidth="1"/>
    <col min="3" max="3" width="15" customWidth="1"/>
    <col min="4" max="4" width="10.28515625" customWidth="1"/>
    <col min="5" max="5" width="1.28515625" customWidth="1"/>
    <col min="6" max="6" width="11" customWidth="1"/>
    <col min="7" max="7" width="14.28515625" customWidth="1"/>
    <col min="8" max="9" width="10.7109375" customWidth="1"/>
  </cols>
  <sheetData>
    <row r="2" spans="2:9" ht="15.75" x14ac:dyDescent="0.25">
      <c r="B2" s="17" t="s">
        <v>35</v>
      </c>
    </row>
    <row r="3" spans="2:9" ht="15.75" x14ac:dyDescent="0.25">
      <c r="B3" s="17" t="s">
        <v>34</v>
      </c>
    </row>
    <row r="5" spans="2:9" ht="15.75" x14ac:dyDescent="0.25">
      <c r="B5" s="17" t="s">
        <v>33</v>
      </c>
      <c r="C5" s="18"/>
      <c r="D5" s="27"/>
      <c r="E5" s="27"/>
      <c r="H5" s="2">
        <v>2012</v>
      </c>
      <c r="I5" s="2">
        <v>2013</v>
      </c>
    </row>
    <row r="6" spans="2:9" ht="15.75" x14ac:dyDescent="0.25">
      <c r="B6" s="17"/>
      <c r="C6" s="18"/>
      <c r="D6" s="27" t="s">
        <v>36</v>
      </c>
      <c r="E6" s="27"/>
      <c r="F6" s="17"/>
      <c r="G6" s="28" t="s">
        <v>37</v>
      </c>
      <c r="H6" s="26">
        <v>1.55E-2</v>
      </c>
      <c r="I6" s="26">
        <v>1.46E-2</v>
      </c>
    </row>
    <row r="7" spans="2:9" ht="15.75" x14ac:dyDescent="0.25">
      <c r="B7" s="23"/>
      <c r="C7" s="27" t="s">
        <v>30</v>
      </c>
      <c r="D7" s="24">
        <f>IncHydbyYr!W80</f>
        <v>548989.34243697987</v>
      </c>
      <c r="E7" s="24"/>
      <c r="G7" s="27" t="s">
        <v>30</v>
      </c>
      <c r="H7" s="19">
        <f>H6*$D$7</f>
        <v>8509.334807773188</v>
      </c>
      <c r="I7" s="19">
        <f>I6*$D$7</f>
        <v>8015.2443995799058</v>
      </c>
    </row>
    <row r="8" spans="2:9" ht="15.75" x14ac:dyDescent="0.25">
      <c r="B8" s="18"/>
      <c r="C8" s="27" t="s">
        <v>31</v>
      </c>
      <c r="D8" s="25">
        <f>IncHydbyYr!V80</f>
        <v>63.691594453005671</v>
      </c>
      <c r="E8" s="25"/>
      <c r="G8" s="27" t="s">
        <v>31</v>
      </c>
      <c r="H8" s="20">
        <f>H6*$D$8</f>
        <v>0.98721971402158792</v>
      </c>
      <c r="I8" s="20">
        <f>I6*$D$8</f>
        <v>0.92989727901388275</v>
      </c>
    </row>
    <row r="9" spans="2:9" ht="15.75" x14ac:dyDescent="0.25">
      <c r="B9" s="18"/>
      <c r="C9" s="23"/>
      <c r="D9" s="25"/>
      <c r="E9" s="25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0"/>
  <sheetViews>
    <sheetView topLeftCell="I61" zoomScaleNormal="100" workbookViewId="0">
      <selection activeCell="W7" sqref="W7"/>
    </sheetView>
  </sheetViews>
  <sheetFormatPr defaultRowHeight="15" x14ac:dyDescent="0.25"/>
  <cols>
    <col min="1" max="1" width="5.5703125" customWidth="1"/>
    <col min="2" max="2" width="6.42578125" customWidth="1"/>
    <col min="3" max="3" width="5.85546875" customWidth="1"/>
    <col min="6" max="6" width="10.140625" customWidth="1"/>
    <col min="7" max="7" width="1.28515625" customWidth="1"/>
    <col min="8" max="8" width="7.7109375" customWidth="1"/>
    <col min="9" max="9" width="6.42578125" customWidth="1"/>
    <col min="10" max="10" width="8.140625" customWidth="1"/>
    <col min="11" max="11" width="7" customWidth="1"/>
    <col min="12" max="13" width="11" customWidth="1"/>
    <col min="14" max="14" width="1" customWidth="1"/>
    <col min="15" max="15" width="5.140625" customWidth="1"/>
    <col min="16" max="16" width="8.140625" customWidth="1"/>
    <col min="17" max="17" width="6.85546875" customWidth="1"/>
    <col min="18" max="18" width="11.42578125" customWidth="1"/>
    <col min="19" max="19" width="11.5703125" customWidth="1"/>
    <col min="20" max="20" width="1" customWidth="1"/>
    <col min="21" max="21" width="11.85546875" customWidth="1"/>
    <col min="22" max="22" width="11.5703125" customWidth="1"/>
    <col min="23" max="23" width="11.5703125" style="13" customWidth="1"/>
  </cols>
  <sheetData>
    <row r="1" spans="1:27" x14ac:dyDescent="0.25">
      <c r="E1" s="1"/>
      <c r="F1" s="1"/>
      <c r="G1" s="1"/>
      <c r="H1" s="29" t="s">
        <v>0</v>
      </c>
      <c r="I1" s="29"/>
      <c r="J1" s="29"/>
      <c r="K1" s="29"/>
      <c r="L1" s="29"/>
      <c r="M1" s="29"/>
      <c r="O1" s="29" t="s">
        <v>1</v>
      </c>
      <c r="P1" s="29"/>
      <c r="Q1" s="29"/>
      <c r="R1" s="29"/>
      <c r="S1" s="29"/>
      <c r="T1" s="29"/>
    </row>
    <row r="2" spans="1:27" ht="75" x14ac:dyDescent="0.25">
      <c r="A2" s="2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/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/>
      <c r="O2" s="3" t="s">
        <v>9</v>
      </c>
      <c r="P2" s="3" t="s">
        <v>10</v>
      </c>
      <c r="Q2" s="3" t="s">
        <v>11</v>
      </c>
      <c r="R2" s="3" t="s">
        <v>12</v>
      </c>
      <c r="S2" s="3" t="s">
        <v>13</v>
      </c>
      <c r="T2" s="4"/>
      <c r="U2" s="3" t="s">
        <v>14</v>
      </c>
      <c r="V2" s="3" t="s">
        <v>15</v>
      </c>
      <c r="W2" s="21" t="s">
        <v>29</v>
      </c>
      <c r="X2" s="2" t="s">
        <v>2</v>
      </c>
    </row>
    <row r="3" spans="1:27" ht="15.75" x14ac:dyDescent="0.25">
      <c r="A3">
        <v>1978</v>
      </c>
      <c r="B3">
        <v>4</v>
      </c>
      <c r="C3">
        <v>10</v>
      </c>
      <c r="D3" s="5">
        <v>148132</v>
      </c>
      <c r="E3" s="6">
        <f>D3/1000</f>
        <v>148.13200000000001</v>
      </c>
      <c r="F3" s="7">
        <f>((144-143.1)/(160-140))*(E3-140)+143.1</f>
        <v>143.46593999999999</v>
      </c>
      <c r="G3" s="7"/>
      <c r="H3" s="8">
        <f>43%</f>
        <v>0.43</v>
      </c>
      <c r="I3" s="9">
        <f>IF(H3*E3&lt;65,H3*E3,65)</f>
        <v>63.696760000000005</v>
      </c>
      <c r="J3" s="9">
        <f t="shared" ref="J3:J7" si="0">IF(E3-I3&gt;F3,F3,E3-I3)</f>
        <v>84.435239999999993</v>
      </c>
      <c r="K3" s="10">
        <f>(-0.0028)*(E3)+6.0316</f>
        <v>5.6168304000000004</v>
      </c>
      <c r="L3" s="11">
        <f>K3*J3</f>
        <v>474.258422863296</v>
      </c>
      <c r="M3" s="12">
        <f>L3*C3*24</f>
        <v>113822.02148719103</v>
      </c>
      <c r="O3" s="5">
        <f>IF(P3=F3,E3-F3,22)</f>
        <v>22</v>
      </c>
      <c r="P3" s="9">
        <f>IF(E3-22&gt;F3,F3,E3-22)</f>
        <v>126.13200000000001</v>
      </c>
      <c r="Q3" s="10">
        <f>K3</f>
        <v>5.6168304000000004</v>
      </c>
      <c r="R3" s="11">
        <f>Q3*P3</f>
        <v>708.46205201280009</v>
      </c>
      <c r="S3" s="12">
        <f>R3*C3*24</f>
        <v>170030.89248307201</v>
      </c>
      <c r="U3" s="13">
        <f>IF(M3&gt;S3,0,S3-M3)</f>
        <v>56208.870995880978</v>
      </c>
      <c r="X3" s="5">
        <v>78</v>
      </c>
      <c r="Y3" s="5"/>
      <c r="Z3" s="5"/>
      <c r="AA3" s="5"/>
    </row>
    <row r="4" spans="1:27" ht="15.75" x14ac:dyDescent="0.25">
      <c r="B4">
        <v>5</v>
      </c>
      <c r="C4">
        <v>31</v>
      </c>
      <c r="D4">
        <v>135346</v>
      </c>
      <c r="E4" s="6">
        <f t="shared" ref="E4:E7" si="1">D4/1000</f>
        <v>135.346</v>
      </c>
      <c r="F4" s="7">
        <f t="shared" ref="F4:F7" si="2">((144-143.1)/(160-140))*(E4-140)+143.1</f>
        <v>142.89057</v>
      </c>
      <c r="G4" s="7"/>
      <c r="H4" s="8">
        <v>0.43</v>
      </c>
      <c r="I4" s="9">
        <f t="shared" ref="I4:I7" si="3">IF(H4*E4&lt;65,H4*E4,65)</f>
        <v>58.198779999999999</v>
      </c>
      <c r="J4" s="9">
        <f t="shared" si="0"/>
        <v>77.147220000000004</v>
      </c>
      <c r="K4" s="10">
        <f t="shared" ref="K4:K7" si="4">(-0.0028)*(E4)+6.0316</f>
        <v>5.6526312000000001</v>
      </c>
      <c r="L4" s="11">
        <f t="shared" ref="L4:L7" si="5">K4*J4</f>
        <v>436.08478276526404</v>
      </c>
      <c r="M4" s="12">
        <f t="shared" ref="M4:M7" si="6">L4*C4*24</f>
        <v>324447.07837735646</v>
      </c>
      <c r="O4" s="5">
        <f t="shared" ref="O4:O7" si="7">IF(P4=F4,E4-F4,22)</f>
        <v>22</v>
      </c>
      <c r="P4" s="9">
        <f t="shared" ref="P4:P7" si="8">IF(E4-22&gt;F4,F4,E4-22)</f>
        <v>113.346</v>
      </c>
      <c r="Q4" s="10">
        <f t="shared" ref="Q4:Q7" si="9">K4</f>
        <v>5.6526312000000001</v>
      </c>
      <c r="R4" s="11">
        <f t="shared" ref="R4:R7" si="10">Q4*P4</f>
        <v>640.7031359952</v>
      </c>
      <c r="S4" s="12">
        <f t="shared" ref="S4:S7" si="11">R4*C4*24</f>
        <v>476683.13318042876</v>
      </c>
      <c r="U4" s="13">
        <f t="shared" ref="U4:U7" si="12">IF(M4&gt;S4,0,S4-M4)</f>
        <v>152236.0548030723</v>
      </c>
      <c r="X4" s="5"/>
      <c r="Y4" s="5"/>
      <c r="Z4" s="5"/>
      <c r="AA4" s="5"/>
    </row>
    <row r="5" spans="1:27" ht="15.75" x14ac:dyDescent="0.25">
      <c r="B5">
        <v>6</v>
      </c>
      <c r="C5">
        <v>30</v>
      </c>
      <c r="D5">
        <v>157865</v>
      </c>
      <c r="E5" s="6">
        <f t="shared" si="1"/>
        <v>157.86500000000001</v>
      </c>
      <c r="F5" s="7">
        <f t="shared" si="2"/>
        <v>143.90392499999999</v>
      </c>
      <c r="G5" s="7"/>
      <c r="H5" s="8">
        <v>0.46</v>
      </c>
      <c r="I5" s="9">
        <f t="shared" si="3"/>
        <v>65</v>
      </c>
      <c r="J5" s="9">
        <f t="shared" si="0"/>
        <v>92.865000000000009</v>
      </c>
      <c r="K5" s="10">
        <f t="shared" si="4"/>
        <v>5.5895780000000004</v>
      </c>
      <c r="L5" s="11">
        <f t="shared" si="5"/>
        <v>519.07616097000005</v>
      </c>
      <c r="M5" s="12">
        <f t="shared" si="6"/>
        <v>373734.83589840005</v>
      </c>
      <c r="O5" s="5">
        <f t="shared" si="7"/>
        <v>22</v>
      </c>
      <c r="P5" s="9">
        <f t="shared" si="8"/>
        <v>135.86500000000001</v>
      </c>
      <c r="Q5" s="10">
        <f t="shared" si="9"/>
        <v>5.5895780000000004</v>
      </c>
      <c r="R5" s="11">
        <f t="shared" si="10"/>
        <v>759.42801497000005</v>
      </c>
      <c r="S5" s="12">
        <f t="shared" si="11"/>
        <v>546788.17077840003</v>
      </c>
      <c r="U5" s="13">
        <f t="shared" si="12"/>
        <v>173053.33487999998</v>
      </c>
      <c r="X5" s="5"/>
      <c r="Y5" s="5"/>
      <c r="Z5" s="5"/>
      <c r="AA5" s="5"/>
    </row>
    <row r="6" spans="1:27" ht="15.75" x14ac:dyDescent="0.25">
      <c r="B6">
        <v>7</v>
      </c>
      <c r="C6">
        <v>31</v>
      </c>
      <c r="D6">
        <v>158180</v>
      </c>
      <c r="E6" s="6">
        <f t="shared" si="1"/>
        <v>158.18</v>
      </c>
      <c r="F6" s="7">
        <f t="shared" si="2"/>
        <v>143.91810000000001</v>
      </c>
      <c r="G6" s="7"/>
      <c r="H6" s="8">
        <v>0.49</v>
      </c>
      <c r="I6" s="9">
        <f t="shared" si="3"/>
        <v>65</v>
      </c>
      <c r="J6" s="9">
        <f t="shared" si="0"/>
        <v>93.18</v>
      </c>
      <c r="K6" s="10">
        <f t="shared" si="4"/>
        <v>5.5886959999999997</v>
      </c>
      <c r="L6" s="11">
        <f t="shared" si="5"/>
        <v>520.75469327999997</v>
      </c>
      <c r="M6" s="12">
        <f t="shared" si="6"/>
        <v>387441.49180031999</v>
      </c>
      <c r="O6" s="5">
        <f t="shared" si="7"/>
        <v>22</v>
      </c>
      <c r="P6" s="9">
        <f t="shared" si="8"/>
        <v>136.18</v>
      </c>
      <c r="Q6" s="10">
        <f t="shared" si="9"/>
        <v>5.5886959999999997</v>
      </c>
      <c r="R6" s="11">
        <f t="shared" si="10"/>
        <v>761.06862128</v>
      </c>
      <c r="S6" s="12">
        <f t="shared" si="11"/>
        <v>566235.05423232005</v>
      </c>
      <c r="U6" s="13">
        <f t="shared" si="12"/>
        <v>178793.56243200006</v>
      </c>
      <c r="X6" s="5"/>
      <c r="Y6" s="5"/>
      <c r="Z6" s="5"/>
      <c r="AA6" s="5"/>
    </row>
    <row r="7" spans="1:27" ht="15.75" x14ac:dyDescent="0.25">
      <c r="B7">
        <v>8</v>
      </c>
      <c r="C7">
        <v>18</v>
      </c>
      <c r="D7" s="5">
        <v>108079.09677419355</v>
      </c>
      <c r="E7" s="6">
        <f t="shared" si="1"/>
        <v>108.07909677419354</v>
      </c>
      <c r="F7" s="7">
        <f t="shared" si="2"/>
        <v>141.6635593548387</v>
      </c>
      <c r="G7" s="7"/>
      <c r="H7" s="8">
        <f>49%</f>
        <v>0.49</v>
      </c>
      <c r="I7" s="9">
        <f t="shared" si="3"/>
        <v>52.958757419354839</v>
      </c>
      <c r="J7" s="9">
        <f t="shared" si="0"/>
        <v>55.120339354838706</v>
      </c>
      <c r="K7" s="10">
        <f t="shared" si="4"/>
        <v>5.7289785290322577</v>
      </c>
      <c r="L7" s="11">
        <f t="shared" si="5"/>
        <v>315.78324067684269</v>
      </c>
      <c r="M7" s="12">
        <f t="shared" si="6"/>
        <v>136418.35997239605</v>
      </c>
      <c r="O7" s="5">
        <f t="shared" si="7"/>
        <v>22</v>
      </c>
      <c r="P7" s="9">
        <f t="shared" si="8"/>
        <v>86.079096774193545</v>
      </c>
      <c r="Q7" s="10">
        <f t="shared" si="9"/>
        <v>5.7289785290322577</v>
      </c>
      <c r="R7" s="11">
        <f t="shared" si="10"/>
        <v>493.1452972178447</v>
      </c>
      <c r="S7" s="12">
        <f t="shared" si="11"/>
        <v>213038.76839810892</v>
      </c>
      <c r="U7" s="13">
        <f t="shared" si="12"/>
        <v>76620.408425712871</v>
      </c>
      <c r="V7" s="10">
        <f>SUM(U3:U7)/8760</f>
        <v>72.706875746194768</v>
      </c>
      <c r="W7" s="13">
        <f>SUM(U3:U7)</f>
        <v>636912.23153666616</v>
      </c>
      <c r="X7" s="5"/>
      <c r="Y7" s="5"/>
      <c r="Z7" s="5"/>
      <c r="AA7" s="5"/>
    </row>
    <row r="9" spans="1:27" ht="15.75" x14ac:dyDescent="0.25">
      <c r="A9">
        <f>A3+1</f>
        <v>1979</v>
      </c>
      <c r="B9">
        <v>4</v>
      </c>
      <c r="C9">
        <v>10</v>
      </c>
      <c r="D9" s="5">
        <v>74119</v>
      </c>
      <c r="E9" s="6">
        <f>D9/1000</f>
        <v>74.119</v>
      </c>
      <c r="F9" s="7">
        <f>((144-143.1)/(160-140))*(E9-140)+143.1</f>
        <v>140.13535499999998</v>
      </c>
      <c r="G9" s="7"/>
      <c r="H9" s="8">
        <f>43%</f>
        <v>0.43</v>
      </c>
      <c r="I9" s="9">
        <f>IF(H9*E9&lt;65,H9*E9,65)</f>
        <v>31.871169999999999</v>
      </c>
      <c r="J9" s="9">
        <f t="shared" ref="J9:J13" si="13">IF(E9-I9&gt;F9,F9,E9-I9)</f>
        <v>42.24783</v>
      </c>
      <c r="K9" s="10">
        <f>(-0.0028)*(E9)+6.0316</f>
        <v>5.8240667999999998</v>
      </c>
      <c r="L9" s="11">
        <f>K9*J9</f>
        <v>246.05418407504399</v>
      </c>
      <c r="M9" s="12">
        <f>L9*C9*24</f>
        <v>59053.004178010553</v>
      </c>
      <c r="O9" s="5">
        <f>IF(P9=F9,E9-F9,22)</f>
        <v>22</v>
      </c>
      <c r="P9" s="9">
        <f>IF(E9-22&gt;F9,F9,E9-22)</f>
        <v>52.119</v>
      </c>
      <c r="Q9" s="10">
        <f>K9</f>
        <v>5.8240667999999998</v>
      </c>
      <c r="R9" s="11">
        <f>Q9*P9</f>
        <v>303.54453754919996</v>
      </c>
      <c r="S9" s="12">
        <f>R9*C9*24</f>
        <v>72850.68901180799</v>
      </c>
      <c r="U9" s="13">
        <f>IF(M9&gt;S9,0,S9-M9)</f>
        <v>13797.684833797437</v>
      </c>
      <c r="X9">
        <v>79</v>
      </c>
    </row>
    <row r="10" spans="1:27" ht="15.75" x14ac:dyDescent="0.25">
      <c r="B10">
        <v>5</v>
      </c>
      <c r="C10">
        <v>31</v>
      </c>
      <c r="D10">
        <v>134152</v>
      </c>
      <c r="E10" s="6">
        <f t="shared" ref="E10:E13" si="14">D10/1000</f>
        <v>134.15199999999999</v>
      </c>
      <c r="F10" s="7">
        <f t="shared" ref="F10:F13" si="15">((144-143.1)/(160-140))*(E10-140)+143.1</f>
        <v>142.83684</v>
      </c>
      <c r="G10" s="7"/>
      <c r="H10" s="8">
        <v>0.43</v>
      </c>
      <c r="I10" s="9">
        <f t="shared" ref="I10:I13" si="16">IF(H10*E10&lt;65,H10*E10,65)</f>
        <v>57.685359999999996</v>
      </c>
      <c r="J10" s="9">
        <f t="shared" si="13"/>
        <v>76.466639999999984</v>
      </c>
      <c r="K10" s="10">
        <f t="shared" ref="K10:K13" si="17">(-0.0028)*(E10)+6.0316</f>
        <v>5.6559743999999998</v>
      </c>
      <c r="L10" s="11">
        <f t="shared" ref="L10:L13" si="18">K10*J10</f>
        <v>432.49335829401588</v>
      </c>
      <c r="M10" s="12">
        <f t="shared" ref="M10:M13" si="19">L10*C10*24</f>
        <v>321775.05857074785</v>
      </c>
      <c r="O10" s="5">
        <f t="shared" ref="O10:O13" si="20">IF(P10=F10,E10-F10,22)</f>
        <v>22</v>
      </c>
      <c r="P10" s="9">
        <f t="shared" ref="P10:P13" si="21">IF(E10-22&gt;F10,F10,E10-22)</f>
        <v>112.15199999999999</v>
      </c>
      <c r="Q10" s="10">
        <f t="shared" ref="Q10:Q13" si="22">K10</f>
        <v>5.6559743999999998</v>
      </c>
      <c r="R10" s="11">
        <f t="shared" ref="R10:R13" si="23">Q10*P10</f>
        <v>634.32884090879986</v>
      </c>
      <c r="S10" s="12">
        <f t="shared" ref="S10:S13" si="24">R10*C10*24</f>
        <v>471940.65763614711</v>
      </c>
      <c r="U10" s="13">
        <f t="shared" ref="U10:U13" si="25">IF(M10&gt;S10,0,S10-M10)</f>
        <v>150165.59906539926</v>
      </c>
    </row>
    <row r="11" spans="1:27" ht="15.75" x14ac:dyDescent="0.25">
      <c r="B11">
        <v>6</v>
      </c>
      <c r="C11">
        <v>30</v>
      </c>
      <c r="D11">
        <v>154408</v>
      </c>
      <c r="E11" s="6">
        <f t="shared" si="14"/>
        <v>154.40799999999999</v>
      </c>
      <c r="F11" s="7">
        <f t="shared" si="15"/>
        <v>143.74835999999999</v>
      </c>
      <c r="G11" s="7"/>
      <c r="H11" s="8">
        <v>0.46</v>
      </c>
      <c r="I11" s="9">
        <f t="shared" si="16"/>
        <v>65</v>
      </c>
      <c r="J11" s="9">
        <f t="shared" si="13"/>
        <v>89.407999999999987</v>
      </c>
      <c r="K11" s="10">
        <f t="shared" si="17"/>
        <v>5.5992576000000005</v>
      </c>
      <c r="L11" s="11">
        <f t="shared" si="18"/>
        <v>500.61842350079996</v>
      </c>
      <c r="M11" s="12">
        <f t="shared" si="19"/>
        <v>360445.26492057595</v>
      </c>
      <c r="O11" s="5">
        <f t="shared" si="20"/>
        <v>22</v>
      </c>
      <c r="P11" s="9">
        <f t="shared" si="21"/>
        <v>132.40799999999999</v>
      </c>
      <c r="Q11" s="10">
        <f t="shared" si="22"/>
        <v>5.5992576000000005</v>
      </c>
      <c r="R11" s="11">
        <f t="shared" si="23"/>
        <v>741.38650030079998</v>
      </c>
      <c r="S11" s="12">
        <f t="shared" si="24"/>
        <v>533798.28021657607</v>
      </c>
      <c r="U11" s="13">
        <f t="shared" si="25"/>
        <v>173353.01529600011</v>
      </c>
    </row>
    <row r="12" spans="1:27" ht="15.75" x14ac:dyDescent="0.25">
      <c r="B12">
        <v>7</v>
      </c>
      <c r="C12">
        <v>31</v>
      </c>
      <c r="D12">
        <v>113434</v>
      </c>
      <c r="E12" s="6">
        <f t="shared" si="14"/>
        <v>113.434</v>
      </c>
      <c r="F12" s="7">
        <f t="shared" si="15"/>
        <v>141.90452999999999</v>
      </c>
      <c r="G12" s="7"/>
      <c r="H12" s="8">
        <v>0.49</v>
      </c>
      <c r="I12" s="9">
        <f t="shared" si="16"/>
        <v>55.582659999999997</v>
      </c>
      <c r="J12" s="9">
        <f t="shared" si="13"/>
        <v>57.85134</v>
      </c>
      <c r="K12" s="10">
        <f t="shared" si="17"/>
        <v>5.7139848000000004</v>
      </c>
      <c r="L12" s="11">
        <f t="shared" si="18"/>
        <v>330.56167741963202</v>
      </c>
      <c r="M12" s="12">
        <f t="shared" si="19"/>
        <v>245937.88800020624</v>
      </c>
      <c r="O12" s="5">
        <f t="shared" si="20"/>
        <v>22</v>
      </c>
      <c r="P12" s="9">
        <f t="shared" si="21"/>
        <v>91.433999999999997</v>
      </c>
      <c r="Q12" s="10">
        <f t="shared" si="22"/>
        <v>5.7139848000000004</v>
      </c>
      <c r="R12" s="11">
        <f t="shared" si="23"/>
        <v>522.45248620320001</v>
      </c>
      <c r="S12" s="12">
        <f t="shared" si="24"/>
        <v>388704.64973518084</v>
      </c>
      <c r="U12" s="13">
        <f t="shared" si="25"/>
        <v>142766.7617349746</v>
      </c>
    </row>
    <row r="13" spans="1:27" ht="15.75" x14ac:dyDescent="0.25">
      <c r="B13">
        <v>8</v>
      </c>
      <c r="C13">
        <v>18</v>
      </c>
      <c r="D13" s="5">
        <v>96008.354838709682</v>
      </c>
      <c r="E13" s="6">
        <f t="shared" si="14"/>
        <v>96.008354838709678</v>
      </c>
      <c r="F13" s="7">
        <f t="shared" si="15"/>
        <v>141.12037596774192</v>
      </c>
      <c r="G13" s="7"/>
      <c r="H13" s="8">
        <f>49%</f>
        <v>0.49</v>
      </c>
      <c r="I13" s="9">
        <f t="shared" si="16"/>
        <v>47.044093870967743</v>
      </c>
      <c r="J13" s="9">
        <f t="shared" si="13"/>
        <v>48.964260967741936</v>
      </c>
      <c r="K13" s="10">
        <f t="shared" si="17"/>
        <v>5.762776606451613</v>
      </c>
      <c r="L13" s="11">
        <f t="shared" si="18"/>
        <v>282.17009765709503</v>
      </c>
      <c r="M13" s="12">
        <f t="shared" si="19"/>
        <v>121897.48218786505</v>
      </c>
      <c r="O13" s="5">
        <f t="shared" si="20"/>
        <v>22</v>
      </c>
      <c r="P13" s="9">
        <f t="shared" si="21"/>
        <v>74.008354838709678</v>
      </c>
      <c r="Q13" s="10">
        <f t="shared" si="22"/>
        <v>5.762776606451613</v>
      </c>
      <c r="R13" s="11">
        <f t="shared" si="23"/>
        <v>426.49361594648616</v>
      </c>
      <c r="S13" s="12">
        <f t="shared" si="24"/>
        <v>184245.24208888202</v>
      </c>
      <c r="U13" s="13">
        <f t="shared" si="25"/>
        <v>62347.759901016965</v>
      </c>
      <c r="V13" s="10">
        <f>SUM(U9:U13)/8760</f>
        <v>61.921326578902779</v>
      </c>
      <c r="W13" s="13">
        <f>SUM(U9:U13)</f>
        <v>542430.82083118835</v>
      </c>
    </row>
    <row r="14" spans="1:27" x14ac:dyDescent="0.25">
      <c r="O14" s="5"/>
    </row>
    <row r="15" spans="1:27" ht="15.75" x14ac:dyDescent="0.25">
      <c r="A15">
        <f>A9+1</f>
        <v>1980</v>
      </c>
      <c r="B15">
        <v>4</v>
      </c>
      <c r="C15">
        <v>10</v>
      </c>
      <c r="D15" s="5">
        <v>122808</v>
      </c>
      <c r="E15" s="6">
        <f>D15/1000</f>
        <v>122.80800000000001</v>
      </c>
      <c r="F15" s="7">
        <f>((144-143.1)/(160-140))*(E15-140)+143.1</f>
        <v>142.32635999999999</v>
      </c>
      <c r="G15" s="7"/>
      <c r="H15" s="8">
        <f>43%</f>
        <v>0.43</v>
      </c>
      <c r="I15" s="9">
        <f>IF(H15*E15&lt;65,H15*E15,65)</f>
        <v>52.80744</v>
      </c>
      <c r="J15" s="9">
        <f t="shared" ref="J15:J19" si="26">IF(E15-I15&gt;F15,F15,E15-I15)</f>
        <v>70.000560000000007</v>
      </c>
      <c r="K15" s="10">
        <f>(-0.0028)*(E15)+6.0316</f>
        <v>5.6877376000000002</v>
      </c>
      <c r="L15" s="11">
        <f>K15*J15</f>
        <v>398.14481713305605</v>
      </c>
      <c r="M15" s="12">
        <f>L15*C15*24</f>
        <v>95554.756111933442</v>
      </c>
      <c r="O15" s="5">
        <f>IF(P15=F15,E15-F15,22)</f>
        <v>22</v>
      </c>
      <c r="P15" s="9">
        <f>IF(E15-22&gt;F15,F15,E15-22)</f>
        <v>100.80800000000001</v>
      </c>
      <c r="Q15" s="10">
        <f>K15</f>
        <v>5.6877376000000002</v>
      </c>
      <c r="R15" s="11">
        <f>Q15*P15</f>
        <v>573.36945198080002</v>
      </c>
      <c r="S15" s="12">
        <f>R15*C15*24</f>
        <v>137608.66847539201</v>
      </c>
      <c r="U15" s="13">
        <f>IF(M15&gt;S15,0,S15-M15)</f>
        <v>42053.91236345857</v>
      </c>
      <c r="X15">
        <v>80</v>
      </c>
    </row>
    <row r="16" spans="1:27" ht="15.75" x14ac:dyDescent="0.25">
      <c r="B16">
        <v>5</v>
      </c>
      <c r="C16">
        <v>31</v>
      </c>
      <c r="D16">
        <v>161807</v>
      </c>
      <c r="E16" s="6">
        <f t="shared" ref="E16:E19" si="27">D16/1000</f>
        <v>161.80699999999999</v>
      </c>
      <c r="F16" s="7">
        <f t="shared" ref="F16:F19" si="28">((144-143.1)/(160-140))*(E16-140)+143.1</f>
        <v>144.08131499999999</v>
      </c>
      <c r="G16" s="7"/>
      <c r="H16" s="8">
        <v>0.43</v>
      </c>
      <c r="I16" s="9">
        <f t="shared" ref="I16:I19" si="29">IF(H16*E16&lt;65,H16*E16,65)</f>
        <v>65</v>
      </c>
      <c r="J16" s="9">
        <f t="shared" si="26"/>
        <v>96.806999999999988</v>
      </c>
      <c r="K16" s="10">
        <f t="shared" ref="K16:K19" si="30">(-0.0028)*(E16)+6.0316</f>
        <v>5.5785404000000005</v>
      </c>
      <c r="L16" s="11">
        <f t="shared" ref="L16:L19" si="31">K16*J16</f>
        <v>540.0417605028</v>
      </c>
      <c r="M16" s="12">
        <f t="shared" ref="M16:M19" si="32">L16*C16*24</f>
        <v>401791.06981408317</v>
      </c>
      <c r="O16" s="5">
        <f t="shared" ref="O16:O19" si="33">IF(P16=F16,E16-F16,22)</f>
        <v>22</v>
      </c>
      <c r="P16" s="9">
        <f t="shared" ref="P16:P19" si="34">IF(E16-22&gt;F16,F16,E16-22)</f>
        <v>139.80699999999999</v>
      </c>
      <c r="Q16" s="10">
        <f t="shared" ref="Q16:Q19" si="35">K16</f>
        <v>5.5785404000000005</v>
      </c>
      <c r="R16" s="11">
        <f t="shared" ref="R16:R19" si="36">Q16*P16</f>
        <v>779.91899770279997</v>
      </c>
      <c r="S16" s="12">
        <f t="shared" ref="S16:S19" si="37">R16*C16*24</f>
        <v>580259.73429088318</v>
      </c>
      <c r="U16" s="13">
        <f t="shared" ref="U16:U19" si="38">IF(M16&gt;S16,0,S16-M16)</f>
        <v>178468.66447680001</v>
      </c>
    </row>
    <row r="17" spans="1:24" ht="15.75" x14ac:dyDescent="0.25">
      <c r="B17">
        <v>6</v>
      </c>
      <c r="C17">
        <v>30</v>
      </c>
      <c r="D17">
        <v>171899</v>
      </c>
      <c r="E17" s="6">
        <f t="shared" si="27"/>
        <v>171.899</v>
      </c>
      <c r="F17" s="7">
        <f t="shared" si="28"/>
        <v>144.53545500000001</v>
      </c>
      <c r="G17" s="7"/>
      <c r="H17" s="8">
        <v>0.46</v>
      </c>
      <c r="I17" s="9">
        <f t="shared" si="29"/>
        <v>65</v>
      </c>
      <c r="J17" s="9">
        <f t="shared" si="26"/>
        <v>106.899</v>
      </c>
      <c r="K17" s="10">
        <f t="shared" si="30"/>
        <v>5.5502827999999997</v>
      </c>
      <c r="L17" s="11">
        <f t="shared" si="31"/>
        <v>593.31968103719998</v>
      </c>
      <c r="M17" s="12">
        <f t="shared" si="32"/>
        <v>427190.17034678406</v>
      </c>
      <c r="O17" s="5">
        <f t="shared" si="33"/>
        <v>27.363544999999988</v>
      </c>
      <c r="P17" s="9">
        <f t="shared" si="34"/>
        <v>144.53545500000001</v>
      </c>
      <c r="Q17" s="10">
        <f t="shared" si="35"/>
        <v>5.5502827999999997</v>
      </c>
      <c r="R17" s="11">
        <f t="shared" si="36"/>
        <v>802.21264987667405</v>
      </c>
      <c r="S17" s="12">
        <f t="shared" si="37"/>
        <v>577593.10791120538</v>
      </c>
      <c r="U17" s="13">
        <f t="shared" si="38"/>
        <v>150402.93756442133</v>
      </c>
    </row>
    <row r="18" spans="1:24" ht="15.75" x14ac:dyDescent="0.25">
      <c r="B18">
        <v>7</v>
      </c>
      <c r="C18">
        <v>31</v>
      </c>
      <c r="D18">
        <v>104998</v>
      </c>
      <c r="E18" s="6">
        <f t="shared" si="27"/>
        <v>104.998</v>
      </c>
      <c r="F18" s="7">
        <f t="shared" si="28"/>
        <v>141.52490999999998</v>
      </c>
      <c r="G18" s="7"/>
      <c r="H18" s="8">
        <v>0.49</v>
      </c>
      <c r="I18" s="9">
        <f t="shared" si="29"/>
        <v>51.449020000000004</v>
      </c>
      <c r="J18" s="9">
        <f t="shared" si="26"/>
        <v>53.54898</v>
      </c>
      <c r="K18" s="10">
        <f t="shared" si="30"/>
        <v>5.7376056000000002</v>
      </c>
      <c r="L18" s="11">
        <f t="shared" si="31"/>
        <v>307.24292752228803</v>
      </c>
      <c r="M18" s="12">
        <f t="shared" si="32"/>
        <v>228588.73807658232</v>
      </c>
      <c r="O18" s="5">
        <f t="shared" si="33"/>
        <v>22</v>
      </c>
      <c r="P18" s="9">
        <f t="shared" si="34"/>
        <v>82.998000000000005</v>
      </c>
      <c r="Q18" s="10">
        <f t="shared" si="35"/>
        <v>5.7376056000000002</v>
      </c>
      <c r="R18" s="11">
        <f t="shared" si="36"/>
        <v>476.20978958880005</v>
      </c>
      <c r="S18" s="12">
        <f t="shared" si="37"/>
        <v>354300.08345406724</v>
      </c>
      <c r="U18" s="13">
        <f t="shared" si="38"/>
        <v>125711.34537748492</v>
      </c>
    </row>
    <row r="19" spans="1:24" ht="15.75" x14ac:dyDescent="0.25">
      <c r="B19">
        <v>8</v>
      </c>
      <c r="C19">
        <v>18</v>
      </c>
      <c r="D19" s="5">
        <v>93767.419354838712</v>
      </c>
      <c r="E19" s="6">
        <f t="shared" si="27"/>
        <v>93.767419354838708</v>
      </c>
      <c r="F19" s="7">
        <f t="shared" si="28"/>
        <v>141.01953387096773</v>
      </c>
      <c r="G19" s="7"/>
      <c r="H19" s="8">
        <f>49%</f>
        <v>0.49</v>
      </c>
      <c r="I19" s="9">
        <f t="shared" si="29"/>
        <v>45.946035483870965</v>
      </c>
      <c r="J19" s="9">
        <f t="shared" si="26"/>
        <v>47.821383870967743</v>
      </c>
      <c r="K19" s="10">
        <f t="shared" si="30"/>
        <v>5.7690512258064519</v>
      </c>
      <c r="L19" s="11">
        <f t="shared" si="31"/>
        <v>275.88401324056736</v>
      </c>
      <c r="M19" s="12">
        <f t="shared" si="32"/>
        <v>119181.89371992511</v>
      </c>
      <c r="O19" s="5">
        <f t="shared" si="33"/>
        <v>22</v>
      </c>
      <c r="P19" s="9">
        <f t="shared" si="34"/>
        <v>71.767419354838708</v>
      </c>
      <c r="Q19" s="10">
        <f t="shared" si="35"/>
        <v>5.7690512258064519</v>
      </c>
      <c r="R19" s="11">
        <f t="shared" si="36"/>
        <v>414.02991860199791</v>
      </c>
      <c r="S19" s="12">
        <f t="shared" si="37"/>
        <v>178860.92483606309</v>
      </c>
      <c r="U19" s="13">
        <f t="shared" si="38"/>
        <v>59679.03111613798</v>
      </c>
      <c r="V19" s="10">
        <f>SUM(U15:U19)/8760</f>
        <v>63.506380239532284</v>
      </c>
      <c r="W19" s="13">
        <f>SUM(U15:U19)</f>
        <v>556315.89089830278</v>
      </c>
    </row>
    <row r="20" spans="1:24" x14ac:dyDescent="0.25">
      <c r="O20" s="5"/>
    </row>
    <row r="21" spans="1:24" ht="15.75" x14ac:dyDescent="0.25">
      <c r="A21">
        <f>A15+1</f>
        <v>1981</v>
      </c>
      <c r="B21">
        <v>4</v>
      </c>
      <c r="C21">
        <v>10</v>
      </c>
      <c r="D21" s="5">
        <v>107996</v>
      </c>
      <c r="E21" s="6">
        <f>D21/1000</f>
        <v>107.996</v>
      </c>
      <c r="F21" s="7">
        <f>((144-143.1)/(160-140))*(E21-140)+143.1</f>
        <v>141.65982</v>
      </c>
      <c r="G21" s="7"/>
      <c r="H21" s="8">
        <f>43%</f>
        <v>0.43</v>
      </c>
      <c r="I21" s="9">
        <f>IF(H21*E21&lt;65,H21*E21,65)</f>
        <v>46.438279999999999</v>
      </c>
      <c r="J21" s="9">
        <f t="shared" ref="J21:J25" si="39">IF(E21-I21&gt;F21,F21,E21-I21)</f>
        <v>61.557719999999996</v>
      </c>
      <c r="K21" s="10">
        <f>(-0.0028)*(E21)+6.0316</f>
        <v>5.7292111999999999</v>
      </c>
      <c r="L21" s="11">
        <f>K21*J21</f>
        <v>352.67717887046399</v>
      </c>
      <c r="M21" s="12">
        <f>L21*C21*24</f>
        <v>84642.522928911363</v>
      </c>
      <c r="O21" s="5">
        <f>IF(P21=F21,E21-F21,22)</f>
        <v>22</v>
      </c>
      <c r="P21" s="9">
        <f>IF(E21-22&gt;F21,F21,E21-22)</f>
        <v>85.995999999999995</v>
      </c>
      <c r="Q21" s="10">
        <f>K21</f>
        <v>5.7292111999999999</v>
      </c>
      <c r="R21" s="11">
        <f>Q21*P21</f>
        <v>492.68924635519994</v>
      </c>
      <c r="S21" s="12">
        <f>R21*C21*24</f>
        <v>118245.41912524799</v>
      </c>
      <c r="U21" s="13">
        <f>IF(M21&gt;S21,0,S21-M21)</f>
        <v>33602.896196336631</v>
      </c>
      <c r="X21">
        <v>81</v>
      </c>
    </row>
    <row r="22" spans="1:24" ht="15.75" x14ac:dyDescent="0.25">
      <c r="B22">
        <v>5</v>
      </c>
      <c r="C22">
        <v>31</v>
      </c>
      <c r="D22">
        <v>171465</v>
      </c>
      <c r="E22" s="6">
        <f t="shared" ref="E22:E25" si="40">D22/1000</f>
        <v>171.465</v>
      </c>
      <c r="F22" s="7">
        <f t="shared" ref="F22:F25" si="41">((144-143.1)/(160-140))*(E22-140)+143.1</f>
        <v>144.51592500000001</v>
      </c>
      <c r="G22" s="7"/>
      <c r="H22" s="8">
        <v>0.43</v>
      </c>
      <c r="I22" s="9">
        <f t="shared" ref="I22:I25" si="42">IF(H22*E22&lt;65,H22*E22,65)</f>
        <v>65</v>
      </c>
      <c r="J22" s="9">
        <f t="shared" si="39"/>
        <v>106.465</v>
      </c>
      <c r="K22" s="10">
        <f t="shared" ref="K22:K25" si="43">(-0.0028)*(E22)+6.0316</f>
        <v>5.5514980000000005</v>
      </c>
      <c r="L22" s="11">
        <f t="shared" ref="L22:L25" si="44">K22*J22</f>
        <v>591.04023457000005</v>
      </c>
      <c r="M22" s="12">
        <f t="shared" ref="M22:M25" si="45">L22*C22*24</f>
        <v>439733.9345200801</v>
      </c>
      <c r="O22" s="5">
        <f t="shared" ref="O22:O25" si="46">IF(P22=F22,E22-F22,22)</f>
        <v>26.949074999999993</v>
      </c>
      <c r="P22" s="9">
        <f t="shared" ref="P22:P25" si="47">IF(E22-22&gt;F22,F22,E22-22)</f>
        <v>144.51592500000001</v>
      </c>
      <c r="Q22" s="10">
        <f t="shared" ref="Q22:Q25" si="48">K22</f>
        <v>5.5514980000000005</v>
      </c>
      <c r="R22" s="11">
        <f t="shared" ref="R22:R25" si="49">Q22*P22</f>
        <v>802.27986860565011</v>
      </c>
      <c r="S22" s="12">
        <f t="shared" ref="S22:S25" si="50">R22*C22*24</f>
        <v>596896.22224260378</v>
      </c>
      <c r="U22" s="13">
        <f t="shared" ref="U22:U25" si="51">IF(M22&gt;S22,0,S22-M22)</f>
        <v>157162.28772252367</v>
      </c>
    </row>
    <row r="23" spans="1:24" ht="15.75" x14ac:dyDescent="0.25">
      <c r="B23">
        <v>6</v>
      </c>
      <c r="C23">
        <v>30</v>
      </c>
      <c r="D23">
        <v>155384</v>
      </c>
      <c r="E23" s="6">
        <f t="shared" si="40"/>
        <v>155.38399999999999</v>
      </c>
      <c r="F23" s="7">
        <f t="shared" si="41"/>
        <v>143.79228000000001</v>
      </c>
      <c r="G23" s="7"/>
      <c r="H23" s="8">
        <v>0.46</v>
      </c>
      <c r="I23" s="9">
        <f t="shared" si="42"/>
        <v>65</v>
      </c>
      <c r="J23" s="9">
        <f t="shared" si="39"/>
        <v>90.383999999999986</v>
      </c>
      <c r="K23" s="10">
        <f t="shared" si="43"/>
        <v>5.5965248000000001</v>
      </c>
      <c r="L23" s="11">
        <f t="shared" si="44"/>
        <v>505.8362975231999</v>
      </c>
      <c r="M23" s="12">
        <f t="shared" si="45"/>
        <v>364202.13421670394</v>
      </c>
      <c r="O23" s="5">
        <f t="shared" si="46"/>
        <v>22</v>
      </c>
      <c r="P23" s="9">
        <f t="shared" si="47"/>
        <v>133.38399999999999</v>
      </c>
      <c r="Q23" s="10">
        <f t="shared" si="48"/>
        <v>5.5965248000000001</v>
      </c>
      <c r="R23" s="11">
        <f t="shared" si="49"/>
        <v>746.48686392319996</v>
      </c>
      <c r="S23" s="12">
        <f t="shared" si="50"/>
        <v>537470.54202470393</v>
      </c>
      <c r="U23" s="13">
        <f t="shared" si="51"/>
        <v>173268.40780799999</v>
      </c>
    </row>
    <row r="24" spans="1:24" ht="15.75" x14ac:dyDescent="0.25">
      <c r="B24">
        <v>7</v>
      </c>
      <c r="C24">
        <v>31</v>
      </c>
      <c r="D24">
        <v>167591</v>
      </c>
      <c r="E24" s="6">
        <f t="shared" si="40"/>
        <v>167.59100000000001</v>
      </c>
      <c r="F24" s="7">
        <f t="shared" si="41"/>
        <v>144.34159500000001</v>
      </c>
      <c r="G24" s="7"/>
      <c r="H24" s="8">
        <v>0.49</v>
      </c>
      <c r="I24" s="9">
        <f t="shared" si="42"/>
        <v>65</v>
      </c>
      <c r="J24" s="9">
        <f t="shared" si="39"/>
        <v>102.59100000000001</v>
      </c>
      <c r="K24" s="10">
        <f t="shared" si="43"/>
        <v>5.5623452000000002</v>
      </c>
      <c r="L24" s="11">
        <f t="shared" si="44"/>
        <v>570.64655641320007</v>
      </c>
      <c r="M24" s="12">
        <f t="shared" si="45"/>
        <v>424561.0379714208</v>
      </c>
      <c r="O24" s="5">
        <f t="shared" si="46"/>
        <v>23.249404999999996</v>
      </c>
      <c r="P24" s="9">
        <f t="shared" si="47"/>
        <v>144.34159500000001</v>
      </c>
      <c r="Q24" s="10">
        <f t="shared" si="48"/>
        <v>5.5623452000000002</v>
      </c>
      <c r="R24" s="11">
        <f t="shared" si="49"/>
        <v>802.87777810859404</v>
      </c>
      <c r="S24" s="12">
        <f t="shared" si="50"/>
        <v>597341.0669127939</v>
      </c>
      <c r="U24" s="13">
        <f t="shared" si="51"/>
        <v>172780.02894137311</v>
      </c>
    </row>
    <row r="25" spans="1:24" ht="15.75" x14ac:dyDescent="0.25">
      <c r="B25">
        <v>8</v>
      </c>
      <c r="C25">
        <v>18</v>
      </c>
      <c r="D25" s="5">
        <v>152878.35483870967</v>
      </c>
      <c r="E25" s="6">
        <f t="shared" si="40"/>
        <v>152.87835483870967</v>
      </c>
      <c r="F25" s="7">
        <f t="shared" si="41"/>
        <v>143.67952596774194</v>
      </c>
      <c r="G25" s="7"/>
      <c r="H25" s="8">
        <f>49%</f>
        <v>0.49</v>
      </c>
      <c r="I25" s="9">
        <f t="shared" si="42"/>
        <v>65</v>
      </c>
      <c r="J25" s="9">
        <f t="shared" si="39"/>
        <v>87.878354838709669</v>
      </c>
      <c r="K25" s="10">
        <f t="shared" si="43"/>
        <v>5.6035406064516131</v>
      </c>
      <c r="L25" s="11">
        <f t="shared" si="44"/>
        <v>492.42992976687322</v>
      </c>
      <c r="M25" s="12">
        <f t="shared" si="45"/>
        <v>212729.72965928924</v>
      </c>
      <c r="O25" s="5">
        <f t="shared" si="46"/>
        <v>22</v>
      </c>
      <c r="P25" s="9">
        <f t="shared" si="47"/>
        <v>130.87835483870967</v>
      </c>
      <c r="Q25" s="10">
        <f t="shared" si="48"/>
        <v>5.6035406064516131</v>
      </c>
      <c r="R25" s="11">
        <f t="shared" si="49"/>
        <v>733.38217584429265</v>
      </c>
      <c r="S25" s="12">
        <f t="shared" si="50"/>
        <v>316821.0999647344</v>
      </c>
      <c r="U25" s="13">
        <f t="shared" si="51"/>
        <v>104091.37030544516</v>
      </c>
      <c r="V25" s="10">
        <f>SUM(U21:U25)/8760</f>
        <v>73.162670202474715</v>
      </c>
      <c r="W25" s="13">
        <f>SUM(U21:U25)</f>
        <v>640904.99097367853</v>
      </c>
    </row>
    <row r="26" spans="1:24" x14ac:dyDescent="0.25">
      <c r="O26" s="5"/>
    </row>
    <row r="27" spans="1:24" ht="15.75" x14ac:dyDescent="0.25">
      <c r="A27">
        <f>A21+1</f>
        <v>1982</v>
      </c>
      <c r="B27">
        <v>4</v>
      </c>
      <c r="C27">
        <v>10</v>
      </c>
      <c r="D27" s="5">
        <v>114029</v>
      </c>
      <c r="E27" s="6">
        <f>D27/1000</f>
        <v>114.029</v>
      </c>
      <c r="F27" s="7">
        <f>((144-143.1)/(160-140))*(E27-140)+143.1</f>
        <v>141.93130499999998</v>
      </c>
      <c r="G27" s="7"/>
      <c r="H27" s="8">
        <f>43%</f>
        <v>0.43</v>
      </c>
      <c r="I27" s="9">
        <f>IF(H27*E27&lt;65,H27*E27,65)</f>
        <v>49.032469999999996</v>
      </c>
      <c r="J27" s="9">
        <f t="shared" ref="J27:J31" si="52">IF(E27-I27&gt;F27,F27,E27-I27)</f>
        <v>64.996530000000007</v>
      </c>
      <c r="K27" s="10">
        <f>(-0.0028)*(E27)+6.0316</f>
        <v>5.7123188000000003</v>
      </c>
      <c r="L27" s="11">
        <f>K27*J27</f>
        <v>371.28090025376406</v>
      </c>
      <c r="M27" s="12">
        <f>L27*C27*24</f>
        <v>89107.416060903372</v>
      </c>
      <c r="O27" s="5">
        <f>IF(P27=F27,E27-F27,22)</f>
        <v>22</v>
      </c>
      <c r="P27" s="9">
        <f>IF(E27-22&gt;F27,F27,E27-22)</f>
        <v>92.028999999999996</v>
      </c>
      <c r="Q27" s="10">
        <f>K27</f>
        <v>5.7123188000000003</v>
      </c>
      <c r="R27" s="11">
        <f>Q27*P27</f>
        <v>525.69898684520001</v>
      </c>
      <c r="S27" s="12">
        <f>R27*C27*24</f>
        <v>126167.756842848</v>
      </c>
      <c r="U27" s="13">
        <f>IF(M27&gt;S27,0,S27-M27)</f>
        <v>37060.340781944629</v>
      </c>
      <c r="X27">
        <v>82</v>
      </c>
    </row>
    <row r="28" spans="1:24" ht="15.75" x14ac:dyDescent="0.25">
      <c r="B28">
        <v>5</v>
      </c>
      <c r="C28">
        <v>31</v>
      </c>
      <c r="D28">
        <v>152815</v>
      </c>
      <c r="E28" s="6">
        <f t="shared" ref="E28:E31" si="53">D28/1000</f>
        <v>152.815</v>
      </c>
      <c r="F28" s="7">
        <f t="shared" ref="F28:F31" si="54">((144-143.1)/(160-140))*(E28-140)+143.1</f>
        <v>143.67667499999999</v>
      </c>
      <c r="G28" s="7"/>
      <c r="H28" s="8">
        <v>0.43</v>
      </c>
      <c r="I28" s="9">
        <f t="shared" ref="I28:I31" si="55">IF(H28*E28&lt;65,H28*E28,65)</f>
        <v>65</v>
      </c>
      <c r="J28" s="9">
        <f t="shared" si="52"/>
        <v>87.814999999999998</v>
      </c>
      <c r="K28" s="10">
        <f t="shared" ref="K28:K31" si="56">(-0.0028)*(E28)+6.0316</f>
        <v>5.6037179999999998</v>
      </c>
      <c r="L28" s="11">
        <f t="shared" ref="L28:L31" si="57">K28*J28</f>
        <v>492.09049616999994</v>
      </c>
      <c r="M28" s="12">
        <f t="shared" ref="M28:M31" si="58">L28*C28*24</f>
        <v>366115.32915047999</v>
      </c>
      <c r="O28" s="5">
        <f t="shared" ref="O28:O31" si="59">IF(P28=F28,E28-F28,22)</f>
        <v>22</v>
      </c>
      <c r="P28" s="9">
        <f t="shared" ref="P28:P31" si="60">IF(E28-22&gt;F28,F28,E28-22)</f>
        <v>130.815</v>
      </c>
      <c r="Q28" s="10">
        <f t="shared" ref="Q28:Q31" si="61">K28</f>
        <v>5.6037179999999998</v>
      </c>
      <c r="R28" s="11">
        <f t="shared" ref="R28:R31" si="62">Q28*P28</f>
        <v>733.05037016999995</v>
      </c>
      <c r="S28" s="12">
        <f t="shared" ref="S28:S31" si="63">R28*C28*24</f>
        <v>545389.47540648002</v>
      </c>
      <c r="U28" s="13">
        <f t="shared" ref="U28:U31" si="64">IF(M28&gt;S28,0,S28-M28)</f>
        <v>179274.14625600004</v>
      </c>
    </row>
    <row r="29" spans="1:24" ht="15.75" x14ac:dyDescent="0.25">
      <c r="B29">
        <v>6</v>
      </c>
      <c r="C29">
        <v>30</v>
      </c>
      <c r="D29">
        <v>216898</v>
      </c>
      <c r="E29" s="6">
        <f t="shared" si="53"/>
        <v>216.898</v>
      </c>
      <c r="F29" s="7">
        <f t="shared" si="54"/>
        <v>146.56041000000002</v>
      </c>
      <c r="G29" s="7"/>
      <c r="H29" s="8">
        <v>0.46</v>
      </c>
      <c r="I29" s="9">
        <f t="shared" si="55"/>
        <v>65</v>
      </c>
      <c r="J29" s="9">
        <f t="shared" si="52"/>
        <v>146.56041000000002</v>
      </c>
      <c r="K29" s="10">
        <f t="shared" si="56"/>
        <v>5.4242856000000002</v>
      </c>
      <c r="L29" s="11">
        <f t="shared" si="57"/>
        <v>794.98552149309614</v>
      </c>
      <c r="M29" s="12">
        <f t="shared" si="58"/>
        <v>572389.57547502918</v>
      </c>
      <c r="O29" s="5">
        <f t="shared" si="59"/>
        <v>70.337589999999977</v>
      </c>
      <c r="P29" s="9">
        <f t="shared" si="60"/>
        <v>146.56041000000002</v>
      </c>
      <c r="Q29" s="10">
        <f t="shared" si="61"/>
        <v>5.4242856000000002</v>
      </c>
      <c r="R29" s="11">
        <f t="shared" si="62"/>
        <v>794.98552149309614</v>
      </c>
      <c r="S29" s="12">
        <f t="shared" si="63"/>
        <v>572389.57547502918</v>
      </c>
      <c r="U29" s="13">
        <f t="shared" si="64"/>
        <v>0</v>
      </c>
    </row>
    <row r="30" spans="1:24" ht="15.75" x14ac:dyDescent="0.25">
      <c r="B30">
        <v>7</v>
      </c>
      <c r="C30">
        <v>31</v>
      </c>
      <c r="D30">
        <v>199419</v>
      </c>
      <c r="E30" s="6">
        <f t="shared" si="53"/>
        <v>199.41900000000001</v>
      </c>
      <c r="F30" s="7">
        <f t="shared" si="54"/>
        <v>145.77385500000003</v>
      </c>
      <c r="G30" s="7"/>
      <c r="H30" s="8">
        <v>0.49</v>
      </c>
      <c r="I30" s="9">
        <f t="shared" si="55"/>
        <v>65</v>
      </c>
      <c r="J30" s="9">
        <f t="shared" si="52"/>
        <v>134.41900000000001</v>
      </c>
      <c r="K30" s="10">
        <f t="shared" si="56"/>
        <v>5.4732267999999999</v>
      </c>
      <c r="L30" s="11">
        <f t="shared" si="57"/>
        <v>735.7056732292001</v>
      </c>
      <c r="M30" s="12">
        <f t="shared" si="58"/>
        <v>547365.0208825249</v>
      </c>
      <c r="O30" s="5">
        <f t="shared" si="59"/>
        <v>53.645144999999985</v>
      </c>
      <c r="P30" s="9">
        <f t="shared" si="60"/>
        <v>145.77385500000003</v>
      </c>
      <c r="Q30" s="10">
        <f t="shared" si="61"/>
        <v>5.4732267999999999</v>
      </c>
      <c r="R30" s="11">
        <f t="shared" si="62"/>
        <v>797.85336992531415</v>
      </c>
      <c r="S30" s="12">
        <f t="shared" si="63"/>
        <v>593602.90722443373</v>
      </c>
      <c r="U30" s="13">
        <f t="shared" si="64"/>
        <v>46237.88634190883</v>
      </c>
    </row>
    <row r="31" spans="1:24" ht="15.75" x14ac:dyDescent="0.25">
      <c r="B31">
        <v>8</v>
      </c>
      <c r="C31">
        <v>18</v>
      </c>
      <c r="D31" s="5">
        <v>139374.03225806452</v>
      </c>
      <c r="E31" s="6">
        <f t="shared" si="53"/>
        <v>139.37403225806452</v>
      </c>
      <c r="F31" s="7">
        <f t="shared" si="54"/>
        <v>143.07183145161289</v>
      </c>
      <c r="G31" s="7"/>
      <c r="H31" s="8">
        <f>49%</f>
        <v>0.49</v>
      </c>
      <c r="I31" s="9">
        <f t="shared" si="55"/>
        <v>65</v>
      </c>
      <c r="J31" s="9">
        <f t="shared" si="52"/>
        <v>74.374032258064517</v>
      </c>
      <c r="K31" s="10">
        <f t="shared" si="56"/>
        <v>5.6413527096774194</v>
      </c>
      <c r="L31" s="11">
        <f t="shared" si="57"/>
        <v>419.57014840866805</v>
      </c>
      <c r="M31" s="12">
        <f t="shared" si="58"/>
        <v>181254.3041125446</v>
      </c>
      <c r="O31" s="5">
        <f t="shared" si="59"/>
        <v>22</v>
      </c>
      <c r="P31" s="9">
        <f t="shared" si="60"/>
        <v>117.37403225806452</v>
      </c>
      <c r="Q31" s="10">
        <f t="shared" si="61"/>
        <v>5.6413527096774194</v>
      </c>
      <c r="R31" s="11">
        <f t="shared" si="62"/>
        <v>662.14831492479709</v>
      </c>
      <c r="S31" s="12">
        <f t="shared" si="63"/>
        <v>286048.07204751234</v>
      </c>
      <c r="U31" s="13">
        <f t="shared" si="64"/>
        <v>104793.76793496773</v>
      </c>
      <c r="V31" s="10">
        <f>SUM(U27:U31)/8760</f>
        <v>41.936774122696484</v>
      </c>
      <c r="W31" s="13">
        <f>SUM(U27:U31)</f>
        <v>367366.1413148212</v>
      </c>
    </row>
    <row r="32" spans="1:24" x14ac:dyDescent="0.25">
      <c r="O32" s="5"/>
    </row>
    <row r="33" spans="1:24" ht="15.75" x14ac:dyDescent="0.25">
      <c r="A33">
        <f>A27+1</f>
        <v>1983</v>
      </c>
      <c r="B33">
        <v>4</v>
      </c>
      <c r="C33">
        <v>10</v>
      </c>
      <c r="D33" s="5">
        <v>138898.5</v>
      </c>
      <c r="E33" s="6">
        <f>D33/1000</f>
        <v>138.89850000000001</v>
      </c>
      <c r="F33" s="7">
        <f>((144-143.1)/(160-140))*(E33-140)+143.1</f>
        <v>143.0504325</v>
      </c>
      <c r="G33" s="7"/>
      <c r="H33" s="8">
        <f>43%</f>
        <v>0.43</v>
      </c>
      <c r="I33" s="9">
        <f>IF(H33*E33&lt;65,H33*E33,65)</f>
        <v>59.726355000000005</v>
      </c>
      <c r="J33" s="9">
        <f t="shared" ref="J33:J37" si="65">IF(E33-I33&gt;F33,F33,E33-I33)</f>
        <v>79.172145</v>
      </c>
      <c r="K33" s="10">
        <f>(-0.0028)*(E33)+6.0316</f>
        <v>5.6426841999999997</v>
      </c>
      <c r="L33" s="11">
        <f>K33*J33</f>
        <v>446.74341167160895</v>
      </c>
      <c r="M33" s="12">
        <f>L33*C33*24</f>
        <v>107218.41880118614</v>
      </c>
      <c r="O33" s="5">
        <f>IF(P33=F33,E33-F33,22)</f>
        <v>22</v>
      </c>
      <c r="P33" s="9">
        <f>IF(E33-22&gt;F33,F33,E33-22)</f>
        <v>116.89850000000001</v>
      </c>
      <c r="Q33" s="10">
        <f>K33</f>
        <v>5.6426841999999997</v>
      </c>
      <c r="R33" s="11">
        <f>Q33*P33</f>
        <v>659.62131895369998</v>
      </c>
      <c r="S33" s="12">
        <f>R33*C33*24</f>
        <v>158309.11654888801</v>
      </c>
      <c r="U33" s="13">
        <f>IF(M33&gt;S33,0,S33-M33)</f>
        <v>51090.697747701866</v>
      </c>
      <c r="X33">
        <v>83</v>
      </c>
    </row>
    <row r="34" spans="1:24" ht="15.75" x14ac:dyDescent="0.25">
      <c r="B34">
        <v>5</v>
      </c>
      <c r="C34">
        <v>31</v>
      </c>
      <c r="D34">
        <v>157933</v>
      </c>
      <c r="E34" s="6">
        <f t="shared" ref="E34:E37" si="66">D34/1000</f>
        <v>157.93299999999999</v>
      </c>
      <c r="F34" s="7">
        <f t="shared" ref="F34:F37" si="67">((144-143.1)/(160-140))*(E34-140)+143.1</f>
        <v>143.90698499999999</v>
      </c>
      <c r="G34" s="7"/>
      <c r="H34" s="8">
        <v>0.43</v>
      </c>
      <c r="I34" s="9">
        <f t="shared" ref="I34:I37" si="68">IF(H34*E34&lt;65,H34*E34,65)</f>
        <v>65</v>
      </c>
      <c r="J34" s="9">
        <f t="shared" si="65"/>
        <v>92.932999999999993</v>
      </c>
      <c r="K34" s="10">
        <f t="shared" ref="K34:K37" si="69">(-0.0028)*(E34)+6.0316</f>
        <v>5.5893876000000002</v>
      </c>
      <c r="L34" s="11">
        <f t="shared" ref="L34:L37" si="70">K34*J34</f>
        <v>519.43855783079994</v>
      </c>
      <c r="M34" s="12">
        <f t="shared" ref="M34:M37" si="71">L34*C34*24</f>
        <v>386462.28702611517</v>
      </c>
      <c r="O34" s="5">
        <f t="shared" ref="O34:O37" si="72">IF(P34=F34,E34-F34,22)</f>
        <v>22</v>
      </c>
      <c r="P34" s="9">
        <f t="shared" ref="P34:P37" si="73">IF(E34-22&gt;F34,F34,E34-22)</f>
        <v>135.93299999999999</v>
      </c>
      <c r="Q34" s="10">
        <f t="shared" ref="Q34:Q37" si="74">K34</f>
        <v>5.5893876000000002</v>
      </c>
      <c r="R34" s="11">
        <f t="shared" ref="R34:R37" si="75">Q34*P34</f>
        <v>759.78222463079999</v>
      </c>
      <c r="S34" s="12">
        <f t="shared" ref="S34:S37" si="76">R34*C34*24</f>
        <v>565277.97512531525</v>
      </c>
      <c r="U34" s="13">
        <f t="shared" ref="U34:U37" si="77">IF(M34&gt;S34,0,S34-M34)</f>
        <v>178815.68809920008</v>
      </c>
    </row>
    <row r="35" spans="1:24" ht="15.75" x14ac:dyDescent="0.25">
      <c r="B35">
        <v>6</v>
      </c>
      <c r="C35">
        <v>30</v>
      </c>
      <c r="D35">
        <v>143491</v>
      </c>
      <c r="E35" s="6">
        <f t="shared" si="66"/>
        <v>143.49100000000001</v>
      </c>
      <c r="F35" s="7">
        <f t="shared" si="67"/>
        <v>143.25709499999999</v>
      </c>
      <c r="G35" s="7"/>
      <c r="H35" s="8">
        <v>0.46</v>
      </c>
      <c r="I35" s="9">
        <f t="shared" si="68"/>
        <v>65</v>
      </c>
      <c r="J35" s="9">
        <f t="shared" si="65"/>
        <v>78.491000000000014</v>
      </c>
      <c r="K35" s="10">
        <f t="shared" si="69"/>
        <v>5.6298252</v>
      </c>
      <c r="L35" s="11">
        <f t="shared" si="70"/>
        <v>441.89060977320008</v>
      </c>
      <c r="M35" s="12">
        <f t="shared" si="71"/>
        <v>318161.23903670406</v>
      </c>
      <c r="O35" s="5">
        <f t="shared" si="72"/>
        <v>22</v>
      </c>
      <c r="P35" s="9">
        <f t="shared" si="73"/>
        <v>121.49100000000001</v>
      </c>
      <c r="Q35" s="10">
        <f t="shared" si="74"/>
        <v>5.6298252</v>
      </c>
      <c r="R35" s="11">
        <f t="shared" si="75"/>
        <v>683.97309337320007</v>
      </c>
      <c r="S35" s="12">
        <f t="shared" si="76"/>
        <v>492460.62722870405</v>
      </c>
      <c r="U35" s="13">
        <f t="shared" si="77"/>
        <v>174299.38819199998</v>
      </c>
    </row>
    <row r="36" spans="1:24" ht="15.75" x14ac:dyDescent="0.25">
      <c r="B36">
        <v>7</v>
      </c>
      <c r="C36">
        <v>31</v>
      </c>
      <c r="D36">
        <v>170578</v>
      </c>
      <c r="E36" s="6">
        <f t="shared" si="66"/>
        <v>170.578</v>
      </c>
      <c r="F36" s="7">
        <f t="shared" si="67"/>
        <v>144.47601</v>
      </c>
      <c r="G36" s="7"/>
      <c r="H36" s="8">
        <v>0.49</v>
      </c>
      <c r="I36" s="9">
        <f t="shared" si="68"/>
        <v>65</v>
      </c>
      <c r="J36" s="9">
        <f t="shared" si="65"/>
        <v>105.578</v>
      </c>
      <c r="K36" s="10">
        <f t="shared" si="69"/>
        <v>5.5539816000000002</v>
      </c>
      <c r="L36" s="11">
        <f t="shared" si="70"/>
        <v>586.37826936480008</v>
      </c>
      <c r="M36" s="12">
        <f t="shared" si="71"/>
        <v>436265.43240741128</v>
      </c>
      <c r="O36" s="5">
        <f t="shared" si="72"/>
        <v>26.101990000000001</v>
      </c>
      <c r="P36" s="9">
        <f t="shared" si="73"/>
        <v>144.47601</v>
      </c>
      <c r="Q36" s="10">
        <f t="shared" si="74"/>
        <v>5.5539816000000002</v>
      </c>
      <c r="R36" s="11">
        <f t="shared" si="75"/>
        <v>802.417101181416</v>
      </c>
      <c r="S36" s="12">
        <f t="shared" si="76"/>
        <v>596998.32327897346</v>
      </c>
      <c r="U36" s="13">
        <f t="shared" si="77"/>
        <v>160732.89087156218</v>
      </c>
    </row>
    <row r="37" spans="1:24" ht="15.75" x14ac:dyDescent="0.25">
      <c r="B37">
        <v>8</v>
      </c>
      <c r="C37">
        <v>18</v>
      </c>
      <c r="D37" s="5">
        <v>137198.03225806452</v>
      </c>
      <c r="E37" s="6">
        <f t="shared" si="66"/>
        <v>137.19803225806453</v>
      </c>
      <c r="F37" s="7">
        <f t="shared" si="67"/>
        <v>142.97391145161291</v>
      </c>
      <c r="G37" s="7"/>
      <c r="H37" s="8">
        <f>49%</f>
        <v>0.49</v>
      </c>
      <c r="I37" s="9">
        <f t="shared" si="68"/>
        <v>65</v>
      </c>
      <c r="J37" s="9">
        <f t="shared" si="65"/>
        <v>72.198032258064529</v>
      </c>
      <c r="K37" s="10">
        <f t="shared" si="69"/>
        <v>5.6474455096774197</v>
      </c>
      <c r="L37" s="11">
        <f t="shared" si="70"/>
        <v>407.73445308335204</v>
      </c>
      <c r="M37" s="12">
        <f t="shared" si="71"/>
        <v>176141.28373200807</v>
      </c>
      <c r="O37" s="5">
        <f t="shared" si="72"/>
        <v>22</v>
      </c>
      <c r="P37" s="9">
        <f t="shared" si="73"/>
        <v>115.19803225806453</v>
      </c>
      <c r="Q37" s="10">
        <f t="shared" si="74"/>
        <v>5.6474455096774197</v>
      </c>
      <c r="R37" s="11">
        <f t="shared" si="75"/>
        <v>650.57460999948103</v>
      </c>
      <c r="S37" s="12">
        <f t="shared" si="76"/>
        <v>281048.23151977581</v>
      </c>
      <c r="U37" s="13">
        <f t="shared" si="77"/>
        <v>104906.94778776774</v>
      </c>
      <c r="V37" s="10">
        <f>SUM(U33:U37)/8760</f>
        <v>76.466394143633764</v>
      </c>
      <c r="W37" s="13">
        <f>SUM(U33:U37)</f>
        <v>669845.61269823182</v>
      </c>
    </row>
    <row r="38" spans="1:24" x14ac:dyDescent="0.25">
      <c r="O38" s="5"/>
    </row>
    <row r="39" spans="1:24" ht="15.75" x14ac:dyDescent="0.25">
      <c r="A39">
        <f>A33+1</f>
        <v>1984</v>
      </c>
      <c r="B39">
        <v>4</v>
      </c>
      <c r="C39">
        <v>10</v>
      </c>
      <c r="D39" s="5">
        <v>131843.5</v>
      </c>
      <c r="E39" s="6">
        <f>D39/1000</f>
        <v>131.84350000000001</v>
      </c>
      <c r="F39" s="7">
        <f>((144-143.1)/(160-140))*(E39-140)+143.1</f>
        <v>142.7329575</v>
      </c>
      <c r="G39" s="7"/>
      <c r="H39" s="8">
        <f>43%</f>
        <v>0.43</v>
      </c>
      <c r="I39" s="9">
        <f>IF(H39*E39&lt;65,H39*E39,65)</f>
        <v>56.692705000000004</v>
      </c>
      <c r="J39" s="9">
        <f t="shared" ref="J39:J43" si="78">IF(E39-I39&gt;F39,F39,E39-I39)</f>
        <v>75.150795000000002</v>
      </c>
      <c r="K39" s="10">
        <f>(-0.0028)*(E39)+6.0316</f>
        <v>5.6624382000000004</v>
      </c>
      <c r="L39" s="11">
        <f>K39*J39</f>
        <v>425.53673236836903</v>
      </c>
      <c r="M39" s="12">
        <f>L39*C39*24</f>
        <v>102128.81576840856</v>
      </c>
      <c r="O39" s="5">
        <f>IF(P39=F39,E39-F39,22)</f>
        <v>22</v>
      </c>
      <c r="P39" s="9">
        <f>IF(E39-22&gt;F39,F39,E39-22)</f>
        <v>109.84350000000001</v>
      </c>
      <c r="Q39" s="10">
        <f>K39</f>
        <v>5.6624382000000004</v>
      </c>
      <c r="R39" s="11">
        <f>Q39*P39</f>
        <v>621.98203042170007</v>
      </c>
      <c r="S39" s="12">
        <f>R39*C39*24</f>
        <v>149275.68730120803</v>
      </c>
      <c r="U39" s="13">
        <f>IF(M39&gt;S39,0,S39-M39)</f>
        <v>47146.871532799472</v>
      </c>
      <c r="X39">
        <v>84</v>
      </c>
    </row>
    <row r="40" spans="1:24" ht="15.75" x14ac:dyDescent="0.25">
      <c r="B40">
        <v>5</v>
      </c>
      <c r="C40">
        <v>31</v>
      </c>
      <c r="D40">
        <v>113634</v>
      </c>
      <c r="E40" s="6">
        <f t="shared" ref="E40:E43" si="79">D40/1000</f>
        <v>113.634</v>
      </c>
      <c r="F40" s="7">
        <f t="shared" ref="F40:F43" si="80">((144-143.1)/(160-140))*(E40-140)+143.1</f>
        <v>141.91352999999998</v>
      </c>
      <c r="G40" s="7"/>
      <c r="H40" s="8">
        <v>0.43</v>
      </c>
      <c r="I40" s="9">
        <f t="shared" ref="I40:I43" si="81">IF(H40*E40&lt;65,H40*E40,65)</f>
        <v>48.86262</v>
      </c>
      <c r="J40" s="9">
        <f t="shared" si="78"/>
        <v>64.771379999999994</v>
      </c>
      <c r="K40" s="10">
        <f t="shared" ref="K40:K43" si="82">(-0.0028)*(E40)+6.0316</f>
        <v>5.7134248000000003</v>
      </c>
      <c r="L40" s="11">
        <f t="shared" ref="L40:L43" si="83">K40*J40</f>
        <v>370.06640882222399</v>
      </c>
      <c r="M40" s="12">
        <f t="shared" ref="M40:M43" si="84">L40*C40*24</f>
        <v>275329.40816373465</v>
      </c>
      <c r="O40" s="5">
        <f t="shared" ref="O40:O43" si="85">IF(P40=F40,E40-F40,22)</f>
        <v>22</v>
      </c>
      <c r="P40" s="9">
        <f t="shared" ref="P40:P43" si="86">IF(E40-22&gt;F40,F40,E40-22)</f>
        <v>91.634</v>
      </c>
      <c r="Q40" s="10">
        <f t="shared" ref="Q40:Q43" si="87">K40</f>
        <v>5.7134248000000003</v>
      </c>
      <c r="R40" s="11">
        <f t="shared" ref="R40:R43" si="88">Q40*P40</f>
        <v>523.54396812319999</v>
      </c>
      <c r="S40" s="12">
        <f t="shared" ref="S40:S43" si="89">R40*C40*24</f>
        <v>389516.71228366077</v>
      </c>
      <c r="U40" s="13">
        <f t="shared" ref="U40:U43" si="90">IF(M40&gt;S40,0,S40-M40)</f>
        <v>114187.30411992612</v>
      </c>
    </row>
    <row r="41" spans="1:24" ht="15.75" x14ac:dyDescent="0.25">
      <c r="B41">
        <v>6</v>
      </c>
      <c r="C41">
        <v>30</v>
      </c>
      <c r="D41">
        <v>193199</v>
      </c>
      <c r="E41" s="6">
        <f t="shared" si="79"/>
        <v>193.19900000000001</v>
      </c>
      <c r="F41" s="7">
        <f t="shared" si="80"/>
        <v>145.493955</v>
      </c>
      <c r="G41" s="7"/>
      <c r="H41" s="8">
        <v>0.46</v>
      </c>
      <c r="I41" s="9">
        <f t="shared" si="81"/>
        <v>65</v>
      </c>
      <c r="J41" s="9">
        <f t="shared" si="78"/>
        <v>128.19900000000001</v>
      </c>
      <c r="K41" s="10">
        <f t="shared" si="82"/>
        <v>5.4906427999999998</v>
      </c>
      <c r="L41" s="11">
        <f t="shared" si="83"/>
        <v>703.8949163172</v>
      </c>
      <c r="M41" s="12">
        <f t="shared" si="84"/>
        <v>506804.33974838397</v>
      </c>
      <c r="O41" s="5">
        <f t="shared" si="85"/>
        <v>47.705045000000013</v>
      </c>
      <c r="P41" s="9">
        <f t="shared" si="86"/>
        <v>145.493955</v>
      </c>
      <c r="Q41" s="10">
        <f t="shared" si="87"/>
        <v>5.4906427999999998</v>
      </c>
      <c r="R41" s="11">
        <f t="shared" si="88"/>
        <v>798.85533646427393</v>
      </c>
      <c r="S41" s="12">
        <f t="shared" si="89"/>
        <v>575175.8422542772</v>
      </c>
      <c r="U41" s="13">
        <f t="shared" si="90"/>
        <v>68371.502505893237</v>
      </c>
    </row>
    <row r="42" spans="1:24" ht="15.75" x14ac:dyDescent="0.25">
      <c r="B42">
        <v>7</v>
      </c>
      <c r="C42">
        <v>31</v>
      </c>
      <c r="D42">
        <v>132328</v>
      </c>
      <c r="E42" s="6">
        <f t="shared" si="79"/>
        <v>132.328</v>
      </c>
      <c r="F42" s="7">
        <f t="shared" si="80"/>
        <v>142.75476</v>
      </c>
      <c r="G42" s="7"/>
      <c r="H42" s="8">
        <v>0.49</v>
      </c>
      <c r="I42" s="9">
        <f t="shared" si="81"/>
        <v>64.840720000000005</v>
      </c>
      <c r="J42" s="9">
        <f t="shared" si="78"/>
        <v>67.487279999999998</v>
      </c>
      <c r="K42" s="10">
        <f t="shared" si="82"/>
        <v>5.6610816000000002</v>
      </c>
      <c r="L42" s="11">
        <f t="shared" si="83"/>
        <v>382.05099904204798</v>
      </c>
      <c r="M42" s="12">
        <f t="shared" si="84"/>
        <v>284245.94328728365</v>
      </c>
      <c r="O42" s="5">
        <f t="shared" si="85"/>
        <v>22</v>
      </c>
      <c r="P42" s="9">
        <f t="shared" si="86"/>
        <v>110.328</v>
      </c>
      <c r="Q42" s="10">
        <f t="shared" si="87"/>
        <v>5.6610816000000002</v>
      </c>
      <c r="R42" s="11">
        <f t="shared" si="88"/>
        <v>624.57581076480005</v>
      </c>
      <c r="S42" s="12">
        <f t="shared" si="89"/>
        <v>464684.40320901125</v>
      </c>
      <c r="U42" s="13">
        <f t="shared" si="90"/>
        <v>180438.4599217276</v>
      </c>
    </row>
    <row r="43" spans="1:24" ht="15.75" x14ac:dyDescent="0.25">
      <c r="B43">
        <v>8</v>
      </c>
      <c r="C43">
        <v>18</v>
      </c>
      <c r="D43" s="5">
        <v>102021.22580645161</v>
      </c>
      <c r="E43" s="6">
        <f t="shared" si="79"/>
        <v>102.02122580645161</v>
      </c>
      <c r="F43" s="7">
        <f t="shared" si="80"/>
        <v>141.39095516129029</v>
      </c>
      <c r="G43" s="7"/>
      <c r="H43" s="8">
        <f>49%</f>
        <v>0.49</v>
      </c>
      <c r="I43" s="9">
        <f t="shared" si="81"/>
        <v>49.990400645161287</v>
      </c>
      <c r="J43" s="9">
        <f t="shared" si="78"/>
        <v>52.030825161290323</v>
      </c>
      <c r="K43" s="10">
        <f t="shared" si="82"/>
        <v>5.7459405677419353</v>
      </c>
      <c r="L43" s="11">
        <f t="shared" si="83"/>
        <v>298.96602906734591</v>
      </c>
      <c r="M43" s="12">
        <f t="shared" si="84"/>
        <v>129153.32455709344</v>
      </c>
      <c r="O43" s="5">
        <f t="shared" si="85"/>
        <v>22</v>
      </c>
      <c r="P43" s="9">
        <f t="shared" si="86"/>
        <v>80.021225806451611</v>
      </c>
      <c r="Q43" s="10">
        <f t="shared" si="87"/>
        <v>5.7459405677419353</v>
      </c>
      <c r="R43" s="11">
        <f t="shared" si="88"/>
        <v>459.79720764172816</v>
      </c>
      <c r="S43" s="12">
        <f t="shared" si="89"/>
        <v>198632.39370122657</v>
      </c>
      <c r="U43" s="13">
        <f t="shared" si="90"/>
        <v>69479.069144133129</v>
      </c>
      <c r="V43" s="10">
        <f>SUM(U39:U43)/8760</f>
        <v>54.751507674027344</v>
      </c>
      <c r="W43" s="13">
        <f>SUM(U39:U43)</f>
        <v>479623.20722447953</v>
      </c>
    </row>
    <row r="44" spans="1:24" x14ac:dyDescent="0.25">
      <c r="O44" s="5"/>
    </row>
    <row r="45" spans="1:24" ht="15.75" x14ac:dyDescent="0.25">
      <c r="A45">
        <f>A39+1</f>
        <v>1985</v>
      </c>
      <c r="B45">
        <v>4</v>
      </c>
      <c r="C45">
        <v>10</v>
      </c>
      <c r="D45" s="5">
        <v>132168</v>
      </c>
      <c r="E45" s="6">
        <f>D45/1000</f>
        <v>132.16800000000001</v>
      </c>
      <c r="F45" s="7">
        <f>((144-143.1)/(160-140))*(E45-140)+143.1</f>
        <v>142.74755999999999</v>
      </c>
      <c r="G45" s="7"/>
      <c r="H45" s="8">
        <f>43%</f>
        <v>0.43</v>
      </c>
      <c r="I45" s="9">
        <f>IF(H45*E45&lt;65,H45*E45,65)</f>
        <v>56.832239999999999</v>
      </c>
      <c r="J45" s="9">
        <f t="shared" ref="J45:J49" si="91">IF(E45-I45&gt;F45,F45,E45-I45)</f>
        <v>75.335760000000008</v>
      </c>
      <c r="K45" s="10">
        <f>(-0.0028)*(E45)+6.0316</f>
        <v>5.6615295999999997</v>
      </c>
      <c r="L45" s="11">
        <f>K45*J45</f>
        <v>426.51563517849604</v>
      </c>
      <c r="M45" s="12">
        <f>L45*C45*24</f>
        <v>102363.75244283906</v>
      </c>
      <c r="O45" s="5">
        <f>IF(P45=F45,E45-F45,22)</f>
        <v>22</v>
      </c>
      <c r="P45" s="9">
        <f>IF(E45-22&gt;F45,F45,E45-22)</f>
        <v>110.16800000000001</v>
      </c>
      <c r="Q45" s="10">
        <f>K45</f>
        <v>5.6615295999999997</v>
      </c>
      <c r="R45" s="11">
        <f>Q45*P45</f>
        <v>623.71939297280005</v>
      </c>
      <c r="S45" s="12">
        <f>R45*C45*24</f>
        <v>149692.65431347201</v>
      </c>
      <c r="U45" s="13">
        <f>IF(M45&gt;S45,0,S45-M45)</f>
        <v>47328.901870632952</v>
      </c>
      <c r="X45">
        <v>85</v>
      </c>
    </row>
    <row r="46" spans="1:24" ht="15.75" x14ac:dyDescent="0.25">
      <c r="B46">
        <v>5</v>
      </c>
      <c r="C46">
        <v>31</v>
      </c>
      <c r="D46">
        <v>120890</v>
      </c>
      <c r="E46" s="6">
        <f t="shared" ref="E46:E49" si="92">D46/1000</f>
        <v>120.89</v>
      </c>
      <c r="F46" s="7">
        <f t="shared" ref="F46:F49" si="93">((144-143.1)/(160-140))*(E46-140)+143.1</f>
        <v>142.24005</v>
      </c>
      <c r="G46" s="7"/>
      <c r="H46" s="8">
        <v>0.43</v>
      </c>
      <c r="I46" s="9">
        <f t="shared" ref="I46:I49" si="94">IF(H46*E46&lt;65,H46*E46,65)</f>
        <v>51.982700000000001</v>
      </c>
      <c r="J46" s="9">
        <f t="shared" si="91"/>
        <v>68.907299999999992</v>
      </c>
      <c r="K46" s="10">
        <f t="shared" ref="K46:K49" si="95">(-0.0028)*(E46)+6.0316</f>
        <v>5.6931080000000005</v>
      </c>
      <c r="L46" s="11">
        <f t="shared" ref="L46:L49" si="96">K46*J46</f>
        <v>392.29670088839998</v>
      </c>
      <c r="M46" s="12">
        <f t="shared" ref="M46:M49" si="97">L46*C46*24</f>
        <v>291868.74546096957</v>
      </c>
      <c r="O46" s="5">
        <f t="shared" ref="O46:O49" si="98">IF(P46=F46,E46-F46,22)</f>
        <v>22</v>
      </c>
      <c r="P46" s="9">
        <f t="shared" ref="P46:P49" si="99">IF(E46-22&gt;F46,F46,E46-22)</f>
        <v>98.89</v>
      </c>
      <c r="Q46" s="10">
        <f t="shared" ref="Q46:Q49" si="100">K46</f>
        <v>5.6931080000000005</v>
      </c>
      <c r="R46" s="11">
        <f t="shared" ref="R46:R49" si="101">Q46*P46</f>
        <v>562.99145012000008</v>
      </c>
      <c r="S46" s="12">
        <f t="shared" ref="S46:S49" si="102">R46*C46*24</f>
        <v>418865.63888928003</v>
      </c>
      <c r="U46" s="13">
        <f t="shared" ref="U46:U49" si="103">IF(M46&gt;S46,0,S46-M46)</f>
        <v>126996.89342831046</v>
      </c>
    </row>
    <row r="47" spans="1:24" ht="15.75" x14ac:dyDescent="0.25">
      <c r="B47">
        <v>6</v>
      </c>
      <c r="C47">
        <v>30</v>
      </c>
      <c r="D47">
        <v>161629</v>
      </c>
      <c r="E47" s="6">
        <f t="shared" si="92"/>
        <v>161.62899999999999</v>
      </c>
      <c r="F47" s="7">
        <f t="shared" si="93"/>
        <v>144.073305</v>
      </c>
      <c r="G47" s="7"/>
      <c r="H47" s="8">
        <v>0.46</v>
      </c>
      <c r="I47" s="9">
        <f t="shared" si="94"/>
        <v>65</v>
      </c>
      <c r="J47" s="9">
        <f t="shared" si="91"/>
        <v>96.628999999999991</v>
      </c>
      <c r="K47" s="10">
        <f t="shared" si="95"/>
        <v>5.5790388000000002</v>
      </c>
      <c r="L47" s="11">
        <f t="shared" si="96"/>
        <v>539.09694020519999</v>
      </c>
      <c r="M47" s="12">
        <f t="shared" si="97"/>
        <v>388149.79694774398</v>
      </c>
      <c r="O47" s="5">
        <f t="shared" si="98"/>
        <v>22</v>
      </c>
      <c r="P47" s="9">
        <f t="shared" si="99"/>
        <v>139.62899999999999</v>
      </c>
      <c r="Q47" s="10">
        <f t="shared" si="100"/>
        <v>5.5790388000000002</v>
      </c>
      <c r="R47" s="11">
        <f t="shared" si="101"/>
        <v>778.9956086052</v>
      </c>
      <c r="S47" s="12">
        <f t="shared" si="102"/>
        <v>560876.83819574397</v>
      </c>
      <c r="U47" s="13">
        <f t="shared" si="103"/>
        <v>172727.04124799999</v>
      </c>
    </row>
    <row r="48" spans="1:24" ht="15.75" x14ac:dyDescent="0.25">
      <c r="B48">
        <v>7</v>
      </c>
      <c r="C48">
        <v>31</v>
      </c>
      <c r="D48">
        <v>117423</v>
      </c>
      <c r="E48" s="6">
        <f t="shared" si="92"/>
        <v>117.423</v>
      </c>
      <c r="F48" s="7">
        <f t="shared" si="93"/>
        <v>142.084035</v>
      </c>
      <c r="G48" s="7"/>
      <c r="H48" s="8">
        <v>0.49</v>
      </c>
      <c r="I48" s="9">
        <f t="shared" si="94"/>
        <v>57.537269999999999</v>
      </c>
      <c r="J48" s="9">
        <f t="shared" si="91"/>
        <v>59.885730000000002</v>
      </c>
      <c r="K48" s="10">
        <f t="shared" si="95"/>
        <v>5.7028156000000001</v>
      </c>
      <c r="L48" s="11">
        <f t="shared" si="96"/>
        <v>341.51727526138802</v>
      </c>
      <c r="M48" s="12">
        <f t="shared" si="97"/>
        <v>254088.85279447271</v>
      </c>
      <c r="O48" s="5">
        <f t="shared" si="98"/>
        <v>22</v>
      </c>
      <c r="P48" s="9">
        <f t="shared" si="99"/>
        <v>95.423000000000002</v>
      </c>
      <c r="Q48" s="10">
        <f t="shared" si="100"/>
        <v>5.7028156000000001</v>
      </c>
      <c r="R48" s="11">
        <f t="shared" si="101"/>
        <v>544.17977299879999</v>
      </c>
      <c r="S48" s="12">
        <f t="shared" si="102"/>
        <v>404869.75111110718</v>
      </c>
      <c r="U48" s="13">
        <f t="shared" si="103"/>
        <v>150780.89831663447</v>
      </c>
    </row>
    <row r="49" spans="1:24" ht="15.75" x14ac:dyDescent="0.25">
      <c r="B49">
        <v>8</v>
      </c>
      <c r="C49">
        <v>18</v>
      </c>
      <c r="D49" s="5">
        <v>89887.096774193546</v>
      </c>
      <c r="E49" s="6">
        <f t="shared" si="92"/>
        <v>89.887096774193552</v>
      </c>
      <c r="F49" s="7">
        <f t="shared" si="93"/>
        <v>140.84491935483868</v>
      </c>
      <c r="G49" s="7"/>
      <c r="H49" s="8">
        <f>49%</f>
        <v>0.49</v>
      </c>
      <c r="I49" s="9">
        <f t="shared" si="94"/>
        <v>44.044677419354841</v>
      </c>
      <c r="J49" s="9">
        <f t="shared" si="91"/>
        <v>45.842419354838711</v>
      </c>
      <c r="K49" s="10">
        <f t="shared" si="95"/>
        <v>5.7799161290322578</v>
      </c>
      <c r="L49" s="11">
        <f t="shared" si="96"/>
        <v>264.96533902289281</v>
      </c>
      <c r="M49" s="12">
        <f t="shared" si="97"/>
        <v>114465.02645788969</v>
      </c>
      <c r="O49" s="5">
        <f t="shared" si="98"/>
        <v>22</v>
      </c>
      <c r="P49" s="9">
        <f t="shared" si="99"/>
        <v>67.887096774193552</v>
      </c>
      <c r="Q49" s="10">
        <f t="shared" si="100"/>
        <v>5.7799161290322578</v>
      </c>
      <c r="R49" s="11">
        <f t="shared" si="101"/>
        <v>392.38172559833509</v>
      </c>
      <c r="S49" s="12">
        <f t="shared" si="102"/>
        <v>169508.90545848076</v>
      </c>
      <c r="U49" s="13">
        <f t="shared" si="103"/>
        <v>55043.879000591071</v>
      </c>
      <c r="V49" s="10">
        <f>SUM(U45:U49)/8760</f>
        <v>63.113882861206505</v>
      </c>
      <c r="W49" s="13">
        <f>SUM(U45:U49)</f>
        <v>552877.61386416899</v>
      </c>
    </row>
    <row r="50" spans="1:24" x14ac:dyDescent="0.25">
      <c r="O50" s="5"/>
    </row>
    <row r="51" spans="1:24" ht="15.75" x14ac:dyDescent="0.25">
      <c r="A51">
        <f>A45+1</f>
        <v>1986</v>
      </c>
      <c r="B51">
        <v>4</v>
      </c>
      <c r="C51">
        <v>10</v>
      </c>
      <c r="D51" s="5">
        <v>141962.5</v>
      </c>
      <c r="E51" s="6">
        <f>D51/1000</f>
        <v>141.96250000000001</v>
      </c>
      <c r="F51" s="7">
        <f>((144-143.1)/(160-140))*(E51-140)+143.1</f>
        <v>143.18831249999999</v>
      </c>
      <c r="G51" s="7"/>
      <c r="H51" s="8">
        <f>43%</f>
        <v>0.43</v>
      </c>
      <c r="I51" s="9">
        <f>IF(H51*E51&lt;65,H51*E51,65)</f>
        <v>61.043875</v>
      </c>
      <c r="J51" s="9">
        <f t="shared" ref="J51:J55" si="104">IF(E51-I51&gt;F51,F51,E51-I51)</f>
        <v>80.918625000000006</v>
      </c>
      <c r="K51" s="10">
        <f>(-0.0028)*(E51)+6.0316</f>
        <v>5.6341049999999999</v>
      </c>
      <c r="L51" s="11">
        <f>K51*J51</f>
        <v>455.90402970562502</v>
      </c>
      <c r="M51" s="12">
        <f>L51*C51*24</f>
        <v>109416.96712935</v>
      </c>
      <c r="O51" s="5">
        <f>IF(P51=F51,E51-F51,22)</f>
        <v>22</v>
      </c>
      <c r="P51" s="9">
        <f>IF(E51-22&gt;F51,F51,E51-22)</f>
        <v>119.96250000000001</v>
      </c>
      <c r="Q51" s="10">
        <f>K51</f>
        <v>5.6341049999999999</v>
      </c>
      <c r="R51" s="11">
        <f>Q51*P51</f>
        <v>675.88132106249998</v>
      </c>
      <c r="S51" s="12">
        <f>R51*C51*24</f>
        <v>162211.517055</v>
      </c>
      <c r="U51" s="13">
        <f>IF(M51&gt;S51,0,S51-M51)</f>
        <v>52794.549925650004</v>
      </c>
      <c r="X51">
        <v>86</v>
      </c>
    </row>
    <row r="52" spans="1:24" ht="15.75" x14ac:dyDescent="0.25">
      <c r="B52">
        <v>5</v>
      </c>
      <c r="C52">
        <v>31</v>
      </c>
      <c r="D52">
        <v>104572</v>
      </c>
      <c r="E52" s="6">
        <f t="shared" ref="E52:E55" si="105">D52/1000</f>
        <v>104.572</v>
      </c>
      <c r="F52" s="7">
        <f t="shared" ref="F52:F55" si="106">((144-143.1)/(160-140))*(E52-140)+143.1</f>
        <v>141.50573999999997</v>
      </c>
      <c r="G52" s="7"/>
      <c r="H52" s="8">
        <v>0.43</v>
      </c>
      <c r="I52" s="9">
        <f t="shared" ref="I52:I55" si="107">IF(H52*E52&lt;65,H52*E52,65)</f>
        <v>44.965960000000003</v>
      </c>
      <c r="J52" s="9">
        <f t="shared" si="104"/>
        <v>59.60604</v>
      </c>
      <c r="K52" s="10">
        <f t="shared" ref="K52:K55" si="108">(-0.0028)*(E52)+6.0316</f>
        <v>5.7387984000000003</v>
      </c>
      <c r="L52" s="11">
        <f t="shared" ref="L52:L55" si="109">K52*J52</f>
        <v>342.06704698233602</v>
      </c>
      <c r="M52" s="12">
        <f t="shared" ref="M52:M55" si="110">L52*C52*24</f>
        <v>254497.88295485801</v>
      </c>
      <c r="O52" s="5">
        <f t="shared" ref="O52:O55" si="111">IF(P52=F52,E52-F52,22)</f>
        <v>22</v>
      </c>
      <c r="P52" s="9">
        <f t="shared" ref="P52:P55" si="112">IF(E52-22&gt;F52,F52,E52-22)</f>
        <v>82.572000000000003</v>
      </c>
      <c r="Q52" s="10">
        <f t="shared" ref="Q52:Q55" si="113">K52</f>
        <v>5.7387984000000003</v>
      </c>
      <c r="R52" s="11">
        <f t="shared" ref="R52:R55" si="114">Q52*P52</f>
        <v>473.86406148480006</v>
      </c>
      <c r="S52" s="12">
        <f t="shared" ref="S52:S55" si="115">R52*C52*24</f>
        <v>352554.86174469121</v>
      </c>
      <c r="U52" s="13">
        <f t="shared" ref="U52:U55" si="116">IF(M52&gt;S52,0,S52-M52)</f>
        <v>98056.9787898332</v>
      </c>
    </row>
    <row r="53" spans="1:24" ht="15.75" x14ac:dyDescent="0.25">
      <c r="B53">
        <v>6</v>
      </c>
      <c r="C53">
        <v>30</v>
      </c>
      <c r="D53">
        <v>153782</v>
      </c>
      <c r="E53" s="6">
        <f t="shared" si="105"/>
        <v>153.78200000000001</v>
      </c>
      <c r="F53" s="7">
        <f t="shared" si="106"/>
        <v>143.72019</v>
      </c>
      <c r="G53" s="7"/>
      <c r="H53" s="8">
        <v>0.46</v>
      </c>
      <c r="I53" s="9">
        <f t="shared" si="107"/>
        <v>65</v>
      </c>
      <c r="J53" s="9">
        <f t="shared" si="104"/>
        <v>88.782000000000011</v>
      </c>
      <c r="K53" s="10">
        <f t="shared" si="108"/>
        <v>5.6010103999999998</v>
      </c>
      <c r="L53" s="11">
        <f t="shared" si="109"/>
        <v>497.26890533280005</v>
      </c>
      <c r="M53" s="12">
        <f t="shared" si="110"/>
        <v>358033.61183961603</v>
      </c>
      <c r="O53" s="5">
        <f t="shared" si="111"/>
        <v>22</v>
      </c>
      <c r="P53" s="9">
        <f t="shared" si="112"/>
        <v>131.78200000000001</v>
      </c>
      <c r="Q53" s="10">
        <f t="shared" si="113"/>
        <v>5.6010103999999998</v>
      </c>
      <c r="R53" s="11">
        <f t="shared" si="114"/>
        <v>738.11235253280006</v>
      </c>
      <c r="S53" s="12">
        <f t="shared" si="115"/>
        <v>531440.89382361597</v>
      </c>
      <c r="U53" s="13">
        <f t="shared" si="116"/>
        <v>173407.28198399994</v>
      </c>
    </row>
    <row r="54" spans="1:24" ht="15.75" x14ac:dyDescent="0.25">
      <c r="B54">
        <v>7</v>
      </c>
      <c r="C54">
        <v>31</v>
      </c>
      <c r="D54">
        <v>124411</v>
      </c>
      <c r="E54" s="6">
        <f t="shared" si="105"/>
        <v>124.411</v>
      </c>
      <c r="F54" s="7">
        <f t="shared" si="106"/>
        <v>142.398495</v>
      </c>
      <c r="G54" s="7"/>
      <c r="H54" s="8">
        <v>0.49</v>
      </c>
      <c r="I54" s="9">
        <f t="shared" si="107"/>
        <v>60.961390000000002</v>
      </c>
      <c r="J54" s="9">
        <f t="shared" si="104"/>
        <v>63.44961</v>
      </c>
      <c r="K54" s="10">
        <f t="shared" si="108"/>
        <v>5.6832491999999997</v>
      </c>
      <c r="L54" s="11">
        <f t="shared" si="109"/>
        <v>360.59994527281196</v>
      </c>
      <c r="M54" s="12">
        <f t="shared" si="110"/>
        <v>268286.35928297212</v>
      </c>
      <c r="O54" s="5">
        <f t="shared" si="111"/>
        <v>22</v>
      </c>
      <c r="P54" s="9">
        <f t="shared" si="112"/>
        <v>102.411</v>
      </c>
      <c r="Q54" s="10">
        <f t="shared" si="113"/>
        <v>5.6832491999999997</v>
      </c>
      <c r="R54" s="11">
        <f t="shared" si="114"/>
        <v>582.02723382119996</v>
      </c>
      <c r="S54" s="12">
        <f t="shared" si="115"/>
        <v>433028.2619629727</v>
      </c>
      <c r="U54" s="13">
        <f t="shared" si="116"/>
        <v>164741.90268000058</v>
      </c>
    </row>
    <row r="55" spans="1:24" ht="15.75" x14ac:dyDescent="0.25">
      <c r="B55">
        <v>8</v>
      </c>
      <c r="C55">
        <v>18</v>
      </c>
      <c r="D55" s="5">
        <v>102402.03225806452</v>
      </c>
      <c r="E55" s="6">
        <f t="shared" si="105"/>
        <v>102.40203225806451</v>
      </c>
      <c r="F55" s="7">
        <f t="shared" si="106"/>
        <v>141.40809145161288</v>
      </c>
      <c r="G55" s="7"/>
      <c r="H55" s="8">
        <f>49%</f>
        <v>0.49</v>
      </c>
      <c r="I55" s="9">
        <f t="shared" si="107"/>
        <v>50.176995806451608</v>
      </c>
      <c r="J55" s="9">
        <f t="shared" si="104"/>
        <v>52.225036451612901</v>
      </c>
      <c r="K55" s="10">
        <f t="shared" si="108"/>
        <v>5.7448743096774191</v>
      </c>
      <c r="L55" s="11">
        <f t="shared" si="109"/>
        <v>300.0262702328377</v>
      </c>
      <c r="M55" s="12">
        <f t="shared" si="110"/>
        <v>129611.34874058589</v>
      </c>
      <c r="O55" s="5">
        <f t="shared" si="111"/>
        <v>22</v>
      </c>
      <c r="P55" s="9">
        <f t="shared" si="112"/>
        <v>80.402032258064509</v>
      </c>
      <c r="Q55" s="10">
        <f t="shared" si="113"/>
        <v>5.7448743096774191</v>
      </c>
      <c r="R55" s="11">
        <f t="shared" si="114"/>
        <v>461.8995695652099</v>
      </c>
      <c r="S55" s="12">
        <f t="shared" si="115"/>
        <v>199540.61405217065</v>
      </c>
      <c r="U55" s="13">
        <f t="shared" si="116"/>
        <v>69929.265311584764</v>
      </c>
      <c r="V55" s="10">
        <f>SUM(U51:U55)/8760</f>
        <v>63.804792088021514</v>
      </c>
      <c r="W55" s="13">
        <f>SUM(U51:U55)</f>
        <v>558929.97869106848</v>
      </c>
    </row>
    <row r="56" spans="1:24" x14ac:dyDescent="0.25">
      <c r="O56" s="5"/>
    </row>
    <row r="57" spans="1:24" ht="15.75" x14ac:dyDescent="0.25">
      <c r="A57">
        <f>A51+1</f>
        <v>1987</v>
      </c>
      <c r="B57">
        <v>4</v>
      </c>
      <c r="C57">
        <v>10</v>
      </c>
      <c r="D57" s="5">
        <v>90177.5</v>
      </c>
      <c r="E57" s="6">
        <f>D57/1000</f>
        <v>90.177499999999995</v>
      </c>
      <c r="F57" s="7">
        <f>((144-143.1)/(160-140))*(E57-140)+143.1</f>
        <v>140.85798749999998</v>
      </c>
      <c r="G57" s="7"/>
      <c r="H57" s="8">
        <f>43%</f>
        <v>0.43</v>
      </c>
      <c r="I57" s="9">
        <f>IF(H57*E57&lt;65,H57*E57,65)</f>
        <v>38.776325</v>
      </c>
      <c r="J57" s="9">
        <f t="shared" ref="J57:J61" si="117">IF(E57-I57&gt;F57,F57,E57-I57)</f>
        <v>51.401174999999995</v>
      </c>
      <c r="K57" s="10">
        <f>(-0.0028)*(E57)+6.0316</f>
        <v>5.7791030000000001</v>
      </c>
      <c r="L57" s="11">
        <f>K57*J57</f>
        <v>297.052684646025</v>
      </c>
      <c r="M57" s="12">
        <f>L57*C57*24</f>
        <v>71292.644315045996</v>
      </c>
      <c r="O57" s="5">
        <f>IF(P57=F57,E57-F57,22)</f>
        <v>22</v>
      </c>
      <c r="P57" s="9">
        <f>IF(E57-22&gt;F57,F57,E57-22)</f>
        <v>68.177499999999995</v>
      </c>
      <c r="Q57" s="10">
        <f>K57</f>
        <v>5.7791030000000001</v>
      </c>
      <c r="R57" s="11">
        <f>Q57*P57</f>
        <v>394.00479478249997</v>
      </c>
      <c r="S57" s="12">
        <f>R57*C57*24</f>
        <v>94561.150747799998</v>
      </c>
      <c r="U57" s="13">
        <f>IF(M57&gt;S57,0,S57-M57)</f>
        <v>23268.506432754002</v>
      </c>
      <c r="X57">
        <v>87</v>
      </c>
    </row>
    <row r="58" spans="1:24" ht="15.75" x14ac:dyDescent="0.25">
      <c r="B58">
        <v>5</v>
      </c>
      <c r="C58">
        <v>31</v>
      </c>
      <c r="D58">
        <v>156461</v>
      </c>
      <c r="E58" s="6">
        <f t="shared" ref="E58:E61" si="118">D58/1000</f>
        <v>156.46100000000001</v>
      </c>
      <c r="F58" s="7">
        <f t="shared" ref="F58:F61" si="119">((144-143.1)/(160-140))*(E58-140)+143.1</f>
        <v>143.840745</v>
      </c>
      <c r="G58" s="7"/>
      <c r="H58" s="8">
        <v>0.43</v>
      </c>
      <c r="I58" s="9">
        <f t="shared" ref="I58:I61" si="120">IF(H58*E58&lt;65,H58*E58,65)</f>
        <v>65</v>
      </c>
      <c r="J58" s="9">
        <f t="shared" si="117"/>
        <v>91.461000000000013</v>
      </c>
      <c r="K58" s="10">
        <f t="shared" ref="K58:K61" si="121">(-0.0028)*(E58)+6.0316</f>
        <v>5.5935091999999997</v>
      </c>
      <c r="L58" s="11">
        <f t="shared" ref="L58:L61" si="122">K58*J58</f>
        <v>511.58794494120002</v>
      </c>
      <c r="M58" s="12">
        <f t="shared" ref="M58:M61" si="123">L58*C58*24</f>
        <v>380621.43103625282</v>
      </c>
      <c r="O58" s="5">
        <f t="shared" ref="O58:O61" si="124">IF(P58=F58,E58-F58,22)</f>
        <v>22</v>
      </c>
      <c r="P58" s="9">
        <f t="shared" ref="P58:P61" si="125">IF(E58-22&gt;F58,F58,E58-22)</f>
        <v>134.46100000000001</v>
      </c>
      <c r="Q58" s="10">
        <f t="shared" ref="Q58:Q61" si="126">K58</f>
        <v>5.5935091999999997</v>
      </c>
      <c r="R58" s="11">
        <f t="shared" ref="R58:R61" si="127">Q58*P58</f>
        <v>752.10884054120004</v>
      </c>
      <c r="S58" s="12">
        <f t="shared" ref="S58:S61" si="128">R58*C58*24</f>
        <v>559568.97736265277</v>
      </c>
      <c r="U58" s="13">
        <f t="shared" ref="U58:U61" si="129">IF(M58&gt;S58,0,S58-M58)</f>
        <v>178947.54632639996</v>
      </c>
    </row>
    <row r="59" spans="1:24" ht="15.75" x14ac:dyDescent="0.25">
      <c r="B59">
        <v>6</v>
      </c>
      <c r="C59">
        <v>30</v>
      </c>
      <c r="D59">
        <v>179255</v>
      </c>
      <c r="E59" s="6">
        <f t="shared" si="118"/>
        <v>179.255</v>
      </c>
      <c r="F59" s="7">
        <f t="shared" si="119"/>
        <v>144.86647500000001</v>
      </c>
      <c r="G59" s="7"/>
      <c r="H59" s="8">
        <v>0.46</v>
      </c>
      <c r="I59" s="9">
        <f t="shared" si="120"/>
        <v>65</v>
      </c>
      <c r="J59" s="9">
        <f t="shared" si="117"/>
        <v>114.255</v>
      </c>
      <c r="K59" s="10">
        <f t="shared" si="121"/>
        <v>5.5296859999999999</v>
      </c>
      <c r="L59" s="11">
        <f t="shared" si="122"/>
        <v>631.79427392999992</v>
      </c>
      <c r="M59" s="12">
        <f t="shared" si="123"/>
        <v>454891.87722959998</v>
      </c>
      <c r="O59" s="5">
        <f t="shared" si="124"/>
        <v>34.388524999999987</v>
      </c>
      <c r="P59" s="9">
        <f t="shared" si="125"/>
        <v>144.86647500000001</v>
      </c>
      <c r="Q59" s="10">
        <f t="shared" si="126"/>
        <v>5.5296859999999999</v>
      </c>
      <c r="R59" s="11">
        <f t="shared" si="127"/>
        <v>801.06611867685001</v>
      </c>
      <c r="S59" s="12">
        <f t="shared" si="128"/>
        <v>576767.60544733203</v>
      </c>
      <c r="U59" s="13">
        <f t="shared" si="129"/>
        <v>121875.72821773204</v>
      </c>
    </row>
    <row r="60" spans="1:24" ht="15.75" x14ac:dyDescent="0.25">
      <c r="B60">
        <v>7</v>
      </c>
      <c r="C60">
        <v>31</v>
      </c>
      <c r="D60">
        <v>112240</v>
      </c>
      <c r="E60" s="6">
        <f t="shared" si="118"/>
        <v>112.24</v>
      </c>
      <c r="F60" s="7">
        <f t="shared" si="119"/>
        <v>141.85079999999999</v>
      </c>
      <c r="G60" s="7"/>
      <c r="H60" s="8">
        <v>0.49</v>
      </c>
      <c r="I60" s="9">
        <f t="shared" si="120"/>
        <v>54.997599999999998</v>
      </c>
      <c r="J60" s="9">
        <f t="shared" si="117"/>
        <v>57.242399999999996</v>
      </c>
      <c r="K60" s="10">
        <f t="shared" si="121"/>
        <v>5.7173280000000002</v>
      </c>
      <c r="L60" s="11">
        <f t="shared" si="122"/>
        <v>327.27357630720002</v>
      </c>
      <c r="M60" s="12">
        <f t="shared" si="123"/>
        <v>243491.54077255682</v>
      </c>
      <c r="O60" s="5">
        <f t="shared" si="124"/>
        <v>22</v>
      </c>
      <c r="P60" s="9">
        <f t="shared" si="125"/>
        <v>90.24</v>
      </c>
      <c r="Q60" s="10">
        <f t="shared" si="126"/>
        <v>5.7173280000000002</v>
      </c>
      <c r="R60" s="11">
        <f t="shared" si="127"/>
        <v>515.93167872000004</v>
      </c>
      <c r="S60" s="12">
        <f t="shared" si="128"/>
        <v>383853.16896768002</v>
      </c>
      <c r="U60" s="13">
        <f t="shared" si="129"/>
        <v>140361.62819512319</v>
      </c>
    </row>
    <row r="61" spans="1:24" ht="15.75" x14ac:dyDescent="0.25">
      <c r="B61">
        <v>8</v>
      </c>
      <c r="C61">
        <v>18</v>
      </c>
      <c r="D61" s="5">
        <v>85144</v>
      </c>
      <c r="E61" s="6">
        <f t="shared" si="118"/>
        <v>85.144000000000005</v>
      </c>
      <c r="F61" s="7">
        <f t="shared" si="119"/>
        <v>140.63147999999998</v>
      </c>
      <c r="G61" s="7"/>
      <c r="H61" s="8">
        <f>49%</f>
        <v>0.49</v>
      </c>
      <c r="I61" s="9">
        <f t="shared" si="120"/>
        <v>41.720559999999999</v>
      </c>
      <c r="J61" s="9">
        <f t="shared" si="117"/>
        <v>43.423440000000006</v>
      </c>
      <c r="K61" s="10">
        <f t="shared" si="121"/>
        <v>5.7931968000000005</v>
      </c>
      <c r="L61" s="11">
        <f t="shared" si="122"/>
        <v>251.56053365299206</v>
      </c>
      <c r="M61" s="12">
        <f t="shared" si="123"/>
        <v>108674.15053809258</v>
      </c>
      <c r="O61" s="5">
        <f t="shared" si="124"/>
        <v>22</v>
      </c>
      <c r="P61" s="9">
        <f t="shared" si="125"/>
        <v>63.144000000000005</v>
      </c>
      <c r="Q61" s="10">
        <f t="shared" si="126"/>
        <v>5.7931968000000005</v>
      </c>
      <c r="R61" s="11">
        <f t="shared" si="127"/>
        <v>365.80561873920004</v>
      </c>
      <c r="S61" s="12">
        <f t="shared" si="128"/>
        <v>158028.02729533441</v>
      </c>
      <c r="U61" s="13">
        <f t="shared" si="129"/>
        <v>49353.876757241829</v>
      </c>
      <c r="V61" s="10">
        <f>SUM(U57:U61)/8760</f>
        <v>58.653799763613137</v>
      </c>
      <c r="W61" s="13">
        <f>SUM(U57:U61)</f>
        <v>513807.28592925105</v>
      </c>
    </row>
    <row r="62" spans="1:24" x14ac:dyDescent="0.25">
      <c r="O62" s="5"/>
    </row>
    <row r="63" spans="1:24" ht="15.75" x14ac:dyDescent="0.25">
      <c r="A63">
        <f>A57+1</f>
        <v>1988</v>
      </c>
      <c r="B63">
        <v>4</v>
      </c>
      <c r="C63">
        <v>10</v>
      </c>
      <c r="D63" s="5">
        <v>75975.5</v>
      </c>
      <c r="E63" s="6">
        <f>D63/1000</f>
        <v>75.975499999999997</v>
      </c>
      <c r="F63" s="7">
        <f>((144-143.1)/(160-140))*(E63-140)+143.1</f>
        <v>140.21889749999997</v>
      </c>
      <c r="G63" s="7"/>
      <c r="H63" s="8">
        <f>43%</f>
        <v>0.43</v>
      </c>
      <c r="I63" s="9">
        <f>IF(H63*E63&lt;65,H63*E63,65)</f>
        <v>32.669464999999995</v>
      </c>
      <c r="J63" s="9">
        <f t="shared" ref="J63:J67" si="130">IF(E63-I63&gt;F63,F63,E63-I63)</f>
        <v>43.306035000000001</v>
      </c>
      <c r="K63" s="10">
        <f>(-0.0028)*(E63)+6.0316</f>
        <v>5.8188686000000001</v>
      </c>
      <c r="L63" s="11">
        <f>K63*J63</f>
        <v>251.99212725200101</v>
      </c>
      <c r="M63" s="12">
        <f>L63*C63*24</f>
        <v>60478.110540480237</v>
      </c>
      <c r="O63" s="5">
        <f>IF(P63=F63,E63-F63,22)</f>
        <v>22</v>
      </c>
      <c r="P63" s="9">
        <f>IF(E63-22&gt;F63,F63,E63-22)</f>
        <v>53.975499999999997</v>
      </c>
      <c r="Q63" s="10">
        <f>K63</f>
        <v>5.8188686000000001</v>
      </c>
      <c r="R63" s="11">
        <f>Q63*P63</f>
        <v>314.07634211929997</v>
      </c>
      <c r="S63" s="12">
        <f>R63*C63*24</f>
        <v>75378.322108631997</v>
      </c>
      <c r="U63" s="13">
        <f>IF(M63&gt;S63,0,S63-M63)</f>
        <v>14900.211568151761</v>
      </c>
      <c r="X63">
        <v>88</v>
      </c>
    </row>
    <row r="64" spans="1:24" ht="15.75" x14ac:dyDescent="0.25">
      <c r="B64">
        <v>5</v>
      </c>
      <c r="C64">
        <v>31</v>
      </c>
      <c r="D64">
        <v>106624</v>
      </c>
      <c r="E64" s="6">
        <f t="shared" ref="E64:E67" si="131">D64/1000</f>
        <v>106.624</v>
      </c>
      <c r="F64" s="7">
        <f t="shared" ref="F64:F67" si="132">((144-143.1)/(160-140))*(E64-140)+143.1</f>
        <v>141.59807999999998</v>
      </c>
      <c r="G64" s="7"/>
      <c r="H64" s="8">
        <v>0.43</v>
      </c>
      <c r="I64" s="9">
        <f t="shared" ref="I64:I67" si="133">IF(H64*E64&lt;65,H64*E64,65)</f>
        <v>45.848319999999994</v>
      </c>
      <c r="J64" s="9">
        <f t="shared" si="130"/>
        <v>60.775680000000001</v>
      </c>
      <c r="K64" s="10">
        <f t="shared" ref="K64:K67" si="134">(-0.0028)*(E64)+6.0316</f>
        <v>5.7330528000000003</v>
      </c>
      <c r="L64" s="11">
        <f t="shared" ref="L64:L67" si="135">K64*J64</f>
        <v>348.43018239590401</v>
      </c>
      <c r="M64" s="12">
        <f t="shared" ref="M64:M67" si="136">L64*C64*24</f>
        <v>259232.05570255261</v>
      </c>
      <c r="O64" s="5">
        <f t="shared" ref="O64:O67" si="137">IF(P64=F64,E64-F64,22)</f>
        <v>22</v>
      </c>
      <c r="P64" s="9">
        <f t="shared" ref="P64:P67" si="138">IF(E64-22&gt;F64,F64,E64-22)</f>
        <v>84.623999999999995</v>
      </c>
      <c r="Q64" s="10">
        <f t="shared" ref="Q64:Q67" si="139">K64</f>
        <v>5.7330528000000003</v>
      </c>
      <c r="R64" s="11">
        <f t="shared" ref="R64:R67" si="140">Q64*P64</f>
        <v>485.15386014720002</v>
      </c>
      <c r="S64" s="12">
        <f t="shared" ref="S64:S67" si="141">R64*C64*24</f>
        <v>360954.4719495168</v>
      </c>
      <c r="U64" s="13">
        <f t="shared" ref="U64:U67" si="142">IF(M64&gt;S64,0,S64-M64)</f>
        <v>101722.41624696419</v>
      </c>
    </row>
    <row r="65" spans="1:27" ht="15.75" x14ac:dyDescent="0.25">
      <c r="B65">
        <v>6</v>
      </c>
      <c r="C65">
        <v>30</v>
      </c>
      <c r="D65">
        <v>133671</v>
      </c>
      <c r="E65" s="6">
        <f t="shared" si="131"/>
        <v>133.67099999999999</v>
      </c>
      <c r="F65" s="7">
        <f t="shared" si="132"/>
        <v>142.81519499999999</v>
      </c>
      <c r="G65" s="7"/>
      <c r="H65" s="8">
        <v>0.46</v>
      </c>
      <c r="I65" s="9">
        <f t="shared" si="133"/>
        <v>61.488659999999996</v>
      </c>
      <c r="J65" s="9">
        <f t="shared" si="130"/>
        <v>72.182339999999996</v>
      </c>
      <c r="K65" s="10">
        <f t="shared" si="134"/>
        <v>5.6573212000000002</v>
      </c>
      <c r="L65" s="11">
        <f t="shared" si="135"/>
        <v>408.35868234760801</v>
      </c>
      <c r="M65" s="12">
        <f t="shared" si="136"/>
        <v>294018.25129027775</v>
      </c>
      <c r="O65" s="5">
        <f t="shared" si="137"/>
        <v>22</v>
      </c>
      <c r="P65" s="9">
        <f t="shared" si="138"/>
        <v>111.67099999999999</v>
      </c>
      <c r="Q65" s="10">
        <f t="shared" si="139"/>
        <v>5.6573212000000002</v>
      </c>
      <c r="R65" s="11">
        <f t="shared" si="140"/>
        <v>631.75871572519998</v>
      </c>
      <c r="S65" s="12">
        <f t="shared" si="141"/>
        <v>454866.27532214398</v>
      </c>
      <c r="U65" s="13">
        <f t="shared" si="142"/>
        <v>160848.02403186623</v>
      </c>
    </row>
    <row r="66" spans="1:27" ht="15.75" x14ac:dyDescent="0.25">
      <c r="B66">
        <v>7</v>
      </c>
      <c r="C66">
        <v>31</v>
      </c>
      <c r="D66">
        <v>127035</v>
      </c>
      <c r="E66" s="6">
        <f t="shared" si="131"/>
        <v>127.035</v>
      </c>
      <c r="F66" s="7">
        <f t="shared" si="132"/>
        <v>142.51657499999999</v>
      </c>
      <c r="G66" s="7"/>
      <c r="H66" s="8">
        <v>0.49</v>
      </c>
      <c r="I66" s="9">
        <f t="shared" si="133"/>
        <v>62.247149999999998</v>
      </c>
      <c r="J66" s="9">
        <f t="shared" si="130"/>
        <v>64.787849999999992</v>
      </c>
      <c r="K66" s="10">
        <f t="shared" si="134"/>
        <v>5.6759019999999998</v>
      </c>
      <c r="L66" s="11">
        <f t="shared" si="135"/>
        <v>367.72948739069994</v>
      </c>
      <c r="M66" s="12">
        <f t="shared" si="136"/>
        <v>273590.73861868074</v>
      </c>
      <c r="O66" s="5">
        <f t="shared" si="137"/>
        <v>22</v>
      </c>
      <c r="P66" s="9">
        <f t="shared" si="138"/>
        <v>105.035</v>
      </c>
      <c r="Q66" s="10">
        <f t="shared" si="139"/>
        <v>5.6759019999999998</v>
      </c>
      <c r="R66" s="11">
        <f t="shared" si="140"/>
        <v>596.16836656999999</v>
      </c>
      <c r="S66" s="12">
        <f t="shared" si="141"/>
        <v>443549.26472808002</v>
      </c>
      <c r="U66" s="13">
        <f t="shared" si="142"/>
        <v>169958.52610939927</v>
      </c>
    </row>
    <row r="67" spans="1:27" ht="15.75" x14ac:dyDescent="0.25">
      <c r="B67">
        <v>8</v>
      </c>
      <c r="C67">
        <v>18</v>
      </c>
      <c r="D67" s="5">
        <v>108169.35483870968</v>
      </c>
      <c r="E67" s="6">
        <f t="shared" si="131"/>
        <v>108.16935483870968</v>
      </c>
      <c r="F67" s="7">
        <f t="shared" si="132"/>
        <v>141.66762096774193</v>
      </c>
      <c r="G67" s="7"/>
      <c r="H67" s="8">
        <f>49%</f>
        <v>0.49</v>
      </c>
      <c r="I67" s="9">
        <f t="shared" si="133"/>
        <v>53.002983870967739</v>
      </c>
      <c r="J67" s="9">
        <f t="shared" si="130"/>
        <v>55.16637096774194</v>
      </c>
      <c r="K67" s="10">
        <f t="shared" si="134"/>
        <v>5.7287258064516129</v>
      </c>
      <c r="L67" s="11">
        <f t="shared" si="135"/>
        <v>316.03301301118631</v>
      </c>
      <c r="M67" s="12">
        <f t="shared" si="136"/>
        <v>136526.26162083249</v>
      </c>
      <c r="O67" s="5">
        <f t="shared" si="137"/>
        <v>22</v>
      </c>
      <c r="P67" s="9">
        <f t="shared" si="138"/>
        <v>86.16935483870968</v>
      </c>
      <c r="Q67" s="10">
        <f t="shared" si="139"/>
        <v>5.7287258064516129</v>
      </c>
      <c r="R67" s="11">
        <f t="shared" si="140"/>
        <v>493.64060678980229</v>
      </c>
      <c r="S67" s="12">
        <f t="shared" si="141"/>
        <v>213252.74213319458</v>
      </c>
      <c r="U67" s="13">
        <f t="shared" si="142"/>
        <v>76726.48051236209</v>
      </c>
      <c r="V67" s="10">
        <f>SUM(U63:U67)/8760</f>
        <v>59.835120829765245</v>
      </c>
      <c r="W67" s="13">
        <f>SUM(U63:U67)</f>
        <v>524155.65846874355</v>
      </c>
    </row>
    <row r="69" spans="1:27" ht="15.75" x14ac:dyDescent="0.25">
      <c r="A69">
        <f>A63+1</f>
        <v>1989</v>
      </c>
      <c r="B69">
        <v>4</v>
      </c>
      <c r="C69">
        <v>10</v>
      </c>
      <c r="D69" s="5">
        <v>120837</v>
      </c>
      <c r="E69" s="6">
        <f>D69/1000</f>
        <v>120.837</v>
      </c>
      <c r="F69" s="7">
        <f>((144-143.1)/(160-140))*(E69-140)+143.1</f>
        <v>142.23766499999999</v>
      </c>
      <c r="G69" s="7"/>
      <c r="H69" s="8">
        <f>43%</f>
        <v>0.43</v>
      </c>
      <c r="I69" s="9">
        <f>IF(H69*E69&lt;65,H69*E69,65)</f>
        <v>51.959910000000001</v>
      </c>
      <c r="J69" s="9">
        <f t="shared" ref="J69:J73" si="143">IF(E69-I69&gt;F69,F69,E69-I69)</f>
        <v>68.87709000000001</v>
      </c>
      <c r="K69" s="10">
        <f>(-0.0028)*(E69)+6.0316</f>
        <v>5.6932564000000001</v>
      </c>
      <c r="L69" s="11">
        <f>K69*J69</f>
        <v>392.13493345587608</v>
      </c>
      <c r="M69" s="12">
        <f>L69*C69*24</f>
        <v>94112.384029410256</v>
      </c>
      <c r="O69" s="5">
        <f>IF(P69=F69,E69-F69,22)</f>
        <v>22</v>
      </c>
      <c r="P69" s="9">
        <f>IF(E69-22&gt;F69,F69,E69-22)</f>
        <v>98.837000000000003</v>
      </c>
      <c r="Q69" s="10">
        <f>K69</f>
        <v>5.6932564000000001</v>
      </c>
      <c r="R69" s="11">
        <f>Q69*P69</f>
        <v>562.70438280680003</v>
      </c>
      <c r="S69" s="12">
        <f>R69*C69*24</f>
        <v>135049.05187363201</v>
      </c>
      <c r="U69" s="13">
        <f>IF(M69&gt;S69,0,S69-M69)</f>
        <v>40936.667844221753</v>
      </c>
      <c r="X69" s="5">
        <v>89</v>
      </c>
      <c r="Y69" s="5"/>
      <c r="Z69" s="5"/>
      <c r="AA69" s="5"/>
    </row>
    <row r="70" spans="1:27" ht="15.75" x14ac:dyDescent="0.25">
      <c r="B70">
        <v>5</v>
      </c>
      <c r="C70">
        <v>31</v>
      </c>
      <c r="D70">
        <v>124202</v>
      </c>
      <c r="E70" s="6">
        <f t="shared" ref="E70:E73" si="144">D70/1000</f>
        <v>124.202</v>
      </c>
      <c r="F70" s="7">
        <f t="shared" ref="F70:F73" si="145">((144-143.1)/(160-140))*(E70-140)+143.1</f>
        <v>142.38908999999998</v>
      </c>
      <c r="G70" s="7"/>
      <c r="H70" s="8">
        <v>0.43</v>
      </c>
      <c r="I70" s="9">
        <f t="shared" ref="I70:I73" si="146">IF(H70*E70&lt;65,H70*E70,65)</f>
        <v>53.406860000000002</v>
      </c>
      <c r="J70" s="9">
        <f t="shared" si="143"/>
        <v>70.795140000000004</v>
      </c>
      <c r="K70" s="10">
        <f t="shared" ref="K70:K73" si="147">(-0.0028)*(E70)+6.0316</f>
        <v>5.6838344000000003</v>
      </c>
      <c r="L70" s="11">
        <f t="shared" ref="L70:L73" si="148">K70*J70</f>
        <v>402.38785208481602</v>
      </c>
      <c r="M70" s="12">
        <f t="shared" ref="M70:M73" si="149">L70*C70*24</f>
        <v>299376.56195110315</v>
      </c>
      <c r="O70" s="5">
        <f t="shared" ref="O70:O73" si="150">IF(P70=F70,E70-F70,22)</f>
        <v>22</v>
      </c>
      <c r="P70" s="9">
        <f t="shared" ref="P70:P73" si="151">IF(E70-22&gt;F70,F70,E70-22)</f>
        <v>102.202</v>
      </c>
      <c r="Q70" s="10">
        <f t="shared" ref="Q70:Q73" si="152">K70</f>
        <v>5.6838344000000003</v>
      </c>
      <c r="R70" s="11">
        <f t="shared" ref="R70:R73" si="153">Q70*P70</f>
        <v>580.89924334880004</v>
      </c>
      <c r="S70" s="12">
        <f t="shared" ref="S70:S73" si="154">R70*C70*24</f>
        <v>432189.03705150727</v>
      </c>
      <c r="U70" s="13">
        <f t="shared" ref="U70:U73" si="155">IF(M70&gt;S70,0,S70-M70)</f>
        <v>132812.47510040412</v>
      </c>
      <c r="X70" s="5"/>
      <c r="Y70" s="5"/>
      <c r="Z70" s="5"/>
      <c r="AA70" s="5"/>
    </row>
    <row r="71" spans="1:27" ht="15.75" x14ac:dyDescent="0.25">
      <c r="B71">
        <v>6</v>
      </c>
      <c r="C71">
        <v>30</v>
      </c>
      <c r="D71">
        <v>161205</v>
      </c>
      <c r="E71" s="6">
        <f t="shared" si="144"/>
        <v>161.20500000000001</v>
      </c>
      <c r="F71" s="7">
        <f t="shared" si="145"/>
        <v>144.054225</v>
      </c>
      <c r="G71" s="7"/>
      <c r="H71" s="8">
        <v>0.46</v>
      </c>
      <c r="I71" s="9">
        <f t="shared" si="146"/>
        <v>65</v>
      </c>
      <c r="J71" s="9">
        <f t="shared" si="143"/>
        <v>96.205000000000013</v>
      </c>
      <c r="K71" s="10">
        <f t="shared" si="147"/>
        <v>5.5802259999999997</v>
      </c>
      <c r="L71" s="11">
        <f t="shared" si="148"/>
        <v>536.84564233000003</v>
      </c>
      <c r="M71" s="12">
        <f t="shared" si="149"/>
        <v>386528.86247759999</v>
      </c>
      <c r="O71" s="5">
        <f t="shared" si="150"/>
        <v>22</v>
      </c>
      <c r="P71" s="9">
        <f t="shared" si="151"/>
        <v>139.20500000000001</v>
      </c>
      <c r="Q71" s="10">
        <f t="shared" si="152"/>
        <v>5.5802259999999997</v>
      </c>
      <c r="R71" s="11">
        <f t="shared" si="153"/>
        <v>776.79536032999999</v>
      </c>
      <c r="S71" s="12">
        <f t="shared" si="154"/>
        <v>559292.65943760006</v>
      </c>
      <c r="U71" s="13">
        <f t="shared" si="155"/>
        <v>172763.79696000007</v>
      </c>
      <c r="X71" s="5"/>
      <c r="Y71" s="5"/>
      <c r="Z71" s="5"/>
      <c r="AA71" s="5"/>
    </row>
    <row r="72" spans="1:27" ht="15.75" x14ac:dyDescent="0.25">
      <c r="B72">
        <v>7</v>
      </c>
      <c r="C72">
        <v>31</v>
      </c>
      <c r="D72">
        <v>112258</v>
      </c>
      <c r="E72" s="6">
        <f t="shared" si="144"/>
        <v>112.258</v>
      </c>
      <c r="F72" s="7">
        <f t="shared" si="145"/>
        <v>141.85160999999999</v>
      </c>
      <c r="G72" s="7"/>
      <c r="H72" s="8">
        <v>0.49</v>
      </c>
      <c r="I72" s="9">
        <f t="shared" si="146"/>
        <v>55.006419999999999</v>
      </c>
      <c r="J72" s="9">
        <f t="shared" si="143"/>
        <v>57.251579999999997</v>
      </c>
      <c r="K72" s="10">
        <f t="shared" si="147"/>
        <v>5.7172776000000001</v>
      </c>
      <c r="L72" s="11">
        <f t="shared" si="148"/>
        <v>327.32317589860799</v>
      </c>
      <c r="M72" s="12">
        <f t="shared" si="149"/>
        <v>243528.44286856434</v>
      </c>
      <c r="O72" s="5">
        <f t="shared" si="150"/>
        <v>22</v>
      </c>
      <c r="P72" s="9">
        <f t="shared" si="151"/>
        <v>90.257999999999996</v>
      </c>
      <c r="Q72" s="10">
        <f t="shared" si="152"/>
        <v>5.7172776000000001</v>
      </c>
      <c r="R72" s="11">
        <f t="shared" si="153"/>
        <v>516.03004162080003</v>
      </c>
      <c r="S72" s="12">
        <f t="shared" si="154"/>
        <v>383926.35096587526</v>
      </c>
      <c r="U72" s="13">
        <f t="shared" si="155"/>
        <v>140397.90809731092</v>
      </c>
      <c r="X72" s="5"/>
      <c r="Y72" s="5"/>
      <c r="Z72" s="5"/>
      <c r="AA72" s="5"/>
    </row>
    <row r="73" spans="1:27" ht="15.75" x14ac:dyDescent="0.25">
      <c r="B73">
        <v>8</v>
      </c>
      <c r="C73">
        <v>18</v>
      </c>
      <c r="D73" s="5">
        <v>92185.741935483864</v>
      </c>
      <c r="E73" s="6">
        <f t="shared" si="144"/>
        <v>92.185741935483861</v>
      </c>
      <c r="F73" s="7">
        <f t="shared" si="145"/>
        <v>140.94835838709676</v>
      </c>
      <c r="G73" s="7"/>
      <c r="H73" s="8">
        <f>49%</f>
        <v>0.49</v>
      </c>
      <c r="I73" s="9">
        <f t="shared" si="146"/>
        <v>45.171013548387094</v>
      </c>
      <c r="J73" s="9">
        <f t="shared" si="143"/>
        <v>47.014728387096767</v>
      </c>
      <c r="K73" s="10">
        <f t="shared" si="147"/>
        <v>5.7734799225806448</v>
      </c>
      <c r="L73" s="11">
        <f t="shared" si="148"/>
        <v>271.43859040848548</v>
      </c>
      <c r="M73" s="12">
        <f t="shared" si="149"/>
        <v>117261.47105646573</v>
      </c>
      <c r="O73" s="5">
        <f t="shared" si="150"/>
        <v>22</v>
      </c>
      <c r="P73" s="9">
        <f t="shared" si="151"/>
        <v>70.185741935483861</v>
      </c>
      <c r="Q73" s="10">
        <f t="shared" si="152"/>
        <v>5.7734799225806448</v>
      </c>
      <c r="R73" s="11">
        <f t="shared" si="153"/>
        <v>405.21597191594248</v>
      </c>
      <c r="S73" s="12">
        <f t="shared" si="154"/>
        <v>175053.29986768716</v>
      </c>
      <c r="U73" s="13">
        <f t="shared" si="155"/>
        <v>57791.828811221436</v>
      </c>
      <c r="V73" s="10">
        <f>SUM(U69:U73)/8760</f>
        <v>62.180670869082</v>
      </c>
      <c r="W73" s="13">
        <f>SUM(U69:U73)</f>
        <v>544702.67681315832</v>
      </c>
      <c r="X73" s="5"/>
      <c r="Y73" s="5"/>
      <c r="Z73" s="5"/>
      <c r="AA73" s="5"/>
    </row>
    <row r="74" spans="1:27" x14ac:dyDescent="0.25">
      <c r="O74" s="5"/>
    </row>
    <row r="75" spans="1:27" ht="15.75" x14ac:dyDescent="0.25">
      <c r="A75">
        <f>A69+1</f>
        <v>1990</v>
      </c>
      <c r="B75">
        <v>4</v>
      </c>
      <c r="C75">
        <v>10</v>
      </c>
      <c r="D75" s="5">
        <v>160183</v>
      </c>
      <c r="E75" s="6">
        <f>D75/1000</f>
        <v>160.18299999999999</v>
      </c>
      <c r="F75" s="7">
        <f>((144-143.1)/(160-140))*(E75-140)+143.1</f>
        <v>144.00823500000001</v>
      </c>
      <c r="G75" s="7"/>
      <c r="H75" s="8">
        <f>43%</f>
        <v>0.43</v>
      </c>
      <c r="I75" s="9">
        <f>IF(H75*E75&lt;65,H75*E75,65)</f>
        <v>65</v>
      </c>
      <c r="J75" s="9">
        <f t="shared" ref="J75:J79" si="156">IF(E75-I75&gt;F75,F75,E75-I75)</f>
        <v>95.182999999999993</v>
      </c>
      <c r="K75" s="10">
        <f>(-0.0028)*(E75)+6.0316</f>
        <v>5.5830875999999998</v>
      </c>
      <c r="L75" s="11">
        <f>K75*J75</f>
        <v>531.41502703079993</v>
      </c>
      <c r="M75" s="12">
        <f>L75*C75*24</f>
        <v>127539.60648739198</v>
      </c>
      <c r="O75" s="5">
        <f>IF(P75=F75,E75-F75,22)</f>
        <v>22</v>
      </c>
      <c r="P75" s="9">
        <f>IF(E75-22&gt;F75,F75,E75-22)</f>
        <v>138.18299999999999</v>
      </c>
      <c r="Q75" s="10">
        <f>K75</f>
        <v>5.5830875999999998</v>
      </c>
      <c r="R75" s="11">
        <f>Q75*P75</f>
        <v>771.48779383079989</v>
      </c>
      <c r="S75" s="12">
        <f>R75*C75*24</f>
        <v>185157.07051939197</v>
      </c>
      <c r="U75" s="13">
        <f>IF(M75&gt;S75,0,S75-M75)</f>
        <v>57617.464031999989</v>
      </c>
      <c r="X75">
        <v>90</v>
      </c>
    </row>
    <row r="76" spans="1:27" ht="15.75" x14ac:dyDescent="0.25">
      <c r="B76">
        <v>5</v>
      </c>
      <c r="C76">
        <v>31</v>
      </c>
      <c r="D76">
        <v>152558</v>
      </c>
      <c r="E76" s="6">
        <f t="shared" ref="E76:E79" si="157">D76/1000</f>
        <v>152.55799999999999</v>
      </c>
      <c r="F76" s="7">
        <f t="shared" ref="F76:F79" si="158">((144-143.1)/(160-140))*(E76-140)+143.1</f>
        <v>143.66511</v>
      </c>
      <c r="G76" s="7"/>
      <c r="H76" s="8">
        <v>0.43</v>
      </c>
      <c r="I76" s="9">
        <f t="shared" ref="I76:I79" si="159">IF(H76*E76&lt;65,H76*E76,65)</f>
        <v>65</v>
      </c>
      <c r="J76" s="9">
        <f t="shared" si="156"/>
        <v>87.557999999999993</v>
      </c>
      <c r="K76" s="10">
        <f t="shared" ref="K76:K79" si="160">(-0.0028)*(E76)+6.0316</f>
        <v>5.6044375999999998</v>
      </c>
      <c r="L76" s="11">
        <f t="shared" ref="L76:L79" si="161">K76*J76</f>
        <v>490.71334738079992</v>
      </c>
      <c r="M76" s="12">
        <f t="shared" ref="M76:M79" si="162">L76*C76*24</f>
        <v>365090.73045131512</v>
      </c>
      <c r="O76" s="5">
        <f t="shared" ref="O76:O79" si="163">IF(P76=F76,E76-F76,22)</f>
        <v>22</v>
      </c>
      <c r="P76" s="9">
        <f t="shared" ref="P76:P79" si="164">IF(E76-22&gt;F76,F76,E76-22)</f>
        <v>130.55799999999999</v>
      </c>
      <c r="Q76" s="10">
        <f t="shared" ref="Q76:Q79" si="165">K76</f>
        <v>5.6044375999999998</v>
      </c>
      <c r="R76" s="11">
        <f t="shared" ref="R76:R79" si="166">Q76*P76</f>
        <v>731.70416418079992</v>
      </c>
      <c r="S76" s="12">
        <f t="shared" ref="S76:S79" si="167">R76*C76*24</f>
        <v>544387.89815051516</v>
      </c>
      <c r="U76" s="13">
        <f t="shared" ref="U76:U79" si="168">IF(M76&gt;S76,0,S76-M76)</f>
        <v>179297.16769920004</v>
      </c>
    </row>
    <row r="77" spans="1:27" ht="15.75" x14ac:dyDescent="0.25">
      <c r="B77">
        <v>6</v>
      </c>
      <c r="C77">
        <v>30</v>
      </c>
      <c r="D77">
        <v>163155</v>
      </c>
      <c r="E77" s="6">
        <f t="shared" si="157"/>
        <v>163.155</v>
      </c>
      <c r="F77" s="7">
        <f t="shared" si="158"/>
        <v>144.141975</v>
      </c>
      <c r="G77" s="7"/>
      <c r="H77" s="8">
        <v>0.46</v>
      </c>
      <c r="I77" s="9">
        <f t="shared" si="159"/>
        <v>65</v>
      </c>
      <c r="J77" s="9">
        <f t="shared" si="156"/>
        <v>98.155000000000001</v>
      </c>
      <c r="K77" s="10">
        <f t="shared" si="160"/>
        <v>5.5747660000000003</v>
      </c>
      <c r="L77" s="11">
        <f t="shared" si="161"/>
        <v>547.19115672999999</v>
      </c>
      <c r="M77" s="12">
        <f t="shared" si="162"/>
        <v>393977.63284560002</v>
      </c>
      <c r="O77" s="5">
        <f t="shared" si="163"/>
        <v>22</v>
      </c>
      <c r="P77" s="9">
        <f t="shared" si="164"/>
        <v>141.155</v>
      </c>
      <c r="Q77" s="10">
        <f t="shared" si="165"/>
        <v>5.5747660000000003</v>
      </c>
      <c r="R77" s="11">
        <f t="shared" si="166"/>
        <v>786.90609473000006</v>
      </c>
      <c r="S77" s="12">
        <f t="shared" si="167"/>
        <v>566572.38820559997</v>
      </c>
      <c r="U77" s="13">
        <f t="shared" si="168"/>
        <v>172594.75535999995</v>
      </c>
    </row>
    <row r="78" spans="1:27" ht="15.75" x14ac:dyDescent="0.25">
      <c r="B78">
        <v>7</v>
      </c>
      <c r="C78">
        <v>31</v>
      </c>
      <c r="D78">
        <v>169879</v>
      </c>
      <c r="E78" s="6">
        <f t="shared" si="157"/>
        <v>169.87899999999999</v>
      </c>
      <c r="F78" s="7">
        <f t="shared" si="158"/>
        <v>144.44455500000001</v>
      </c>
      <c r="G78" s="7"/>
      <c r="H78" s="8">
        <v>0.49</v>
      </c>
      <c r="I78" s="9">
        <f t="shared" si="159"/>
        <v>65</v>
      </c>
      <c r="J78" s="9">
        <f t="shared" si="156"/>
        <v>104.87899999999999</v>
      </c>
      <c r="K78" s="10">
        <f t="shared" si="160"/>
        <v>5.5559387999999998</v>
      </c>
      <c r="L78" s="11">
        <f t="shared" si="161"/>
        <v>582.70130540519995</v>
      </c>
      <c r="M78" s="12">
        <f t="shared" si="162"/>
        <v>433529.77122146875</v>
      </c>
      <c r="O78" s="5">
        <f t="shared" si="163"/>
        <v>25.434444999999982</v>
      </c>
      <c r="P78" s="9">
        <f t="shared" si="164"/>
        <v>144.44455500000001</v>
      </c>
      <c r="Q78" s="10">
        <f t="shared" si="165"/>
        <v>5.5559387999999998</v>
      </c>
      <c r="R78" s="11">
        <f t="shared" si="166"/>
        <v>802.52510757323398</v>
      </c>
      <c r="S78" s="12">
        <f t="shared" si="167"/>
        <v>597078.68003448611</v>
      </c>
      <c r="U78" s="13">
        <f t="shared" si="168"/>
        <v>163548.90881301736</v>
      </c>
    </row>
    <row r="79" spans="1:27" ht="15.75" x14ac:dyDescent="0.25">
      <c r="B79">
        <v>8</v>
      </c>
      <c r="C79">
        <v>18</v>
      </c>
      <c r="D79" s="5">
        <v>121484.16129032258</v>
      </c>
      <c r="E79" s="6">
        <f t="shared" si="157"/>
        <v>121.48416129032258</v>
      </c>
      <c r="F79" s="7">
        <f t="shared" si="158"/>
        <v>142.26678725806451</v>
      </c>
      <c r="G79" s="7"/>
      <c r="H79" s="8">
        <f>49%</f>
        <v>0.49</v>
      </c>
      <c r="I79" s="9">
        <f t="shared" si="159"/>
        <v>59.527239032258059</v>
      </c>
      <c r="J79" s="9">
        <f t="shared" si="156"/>
        <v>61.956922258064516</v>
      </c>
      <c r="K79" s="10">
        <f t="shared" si="160"/>
        <v>5.6914443483870967</v>
      </c>
      <c r="L79" s="11">
        <f t="shared" si="161"/>
        <v>352.62437502912002</v>
      </c>
      <c r="M79" s="12">
        <f t="shared" si="162"/>
        <v>152333.73001257985</v>
      </c>
      <c r="O79" s="5">
        <f t="shared" si="163"/>
        <v>22</v>
      </c>
      <c r="P79" s="9">
        <f t="shared" si="164"/>
        <v>99.484161290322575</v>
      </c>
      <c r="Q79" s="10">
        <f t="shared" si="165"/>
        <v>5.6914443483870967</v>
      </c>
      <c r="R79" s="11">
        <f t="shared" si="166"/>
        <v>566.20856752983684</v>
      </c>
      <c r="S79" s="12">
        <f t="shared" si="167"/>
        <v>244602.10117288952</v>
      </c>
      <c r="U79" s="13">
        <f t="shared" si="168"/>
        <v>92268.371160309674</v>
      </c>
      <c r="V79" s="10">
        <f>SUM(U75:U79)/8760</f>
        <v>75.950532769923171</v>
      </c>
    </row>
    <row r="80" spans="1:27" ht="15.75" x14ac:dyDescent="0.25">
      <c r="S80" s="17" t="s">
        <v>32</v>
      </c>
      <c r="V80" s="14">
        <f>AVERAGE(V3:V79)</f>
        <v>63.691594453005671</v>
      </c>
      <c r="W80" s="22">
        <f>AVERAGE(W3:W79)</f>
        <v>548989.34243697987</v>
      </c>
    </row>
  </sheetData>
  <mergeCells count="2">
    <mergeCell ref="H1:M1"/>
    <mergeCell ref="O1:T1"/>
  </mergeCells>
  <pageMargins left="0.25" right="0" top="0.25" bottom="0.25" header="0.3" footer="0.3"/>
  <pageSetup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17"/>
  <sheetViews>
    <sheetView tabSelected="1" view="pageLayout" topLeftCell="A4" zoomScaleNormal="100" workbookViewId="0">
      <selection activeCell="G29" sqref="G29"/>
    </sheetView>
  </sheetViews>
  <sheetFormatPr defaultRowHeight="15" x14ac:dyDescent="0.25"/>
  <sheetData>
    <row r="3" spans="2:14" x14ac:dyDescent="0.25">
      <c r="C3" s="29" t="s">
        <v>28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2:14" x14ac:dyDescent="0.25">
      <c r="C4" s="15" t="s">
        <v>16</v>
      </c>
      <c r="D4" s="15" t="s">
        <v>17</v>
      </c>
      <c r="E4" s="15" t="s">
        <v>18</v>
      </c>
      <c r="F4" s="15" t="s">
        <v>19</v>
      </c>
      <c r="G4" s="15" t="s">
        <v>20</v>
      </c>
      <c r="H4" s="15" t="s">
        <v>21</v>
      </c>
      <c r="I4" s="15" t="s">
        <v>22</v>
      </c>
      <c r="J4" s="15" t="s">
        <v>23</v>
      </c>
      <c r="K4" s="15" t="s">
        <v>24</v>
      </c>
      <c r="L4" s="15" t="s">
        <v>25</v>
      </c>
      <c r="M4" s="15" t="s">
        <v>26</v>
      </c>
      <c r="N4" s="15" t="s">
        <v>27</v>
      </c>
    </row>
    <row r="5" spans="2:14" x14ac:dyDescent="0.25">
      <c r="B5" s="16">
        <v>1978</v>
      </c>
      <c r="C5" s="5">
        <v>82311</v>
      </c>
      <c r="D5" s="5">
        <v>70975</v>
      </c>
      <c r="E5" s="5">
        <v>80623</v>
      </c>
      <c r="F5" s="5">
        <v>148132</v>
      </c>
      <c r="G5" s="5">
        <v>135346</v>
      </c>
      <c r="H5" s="5">
        <v>157865</v>
      </c>
      <c r="I5" s="5">
        <v>158180</v>
      </c>
      <c r="J5" s="5">
        <v>108079.09677419355</v>
      </c>
      <c r="K5" s="5">
        <v>100645</v>
      </c>
      <c r="L5" s="5">
        <v>94787</v>
      </c>
      <c r="M5" s="5">
        <v>88436</v>
      </c>
      <c r="N5" s="5">
        <v>80385</v>
      </c>
    </row>
    <row r="6" spans="2:14" x14ac:dyDescent="0.25">
      <c r="B6" s="16">
        <v>1979</v>
      </c>
      <c r="C6" s="5">
        <v>79258</v>
      </c>
      <c r="D6" s="5">
        <v>63142</v>
      </c>
      <c r="E6" s="5">
        <v>94112</v>
      </c>
      <c r="F6" s="5">
        <v>74119</v>
      </c>
      <c r="G6" s="5">
        <v>134152</v>
      </c>
      <c r="H6" s="5">
        <v>154408</v>
      </c>
      <c r="I6" s="5">
        <v>113434</v>
      </c>
      <c r="J6" s="5">
        <v>96008.354838709682</v>
      </c>
      <c r="K6" s="5">
        <v>69167</v>
      </c>
      <c r="L6" s="5">
        <v>74074</v>
      </c>
      <c r="M6" s="5">
        <v>92134</v>
      </c>
      <c r="N6" s="5">
        <v>76882</v>
      </c>
    </row>
    <row r="7" spans="2:14" x14ac:dyDescent="0.25">
      <c r="B7" s="16">
        <v>1980</v>
      </c>
      <c r="C7" s="5">
        <v>104915</v>
      </c>
      <c r="D7" s="5">
        <v>70464</v>
      </c>
      <c r="E7" s="5">
        <v>90858</v>
      </c>
      <c r="F7" s="5">
        <v>122808</v>
      </c>
      <c r="G7" s="5">
        <v>161807</v>
      </c>
      <c r="H7" s="5">
        <v>171899</v>
      </c>
      <c r="I7" s="5">
        <v>104998</v>
      </c>
      <c r="J7" s="5">
        <v>93767.419354838712</v>
      </c>
      <c r="K7" s="5">
        <v>64856</v>
      </c>
      <c r="L7" s="5">
        <v>75162</v>
      </c>
      <c r="M7" s="5">
        <v>89182</v>
      </c>
      <c r="N7" s="5">
        <v>130431</v>
      </c>
    </row>
    <row r="8" spans="2:14" x14ac:dyDescent="0.25">
      <c r="B8" s="16">
        <v>1981</v>
      </c>
      <c r="C8" s="5">
        <v>194877</v>
      </c>
      <c r="D8" s="5">
        <v>150807</v>
      </c>
      <c r="E8" s="5">
        <v>88440</v>
      </c>
      <c r="F8" s="5">
        <v>107996</v>
      </c>
      <c r="G8" s="5">
        <v>171465</v>
      </c>
      <c r="H8" s="5">
        <v>155384</v>
      </c>
      <c r="I8" s="5">
        <v>167591</v>
      </c>
      <c r="J8" s="5">
        <v>152878.35483870967</v>
      </c>
      <c r="K8" s="5">
        <v>77779</v>
      </c>
      <c r="L8" s="5">
        <v>83610</v>
      </c>
      <c r="M8" s="5">
        <v>91316</v>
      </c>
      <c r="N8" s="5">
        <v>106246</v>
      </c>
    </row>
    <row r="9" spans="2:14" x14ac:dyDescent="0.25">
      <c r="B9" s="16">
        <v>1982</v>
      </c>
      <c r="C9" s="5">
        <v>148649</v>
      </c>
      <c r="D9" s="5">
        <v>157990</v>
      </c>
      <c r="E9" s="5">
        <v>122646</v>
      </c>
      <c r="F9" s="5">
        <v>114029</v>
      </c>
      <c r="G9" s="5">
        <v>152815</v>
      </c>
      <c r="H9" s="5">
        <v>216898</v>
      </c>
      <c r="I9" s="5">
        <v>199419</v>
      </c>
      <c r="J9" s="5">
        <v>139374.03225806452</v>
      </c>
      <c r="K9" s="5">
        <v>96944</v>
      </c>
      <c r="L9" s="5">
        <v>91515</v>
      </c>
      <c r="M9" s="5">
        <v>84254</v>
      </c>
      <c r="N9" s="5">
        <v>108291</v>
      </c>
    </row>
    <row r="10" spans="2:14" x14ac:dyDescent="0.25">
      <c r="B10" s="16">
        <v>1983</v>
      </c>
      <c r="C10" s="5">
        <v>151502</v>
      </c>
      <c r="D10" s="5">
        <v>133582</v>
      </c>
      <c r="E10" s="5">
        <v>123273</v>
      </c>
      <c r="F10" s="5">
        <v>138898.5</v>
      </c>
      <c r="G10" s="5">
        <v>157933</v>
      </c>
      <c r="H10" s="5">
        <v>143491</v>
      </c>
      <c r="I10" s="5">
        <v>170578</v>
      </c>
      <c r="J10" s="5">
        <v>137198.03225806452</v>
      </c>
      <c r="K10" s="5">
        <v>79206</v>
      </c>
      <c r="L10" s="5">
        <v>75381</v>
      </c>
      <c r="M10" s="5">
        <v>112861</v>
      </c>
      <c r="N10" s="5">
        <v>93433</v>
      </c>
    </row>
    <row r="11" spans="2:14" x14ac:dyDescent="0.25">
      <c r="B11" s="16">
        <v>1984</v>
      </c>
      <c r="C11" s="5">
        <v>148138</v>
      </c>
      <c r="D11" s="5">
        <v>99511</v>
      </c>
      <c r="E11" s="5">
        <v>102833</v>
      </c>
      <c r="F11" s="5">
        <v>131843.5</v>
      </c>
      <c r="G11" s="5">
        <v>113634</v>
      </c>
      <c r="H11" s="5">
        <v>193199</v>
      </c>
      <c r="I11" s="5">
        <v>132328</v>
      </c>
      <c r="J11" s="5">
        <v>102021.22580645161</v>
      </c>
      <c r="K11" s="5">
        <v>64901</v>
      </c>
      <c r="L11" s="5">
        <v>78201</v>
      </c>
      <c r="M11" s="5">
        <v>78673</v>
      </c>
      <c r="N11" s="5">
        <v>83748</v>
      </c>
    </row>
    <row r="12" spans="2:14" x14ac:dyDescent="0.25">
      <c r="B12" s="16">
        <v>1985</v>
      </c>
      <c r="C12" s="5">
        <v>111770</v>
      </c>
      <c r="D12" s="5">
        <v>69673</v>
      </c>
      <c r="E12" s="5">
        <v>60941</v>
      </c>
      <c r="F12" s="5">
        <v>132168</v>
      </c>
      <c r="G12" s="5">
        <v>120890</v>
      </c>
      <c r="H12" s="5">
        <v>161629</v>
      </c>
      <c r="I12" s="5">
        <v>117423</v>
      </c>
      <c r="J12" s="5">
        <v>89887.096774193546</v>
      </c>
      <c r="K12" s="5">
        <v>60906</v>
      </c>
      <c r="L12" s="5">
        <v>64833</v>
      </c>
      <c r="M12" s="5">
        <v>88353</v>
      </c>
      <c r="N12" s="5">
        <v>100178</v>
      </c>
    </row>
    <row r="13" spans="2:14" x14ac:dyDescent="0.25">
      <c r="B13" s="16">
        <v>1986</v>
      </c>
      <c r="C13" s="5">
        <v>122991</v>
      </c>
      <c r="D13" s="5">
        <v>113806</v>
      </c>
      <c r="E13" s="5">
        <v>133778</v>
      </c>
      <c r="F13" s="5">
        <v>141962.5</v>
      </c>
      <c r="G13" s="5">
        <v>104572</v>
      </c>
      <c r="H13" s="5">
        <v>153782</v>
      </c>
      <c r="I13" s="5">
        <v>124411</v>
      </c>
      <c r="J13" s="5">
        <v>102402.03225806452</v>
      </c>
      <c r="K13" s="5">
        <v>60069</v>
      </c>
      <c r="L13" s="5">
        <v>67256</v>
      </c>
      <c r="M13" s="5">
        <v>80283</v>
      </c>
      <c r="N13" s="5">
        <v>88097</v>
      </c>
    </row>
    <row r="14" spans="2:14" x14ac:dyDescent="0.25">
      <c r="B14" s="16">
        <v>1987</v>
      </c>
      <c r="C14" s="5">
        <v>93545</v>
      </c>
      <c r="D14" s="5">
        <v>61960</v>
      </c>
      <c r="E14" s="5">
        <v>82803</v>
      </c>
      <c r="F14" s="5">
        <v>90177.5</v>
      </c>
      <c r="G14" s="5">
        <v>156461</v>
      </c>
      <c r="H14" s="5">
        <v>179255</v>
      </c>
      <c r="I14" s="5">
        <v>112240</v>
      </c>
      <c r="J14" s="5">
        <v>85144</v>
      </c>
      <c r="K14" s="5">
        <v>68717</v>
      </c>
      <c r="L14" s="5">
        <v>76740</v>
      </c>
      <c r="M14" s="5">
        <v>94573</v>
      </c>
      <c r="N14" s="5">
        <v>81528</v>
      </c>
    </row>
    <row r="15" spans="2:14" x14ac:dyDescent="0.25">
      <c r="B15" s="16">
        <v>1988</v>
      </c>
      <c r="C15" s="5">
        <v>67139</v>
      </c>
      <c r="D15" s="5">
        <v>67531</v>
      </c>
      <c r="E15" s="5">
        <v>66906</v>
      </c>
      <c r="F15" s="5">
        <v>75975.5</v>
      </c>
      <c r="G15" s="5">
        <v>106624</v>
      </c>
      <c r="H15" s="5">
        <v>133671</v>
      </c>
      <c r="I15" s="5">
        <v>127035</v>
      </c>
      <c r="J15" s="5">
        <v>108169.35483870968</v>
      </c>
      <c r="K15" s="5">
        <v>73006</v>
      </c>
      <c r="L15" s="5">
        <v>80030</v>
      </c>
      <c r="M15" s="5">
        <v>88153</v>
      </c>
      <c r="N15" s="5">
        <v>89285</v>
      </c>
    </row>
    <row r="16" spans="2:14" x14ac:dyDescent="0.25">
      <c r="B16" s="16">
        <v>1989</v>
      </c>
      <c r="C16" s="5">
        <v>85870</v>
      </c>
      <c r="D16" s="5">
        <v>71850</v>
      </c>
      <c r="E16" s="5">
        <v>56701</v>
      </c>
      <c r="F16" s="5">
        <v>120837</v>
      </c>
      <c r="G16" s="5">
        <v>124202</v>
      </c>
      <c r="H16" s="5">
        <v>161205</v>
      </c>
      <c r="I16" s="5">
        <v>112258</v>
      </c>
      <c r="J16" s="5">
        <v>92185.741935483864</v>
      </c>
      <c r="K16" s="5">
        <v>67367</v>
      </c>
      <c r="L16" s="5">
        <v>73804</v>
      </c>
      <c r="M16" s="5">
        <v>92395</v>
      </c>
      <c r="N16" s="5">
        <v>124549</v>
      </c>
    </row>
    <row r="17" spans="2:14" x14ac:dyDescent="0.25">
      <c r="B17" s="16">
        <v>1990</v>
      </c>
      <c r="C17" s="5">
        <v>178046</v>
      </c>
      <c r="D17" s="5">
        <v>128677</v>
      </c>
      <c r="E17" s="5">
        <v>89370</v>
      </c>
      <c r="F17" s="5">
        <v>160183</v>
      </c>
      <c r="G17" s="5">
        <v>152558</v>
      </c>
      <c r="H17" s="5">
        <v>163155</v>
      </c>
      <c r="I17" s="5">
        <v>169879</v>
      </c>
      <c r="J17" s="5">
        <v>121484.16129032258</v>
      </c>
      <c r="K17" s="5">
        <v>69592</v>
      </c>
      <c r="L17" s="5">
        <v>79502</v>
      </c>
      <c r="M17" s="5">
        <v>125867</v>
      </c>
      <c r="N17" s="5">
        <v>126463</v>
      </c>
    </row>
  </sheetData>
  <mergeCells count="1">
    <mergeCell ref="C3:N3"/>
  </mergeCells>
  <printOptions horizontalCentered="1"/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2013-05-31T07:00:00+00:00</OpenedDate>
    <Date1 xmlns="dc463f71-b30c-4ab2-9473-d307f9d35888">2015-06-01T07:00:00+00:00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131063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C0E7E2D575A91488313886DDDAE0955" ma:contentTypeVersion="135" ma:contentTypeDescription="" ma:contentTypeScope="" ma:versionID="1581388fd737508e349f43b1e7d2be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748E11-DB17-4B45-BCAD-67ACC3EBC4CB}"/>
</file>

<file path=customXml/itemProps2.xml><?xml version="1.0" encoding="utf-8"?>
<ds:datastoreItem xmlns:ds="http://schemas.openxmlformats.org/officeDocument/2006/customXml" ds:itemID="{A415F1EE-7418-4A6D-B7C3-0DBED6756DFF}"/>
</file>

<file path=customXml/itemProps3.xml><?xml version="1.0" encoding="utf-8"?>
<ds:datastoreItem xmlns:ds="http://schemas.openxmlformats.org/officeDocument/2006/customXml" ds:itemID="{06FA2E70-A8BB-4DA1-B5B1-FC0E1422C8FC}"/>
</file>

<file path=customXml/itemProps4.xml><?xml version="1.0" encoding="utf-8"?>
<ds:datastoreItem xmlns:ds="http://schemas.openxmlformats.org/officeDocument/2006/customXml" ds:itemID="{949CFDF2-9342-4A1E-A475-A419E3452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IncHydbyYr</vt:lpstr>
      <vt:lpstr>MonthlyFlowData</vt:lpstr>
      <vt:lpstr>Summary!Print_Area</vt:lpstr>
      <vt:lpstr>IncHydbyYr!Print_Titles</vt:lpstr>
    </vt:vector>
  </TitlesOfParts>
  <Company>Grant County PUD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Knitter</dc:creator>
  <cp:lastModifiedBy>carriem</cp:lastModifiedBy>
  <cp:lastPrinted>2013-05-29T22:59:08Z</cp:lastPrinted>
  <dcterms:created xsi:type="dcterms:W3CDTF">2013-02-25T18:44:17Z</dcterms:created>
  <dcterms:modified xsi:type="dcterms:W3CDTF">2015-06-01T20:50:55Z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0x0101006E56B4D1795A2E4DB2F0B01679ED314A00DC0E7E2D575A91488313886DDDAE0955</vt:lpwstr>
  </property>
  <property fmtid="{D5CDD505-2E9C-101B-9397-08002B2CF9AE}" pid="3" name="_docset_NoMedatataSyncRequired">
    <vt:lpwstr>False</vt:lpwstr>
  </property>
</Properties>
</file>