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35" windowHeight="8025" activeTab="1"/>
  </bookViews>
  <sheets>
    <sheet name="Response to Request for WRKPRS" sheetId="1" r:id="rId1"/>
    <sheet name="JHS-15 p.1" sheetId="2" r:id="rId2"/>
    <sheet name="JHS-15 p.2" sheetId="3" r:id="rId3"/>
    <sheet name="JHS-16 p.1" sheetId="4" r:id="rId4"/>
    <sheet name="JHS-16 p.2" sheetId="5" r:id="rId5"/>
    <sheet name="JHS-16 p.3" sheetId="6" r:id="rId6"/>
    <sheet name="WRKPR (JHS-14)" sheetId="7" r:id="rId7"/>
    <sheet name="WRKPR (JMR-6 p.1)" sheetId="8" r:id="rId8"/>
  </sheets>
  <definedNames>
    <definedName name="_xlnm.Print_Area" localSheetId="1">'JHS-15 p.1'!$A$1:$L$30</definedName>
    <definedName name="_xlnm.Print_Area" localSheetId="2">'JHS-15 p.2'!$A$1:$H$14</definedName>
    <definedName name="_xlnm.Print_Area" localSheetId="3">'JHS-16 p.1'!$A$1:$J$39</definedName>
    <definedName name="_xlnm.Print_Area" localSheetId="4">'JHS-16 p.2'!$A$1:$J$80</definedName>
    <definedName name="_xlnm.Print_Area" localSheetId="5">'JHS-16 p.3'!$A$1:$H$13</definedName>
    <definedName name="_xlnm.Print_Area" localSheetId="0">'Response to Request for WRKPRS'!$A$1:$B$22</definedName>
    <definedName name="_xlnm.Print_Area" localSheetId="6">'WRKPR (JHS-14)'!$A$1:$D$47</definedName>
    <definedName name="_xlnm.Print_Area" localSheetId="7">'WRKPR (JMR-6 p.1)'!$A$1:$I$41</definedName>
  </definedNames>
  <calcPr fullCalcOnLoad="1" iterate="1" iterateCount="100" iterateDelta="0.001"/>
</workbook>
</file>

<file path=xl/comments2.xml><?xml version="1.0" encoding="utf-8"?>
<comments xmlns="http://schemas.openxmlformats.org/spreadsheetml/2006/main">
  <authors>
    <author>Pam Rasanen</author>
  </authors>
  <commentList>
    <comment ref="J19" authorId="0">
      <text>
        <r>
          <rPr>
            <b/>
            <sz val="8"/>
            <rFont val="Tahoma"/>
            <family val="0"/>
          </rPr>
          <t>To:
Tab "JHS-16 p. 2"</t>
        </r>
      </text>
    </comment>
    <comment ref="G23" authorId="0">
      <text>
        <r>
          <rPr>
            <b/>
            <sz val="8"/>
            <rFont val="Tahoma"/>
            <family val="0"/>
          </rPr>
          <t>Source:</t>
        </r>
        <r>
          <rPr>
            <sz val="8"/>
            <rFont val="Tahoma"/>
            <family val="0"/>
          </rPr>
          <t xml:space="preserve">
Tab "JHS-14"
</t>
        </r>
      </text>
    </comment>
    <comment ref="I28" authorId="0">
      <text>
        <r>
          <rPr>
            <b/>
            <sz val="8"/>
            <rFont val="Tahoma"/>
            <family val="0"/>
          </rPr>
          <t xml:space="preserve">Source:
</t>
        </r>
        <r>
          <rPr>
            <sz val="8"/>
            <rFont val="Tahoma"/>
            <family val="2"/>
          </rPr>
          <t>Tab "JHS-16 p. 1"</t>
        </r>
      </text>
    </comment>
  </commentList>
</comments>
</file>

<file path=xl/comments4.xml><?xml version="1.0" encoding="utf-8"?>
<comments xmlns="http://schemas.openxmlformats.org/spreadsheetml/2006/main">
  <authors>
    <author>Pam Rasanen</author>
  </authors>
  <commentList>
    <comment ref="E4" authorId="0">
      <text>
        <r>
          <rPr>
            <b/>
            <sz val="8"/>
            <rFont val="Tahoma"/>
            <family val="0"/>
          </rPr>
          <t xml:space="preserve">Source:  </t>
        </r>
        <r>
          <rPr>
            <sz val="8"/>
            <rFont val="Tahoma"/>
            <family val="2"/>
          </rPr>
          <t>Tab "JHS-15 p.1"</t>
        </r>
      </text>
    </comment>
    <comment ref="C37" authorId="0">
      <text>
        <r>
          <rPr>
            <b/>
            <sz val="8"/>
            <rFont val="Tahoma"/>
            <family val="0"/>
          </rPr>
          <t xml:space="preserve">Source:  
</t>
        </r>
        <r>
          <rPr>
            <sz val="8"/>
            <rFont val="Tahoma"/>
            <family val="2"/>
          </rPr>
          <t>Tab "JMR-6 p.1</t>
        </r>
        <r>
          <rPr>
            <b/>
            <sz val="8"/>
            <rFont val="Tahoma"/>
            <family val="0"/>
          </rPr>
          <t xml:space="preserve">"
</t>
        </r>
      </text>
    </comment>
    <comment ref="D37" authorId="0">
      <text>
        <r>
          <rPr>
            <b/>
            <sz val="8"/>
            <rFont val="Tahoma"/>
            <family val="0"/>
          </rPr>
          <t xml:space="preserve">Source:  
</t>
        </r>
        <r>
          <rPr>
            <sz val="8"/>
            <rFont val="Tahoma"/>
            <family val="2"/>
          </rPr>
          <t>Tab "JMR-6 p.1"</t>
        </r>
      </text>
    </comment>
  </commentList>
</comments>
</file>

<file path=xl/comments5.xml><?xml version="1.0" encoding="utf-8"?>
<comments xmlns="http://schemas.openxmlformats.org/spreadsheetml/2006/main">
  <authors>
    <author>Pam Rasanen</author>
  </authors>
  <commentList>
    <comment ref="I4" authorId="0">
      <text>
        <r>
          <rPr>
            <b/>
            <sz val="8"/>
            <rFont val="Tahoma"/>
            <family val="0"/>
          </rPr>
          <t xml:space="preserve">Source:
</t>
        </r>
        <r>
          <rPr>
            <sz val="8"/>
            <rFont val="Tahoma"/>
            <family val="2"/>
          </rPr>
          <t>Tab "JHS-15 p. 1"</t>
        </r>
      </text>
    </comment>
  </commentList>
</comments>
</file>

<file path=xl/comments7.xml><?xml version="1.0" encoding="utf-8"?>
<comments xmlns="http://schemas.openxmlformats.org/spreadsheetml/2006/main">
  <authors>
    <author>Pam Rasanen</author>
  </authors>
  <commentList>
    <comment ref="D41" authorId="0">
      <text>
        <r>
          <rPr>
            <b/>
            <sz val="8"/>
            <rFont val="Tahoma"/>
            <family val="0"/>
          </rPr>
          <t xml:space="preserve">To:
</t>
        </r>
        <r>
          <rPr>
            <sz val="8"/>
            <rFont val="Tahoma"/>
            <family val="2"/>
          </rPr>
          <t>Tab "JHS-15 p.1"</t>
        </r>
      </text>
    </comment>
  </commentList>
</comments>
</file>

<file path=xl/comments8.xml><?xml version="1.0" encoding="utf-8"?>
<comments xmlns="http://schemas.openxmlformats.org/spreadsheetml/2006/main">
  <authors>
    <author>Pam Rasanen</author>
    <author>pse</author>
  </authors>
  <commentList>
    <comment ref="D7" authorId="0">
      <text>
        <r>
          <rPr>
            <b/>
            <sz val="8"/>
            <rFont val="Tahoma"/>
            <family val="0"/>
          </rPr>
          <t xml:space="preserve">To:
</t>
        </r>
        <r>
          <rPr>
            <sz val="8"/>
            <rFont val="Tahoma"/>
            <family val="2"/>
          </rPr>
          <t>Tab "JHS-15 p. 2"</t>
        </r>
      </text>
    </comment>
    <comment ref="E7" authorId="0">
      <text>
        <r>
          <rPr>
            <b/>
            <sz val="8"/>
            <rFont val="Tahoma"/>
            <family val="0"/>
          </rPr>
          <t xml:space="preserve">To:
</t>
        </r>
        <r>
          <rPr>
            <sz val="8"/>
            <rFont val="Tahoma"/>
            <family val="2"/>
          </rPr>
          <t>Tab "JHS-15 p. 2"</t>
        </r>
      </text>
    </comment>
    <comment ref="F7" authorId="1">
      <text>
        <r>
          <rPr>
            <sz val="8"/>
            <color indexed="57"/>
            <rFont val="Tahoma"/>
            <family val="2"/>
          </rPr>
          <t>Source:
JMR-5, Page 1</t>
        </r>
      </text>
    </comment>
    <comment ref="D40" authorId="1">
      <text>
        <r>
          <rPr>
            <sz val="8"/>
            <color indexed="20"/>
            <rFont val="Tahoma"/>
            <family val="2"/>
          </rPr>
          <t>Source:
Booked Sales Reconciliation.xls</t>
        </r>
      </text>
    </comment>
    <comment ref="E40" authorId="1">
      <text>
        <r>
          <rPr>
            <sz val="8"/>
            <color indexed="20"/>
            <rFont val="Tahoma"/>
            <family val="2"/>
          </rPr>
          <t>Source:
Booked Sales Reconciliation.xls</t>
        </r>
      </text>
    </comment>
  </commentList>
</comments>
</file>

<file path=xl/sharedStrings.xml><?xml version="1.0" encoding="utf-8"?>
<sst xmlns="http://schemas.openxmlformats.org/spreadsheetml/2006/main" count="299" uniqueCount="174">
  <si>
    <t>Customer Class</t>
  </si>
  <si>
    <t>a
UE-011570
Energy
Allocator</t>
  </si>
  <si>
    <t>b =
a * 84%
Energy</t>
  </si>
  <si>
    <t>c
UE-011570
Demand
Allocator</t>
  </si>
  <si>
    <t>d =
c * 16% 
Demand</t>
  </si>
  <si>
    <t>e = b + d
Weighted
Allocation</t>
  </si>
  <si>
    <t>f
Revenue Requirement</t>
  </si>
  <si>
    <t>g = e * f
2003
PCA
Rev Req</t>
  </si>
  <si>
    <t>h
kWh
7/02 TO 6/03</t>
  </si>
  <si>
    <t>i = 
(g / h) * 100
Sch 95
¢ per kWh</t>
  </si>
  <si>
    <t>Residential</t>
  </si>
  <si>
    <t>Sec Gen Svc - Small</t>
  </si>
  <si>
    <t>Sec Gen Svc - Medium</t>
  </si>
  <si>
    <t>Sec Gen Svc - Large</t>
  </si>
  <si>
    <t>Sec Irrigation Svc</t>
  </si>
  <si>
    <t>Pri Gen Svc</t>
  </si>
  <si>
    <t>Pri Irrigation Svc</t>
  </si>
  <si>
    <t>Pri Interruptible Svc</t>
  </si>
  <si>
    <t>HV - Sch 46</t>
  </si>
  <si>
    <t>HV - Sch 49</t>
  </si>
  <si>
    <t>Lights</t>
  </si>
  <si>
    <t>Firm Resale - Small</t>
  </si>
  <si>
    <t>Subtotal</t>
  </si>
  <si>
    <t>Firm Resale Special Contract</t>
  </si>
  <si>
    <t>Transportation</t>
  </si>
  <si>
    <t>Total</t>
  </si>
  <si>
    <t>Docket Number UE-031725
Exhibit No. ____ (JHS-15)
Page 1 of 2</t>
  </si>
  <si>
    <t>Puget Sound Energy</t>
  </si>
  <si>
    <t>Statement of Proforma and Proposed Revenues</t>
  </si>
  <si>
    <t>CUSTOMER CLASS</t>
  </si>
  <si>
    <t>SCHEDULE</t>
  </si>
  <si>
    <t>a
kWh
7/02 TO 6/03</t>
  </si>
  <si>
    <t>b
Pro forma
Revenue @
Rates Effective
10-1-03</t>
  </si>
  <si>
    <t>c
Schedule 95
¢ per kWh
@ 3-1-04</t>
  </si>
  <si>
    <t>d = b +e
Proposed
Revenue
(Incl. Sch 95)
@ 3-1-04</t>
  </si>
  <si>
    <t>e = a * c
Increase / Decrease 
$</t>
  </si>
  <si>
    <t>f = e / b
Increase / Decrease
%</t>
  </si>
  <si>
    <t>Secondary Service Total</t>
  </si>
  <si>
    <t>Primary Service Total</t>
  </si>
  <si>
    <t>HV Interruptible Svc</t>
  </si>
  <si>
    <t>HV Gen Svc</t>
  </si>
  <si>
    <t>High Voltage Service Total</t>
  </si>
  <si>
    <t>Small Firm Resale</t>
  </si>
  <si>
    <t>005</t>
  </si>
  <si>
    <t>Excluded Schedules</t>
  </si>
  <si>
    <t>449 / 459</t>
  </si>
  <si>
    <t>Docket Number UE-031725
Exhibit No. ____ (JHS-16)
Page 1 of 3</t>
  </si>
  <si>
    <t>Street Light kWh Calculations</t>
  </si>
  <si>
    <t xml:space="preserve">a
</t>
  </si>
  <si>
    <t xml:space="preserve">b
</t>
  </si>
  <si>
    <t>c = 
b - a</t>
  </si>
  <si>
    <t xml:space="preserve">d
</t>
  </si>
  <si>
    <t>e =
(b / d) / 1000</t>
  </si>
  <si>
    <t xml:space="preserve">f
</t>
  </si>
  <si>
    <t>g =
e * f</t>
  </si>
  <si>
    <t>Line</t>
  </si>
  <si>
    <t>Schedule</t>
  </si>
  <si>
    <t>Lamp Type</t>
  </si>
  <si>
    <t>Lamp
Wattage</t>
  </si>
  <si>
    <t>Billable Watts</t>
  </si>
  <si>
    <t>Ballast Losses</t>
  </si>
  <si>
    <t>Average Hours
/ Month</t>
  </si>
  <si>
    <t>kWh
/ Month</t>
  </si>
  <si>
    <t>Schedule 95
$ / kWh</t>
  </si>
  <si>
    <t>Schedule 95
$ / Lamp</t>
  </si>
  <si>
    <t>Flourescent</t>
  </si>
  <si>
    <t>Incandescent</t>
  </si>
  <si>
    <t>Mercury Vapor</t>
  </si>
  <si>
    <t>Metal Hallide</t>
  </si>
  <si>
    <t>Sodium Vapor</t>
  </si>
  <si>
    <t>Area Lights - SV</t>
  </si>
  <si>
    <t>Area Lights - MH</t>
  </si>
  <si>
    <t>Directional Flood Lights - SV</t>
  </si>
  <si>
    <t>Directional Flood Lights - MH</t>
  </si>
  <si>
    <t>Horizontal Flood Lights - SV</t>
  </si>
  <si>
    <t>Horizontal Flood Lights - MH</t>
  </si>
  <si>
    <t>Traffic Signals</t>
  </si>
  <si>
    <t>Annual kWh</t>
  </si>
  <si>
    <t>Annual Watt</t>
  </si>
  <si>
    <t>Sch 95 - $ / kWh</t>
  </si>
  <si>
    <t>Sch 95 - $ / Watt</t>
  </si>
  <si>
    <t>PUGET SOUND ENERGY</t>
  </si>
  <si>
    <t>EXPLANATION OF DIFFERENCES IN THE REVENUE DEFICIENCY CALCULATED</t>
  </si>
  <si>
    <t>IN JHS-6 (ORIGINAL FILING) AND JHS-13 (REBUTTAL TESTIMONY)</t>
  </si>
  <si>
    <t>2003 POWER COST ONLY RATE CASE</t>
  </si>
  <si>
    <t>Ref</t>
  </si>
  <si>
    <t>Description</t>
  </si>
  <si>
    <t>Exhibit #</t>
  </si>
  <si>
    <t>Re-work</t>
  </si>
  <si>
    <t>Revenue Deficiency as originally filed</t>
  </si>
  <si>
    <t>JHS-6</t>
  </si>
  <si>
    <t>Times the Conversion Factor</t>
  </si>
  <si>
    <t>Revenue Deficiency before application of conversion factor as originally filed</t>
  </si>
  <si>
    <t>Changes to beginning balances ("Test Year Actual 2003 TY" column):</t>
  </si>
  <si>
    <t>Tenaska and Cabot regulatory assets true-up</t>
  </si>
  <si>
    <t>JHS-11 Adj 10</t>
  </si>
  <si>
    <t>Remove Snoqualmie CWIP from Production Rate Base</t>
  </si>
  <si>
    <t>Adj 11</t>
  </si>
  <si>
    <t>Power Costs:</t>
  </si>
  <si>
    <t>Remove test year power costs for major maintenance</t>
  </si>
  <si>
    <t>Adj 01</t>
  </si>
  <si>
    <t>Adjust Colstrip &amp; March Point 2 generation</t>
  </si>
  <si>
    <t>Prudence Disallowance on Replacement Pwr Costs</t>
  </si>
  <si>
    <t>Peaking Options</t>
  </si>
  <si>
    <t>Douglas Settlement</t>
  </si>
  <si>
    <t>Fixed Priced Contracts</t>
  </si>
  <si>
    <t>Impact on power costs for change in production factor</t>
  </si>
  <si>
    <t>Sales for Resale</t>
  </si>
  <si>
    <t>Adj 02</t>
  </si>
  <si>
    <t>EPCOR sales tax from purchase price and accumulated depreciation</t>
  </si>
  <si>
    <t>Adj 03</t>
  </si>
  <si>
    <t>Reflect rate year transmission income as normalized 3 year average</t>
  </si>
  <si>
    <t>Adj 04</t>
  </si>
  <si>
    <t>Change to rate year KWH's for purposes of calculating the Montana Energy Tax</t>
  </si>
  <si>
    <t>Adj 07</t>
  </si>
  <si>
    <t>White River:</t>
  </si>
  <si>
    <t>Reinstate O&amp;M and depreciation/amortization expenses</t>
  </si>
  <si>
    <t>Adj 09</t>
  </si>
  <si>
    <t>Reflect White River as a regulatory asset at rate year AMA</t>
  </si>
  <si>
    <t>Change rate year Encogen acquisition adjustment to 6/30/2003 AMA</t>
  </si>
  <si>
    <t>Adj 10</t>
  </si>
  <si>
    <t>Carry through true-up of test year Tenaska and Cabot regulatory assets to the rate year</t>
  </si>
  <si>
    <t>Effects on production adjustment for change to weather normalization</t>
  </si>
  <si>
    <t>Revised Revenue Deficiency before application of conversion factor</t>
  </si>
  <si>
    <t>Divide by the Conversion Factor</t>
  </si>
  <si>
    <t>JHS-13</t>
  </si>
  <si>
    <t>Revised Revenue Deficiency after application of conversion factor</t>
  </si>
  <si>
    <t>Change in methodolgy of calculating Revenue Deficiency from original filing</t>
  </si>
  <si>
    <t>Change test year load from 19,237,873 KWHs to 19,271,717 in determining per KWH amounts</t>
  </si>
  <si>
    <t>Revenue Deficiency as filed in JHS Rebuttal Testimony Exhibit JHS-13</t>
  </si>
  <si>
    <t>Statement of Current and Proposed Revenues</t>
  </si>
  <si>
    <t>a
kWh
7/02 TO 6/03</t>
  </si>
  <si>
    <t>b
Revenue @
Rates Effective
10-1-03</t>
  </si>
  <si>
    <t xml:space="preserve">     Residential</t>
  </si>
  <si>
    <t>Description of Calculations on Exhibit</t>
  </si>
  <si>
    <t xml:space="preserve">Page No. </t>
  </si>
  <si>
    <t>Column No.</t>
  </si>
  <si>
    <t xml:space="preserve">Page 1 </t>
  </si>
  <si>
    <t xml:space="preserve">Column (a) </t>
  </si>
  <si>
    <t>Test year pro forma volumes (YE 6/03) for each schedule.</t>
  </si>
  <si>
    <t xml:space="preserve">Column (b) </t>
  </si>
  <si>
    <t>Test year pro forma revenue (billing determinants from YE 6/03 and rates effective 10-1-03) for each schedule.</t>
  </si>
  <si>
    <t xml:space="preserve">Column (c) </t>
  </si>
  <si>
    <r>
      <t xml:space="preserve">Cents/kWh amount to be charged to customers on each of the applicable schedules from </t>
    </r>
    <r>
      <rPr>
        <sz val="10"/>
        <color indexed="48"/>
        <rFont val="Arial"/>
        <family val="2"/>
      </rPr>
      <t>JHS-15</t>
    </r>
    <r>
      <rPr>
        <sz val="10"/>
        <rFont val="Arial"/>
        <family val="0"/>
      </rPr>
      <t>, page 1, Column (i).</t>
    </r>
  </si>
  <si>
    <t xml:space="preserve">Column (d) </t>
  </si>
  <si>
    <t>Test year proposed revenue resulting from the summation of the proposed power cost deficiency in Column (e) and the proforma revenue in Column (b).</t>
  </si>
  <si>
    <t xml:space="preserve">Column (e) </t>
  </si>
  <si>
    <r>
      <t xml:space="preserve">The proposed power cost deficiency, by rate schedule, from </t>
    </r>
    <r>
      <rPr>
        <sz val="10"/>
        <color indexed="48"/>
        <rFont val="Arial"/>
        <family val="2"/>
      </rPr>
      <t>JHS-15</t>
    </r>
    <r>
      <rPr>
        <sz val="10"/>
        <rFont val="Arial"/>
        <family val="0"/>
      </rPr>
      <t>, page 1, Column (i).</t>
    </r>
  </si>
  <si>
    <t xml:space="preserve">Column (f) </t>
  </si>
  <si>
    <t>Percent increase by rate schedule resulting from the division of  the proposed power cost deficiency in Column (e) by the pro forma revenue in Column (b).</t>
  </si>
  <si>
    <t>Page 2</t>
  </si>
  <si>
    <r>
      <t xml:space="preserve">Derivation of the applicable charge for street and area light schedules based on the cents/kWh rate of </t>
    </r>
    <r>
      <rPr>
        <sz val="10"/>
        <color indexed="48"/>
        <rFont val="Arial"/>
        <family val="2"/>
      </rPr>
      <t>0.2547 cents from JHS-15</t>
    </r>
    <r>
      <rPr>
        <sz val="10"/>
        <rFont val="Arial"/>
        <family val="0"/>
      </rPr>
      <t>, Page 1, Column (i) and billable wattage ratings by size and type of lamp.  This calculation is continued to Page 3.</t>
    </r>
  </si>
  <si>
    <t>Page 3</t>
  </si>
  <si>
    <r>
      <t xml:space="preserve">Derivation of the applicable charge for street and area light schedules based on the cents/kWh rate of </t>
    </r>
    <r>
      <rPr>
        <sz val="10"/>
        <color indexed="48"/>
        <rFont val="Arial"/>
        <family val="2"/>
      </rPr>
      <t>0.2547 cents from JHS-15</t>
    </r>
    <r>
      <rPr>
        <sz val="10"/>
        <rFont val="Arial"/>
        <family val="0"/>
      </rPr>
      <t>, Page 1, Column (i) and billable wattage ratings by size and type of lamp.  This calculation is a continuation of Page 2.</t>
    </r>
  </si>
  <si>
    <t xml:space="preserve">Total annual kWh consumption for each schedule for the GRC test period.  </t>
  </si>
  <si>
    <t>Energy related weighted portion of the peak credit weighted allocation factors and is equal to the pro rata share of each schedule's total annual kWh consumption for the test period to the system total times the energy related Peak Credit Factor, in this case 84%.</t>
  </si>
  <si>
    <t>Schedule level total demand during the top 200 hours of system demand for the GRC test period.</t>
  </si>
  <si>
    <t>Demand related weighted portion of the peak credit weighted allocation factors and is equal to the pro rata share of each schedule's contribution to the top 200 system peak hours for the test period times the demand related Peak Credit Factor, in this case 16%.</t>
  </si>
  <si>
    <r>
      <t xml:space="preserve">Resulting peak credit weighted allocation factor for each schedule and is equal to the sum of Columns (b) and (d).  Using Column (e) the proposed power cost deficiency of </t>
    </r>
    <r>
      <rPr>
        <sz val="10"/>
        <color indexed="48"/>
        <rFont val="Arial"/>
        <family val="2"/>
      </rPr>
      <t>$ 54,481,144  from Exhibit No. ___(JHS-14</t>
    </r>
    <r>
      <rPr>
        <sz val="10"/>
        <rFont val="Arial"/>
        <family val="0"/>
      </rPr>
      <t xml:space="preserve">) is allocated to all applicable schedules.  </t>
    </r>
  </si>
  <si>
    <r>
      <t xml:space="preserve">The proposed power cost deficiency of </t>
    </r>
    <r>
      <rPr>
        <sz val="10"/>
        <color indexed="48"/>
        <rFont val="Arial"/>
        <family val="2"/>
      </rPr>
      <t>$ 54,481,144 from 
Exhibit No. ___(JHS-14)</t>
    </r>
    <r>
      <rPr>
        <sz val="10"/>
        <rFont val="Arial"/>
        <family val="0"/>
      </rPr>
      <t>.</t>
    </r>
  </si>
  <si>
    <t>Column (g)</t>
  </si>
  <si>
    <r>
      <t xml:space="preserve">Result of multiplying Column (e) by the proposed power cost deficiency of 
</t>
    </r>
    <r>
      <rPr>
        <sz val="10"/>
        <color indexed="48"/>
        <rFont val="Arial"/>
        <family val="2"/>
      </rPr>
      <t>$ 54,481,144</t>
    </r>
    <r>
      <rPr>
        <sz val="10"/>
        <rFont val="Arial"/>
        <family val="0"/>
      </rPr>
      <t xml:space="preserve">  from Column (f) to allocate the power cost deficiency to all applicable schedules.</t>
    </r>
  </si>
  <si>
    <t>Column (h)</t>
  </si>
  <si>
    <t>Column (i)</t>
  </si>
  <si>
    <t xml:space="preserve">Cents/kWh amount to be charged to customers on each of the applicable schedules is shown in and is equal to Column (g) divided by the test year pro forma volumes (YE 6/03) for each schedule as shown in Column (h).  </t>
  </si>
  <si>
    <t>PSE Resp. to WUTC Staff DR-88 regarding workpapers</t>
  </si>
  <si>
    <t>The worksheets in this file are the workpapers for Exhibits JHS 15 and 16.</t>
  </si>
  <si>
    <t>JHS-15 p.1</t>
  </si>
  <si>
    <t>JHS-15 p.2</t>
  </si>
  <si>
    <t>JHS-16 p.1</t>
  </si>
  <si>
    <t>JHS-16 p.2</t>
  </si>
  <si>
    <t>JHS-16 p.3</t>
  </si>
  <si>
    <t>WRKPR(JHS-14)</t>
  </si>
  <si>
    <t>WRKPR(JMR-6 p.1)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</si>
</sst>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00_);_(* \(#,##0.000000\);_(* &quot;-&quot;??_);_(@_)"/>
    <numFmt numFmtId="166" formatCode="_(&quot;$&quot;* #,##0_);_(&quot;$&quot;* \(#,##0\);_(&quot;$&quot;* &quot;-&quot;??_);_(@_)"/>
    <numFmt numFmtId="167" formatCode="0.0000\ \¢"/>
    <numFmt numFmtId="168" formatCode="0.000%"/>
    <numFmt numFmtId="169" formatCode="_(&quot;$&quot;* #,##0.000000_);_(&quot;$&quot;* \(#,##0.000000\);_(&quot;$&quot;* &quot;-&quot;??_);_(@_)"/>
    <numFmt numFmtId="170" formatCode="_(&quot;$&quot;* #,##0.00000_);_(&quot;$&quot;* \(#,##0.00000\);_(&quot;$&quot;* &quot;-&quot;??_);_(@_)"/>
    <numFmt numFmtId="171" formatCode="_(* #,##0.0000000_);_(* \(#,##0.0000000\);_(* &quot;-&quot;_);_(@_)"/>
    <numFmt numFmtId="172" formatCode="_(* #,##0.0000000_);_(* \(#,##0.0000000\);_(* &quot;-&quot;??_);_(@_)"/>
    <numFmt numFmtId="173" formatCode="0.0000%"/>
  </numFmts>
  <fonts count="17">
    <font>
      <sz val="10"/>
      <name val="Arial"/>
      <family val="0"/>
    </font>
    <font>
      <sz val="10"/>
      <color indexed="12"/>
      <name val="Arial"/>
      <family val="2"/>
    </font>
    <font>
      <b/>
      <sz val="12"/>
      <name val="Arial"/>
      <family val="2"/>
    </font>
    <font>
      <b/>
      <sz val="8"/>
      <name val="Tahoma"/>
      <family val="0"/>
    </font>
    <font>
      <sz val="8"/>
      <name val="Tahoma"/>
      <family val="0"/>
    </font>
    <font>
      <b/>
      <sz val="10"/>
      <name val="Arial"/>
      <family val="2"/>
    </font>
    <font>
      <b/>
      <sz val="14"/>
      <name val="Arial"/>
      <family val="2"/>
    </font>
    <font>
      <b/>
      <sz val="16"/>
      <name val="Arial"/>
      <family val="2"/>
    </font>
    <font>
      <sz val="10"/>
      <color indexed="20"/>
      <name val="Arial"/>
      <family val="2"/>
    </font>
    <font>
      <sz val="10"/>
      <color indexed="57"/>
      <name val="Arial"/>
      <family val="2"/>
    </font>
    <font>
      <sz val="8"/>
      <color indexed="57"/>
      <name val="Tahoma"/>
      <family val="2"/>
    </font>
    <font>
      <sz val="8"/>
      <color indexed="20"/>
      <name val="Tahoma"/>
      <family val="2"/>
    </font>
    <font>
      <b/>
      <i/>
      <sz val="10"/>
      <color indexed="12"/>
      <name val="Comic Sans MS"/>
      <family val="4"/>
    </font>
    <font>
      <sz val="10"/>
      <color indexed="48"/>
      <name val="Arial"/>
      <family val="2"/>
    </font>
    <font>
      <u val="single"/>
      <sz val="10"/>
      <color indexed="12"/>
      <name val="MS Sans Serif"/>
      <family val="0"/>
    </font>
    <font>
      <u val="single"/>
      <sz val="10"/>
      <color indexed="36"/>
      <name val="Arial"/>
      <family val="0"/>
    </font>
    <font>
      <b/>
      <sz val="8"/>
      <name val="Arial"/>
      <family val="2"/>
    </font>
  </fonts>
  <fills count="3">
    <fill>
      <patternFill/>
    </fill>
    <fill>
      <patternFill patternType="gray125"/>
    </fill>
    <fill>
      <patternFill patternType="solid">
        <fgColor indexed="13"/>
        <bgColor indexed="64"/>
      </patternFill>
    </fill>
  </fills>
  <borders count="17">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thin"/>
      <top style="thin"/>
      <bottom style="thin"/>
    </border>
    <border>
      <left style="thin"/>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53">
    <xf numFmtId="0" fontId="0" fillId="0" borderId="0" xfId="0" applyAlignment="1">
      <alignment/>
    </xf>
    <xf numFmtId="0" fontId="0" fillId="0" borderId="1" xfId="0" applyBorder="1" applyAlignment="1">
      <alignment/>
    </xf>
    <xf numFmtId="164" fontId="0" fillId="0" borderId="2" xfId="15" applyNumberFormat="1" applyBorder="1" applyAlignment="1">
      <alignment/>
    </xf>
    <xf numFmtId="0" fontId="0" fillId="0" borderId="2" xfId="0" applyBorder="1" applyAlignment="1">
      <alignment/>
    </xf>
    <xf numFmtId="0" fontId="0" fillId="0" borderId="3" xfId="0" applyBorder="1" applyAlignment="1">
      <alignment/>
    </xf>
    <xf numFmtId="0" fontId="0" fillId="0" borderId="0" xfId="0" applyBorder="1" applyAlignment="1">
      <alignment/>
    </xf>
    <xf numFmtId="0" fontId="1" fillId="0" borderId="0" xfId="0" applyFont="1" applyBorder="1" applyAlignment="1">
      <alignment/>
    </xf>
    <xf numFmtId="0" fontId="0" fillId="0" borderId="4" xfId="0" applyBorder="1" applyAlignment="1">
      <alignment/>
    </xf>
    <xf numFmtId="164" fontId="0" fillId="0" borderId="0" xfId="15" applyNumberFormat="1" applyBorder="1" applyAlignment="1">
      <alignment/>
    </xf>
    <xf numFmtId="0" fontId="0" fillId="0" borderId="5" xfId="0" applyBorder="1" applyAlignment="1">
      <alignment/>
    </xf>
    <xf numFmtId="0" fontId="0" fillId="0" borderId="6" xfId="0" applyBorder="1" applyAlignment="1">
      <alignment horizontal="center" wrapText="1"/>
    </xf>
    <xf numFmtId="164" fontId="0" fillId="0" borderId="7" xfId="15" applyNumberFormat="1" applyFont="1" applyBorder="1" applyAlignment="1" quotePrefix="1">
      <alignment horizontal="center" wrapText="1"/>
    </xf>
    <xf numFmtId="0" fontId="0" fillId="0" borderId="7" xfId="0" applyBorder="1" applyAlignment="1" quotePrefix="1">
      <alignment horizontal="center" wrapText="1"/>
    </xf>
    <xf numFmtId="0" fontId="0" fillId="0" borderId="7" xfId="0" applyFont="1" applyBorder="1" applyAlignment="1" quotePrefix="1">
      <alignment horizontal="center" wrapText="1"/>
    </xf>
    <xf numFmtId="0" fontId="0" fillId="0" borderId="8" xfId="0" applyBorder="1" applyAlignment="1" quotePrefix="1">
      <alignment horizontal="center" wrapText="1"/>
    </xf>
    <xf numFmtId="0" fontId="0" fillId="0" borderId="0" xfId="0" applyBorder="1" applyAlignment="1">
      <alignment horizontal="center" wrapText="1"/>
    </xf>
    <xf numFmtId="0" fontId="0" fillId="0" borderId="4" xfId="0" applyBorder="1" applyAlignment="1">
      <alignment horizontal="center" wrapText="1"/>
    </xf>
    <xf numFmtId="164" fontId="0" fillId="0" borderId="0" xfId="15" applyNumberFormat="1" applyBorder="1" applyAlignment="1">
      <alignment horizontal="center" wrapText="1"/>
    </xf>
    <xf numFmtId="0" fontId="0" fillId="0" borderId="0" xfId="0" applyBorder="1" applyAlignment="1" quotePrefix="1">
      <alignment horizontal="center" wrapText="1"/>
    </xf>
    <xf numFmtId="0" fontId="0" fillId="0" borderId="5" xfId="0" applyBorder="1" applyAlignment="1">
      <alignment horizontal="center" wrapText="1"/>
    </xf>
    <xf numFmtId="165" fontId="0" fillId="0" borderId="0" xfId="15" applyNumberFormat="1" applyBorder="1" applyAlignment="1">
      <alignment/>
    </xf>
    <xf numFmtId="165" fontId="0" fillId="0" borderId="0" xfId="0" applyNumberFormat="1" applyBorder="1" applyAlignment="1">
      <alignment/>
    </xf>
    <xf numFmtId="166" fontId="0" fillId="0" borderId="0" xfId="17" applyNumberFormat="1" applyBorder="1" applyAlignment="1">
      <alignment/>
    </xf>
    <xf numFmtId="167" fontId="0" fillId="0" borderId="5" xfId="17" applyNumberFormat="1" applyBorder="1" applyAlignment="1">
      <alignment horizontal="center"/>
    </xf>
    <xf numFmtId="0" fontId="0" fillId="0" borderId="4" xfId="0" applyBorder="1" applyAlignment="1" quotePrefix="1">
      <alignment horizontal="left"/>
    </xf>
    <xf numFmtId="0" fontId="0" fillId="0" borderId="4" xfId="0" applyBorder="1" applyAlignment="1">
      <alignment horizontal="left"/>
    </xf>
    <xf numFmtId="166" fontId="0" fillId="0" borderId="0" xfId="17" applyNumberFormat="1" applyBorder="1" applyAlignment="1">
      <alignment/>
    </xf>
    <xf numFmtId="167" fontId="0" fillId="0" borderId="5" xfId="0" applyNumberFormat="1" applyBorder="1" applyAlignment="1">
      <alignment horizontal="center"/>
    </xf>
    <xf numFmtId="166" fontId="1" fillId="0" borderId="0" xfId="0" applyNumberFormat="1" applyFont="1" applyBorder="1" applyAlignment="1">
      <alignment/>
    </xf>
    <xf numFmtId="166" fontId="1" fillId="0" borderId="0" xfId="17" applyNumberFormat="1" applyFont="1" applyFill="1" applyBorder="1" applyAlignment="1">
      <alignment/>
    </xf>
    <xf numFmtId="166" fontId="0" fillId="0" borderId="0" xfId="0" applyNumberFormat="1" applyBorder="1" applyAlignment="1">
      <alignment/>
    </xf>
    <xf numFmtId="0" fontId="0" fillId="0" borderId="5" xfId="0" applyBorder="1" applyAlignment="1">
      <alignment horizontal="center"/>
    </xf>
    <xf numFmtId="166" fontId="0" fillId="0" borderId="5" xfId="0" applyNumberFormat="1" applyBorder="1" applyAlignment="1">
      <alignment/>
    </xf>
    <xf numFmtId="0" fontId="0" fillId="0" borderId="6" xfId="0" applyBorder="1" applyAlignment="1">
      <alignment/>
    </xf>
    <xf numFmtId="164" fontId="0" fillId="0" borderId="7" xfId="15" applyNumberFormat="1" applyBorder="1" applyAlignment="1">
      <alignment/>
    </xf>
    <xf numFmtId="0" fontId="0" fillId="0" borderId="7" xfId="0" applyBorder="1" applyAlignment="1">
      <alignment/>
    </xf>
    <xf numFmtId="166" fontId="0" fillId="0" borderId="7" xfId="0" applyNumberFormat="1" applyBorder="1" applyAlignment="1">
      <alignment/>
    </xf>
    <xf numFmtId="164" fontId="0" fillId="0" borderId="7" xfId="0" applyNumberFormat="1" applyBorder="1" applyAlignment="1">
      <alignment/>
    </xf>
    <xf numFmtId="0" fontId="0" fillId="0" borderId="8" xfId="0" applyBorder="1" applyAlignment="1">
      <alignment/>
    </xf>
    <xf numFmtId="0" fontId="2" fillId="0" borderId="0" xfId="0" applyFont="1" applyBorder="1" applyAlignment="1" quotePrefix="1">
      <alignment horizontal="right" textRotation="180"/>
    </xf>
    <xf numFmtId="0" fontId="2" fillId="0" borderId="0" xfId="0" applyFont="1" applyBorder="1" applyAlignment="1" quotePrefix="1">
      <alignment horizontal="left" textRotation="180" wrapText="1"/>
    </xf>
    <xf numFmtId="164" fontId="0" fillId="0" borderId="0" xfId="0" applyNumberFormat="1" applyBorder="1" applyAlignment="1">
      <alignment/>
    </xf>
    <xf numFmtId="43" fontId="0" fillId="0" borderId="0" xfId="0" applyNumberFormat="1" applyBorder="1" applyAlignment="1">
      <alignment/>
    </xf>
    <xf numFmtId="0" fontId="0" fillId="0" borderId="1" xfId="0" applyBorder="1" applyAlignment="1">
      <alignment horizontal="centerContinuous"/>
    </xf>
    <xf numFmtId="0" fontId="0" fillId="0" borderId="2" xfId="0" applyBorder="1" applyAlignment="1">
      <alignment horizontal="centerContinuous"/>
    </xf>
    <xf numFmtId="0" fontId="0" fillId="0" borderId="3" xfId="0" applyBorder="1" applyAlignment="1">
      <alignment horizontal="centerContinuous"/>
    </xf>
    <xf numFmtId="0" fontId="0" fillId="0" borderId="4" xfId="0" applyBorder="1" applyAlignment="1">
      <alignment horizontal="centerContinuous"/>
    </xf>
    <xf numFmtId="0" fontId="0" fillId="0" borderId="0" xfId="0" applyBorder="1" applyAlignment="1">
      <alignment horizontal="centerContinuous"/>
    </xf>
    <xf numFmtId="0" fontId="0" fillId="0" borderId="5" xfId="0" applyBorder="1" applyAlignment="1">
      <alignment horizontal="centerContinuous"/>
    </xf>
    <xf numFmtId="0" fontId="0" fillId="0" borderId="0" xfId="0" applyBorder="1" applyAlignment="1">
      <alignment horizontal="center"/>
    </xf>
    <xf numFmtId="0" fontId="0" fillId="0" borderId="7" xfId="0" applyBorder="1" applyAlignment="1">
      <alignment horizontal="center" wrapText="1"/>
    </xf>
    <xf numFmtId="164" fontId="0" fillId="0" borderId="7" xfId="15" applyNumberFormat="1" applyFont="1" applyFill="1" applyBorder="1" applyAlignment="1" quotePrefix="1">
      <alignment horizontal="center" wrapText="1"/>
    </xf>
    <xf numFmtId="0" fontId="0" fillId="0" borderId="7" xfId="0" applyFont="1" applyFill="1" applyBorder="1" applyAlignment="1" quotePrefix="1">
      <alignment horizontal="center" wrapText="1"/>
    </xf>
    <xf numFmtId="164" fontId="0" fillId="0" borderId="7" xfId="15" applyNumberFormat="1" applyFont="1" applyBorder="1" applyAlignment="1" quotePrefix="1">
      <alignment horizontal="center" wrapText="1"/>
    </xf>
    <xf numFmtId="0" fontId="0" fillId="0" borderId="8" xfId="0" applyBorder="1" applyAlignment="1">
      <alignment horizontal="center" wrapText="1"/>
    </xf>
    <xf numFmtId="0" fontId="0" fillId="0" borderId="2" xfId="0" applyBorder="1" applyAlignment="1">
      <alignment horizontal="center"/>
    </xf>
    <xf numFmtId="167" fontId="0" fillId="0" borderId="0" xfId="0" applyNumberFormat="1" applyBorder="1" applyAlignment="1">
      <alignment/>
    </xf>
    <xf numFmtId="168" fontId="0" fillId="0" borderId="5" xfId="0" applyNumberFormat="1" applyBorder="1" applyAlignment="1">
      <alignment/>
    </xf>
    <xf numFmtId="168" fontId="0" fillId="0" borderId="0" xfId="0" applyNumberFormat="1" applyBorder="1" applyAlignment="1">
      <alignment/>
    </xf>
    <xf numFmtId="0" fontId="0" fillId="0" borderId="4" xfId="0" applyBorder="1" applyAlignment="1" quotePrefix="1">
      <alignment horizontal="left" indent="1"/>
    </xf>
    <xf numFmtId="0" fontId="0" fillId="0" borderId="4" xfId="0" applyBorder="1" applyAlignment="1">
      <alignment horizontal="left" indent="1"/>
    </xf>
    <xf numFmtId="0" fontId="0" fillId="0" borderId="4" xfId="0" applyBorder="1" applyAlignment="1" quotePrefix="1">
      <alignment/>
    </xf>
    <xf numFmtId="0" fontId="0" fillId="0" borderId="0" xfId="0" applyBorder="1" applyAlignment="1" quotePrefix="1">
      <alignment horizontal="center"/>
    </xf>
    <xf numFmtId="0" fontId="0" fillId="0" borderId="7" xfId="0" applyBorder="1" applyAlignment="1">
      <alignment horizontal="center"/>
    </xf>
    <xf numFmtId="0" fontId="0" fillId="0" borderId="0" xfId="0" applyBorder="1" applyAlignment="1">
      <alignment horizontal="left"/>
    </xf>
    <xf numFmtId="0" fontId="0" fillId="0" borderId="0" xfId="0" applyFill="1" applyAlignment="1">
      <alignment horizontal="centerContinuous"/>
    </xf>
    <xf numFmtId="0" fontId="0" fillId="0" borderId="0" xfId="0" applyFill="1" applyAlignment="1">
      <alignment/>
    </xf>
    <xf numFmtId="0" fontId="0" fillId="0" borderId="0" xfId="0" applyFill="1" applyAlignment="1" quotePrefix="1">
      <alignment horizontal="centerContinuous"/>
    </xf>
    <xf numFmtId="0" fontId="0" fillId="0" borderId="0" xfId="0" applyFill="1" applyAlignment="1">
      <alignment horizontal="center"/>
    </xf>
    <xf numFmtId="0" fontId="0" fillId="0" borderId="0" xfId="0" applyFill="1" applyAlignment="1">
      <alignment horizontal="center" wrapText="1"/>
    </xf>
    <xf numFmtId="0" fontId="0" fillId="0" borderId="0" xfId="0" applyFill="1" applyAlignment="1" quotePrefix="1">
      <alignment horizontal="center" wrapText="1"/>
    </xf>
    <xf numFmtId="0" fontId="0" fillId="0" borderId="9" xfId="0" applyFill="1" applyBorder="1" applyAlignment="1">
      <alignment horizontal="center" wrapText="1"/>
    </xf>
    <xf numFmtId="0" fontId="0" fillId="0" borderId="9" xfId="0" applyFill="1" applyBorder="1" applyAlignment="1" quotePrefix="1">
      <alignment horizontal="center" wrapText="1"/>
    </xf>
    <xf numFmtId="164" fontId="0" fillId="0" borderId="0" xfId="15" applyNumberFormat="1" applyFill="1" applyAlignment="1">
      <alignment/>
    </xf>
    <xf numFmtId="169" fontId="0" fillId="0" borderId="0" xfId="17" applyNumberFormat="1" applyFill="1" applyBorder="1" applyAlignment="1">
      <alignment/>
    </xf>
    <xf numFmtId="44" fontId="0" fillId="0" borderId="0" xfId="17" applyFill="1" applyAlignment="1">
      <alignment/>
    </xf>
    <xf numFmtId="164" fontId="0" fillId="0" borderId="0" xfId="0" applyNumberFormat="1" applyFill="1" applyAlignment="1">
      <alignment/>
    </xf>
    <xf numFmtId="0" fontId="0" fillId="0" borderId="0" xfId="0" applyFont="1" applyFill="1" applyAlignment="1">
      <alignment horizontal="center"/>
    </xf>
    <xf numFmtId="0" fontId="0" fillId="0" borderId="0" xfId="0" applyFont="1" applyFill="1" applyAlignment="1">
      <alignment/>
    </xf>
    <xf numFmtId="164" fontId="0" fillId="0" borderId="0" xfId="15" applyNumberFormat="1" applyFont="1" applyFill="1" applyAlignment="1">
      <alignment/>
    </xf>
    <xf numFmtId="0" fontId="0" fillId="0" borderId="0" xfId="0" applyFill="1" applyAlignment="1" quotePrefix="1">
      <alignment horizontal="left"/>
    </xf>
    <xf numFmtId="0" fontId="0" fillId="0" borderId="0" xfId="0" applyFill="1" applyAlignment="1">
      <alignment horizontal="left"/>
    </xf>
    <xf numFmtId="164" fontId="0" fillId="0" borderId="0" xfId="15" applyNumberFormat="1" applyFill="1" applyAlignment="1">
      <alignment/>
    </xf>
    <xf numFmtId="164" fontId="0" fillId="0" borderId="0" xfId="15" applyNumberFormat="1" applyFont="1" applyFill="1" applyAlignment="1">
      <alignment horizontal="left" indent="1"/>
    </xf>
    <xf numFmtId="0" fontId="0" fillId="0" borderId="0" xfId="0" applyFill="1" applyAlignment="1" quotePrefix="1">
      <alignment horizontal="left" indent="1"/>
    </xf>
    <xf numFmtId="170" fontId="0" fillId="0" borderId="0" xfId="17" applyNumberFormat="1" applyFont="1" applyFill="1" applyAlignment="1">
      <alignment/>
    </xf>
    <xf numFmtId="0" fontId="0" fillId="0" borderId="0" xfId="0" applyAlignment="1">
      <alignment horizontal="centerContinuous"/>
    </xf>
    <xf numFmtId="164" fontId="0" fillId="0" borderId="0" xfId="15" applyNumberFormat="1" applyAlignment="1">
      <alignment/>
    </xf>
    <xf numFmtId="0" fontId="5" fillId="0" borderId="0" xfId="0" applyFont="1" applyAlignment="1" applyProtection="1">
      <alignment horizontal="centerContinuous"/>
      <protection locked="0"/>
    </xf>
    <xf numFmtId="0" fontId="5" fillId="0" borderId="9" xfId="0" applyFont="1" applyBorder="1" applyAlignment="1">
      <alignment horizontal="center"/>
    </xf>
    <xf numFmtId="0" fontId="0" fillId="0" borderId="0" xfId="0" applyAlignment="1">
      <alignment horizontal="center"/>
    </xf>
    <xf numFmtId="166" fontId="0" fillId="0" borderId="0" xfId="17" applyNumberFormat="1" applyAlignment="1">
      <alignment/>
    </xf>
    <xf numFmtId="0" fontId="0" fillId="0" borderId="0" xfId="0" applyAlignment="1">
      <alignment horizontal="left"/>
    </xf>
    <xf numFmtId="171" fontId="0" fillId="0" borderId="0" xfId="0" applyNumberFormat="1" applyAlignment="1">
      <alignment/>
    </xf>
    <xf numFmtId="0" fontId="0" fillId="0" borderId="10" xfId="0" applyBorder="1" applyAlignment="1">
      <alignment/>
    </xf>
    <xf numFmtId="166" fontId="0" fillId="0" borderId="0" xfId="0" applyNumberFormat="1" applyAlignment="1">
      <alignment/>
    </xf>
    <xf numFmtId="0" fontId="0" fillId="0" borderId="0" xfId="0" applyAlignment="1">
      <alignment horizontal="left" indent="1"/>
    </xf>
    <xf numFmtId="0" fontId="0" fillId="0" borderId="0" xfId="0" applyAlignment="1">
      <alignment horizontal="left" indent="2"/>
    </xf>
    <xf numFmtId="164" fontId="0" fillId="0" borderId="10" xfId="15" applyNumberFormat="1" applyBorder="1" applyAlignment="1">
      <alignment/>
    </xf>
    <xf numFmtId="172" fontId="0" fillId="0" borderId="0" xfId="15" applyNumberFormat="1" applyBorder="1" applyAlignment="1">
      <alignment/>
    </xf>
    <xf numFmtId="166" fontId="0" fillId="0" borderId="11" xfId="17" applyNumberFormat="1" applyBorder="1" applyAlignment="1">
      <alignment/>
    </xf>
    <xf numFmtId="0" fontId="6" fillId="0" borderId="1" xfId="0" applyFont="1" applyBorder="1" applyAlignment="1">
      <alignment horizontal="centerContinuous"/>
    </xf>
    <xf numFmtId="0" fontId="6" fillId="0" borderId="4" xfId="0" applyFont="1" applyBorder="1" applyAlignment="1">
      <alignment horizontal="centerContinuous"/>
    </xf>
    <xf numFmtId="0" fontId="7" fillId="0" borderId="0" xfId="0" applyFont="1" applyBorder="1" applyAlignment="1">
      <alignment horizontal="centerContinuous"/>
    </xf>
    <xf numFmtId="0" fontId="0" fillId="0" borderId="12" xfId="0" applyBorder="1" applyAlignment="1">
      <alignment horizontal="center" wrapText="1"/>
    </xf>
    <xf numFmtId="164" fontId="0" fillId="0" borderId="9" xfId="15" applyNumberFormat="1" applyFont="1" applyFill="1" applyBorder="1" applyAlignment="1" quotePrefix="1">
      <alignment horizontal="center" wrapText="1"/>
    </xf>
    <xf numFmtId="0" fontId="0" fillId="0" borderId="13" xfId="0" applyBorder="1" applyAlignment="1">
      <alignment horizontal="center"/>
    </xf>
    <xf numFmtId="0" fontId="0" fillId="0" borderId="14" xfId="0" applyBorder="1" applyAlignment="1">
      <alignment horizontal="center"/>
    </xf>
    <xf numFmtId="164" fontId="8" fillId="2" borderId="0" xfId="15" applyNumberFormat="1" applyFont="1" applyFill="1" applyBorder="1" applyAlignment="1">
      <alignment/>
    </xf>
    <xf numFmtId="166" fontId="8" fillId="0" borderId="0" xfId="17" applyNumberFormat="1" applyFont="1" applyFill="1" applyBorder="1" applyAlignment="1">
      <alignment/>
    </xf>
    <xf numFmtId="167" fontId="9" fillId="0" borderId="0" xfId="0" applyNumberFormat="1" applyFont="1" applyBorder="1" applyAlignment="1">
      <alignment/>
    </xf>
    <xf numFmtId="164" fontId="8" fillId="0" borderId="0" xfId="15" applyNumberFormat="1" applyFont="1" applyFill="1" applyBorder="1" applyAlignment="1">
      <alignment/>
    </xf>
    <xf numFmtId="166" fontId="0" fillId="0" borderId="0" xfId="17" applyNumberFormat="1" applyFill="1" applyBorder="1" applyAlignment="1">
      <alignment/>
    </xf>
    <xf numFmtId="0" fontId="0" fillId="0" borderId="14" xfId="0" applyFill="1" applyBorder="1" applyAlignment="1">
      <alignment horizontal="center"/>
    </xf>
    <xf numFmtId="164" fontId="0" fillId="0" borderId="0" xfId="15" applyNumberFormat="1" applyFill="1" applyBorder="1" applyAlignment="1">
      <alignment/>
    </xf>
    <xf numFmtId="173" fontId="0" fillId="0" borderId="0" xfId="21" applyNumberFormat="1" applyBorder="1" applyAlignment="1">
      <alignment/>
    </xf>
    <xf numFmtId="0" fontId="9" fillId="0" borderId="0" xfId="0" applyFont="1" applyBorder="1" applyAlignment="1">
      <alignment/>
    </xf>
    <xf numFmtId="164" fontId="0" fillId="0" borderId="15" xfId="15" applyNumberFormat="1" applyFill="1" applyBorder="1" applyAlignment="1">
      <alignment/>
    </xf>
    <xf numFmtId="166" fontId="0" fillId="2" borderId="15" xfId="17" applyNumberFormat="1" applyFill="1" applyBorder="1" applyAlignment="1">
      <alignment/>
    </xf>
    <xf numFmtId="0" fontId="0" fillId="0" borderId="16" xfId="0" applyBorder="1" applyAlignment="1">
      <alignment/>
    </xf>
    <xf numFmtId="164" fontId="0" fillId="0" borderId="7" xfId="15" applyNumberFormat="1" applyFill="1" applyBorder="1" applyAlignment="1">
      <alignment/>
    </xf>
    <xf numFmtId="0" fontId="2" fillId="0" borderId="0" xfId="0" applyFont="1" applyBorder="1" applyAlignment="1" quotePrefix="1">
      <alignment horizontal="right" vertical="top" textRotation="180"/>
    </xf>
    <xf numFmtId="0" fontId="2" fillId="0" borderId="0" xfId="0" applyFont="1" applyBorder="1" applyAlignment="1">
      <alignment horizontal="right" textRotation="180"/>
    </xf>
    <xf numFmtId="164" fontId="0" fillId="0" borderId="0" xfId="0" applyNumberFormat="1" applyFill="1" applyBorder="1" applyAlignment="1">
      <alignment/>
    </xf>
    <xf numFmtId="0" fontId="0" fillId="0" borderId="0" xfId="0" applyAlignment="1">
      <alignment horizontal="centerContinuous" wrapText="1"/>
    </xf>
    <xf numFmtId="0" fontId="0" fillId="0" borderId="0" xfId="0" applyBorder="1" applyAlignment="1">
      <alignment wrapText="1"/>
    </xf>
    <xf numFmtId="0" fontId="12" fillId="0" borderId="0" xfId="0" applyFont="1" applyAlignment="1">
      <alignment/>
    </xf>
    <xf numFmtId="0" fontId="5" fillId="0" borderId="9" xfId="0" applyFont="1" applyBorder="1" applyAlignment="1">
      <alignment horizontal="center" wrapText="1"/>
    </xf>
    <xf numFmtId="0" fontId="0" fillId="0" borderId="0" xfId="0" applyBorder="1" applyAlignment="1">
      <alignment horizontal="centerContinuous" wrapText="1"/>
    </xf>
    <xf numFmtId="0" fontId="0" fillId="0" borderId="0" xfId="0" applyAlignment="1">
      <alignment wrapText="1"/>
    </xf>
    <xf numFmtId="0" fontId="0" fillId="0" borderId="0" xfId="0" applyBorder="1" applyAlignment="1">
      <alignment horizontal="center" vertical="center" wrapText="1"/>
    </xf>
    <xf numFmtId="164" fontId="0" fillId="0" borderId="0" xfId="15" applyNumberFormat="1" applyBorder="1" applyAlignment="1">
      <alignment horizontal="center" vertical="center" wrapText="1"/>
    </xf>
    <xf numFmtId="164" fontId="0" fillId="0" borderId="0" xfId="15" applyNumberFormat="1" applyBorder="1" applyAlignment="1">
      <alignment wrapText="1"/>
    </xf>
    <xf numFmtId="0" fontId="0" fillId="0" borderId="0" xfId="0" applyBorder="1" applyAlignment="1">
      <alignment horizontal="left" vertical="center" wrapText="1"/>
    </xf>
    <xf numFmtId="0" fontId="0" fillId="0" borderId="0" xfId="0" applyBorder="1" applyAlignment="1" quotePrefix="1">
      <alignment horizontal="left" vertical="center" wrapText="1"/>
    </xf>
    <xf numFmtId="0" fontId="0" fillId="0" borderId="0" xfId="0" applyBorder="1" applyAlignment="1">
      <alignment horizontal="left" wrapText="1"/>
    </xf>
    <xf numFmtId="166" fontId="0" fillId="0" borderId="0" xfId="17" applyNumberFormat="1" applyBorder="1" applyAlignment="1">
      <alignment wrapText="1"/>
    </xf>
    <xf numFmtId="168" fontId="0" fillId="0" borderId="0" xfId="0" applyNumberFormat="1" applyBorder="1" applyAlignment="1">
      <alignment wrapText="1"/>
    </xf>
    <xf numFmtId="167" fontId="0" fillId="0" borderId="0" xfId="0" applyNumberFormat="1" applyBorder="1" applyAlignment="1">
      <alignment wrapText="1"/>
    </xf>
    <xf numFmtId="173" fontId="0" fillId="0" borderId="0" xfId="21" applyNumberFormat="1" applyBorder="1" applyAlignment="1">
      <alignment wrapText="1"/>
    </xf>
    <xf numFmtId="0" fontId="0" fillId="0" borderId="0" xfId="0" applyBorder="1" applyAlignment="1" quotePrefix="1">
      <alignment wrapText="1"/>
    </xf>
    <xf numFmtId="0" fontId="0" fillId="0" borderId="0" xfId="0" applyBorder="1" applyAlignment="1">
      <alignment horizontal="left" wrapText="1" indent="1"/>
    </xf>
    <xf numFmtId="0" fontId="0" fillId="0" borderId="0" xfId="0" applyBorder="1" applyAlignment="1" quotePrefix="1">
      <alignment horizontal="left" wrapText="1" indent="1"/>
    </xf>
    <xf numFmtId="164" fontId="0" fillId="0" borderId="0" xfId="15" applyNumberFormat="1" applyBorder="1" applyAlignment="1">
      <alignment horizontal="right" wrapText="1"/>
    </xf>
    <xf numFmtId="0" fontId="14" fillId="0" borderId="0" xfId="20" applyAlignment="1" quotePrefix="1">
      <alignment horizontal="left" indent="1"/>
    </xf>
    <xf numFmtId="0" fontId="14" fillId="0" borderId="0" xfId="20" applyFont="1" applyAlignment="1" quotePrefix="1">
      <alignment horizontal="left" indent="1"/>
    </xf>
    <xf numFmtId="0" fontId="7" fillId="0" borderId="2" xfId="0" applyFont="1" applyBorder="1" applyAlignment="1">
      <alignment horizontal="centerContinuous"/>
    </xf>
    <xf numFmtId="0" fontId="0" fillId="0" borderId="0" xfId="0" applyAlignment="1">
      <alignment horizontal="center" wrapText="1"/>
    </xf>
    <xf numFmtId="0" fontId="5" fillId="0" borderId="9" xfId="0" applyFont="1" applyBorder="1" applyAlignment="1">
      <alignment horizontal="center" wrapText="1"/>
    </xf>
    <xf numFmtId="0" fontId="0" fillId="0" borderId="0" xfId="0" applyBorder="1" applyAlignment="1" quotePrefix="1">
      <alignment horizontal="left" vertical="center" wrapText="1"/>
    </xf>
    <xf numFmtId="0" fontId="2" fillId="0" borderId="0" xfId="0" applyFont="1" applyBorder="1" applyAlignment="1" quotePrefix="1">
      <alignment horizontal="center" textRotation="180" wrapText="1"/>
    </xf>
    <xf numFmtId="0" fontId="2" fillId="0" borderId="0" xfId="0" applyFont="1" applyBorder="1" applyAlignment="1" quotePrefix="1">
      <alignment horizontal="center" vertical="top" textRotation="180" wrapText="1"/>
    </xf>
    <xf numFmtId="0" fontId="0" fillId="0" borderId="0" xfId="0"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B18"/>
  <sheetViews>
    <sheetView workbookViewId="0" topLeftCell="A1">
      <selection activeCell="B6" sqref="B6"/>
    </sheetView>
  </sheetViews>
  <sheetFormatPr defaultColWidth="9.140625" defaultRowHeight="12.75"/>
  <cols>
    <col min="2" max="2" width="84.57421875" style="96" customWidth="1"/>
  </cols>
  <sheetData>
    <row r="2" ht="12.75" customHeight="1">
      <c r="B2" s="89" t="s">
        <v>165</v>
      </c>
    </row>
    <row r="4" ht="12.75">
      <c r="B4" s="92" t="s">
        <v>166</v>
      </c>
    </row>
    <row r="6" ht="12.75">
      <c r="B6" s="145" t="s">
        <v>167</v>
      </c>
    </row>
    <row r="7" ht="12.75">
      <c r="B7" s="145"/>
    </row>
    <row r="8" ht="12.75">
      <c r="B8" s="144" t="s">
        <v>168</v>
      </c>
    </row>
    <row r="9" ht="12.75">
      <c r="B9" s="145"/>
    </row>
    <row r="10" ht="16.5" customHeight="1">
      <c r="B10" s="144" t="s">
        <v>169</v>
      </c>
    </row>
    <row r="11" ht="16.5" customHeight="1">
      <c r="B11" s="145"/>
    </row>
    <row r="12" ht="12.75">
      <c r="B12" s="144" t="s">
        <v>170</v>
      </c>
    </row>
    <row r="13" ht="13.5" customHeight="1">
      <c r="B13" s="145"/>
    </row>
    <row r="14" ht="12.75">
      <c r="B14" s="144" t="s">
        <v>171</v>
      </c>
    </row>
    <row r="15" ht="12.75">
      <c r="B15" s="145"/>
    </row>
    <row r="16" ht="12.75">
      <c r="B16" s="144" t="s">
        <v>172</v>
      </c>
    </row>
    <row r="17" ht="12.75">
      <c r="B17" s="145"/>
    </row>
    <row r="18" ht="12.75">
      <c r="B18" s="145" t="s">
        <v>173</v>
      </c>
    </row>
  </sheetData>
  <hyperlinks>
    <hyperlink ref="B6" location="'JHS-15 p.1'!A1" display="'JHS-15 p.1'!A1"/>
    <hyperlink ref="B8" location="'JHS-15 p.2'!A1" display="'JHS-15 p.2'!A1"/>
    <hyperlink ref="B10" location="'JHS-16 p.1'!A1" display="'JHS-16 p.1'!A1"/>
    <hyperlink ref="B12" location="'JHS-16 p.2'!A1" display="'JHS-16 p.2'!A1"/>
    <hyperlink ref="B14" location="'JHS-16 p.3'!A1" display="'JHS-16 p.3'!A1"/>
    <hyperlink ref="B16" location="'WRKPR (JHS-14)'!A1" display="'WRKPR (JHS-14)'!A1"/>
    <hyperlink ref="B18" location="'WRKPR (JMR-6 p.1)'!A1" display="'WRKPR (JMR-6 p.1)'!A1"/>
  </hyperlink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M34"/>
  <sheetViews>
    <sheetView tabSelected="1" workbookViewId="0" topLeftCell="A1">
      <selection activeCell="A1" sqref="A1"/>
    </sheetView>
  </sheetViews>
  <sheetFormatPr defaultColWidth="9.140625" defaultRowHeight="12.75"/>
  <cols>
    <col min="1" max="1" width="35.8515625" style="5" customWidth="1"/>
    <col min="2" max="2" width="14.8515625" style="8" customWidth="1"/>
    <col min="3" max="3" width="11.28125" style="5" customWidth="1"/>
    <col min="4" max="4" width="15.7109375" style="8" customWidth="1"/>
    <col min="5" max="5" width="12.140625" style="5" customWidth="1"/>
    <col min="6" max="6" width="9.7109375" style="5" customWidth="1"/>
    <col min="7" max="7" width="12.28125" style="5" customWidth="1"/>
    <col min="8" max="8" width="16.421875" style="5" customWidth="1"/>
    <col min="9" max="9" width="15.421875" style="5" customWidth="1"/>
    <col min="10" max="10" width="11.00390625" style="5" customWidth="1"/>
    <col min="11" max="11" width="4.140625" style="5" customWidth="1"/>
    <col min="12" max="12" width="10.140625" style="6" customWidth="1"/>
    <col min="13" max="13" width="19.7109375" style="5" customWidth="1"/>
    <col min="14" max="14" width="10.28125" style="5" customWidth="1"/>
    <col min="15" max="15" width="11.00390625" style="5" customWidth="1"/>
    <col min="16" max="16" width="13.8515625" style="5" customWidth="1"/>
    <col min="17" max="17" width="8.421875" style="5" customWidth="1"/>
    <col min="18" max="16384" width="9.140625" style="5" customWidth="1"/>
  </cols>
  <sheetData>
    <row r="1" spans="1:10" ht="12.75">
      <c r="A1" s="1"/>
      <c r="B1" s="2"/>
      <c r="C1" s="3"/>
      <c r="D1" s="2"/>
      <c r="E1" s="3"/>
      <c r="F1" s="3"/>
      <c r="G1" s="3"/>
      <c r="H1" s="3"/>
      <c r="I1" s="3"/>
      <c r="J1" s="4"/>
    </row>
    <row r="2" spans="1:10" ht="12.75" customHeight="1">
      <c r="A2" s="7"/>
      <c r="J2" s="9"/>
    </row>
    <row r="3" spans="1:10" s="15" customFormat="1" ht="77.25" thickBot="1">
      <c r="A3" s="10" t="s">
        <v>0</v>
      </c>
      <c r="B3" s="11" t="s">
        <v>1</v>
      </c>
      <c r="C3" s="12" t="s">
        <v>2</v>
      </c>
      <c r="D3" s="11" t="s">
        <v>3</v>
      </c>
      <c r="E3" s="12" t="s">
        <v>4</v>
      </c>
      <c r="F3" s="12" t="s">
        <v>5</v>
      </c>
      <c r="G3" s="12" t="s">
        <v>6</v>
      </c>
      <c r="H3" s="13" t="s">
        <v>7</v>
      </c>
      <c r="I3" s="13" t="s">
        <v>8</v>
      </c>
      <c r="J3" s="14" t="s">
        <v>9</v>
      </c>
    </row>
    <row r="4" spans="1:10" s="15" customFormat="1" ht="12.75">
      <c r="A4" s="16"/>
      <c r="B4" s="17"/>
      <c r="C4" s="18"/>
      <c r="D4" s="17"/>
      <c r="E4" s="18"/>
      <c r="J4" s="19"/>
    </row>
    <row r="5" spans="1:10" ht="12.75">
      <c r="A5" s="7" t="s">
        <v>10</v>
      </c>
      <c r="B5" s="8">
        <v>10137089324</v>
      </c>
      <c r="C5" s="20">
        <f>+B5/B$23*0.84</f>
        <v>0.4222770810595382</v>
      </c>
      <c r="D5" s="8">
        <v>1959378</v>
      </c>
      <c r="E5" s="20">
        <f>+D5/D$23*0.16</f>
        <v>0.09332621256910148</v>
      </c>
      <c r="F5" s="21">
        <f aca="true" t="shared" si="0" ref="F5:F12">+E5+C5</f>
        <v>0.5156032936286397</v>
      </c>
      <c r="G5" s="21"/>
      <c r="H5" s="22">
        <f>+F5*($G$23)</f>
        <v>28090657.2870562</v>
      </c>
      <c r="I5" s="8">
        <f>+'JHS-16 p.1'!C6</f>
        <v>9734910367.400002</v>
      </c>
      <c r="J5" s="23">
        <f aca="true" t="shared" si="1" ref="J5:J12">+H5/I5*100</f>
        <v>0.2885558903667507</v>
      </c>
    </row>
    <row r="6" spans="1:10" ht="12.75">
      <c r="A6" s="7"/>
      <c r="C6" s="20"/>
      <c r="E6" s="20"/>
      <c r="F6" s="21"/>
      <c r="G6" s="21"/>
      <c r="H6" s="22"/>
      <c r="I6" s="8"/>
      <c r="J6" s="23"/>
    </row>
    <row r="7" spans="1:10" ht="12.75">
      <c r="A7" s="24" t="s">
        <v>11</v>
      </c>
      <c r="B7" s="8">
        <v>2594418404</v>
      </c>
      <c r="C7" s="20">
        <f>+B7/B$23*0.84</f>
        <v>0.10807475357788075</v>
      </c>
      <c r="D7" s="8">
        <v>412051</v>
      </c>
      <c r="E7" s="20">
        <f>+D7/D$23*0.16</f>
        <v>0.019626207508357668</v>
      </c>
      <c r="F7" s="21">
        <f t="shared" si="0"/>
        <v>0.1277009610862384</v>
      </c>
      <c r="G7" s="21"/>
      <c r="H7" s="22">
        <f aca="true" t="shared" si="2" ref="H7:H21">+F7*($G$23)</f>
        <v>6957294.449877751</v>
      </c>
      <c r="I7" s="8">
        <f>+'JHS-16 p.1'!C8</f>
        <v>2389582724.6499996</v>
      </c>
      <c r="J7" s="23">
        <f t="shared" si="1"/>
        <v>0.2911510188832982</v>
      </c>
    </row>
    <row r="8" spans="1:10" ht="12.75">
      <c r="A8" s="7" t="s">
        <v>12</v>
      </c>
      <c r="B8" s="8">
        <v>3138518404</v>
      </c>
      <c r="C8" s="20">
        <f>+B8/B$23*0.84</f>
        <v>0.13074013142559543</v>
      </c>
      <c r="D8" s="8">
        <v>418590</v>
      </c>
      <c r="E8" s="20">
        <f>+D8/D$23*0.16</f>
        <v>0.019937663543890045</v>
      </c>
      <c r="F8" s="21">
        <f t="shared" si="0"/>
        <v>0.15067779496948547</v>
      </c>
      <c r="G8" s="21"/>
      <c r="H8" s="22">
        <f t="shared" si="2"/>
        <v>8209098.645335013</v>
      </c>
      <c r="I8" s="8">
        <f>+'JHS-16 p.1'!C9</f>
        <v>2840353570.7499995</v>
      </c>
      <c r="J8" s="23">
        <f t="shared" si="1"/>
        <v>0.28901678755322663</v>
      </c>
    </row>
    <row r="9" spans="1:10" ht="12.75">
      <c r="A9" s="7" t="s">
        <v>13</v>
      </c>
      <c r="B9" s="8">
        <v>1914126870</v>
      </c>
      <c r="C9" s="20">
        <f>+B9/B$23*0.84</f>
        <v>0.07973609402134435</v>
      </c>
      <c r="D9" s="8">
        <v>284748</v>
      </c>
      <c r="E9" s="20">
        <f>+D9/D$23*0.16</f>
        <v>0.013562698150446984</v>
      </c>
      <c r="F9" s="21">
        <f t="shared" si="0"/>
        <v>0.09329879217179134</v>
      </c>
      <c r="G9" s="21"/>
      <c r="H9" s="22">
        <f t="shared" si="2"/>
        <v>5083024.931337437</v>
      </c>
      <c r="I9" s="8">
        <f>+'JHS-16 p.1'!C10</f>
        <v>1878305033.99</v>
      </c>
      <c r="J9" s="23">
        <f t="shared" si="1"/>
        <v>0.270617649388917</v>
      </c>
    </row>
    <row r="10" spans="1:10" ht="12.75">
      <c r="A10" s="7" t="s">
        <v>14</v>
      </c>
      <c r="B10" s="8">
        <v>11813980</v>
      </c>
      <c r="C10" s="20">
        <f>+B10/B$23*0.84</f>
        <v>0.0004921307123421144</v>
      </c>
      <c r="D10" s="8">
        <v>594</v>
      </c>
      <c r="E10" s="20">
        <f>+D10/D$23*0.16</f>
        <v>2.8292534807498237E-05</v>
      </c>
      <c r="F10" s="21">
        <f t="shared" si="0"/>
        <v>0.0005204232471496126</v>
      </c>
      <c r="G10" s="21"/>
      <c r="H10" s="22">
        <f t="shared" si="2"/>
        <v>28353.253868905635</v>
      </c>
      <c r="I10" s="8">
        <f>+'JHS-16 p.1'!C11</f>
        <v>15052453.530000003</v>
      </c>
      <c r="J10" s="23">
        <f t="shared" si="1"/>
        <v>0.18836300548875123</v>
      </c>
    </row>
    <row r="11" spans="1:10" ht="12.75">
      <c r="A11" s="7"/>
      <c r="C11" s="20"/>
      <c r="E11" s="20"/>
      <c r="F11" s="21"/>
      <c r="G11" s="21"/>
      <c r="H11" s="22"/>
      <c r="I11" s="8"/>
      <c r="J11" s="23"/>
    </row>
    <row r="12" spans="1:10" ht="12.75">
      <c r="A12" s="7" t="s">
        <v>15</v>
      </c>
      <c r="B12" s="8">
        <v>1608441655</v>
      </c>
      <c r="C12" s="20">
        <f>+B12/B$23*0.84</f>
        <v>0.0670022750534434</v>
      </c>
      <c r="D12" s="8">
        <f>212555+1320</f>
        <v>213875</v>
      </c>
      <c r="E12" s="20">
        <f>+D12/D$23*0.16</f>
        <v>0.010186979599248629</v>
      </c>
      <c r="F12" s="21">
        <f t="shared" si="0"/>
        <v>0.07718925465269202</v>
      </c>
      <c r="G12" s="21"/>
      <c r="H12" s="22">
        <f t="shared" si="2"/>
        <v>4205358.897985985</v>
      </c>
      <c r="I12" s="8">
        <f>+'JHS-16 p.1'!C15</f>
        <v>1664882182.7100003</v>
      </c>
      <c r="J12" s="23">
        <f t="shared" si="1"/>
        <v>0.2525919816824961</v>
      </c>
    </row>
    <row r="13" spans="1:10" ht="12.75">
      <c r="A13" s="7" t="s">
        <v>16</v>
      </c>
      <c r="B13" s="8">
        <v>5435481</v>
      </c>
      <c r="C13" s="20">
        <f>+B13/B$23*0.84</f>
        <v>0.0002264238754807464</v>
      </c>
      <c r="D13" s="8">
        <v>8</v>
      </c>
      <c r="E13" s="20">
        <f>+D13/D$23*0.16</f>
        <v>3.810442398316261E-07</v>
      </c>
      <c r="F13" s="21">
        <f>+E13+C13</f>
        <v>0.000226804919720578</v>
      </c>
      <c r="G13" s="21"/>
      <c r="H13" s="22">
        <f t="shared" si="2"/>
        <v>12356.59149120525</v>
      </c>
      <c r="I13" s="8">
        <f>+'JHS-16 p.1'!C16</f>
        <v>5121000</v>
      </c>
      <c r="J13" s="23">
        <f>+H13/I13*100</f>
        <v>0.24129255011140893</v>
      </c>
    </row>
    <row r="14" spans="1:10" ht="12.75">
      <c r="A14" s="7" t="s">
        <v>17</v>
      </c>
      <c r="B14" s="8">
        <v>211725372</v>
      </c>
      <c r="C14" s="20">
        <f>+B14/B$23*0.84</f>
        <v>0.008819767609498168</v>
      </c>
      <c r="D14" s="8">
        <v>0</v>
      </c>
      <c r="E14" s="20">
        <f>+D14/D$23*0.16</f>
        <v>0</v>
      </c>
      <c r="F14" s="21">
        <f>+E14+C14</f>
        <v>0.008819767609498168</v>
      </c>
      <c r="G14" s="21"/>
      <c r="H14" s="22">
        <f t="shared" si="2"/>
        <v>480511.0291796055</v>
      </c>
      <c r="I14" s="8">
        <f>+'JHS-16 p.1'!C17</f>
        <v>175048208.39999998</v>
      </c>
      <c r="J14" s="23">
        <f>+H14/I14*100</f>
        <v>0.2745021120590947</v>
      </c>
    </row>
    <row r="15" spans="1:10" ht="12.75">
      <c r="A15" s="7"/>
      <c r="C15" s="20"/>
      <c r="E15" s="20"/>
      <c r="F15" s="21"/>
      <c r="G15" s="21"/>
      <c r="H15" s="22"/>
      <c r="I15" s="8"/>
      <c r="J15" s="23"/>
    </row>
    <row r="16" spans="1:10" ht="12.75">
      <c r="A16" s="25" t="s">
        <v>18</v>
      </c>
      <c r="B16" s="8">
        <v>30008768</v>
      </c>
      <c r="C16" s="20">
        <f>+B16/B$23*0.84</f>
        <v>0.0012500644467274575</v>
      </c>
      <c r="D16" s="8">
        <v>0</v>
      </c>
      <c r="E16" s="20">
        <f>+D16/D$23*0.16</f>
        <v>0</v>
      </c>
      <c r="F16" s="21">
        <f>+E16+C16</f>
        <v>0.0012500644467274575</v>
      </c>
      <c r="G16" s="21"/>
      <c r="H16" s="22">
        <f t="shared" si="2"/>
        <v>68104.94113143894</v>
      </c>
      <c r="I16" s="8">
        <f>+'JHS-16 p.1'!C21</f>
        <v>50620000</v>
      </c>
      <c r="J16" s="23">
        <f>+H16/I16*100</f>
        <v>0.13454156683413462</v>
      </c>
    </row>
    <row r="17" spans="1:10" ht="12.75">
      <c r="A17" s="25" t="s">
        <v>19</v>
      </c>
      <c r="B17" s="8">
        <v>424943206</v>
      </c>
      <c r="C17" s="20">
        <f>+B17/B$23*0.84</f>
        <v>0.017701706171309062</v>
      </c>
      <c r="D17" s="8">
        <f>56904</f>
        <v>56904</v>
      </c>
      <c r="E17" s="20">
        <f>+D17/D$23*0.16</f>
        <v>0.0027103676779223563</v>
      </c>
      <c r="F17" s="21">
        <f>+E17+C17</f>
        <v>0.020412073849231417</v>
      </c>
      <c r="G17" s="21"/>
      <c r="H17" s="22">
        <f t="shared" si="2"/>
        <v>1112073.1347186111</v>
      </c>
      <c r="I17" s="8">
        <f>+'JHS-16 p.1'!C22</f>
        <v>427726004.48</v>
      </c>
      <c r="J17" s="23">
        <f>+H17/I17*100</f>
        <v>0.259996615373104</v>
      </c>
    </row>
    <row r="18" spans="1:10" ht="12.75">
      <c r="A18" s="24"/>
      <c r="C18" s="20"/>
      <c r="E18" s="20"/>
      <c r="F18" s="21"/>
      <c r="G18" s="21"/>
      <c r="H18" s="22"/>
      <c r="I18" s="8"/>
      <c r="J18" s="23"/>
    </row>
    <row r="19" spans="1:10" ht="12.75">
      <c r="A19" s="7" t="s">
        <v>20</v>
      </c>
      <c r="B19" s="8">
        <v>79347471</v>
      </c>
      <c r="C19" s="20">
        <f>+B19/B$23*0.84</f>
        <v>0.0033053490378158134</v>
      </c>
      <c r="D19" s="8">
        <v>11430</v>
      </c>
      <c r="E19" s="20">
        <f>+D19/D$23*0.16</f>
        <v>0.0005444169576594358</v>
      </c>
      <c r="F19" s="21">
        <f>+E19+C19</f>
        <v>0.0038497659954752493</v>
      </c>
      <c r="G19" s="21"/>
      <c r="H19" s="22">
        <f t="shared" si="2"/>
        <v>209739.6555657904</v>
      </c>
      <c r="I19" s="8">
        <f>+'JHS-16 p.1'!C26</f>
        <v>82356894.11029999</v>
      </c>
      <c r="J19" s="23">
        <f>+H19/I19*100</f>
        <v>0.25467164325658953</v>
      </c>
    </row>
    <row r="20" spans="1:10" ht="12.75">
      <c r="A20" s="7"/>
      <c r="C20" s="20"/>
      <c r="H20" s="26"/>
      <c r="J20" s="27"/>
    </row>
    <row r="21" spans="1:12" ht="12.75">
      <c r="A21" s="24" t="s">
        <v>21</v>
      </c>
      <c r="B21" s="8">
        <v>8983514</v>
      </c>
      <c r="C21" s="20">
        <f>+B21/B$23*0.84</f>
        <v>0.000374223009024508</v>
      </c>
      <c r="D21" s="8">
        <v>1612</v>
      </c>
      <c r="E21" s="20">
        <f>+D21/D$23*0.16</f>
        <v>7.678041432607266E-05</v>
      </c>
      <c r="F21" s="21">
        <f>+E21+C21</f>
        <v>0.00045100342335058067</v>
      </c>
      <c r="G21" s="21"/>
      <c r="H21" s="22">
        <f t="shared" si="2"/>
        <v>24571.18245205595</v>
      </c>
      <c r="I21" s="8">
        <f>+'JHS-16 p.1'!C28</f>
        <v>7758862</v>
      </c>
      <c r="J21" s="23">
        <f>+H21/I21*100</f>
        <v>0.31668539087376407</v>
      </c>
      <c r="L21" s="28"/>
    </row>
    <row r="22" spans="1:10" ht="12.75">
      <c r="A22" s="7"/>
      <c r="C22" s="20"/>
      <c r="H22" s="26"/>
      <c r="J22" s="27"/>
    </row>
    <row r="23" spans="1:10" ht="12.75">
      <c r="A23" s="7" t="s">
        <v>22</v>
      </c>
      <c r="B23" s="8">
        <f aca="true" t="shared" si="3" ref="B23:I23">SUM(B5:B21)</f>
        <v>20164852449</v>
      </c>
      <c r="C23" s="20">
        <f t="shared" si="3"/>
        <v>0.8399999999999999</v>
      </c>
      <c r="D23" s="8">
        <f t="shared" si="3"/>
        <v>3359190</v>
      </c>
      <c r="E23" s="20">
        <f t="shared" si="3"/>
        <v>0.15999999999999998</v>
      </c>
      <c r="F23" s="20">
        <f t="shared" si="3"/>
        <v>1</v>
      </c>
      <c r="G23" s="29">
        <f>ROUND(+'WRKPR (JHS-14)'!D41,0)</f>
        <v>54481144</v>
      </c>
      <c r="H23" s="26">
        <f t="shared" si="3"/>
        <v>54481144</v>
      </c>
      <c r="I23" s="8">
        <f t="shared" si="3"/>
        <v>19271717302.0203</v>
      </c>
      <c r="J23" s="23">
        <f>+H23/I23*100</f>
        <v>0.2826999957823614</v>
      </c>
    </row>
    <row r="24" spans="1:12" ht="12.75">
      <c r="A24" s="7"/>
      <c r="H24" s="30"/>
      <c r="J24" s="31"/>
      <c r="L24" s="28"/>
    </row>
    <row r="25" spans="1:12" ht="12.75">
      <c r="A25" s="24" t="s">
        <v>23</v>
      </c>
      <c r="B25" s="8">
        <v>0</v>
      </c>
      <c r="D25" s="8">
        <v>0</v>
      </c>
      <c r="H25" s="30"/>
      <c r="I25" s="8">
        <f>+'JHS-16 p.1'!C33</f>
        <v>0</v>
      </c>
      <c r="J25" s="32"/>
      <c r="L25" s="28"/>
    </row>
    <row r="26" spans="1:12" ht="12.75">
      <c r="A26" s="7" t="s">
        <v>24</v>
      </c>
      <c r="B26" s="8">
        <v>0</v>
      </c>
      <c r="D26" s="8">
        <v>0</v>
      </c>
      <c r="F26" s="8"/>
      <c r="G26" s="8"/>
      <c r="H26" s="30"/>
      <c r="I26" s="8">
        <f>+'JHS-16 p.1'!C34</f>
        <v>2065832748</v>
      </c>
      <c r="J26" s="32"/>
      <c r="L26" s="28"/>
    </row>
    <row r="27" spans="1:13" ht="12.75">
      <c r="A27" s="7"/>
      <c r="J27" s="9"/>
      <c r="L27"/>
      <c r="M27"/>
    </row>
    <row r="28" spans="1:13" ht="12.75">
      <c r="A28" s="7" t="s">
        <v>25</v>
      </c>
      <c r="B28" s="8">
        <f>SUM(B23:B26)</f>
        <v>20164852449</v>
      </c>
      <c r="D28" s="8">
        <f>SUM(D23:D26)</f>
        <v>3359190</v>
      </c>
      <c r="H28" s="22"/>
      <c r="I28" s="8">
        <f>SUM(I23:I26)</f>
        <v>21337550050.0203</v>
      </c>
      <c r="J28" s="23"/>
      <c r="L28"/>
      <c r="M28"/>
    </row>
    <row r="29" spans="1:13" ht="13.5" thickBot="1">
      <c r="A29" s="33"/>
      <c r="B29" s="34"/>
      <c r="C29" s="35"/>
      <c r="D29" s="34"/>
      <c r="E29" s="35"/>
      <c r="F29" s="35"/>
      <c r="G29" s="35"/>
      <c r="H29" s="36"/>
      <c r="I29" s="37"/>
      <c r="J29" s="38"/>
      <c r="L29"/>
      <c r="M29"/>
    </row>
    <row r="30" spans="11:13" ht="192" customHeight="1">
      <c r="K30" s="39"/>
      <c r="L30" s="40" t="s">
        <v>26</v>
      </c>
      <c r="M30"/>
    </row>
    <row r="31" spans="9:13" ht="12.75">
      <c r="I31" s="41"/>
      <c r="L31"/>
      <c r="M31"/>
    </row>
    <row r="32" spans="8:13" ht="12.75">
      <c r="H32" s="42"/>
      <c r="L32"/>
      <c r="M32"/>
    </row>
    <row r="33" spans="12:13" ht="12.75">
      <c r="L33"/>
      <c r="M33"/>
    </row>
    <row r="34" spans="12:13" ht="12.75">
      <c r="L34"/>
      <c r="M34"/>
    </row>
  </sheetData>
  <printOptions/>
  <pageMargins left="0.5" right="0.25" top="1.25" bottom="0.25" header="0.5" footer="0.5"/>
  <pageSetup cellComments="asDisplayed" horizontalDpi="600" verticalDpi="600" orientation="landscape" scale="75" r:id="rId3"/>
  <headerFooter alignWithMargins="0">
    <oddHeader>&amp;CPuget Sound Energy
Allocation of PCORC Revenue Requirement</oddHeader>
  </headerFooter>
  <legacyDrawing r:id="rId2"/>
</worksheet>
</file>

<file path=xl/worksheets/sheet3.xml><?xml version="1.0" encoding="utf-8"?>
<worksheet xmlns="http://schemas.openxmlformats.org/spreadsheetml/2006/main" xmlns:r="http://schemas.openxmlformats.org/officeDocument/2006/relationships">
  <dimension ref="A1:N30"/>
  <sheetViews>
    <sheetView workbookViewId="0" topLeftCell="A1">
      <selection activeCell="L10" sqref="L10"/>
    </sheetView>
  </sheetViews>
  <sheetFormatPr defaultColWidth="9.140625" defaultRowHeight="35.25" customHeight="1"/>
  <cols>
    <col min="1" max="1" width="6.8515625" style="125" customWidth="1"/>
    <col min="2" max="2" width="2.421875" style="125" customWidth="1"/>
    <col min="3" max="3" width="11.57421875" style="129" customWidth="1"/>
    <col min="4" max="4" width="2.421875" style="129" customWidth="1"/>
    <col min="5" max="5" width="12.8515625" style="125" customWidth="1"/>
    <col min="6" max="6" width="27.00390625" style="125" customWidth="1"/>
    <col min="7" max="7" width="11.00390625" style="15" customWidth="1"/>
    <col min="8" max="8" width="14.8515625" style="132" customWidth="1"/>
    <col min="9" max="9" width="14.7109375" style="132" customWidth="1"/>
    <col min="10" max="10" width="11.28125" style="125" hidden="1" customWidth="1"/>
    <col min="11" max="11" width="14.8515625" style="132" customWidth="1"/>
    <col min="12" max="12" width="12.28125" style="125" customWidth="1"/>
    <col min="13" max="13" width="9.140625" style="125" customWidth="1"/>
    <col min="14" max="14" width="7.7109375" style="125" customWidth="1"/>
    <col min="15" max="15" width="3.28125" style="125" customWidth="1"/>
    <col min="16" max="16384" width="9.140625" style="125" customWidth="1"/>
  </cols>
  <sheetData>
    <row r="1" spans="1:13" ht="12.75">
      <c r="A1" s="147" t="s">
        <v>27</v>
      </c>
      <c r="B1" s="147"/>
      <c r="C1" s="147"/>
      <c r="D1" s="147"/>
      <c r="E1" s="147"/>
      <c r="F1" s="147"/>
      <c r="G1" s="147"/>
      <c r="H1" s="147"/>
      <c r="I1" s="124"/>
      <c r="J1" s="124"/>
      <c r="K1" s="124"/>
      <c r="L1" s="124"/>
      <c r="M1" s="124"/>
    </row>
    <row r="2" spans="1:13" ht="12.75">
      <c r="A2" s="147" t="s">
        <v>134</v>
      </c>
      <c r="B2" s="147"/>
      <c r="C2" s="147"/>
      <c r="D2" s="147"/>
      <c r="E2" s="147"/>
      <c r="F2" s="147"/>
      <c r="G2" s="147"/>
      <c r="H2" s="147"/>
      <c r="I2" s="124"/>
      <c r="J2" s="124"/>
      <c r="K2" s="124"/>
      <c r="L2" s="124"/>
      <c r="M2" s="124"/>
    </row>
    <row r="3" spans="1:13" ht="16.5">
      <c r="A3" s="124"/>
      <c r="C3" s="125"/>
      <c r="D3" s="125"/>
      <c r="E3" s="124"/>
      <c r="F3" s="124"/>
      <c r="G3" s="126"/>
      <c r="H3" s="126"/>
      <c r="J3" s="124"/>
      <c r="K3" s="124"/>
      <c r="L3" s="124"/>
      <c r="M3" s="124"/>
    </row>
    <row r="4" spans="1:14" s="129" customFormat="1" ht="25.5">
      <c r="A4" s="127" t="s">
        <v>135</v>
      </c>
      <c r="B4" s="125"/>
      <c r="C4" s="127" t="s">
        <v>136</v>
      </c>
      <c r="D4" s="125"/>
      <c r="E4" s="148" t="s">
        <v>86</v>
      </c>
      <c r="F4" s="148"/>
      <c r="G4" s="148"/>
      <c r="H4" s="148"/>
      <c r="I4" s="128"/>
      <c r="J4" s="128"/>
      <c r="K4" s="128"/>
      <c r="L4" s="128"/>
      <c r="M4" s="128"/>
      <c r="N4" s="125"/>
    </row>
    <row r="5" spans="1:8" ht="12.75">
      <c r="A5" s="130" t="s">
        <v>137</v>
      </c>
      <c r="B5" s="130"/>
      <c r="C5" s="130"/>
      <c r="D5" s="130"/>
      <c r="E5" s="130"/>
      <c r="F5" s="130"/>
      <c r="G5" s="130"/>
      <c r="H5" s="131"/>
    </row>
    <row r="6" spans="1:11" ht="60.75" customHeight="1">
      <c r="A6" s="130"/>
      <c r="B6" s="130"/>
      <c r="C6" s="133" t="s">
        <v>138</v>
      </c>
      <c r="D6" s="133"/>
      <c r="E6" s="149" t="s">
        <v>154</v>
      </c>
      <c r="F6" s="149"/>
      <c r="G6" s="149"/>
      <c r="H6" s="149"/>
      <c r="I6" s="135"/>
      <c r="J6" s="135"/>
      <c r="K6" s="125"/>
    </row>
    <row r="7" spans="1:14" s="15" customFormat="1" ht="60.75" customHeight="1">
      <c r="A7" s="130"/>
      <c r="B7" s="130"/>
      <c r="C7" s="133" t="s">
        <v>140</v>
      </c>
      <c r="D7" s="133"/>
      <c r="E7" s="149" t="s">
        <v>155</v>
      </c>
      <c r="F7" s="149"/>
      <c r="G7" s="149"/>
      <c r="H7" s="149"/>
      <c r="I7" s="135"/>
      <c r="J7" s="135"/>
      <c r="K7" s="125"/>
      <c r="L7" s="125"/>
      <c r="M7" s="125"/>
      <c r="N7" s="125"/>
    </row>
    <row r="8" spans="1:14" s="15" customFormat="1" ht="60.75" customHeight="1">
      <c r="A8" s="130"/>
      <c r="B8" s="130"/>
      <c r="C8" s="133" t="s">
        <v>142</v>
      </c>
      <c r="D8" s="133"/>
      <c r="E8" s="149" t="s">
        <v>156</v>
      </c>
      <c r="F8" s="149"/>
      <c r="G8" s="149"/>
      <c r="H8" s="149"/>
      <c r="I8" s="135"/>
      <c r="J8" s="135"/>
      <c r="K8" s="125"/>
      <c r="L8" s="125"/>
      <c r="M8" s="125"/>
      <c r="N8" s="125"/>
    </row>
    <row r="9" spans="1:14" s="15" customFormat="1" ht="60.75" customHeight="1">
      <c r="A9" s="130"/>
      <c r="B9" s="130"/>
      <c r="C9" s="133" t="s">
        <v>144</v>
      </c>
      <c r="D9" s="133"/>
      <c r="E9" s="149" t="s">
        <v>157</v>
      </c>
      <c r="F9" s="149"/>
      <c r="G9" s="149"/>
      <c r="H9" s="149"/>
      <c r="I9" s="135"/>
      <c r="J9" s="135"/>
      <c r="K9" s="125"/>
      <c r="L9" s="125"/>
      <c r="M9" s="125"/>
      <c r="N9" s="125"/>
    </row>
    <row r="10" spans="1:14" s="15" customFormat="1" ht="60.75" customHeight="1">
      <c r="A10" s="130"/>
      <c r="B10" s="130"/>
      <c r="C10" s="133" t="s">
        <v>146</v>
      </c>
      <c r="D10" s="133"/>
      <c r="E10" s="149" t="s">
        <v>158</v>
      </c>
      <c r="F10" s="149"/>
      <c r="G10" s="149"/>
      <c r="H10" s="149"/>
      <c r="I10" s="135"/>
      <c r="J10" s="135"/>
      <c r="K10" s="125"/>
      <c r="L10" s="125"/>
      <c r="M10" s="125"/>
      <c r="N10" s="125"/>
    </row>
    <row r="11" spans="1:14" s="15" customFormat="1" ht="60.75" customHeight="1">
      <c r="A11" s="130"/>
      <c r="B11" s="130"/>
      <c r="C11" s="133" t="s">
        <v>148</v>
      </c>
      <c r="D11" s="133"/>
      <c r="E11" s="149" t="s">
        <v>159</v>
      </c>
      <c r="F11" s="149"/>
      <c r="G11" s="149"/>
      <c r="H11" s="149"/>
      <c r="I11" s="135"/>
      <c r="J11" s="135"/>
      <c r="K11" s="125"/>
      <c r="L11" s="125"/>
      <c r="M11" s="125"/>
      <c r="N11" s="125"/>
    </row>
    <row r="12" spans="1:14" s="15" customFormat="1" ht="60.75" customHeight="1">
      <c r="A12" s="130"/>
      <c r="B12" s="130"/>
      <c r="C12" s="133" t="s">
        <v>160</v>
      </c>
      <c r="D12" s="133"/>
      <c r="E12" s="149" t="s">
        <v>161</v>
      </c>
      <c r="F12" s="149"/>
      <c r="G12" s="149"/>
      <c r="H12" s="149"/>
      <c r="I12" s="135"/>
      <c r="J12" s="135"/>
      <c r="K12" s="125"/>
      <c r="L12" s="125"/>
      <c r="M12" s="125"/>
      <c r="N12" s="125"/>
    </row>
    <row r="13" spans="1:14" s="15" customFormat="1" ht="60.75" customHeight="1">
      <c r="A13" s="130"/>
      <c r="B13" s="130"/>
      <c r="C13" s="133" t="s">
        <v>162</v>
      </c>
      <c r="D13" s="133"/>
      <c r="E13" s="149" t="s">
        <v>139</v>
      </c>
      <c r="F13" s="149"/>
      <c r="G13" s="149"/>
      <c r="H13" s="149"/>
      <c r="I13" s="135"/>
      <c r="J13" s="135"/>
      <c r="K13" s="125"/>
      <c r="L13" s="125"/>
      <c r="M13" s="125"/>
      <c r="N13" s="125"/>
    </row>
    <row r="14" spans="1:14" s="15" customFormat="1" ht="60.75" customHeight="1">
      <c r="A14" s="130"/>
      <c r="B14" s="130"/>
      <c r="C14" s="134" t="s">
        <v>163</v>
      </c>
      <c r="D14" s="133"/>
      <c r="E14" s="149" t="s">
        <v>164</v>
      </c>
      <c r="F14" s="149"/>
      <c r="G14" s="149"/>
      <c r="H14" s="149"/>
      <c r="I14" s="135"/>
      <c r="J14" s="135"/>
      <c r="K14" s="125"/>
      <c r="L14" s="125"/>
      <c r="M14" s="125"/>
      <c r="N14" s="125"/>
    </row>
    <row r="15" spans="3:13" ht="12.75">
      <c r="C15" s="125"/>
      <c r="D15" s="125"/>
      <c r="E15" s="15"/>
      <c r="I15" s="136"/>
      <c r="J15" s="138"/>
      <c r="K15" s="136"/>
      <c r="L15" s="136"/>
      <c r="M15" s="137"/>
    </row>
    <row r="16" spans="3:13" ht="12.75">
      <c r="C16" s="125"/>
      <c r="D16" s="125"/>
      <c r="E16" s="15"/>
      <c r="I16" s="136"/>
      <c r="J16" s="138"/>
      <c r="K16" s="136"/>
      <c r="L16" s="136"/>
      <c r="M16" s="137"/>
    </row>
    <row r="17" spans="3:14" ht="12.75">
      <c r="C17" s="125"/>
      <c r="D17" s="125"/>
      <c r="E17" s="15"/>
      <c r="I17" s="136"/>
      <c r="J17" s="138"/>
      <c r="K17" s="136"/>
      <c r="L17" s="136"/>
      <c r="M17" s="137"/>
      <c r="N17" s="139"/>
    </row>
    <row r="18" spans="3:12" ht="12.75">
      <c r="C18" s="125"/>
      <c r="D18" s="125"/>
      <c r="E18" s="15"/>
      <c r="I18" s="136"/>
      <c r="K18" s="136"/>
      <c r="L18" s="136"/>
    </row>
    <row r="19" spans="3:13" ht="35.25" customHeight="1">
      <c r="C19" s="125"/>
      <c r="D19" s="125"/>
      <c r="E19" s="15"/>
      <c r="F19" s="140"/>
      <c r="G19" s="150"/>
      <c r="H19" s="151"/>
      <c r="I19" s="136"/>
      <c r="J19" s="138"/>
      <c r="K19" s="136"/>
      <c r="L19" s="136"/>
      <c r="M19" s="137"/>
    </row>
    <row r="20" spans="3:13" ht="132.75" customHeight="1">
      <c r="C20" s="125"/>
      <c r="D20" s="125"/>
      <c r="E20" s="15"/>
      <c r="F20" s="140"/>
      <c r="G20" s="150"/>
      <c r="H20" s="151"/>
      <c r="I20" s="136"/>
      <c r="J20" s="138"/>
      <c r="K20" s="136"/>
      <c r="L20" s="136"/>
      <c r="M20" s="137"/>
    </row>
    <row r="21" spans="3:13" ht="35.25" customHeight="1">
      <c r="C21" s="125"/>
      <c r="D21" s="125"/>
      <c r="E21" s="15"/>
      <c r="F21" s="141"/>
      <c r="I21" s="136"/>
      <c r="J21" s="138"/>
      <c r="K21" s="136"/>
      <c r="L21" s="136"/>
      <c r="M21" s="137"/>
    </row>
    <row r="22" spans="3:13" ht="35.25" customHeight="1">
      <c r="C22" s="125"/>
      <c r="D22" s="125"/>
      <c r="E22" s="15"/>
      <c r="F22" s="135"/>
      <c r="I22" s="136"/>
      <c r="J22" s="138"/>
      <c r="K22" s="136"/>
      <c r="L22" s="136"/>
      <c r="M22" s="137"/>
    </row>
    <row r="23" spans="3:13" ht="35.25" customHeight="1">
      <c r="C23" s="125"/>
      <c r="D23" s="125"/>
      <c r="E23" s="15"/>
      <c r="F23" s="142"/>
      <c r="G23" s="18"/>
      <c r="I23" s="136"/>
      <c r="J23" s="138"/>
      <c r="K23" s="136"/>
      <c r="L23" s="136"/>
      <c r="M23" s="137"/>
    </row>
    <row r="24" spans="3:13" ht="35.25" customHeight="1">
      <c r="C24" s="125"/>
      <c r="D24" s="125"/>
      <c r="E24" s="15"/>
      <c r="F24" s="141"/>
      <c r="G24" s="18"/>
      <c r="I24" s="136"/>
      <c r="J24" s="138"/>
      <c r="K24" s="136"/>
      <c r="L24" s="136"/>
      <c r="M24" s="137"/>
    </row>
    <row r="25" spans="3:13" ht="35.25" customHeight="1">
      <c r="C25" s="125"/>
      <c r="D25" s="125"/>
      <c r="E25" s="15"/>
      <c r="F25" s="135"/>
      <c r="I25" s="136"/>
      <c r="J25" s="138"/>
      <c r="K25" s="136"/>
      <c r="L25" s="136"/>
      <c r="M25" s="137"/>
    </row>
    <row r="26" spans="3:13" ht="35.25" customHeight="1">
      <c r="C26" s="125"/>
      <c r="D26" s="125"/>
      <c r="E26" s="15"/>
      <c r="F26" s="135"/>
      <c r="I26" s="136"/>
      <c r="J26" s="138"/>
      <c r="K26" s="136"/>
      <c r="L26" s="136"/>
      <c r="M26" s="137"/>
    </row>
    <row r="27" spans="3:4" ht="35.25" customHeight="1">
      <c r="C27" s="125"/>
      <c r="D27" s="125"/>
    </row>
    <row r="28" spans="3:11" ht="35.25" customHeight="1">
      <c r="C28" s="125"/>
      <c r="D28" s="125"/>
      <c r="K28" s="143"/>
    </row>
    <row r="29" spans="3:4" ht="35.25" customHeight="1">
      <c r="C29" s="125"/>
      <c r="D29" s="125"/>
    </row>
    <row r="30" spans="3:9" ht="35.25" customHeight="1">
      <c r="C30" s="125"/>
      <c r="D30" s="125"/>
      <c r="G30" s="125"/>
      <c r="H30" s="125"/>
      <c r="I30" s="125"/>
    </row>
  </sheetData>
  <mergeCells count="14">
    <mergeCell ref="G19:G20"/>
    <mergeCell ref="H19:H20"/>
    <mergeCell ref="E11:H11"/>
    <mergeCell ref="E12:H12"/>
    <mergeCell ref="E13:H13"/>
    <mergeCell ref="E14:H14"/>
    <mergeCell ref="E7:H7"/>
    <mergeCell ref="E8:H8"/>
    <mergeCell ref="E9:H9"/>
    <mergeCell ref="E10:H10"/>
    <mergeCell ref="A1:H1"/>
    <mergeCell ref="A2:H2"/>
    <mergeCell ref="E4:H4"/>
    <mergeCell ref="E6:H6"/>
  </mergeCells>
  <printOptions/>
  <pageMargins left="0.75" right="0.75" top="1" bottom="1" header="0.5" footer="0.5"/>
  <pageSetup horizontalDpi="600" verticalDpi="600" orientation="portrait" r:id="rId1"/>
  <headerFooter alignWithMargins="0">
    <oddHeader>&amp;R&amp;"Arial,Bold"Docket Number UE-031725
Exhibit No. _____ (JHS-15)
Page 2 of 2</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J41"/>
  <sheetViews>
    <sheetView workbookViewId="0" topLeftCell="A21">
      <selection activeCell="A39" sqref="A39:IV39"/>
    </sheetView>
  </sheetViews>
  <sheetFormatPr defaultColWidth="9.140625" defaultRowHeight="12.75"/>
  <cols>
    <col min="1" max="1" width="27.00390625" style="5" customWidth="1"/>
    <col min="2" max="2" width="11.00390625" style="49" customWidth="1"/>
    <col min="3" max="4" width="15.421875" style="8" customWidth="1"/>
    <col min="5" max="5" width="12.28125" style="5" customWidth="1"/>
    <col min="6" max="6" width="16.28125" style="8" customWidth="1"/>
    <col min="7" max="7" width="12.28125" style="5" customWidth="1"/>
    <col min="8" max="9" width="12.421875" style="5" customWidth="1"/>
    <col min="10" max="10" width="10.140625" style="5" customWidth="1"/>
    <col min="11" max="16384" width="9.140625" style="5" customWidth="1"/>
  </cols>
  <sheetData>
    <row r="1" spans="1:8" ht="12.75">
      <c r="A1" s="43" t="s">
        <v>27</v>
      </c>
      <c r="B1" s="44"/>
      <c r="C1" s="44"/>
      <c r="D1" s="44"/>
      <c r="E1" s="44"/>
      <c r="F1" s="44"/>
      <c r="G1" s="44"/>
      <c r="H1" s="45"/>
    </row>
    <row r="2" spans="1:8" ht="12.75">
      <c r="A2" s="46" t="s">
        <v>28</v>
      </c>
      <c r="B2" s="47"/>
      <c r="C2" s="47"/>
      <c r="D2" s="47"/>
      <c r="E2" s="47"/>
      <c r="F2" s="47"/>
      <c r="G2" s="47"/>
      <c r="H2" s="48"/>
    </row>
    <row r="3" spans="1:8" ht="12.75">
      <c r="A3" s="7"/>
      <c r="H3" s="9"/>
    </row>
    <row r="4" spans="1:8" s="15" customFormat="1" ht="77.25" thickBot="1">
      <c r="A4" s="10" t="s">
        <v>29</v>
      </c>
      <c r="B4" s="50" t="s">
        <v>30</v>
      </c>
      <c r="C4" s="51" t="s">
        <v>31</v>
      </c>
      <c r="D4" s="51" t="s">
        <v>32</v>
      </c>
      <c r="E4" s="52" t="s">
        <v>33</v>
      </c>
      <c r="F4" s="53" t="s">
        <v>34</v>
      </c>
      <c r="G4" s="12" t="s">
        <v>35</v>
      </c>
      <c r="H4" s="54" t="s">
        <v>36</v>
      </c>
    </row>
    <row r="5" spans="1:8" ht="12.75">
      <c r="A5" s="1"/>
      <c r="B5" s="55"/>
      <c r="C5" s="2"/>
      <c r="D5" s="2"/>
      <c r="E5" s="3"/>
      <c r="F5" s="2"/>
      <c r="G5" s="3"/>
      <c r="H5" s="4"/>
    </row>
    <row r="6" spans="1:9" ht="12.75">
      <c r="A6" s="7" t="s">
        <v>10</v>
      </c>
      <c r="B6" s="49">
        <v>7</v>
      </c>
      <c r="C6" s="8">
        <f>+'WRKPR (JMR-6 p.1)'!D9</f>
        <v>9734910367.400002</v>
      </c>
      <c r="D6" s="22">
        <f>+'WRKPR (JMR-6 p.1)'!E9</f>
        <v>744638665.3160889</v>
      </c>
      <c r="E6" s="56">
        <f>+'JHS-15 p.1'!J5</f>
        <v>0.2885558903667507</v>
      </c>
      <c r="F6" s="22">
        <f>+E6*$C6/100+$D6</f>
        <v>772729322.6031451</v>
      </c>
      <c r="G6" s="22">
        <f>+F6-D6</f>
        <v>28090657.287056208</v>
      </c>
      <c r="H6" s="57">
        <f>+G6/D6</f>
        <v>0.037723876821695944</v>
      </c>
      <c r="I6" s="58"/>
    </row>
    <row r="7" spans="1:9" ht="12.75">
      <c r="A7" s="7"/>
      <c r="D7" s="22"/>
      <c r="E7" s="56"/>
      <c r="F7" s="22"/>
      <c r="G7" s="22"/>
      <c r="H7" s="57"/>
      <c r="I7" s="58"/>
    </row>
    <row r="8" spans="1:9" ht="12.75">
      <c r="A8" s="59" t="s">
        <v>11</v>
      </c>
      <c r="B8" s="49">
        <v>24</v>
      </c>
      <c r="C8" s="8">
        <f>+'WRKPR (JMR-6 p.1)'!D11</f>
        <v>2389582724.6499996</v>
      </c>
      <c r="D8" s="22">
        <f>+'WRKPR (JMR-6 p.1)'!E11</f>
        <v>168983399.54203057</v>
      </c>
      <c r="E8" s="56">
        <f>+'JHS-15 p.1'!J7</f>
        <v>0.2911510188832982</v>
      </c>
      <c r="F8" s="22">
        <f>+E8*$C8/100+$D8</f>
        <v>175940693.9919083</v>
      </c>
      <c r="G8" s="22">
        <f>+F8-D8</f>
        <v>6957294.449877739</v>
      </c>
      <c r="H8" s="57">
        <f>+G8/D8</f>
        <v>0.04117146695316234</v>
      </c>
      <c r="I8" s="58"/>
    </row>
    <row r="9" spans="1:9" ht="12.75">
      <c r="A9" s="60" t="s">
        <v>12</v>
      </c>
      <c r="B9" s="49">
        <v>25</v>
      </c>
      <c r="C9" s="8">
        <f>+'WRKPR (JMR-6 p.1)'!D12</f>
        <v>2840353570.7499995</v>
      </c>
      <c r="D9" s="22">
        <f>+'WRKPR (JMR-6 p.1)'!E12</f>
        <v>197081130.17015684</v>
      </c>
      <c r="E9" s="56">
        <f>+'JHS-15 p.1'!J8</f>
        <v>0.28901678755322663</v>
      </c>
      <c r="F9" s="22">
        <f>+E9*$C9/100+$D9</f>
        <v>205290228.81549186</v>
      </c>
      <c r="G9" s="22">
        <f>+F9-D9</f>
        <v>8209098.645335019</v>
      </c>
      <c r="H9" s="57">
        <f>+G9/D9</f>
        <v>0.041653397452345683</v>
      </c>
      <c r="I9" s="58"/>
    </row>
    <row r="10" spans="1:9" ht="12.75">
      <c r="A10" s="60" t="s">
        <v>13</v>
      </c>
      <c r="B10" s="49">
        <v>26</v>
      </c>
      <c r="C10" s="8">
        <f>+'WRKPR (JMR-6 p.1)'!D13</f>
        <v>1878305033.99</v>
      </c>
      <c r="D10" s="22">
        <f>+'WRKPR (JMR-6 p.1)'!E13</f>
        <v>117333181.39866678</v>
      </c>
      <c r="E10" s="56">
        <f>+'JHS-15 p.1'!J9</f>
        <v>0.270617649388917</v>
      </c>
      <c r="F10" s="22">
        <f>+E10*$C10/100+$D10</f>
        <v>122416206.33000422</v>
      </c>
      <c r="G10" s="22">
        <f>+F10-D10</f>
        <v>5083024.931337431</v>
      </c>
      <c r="H10" s="57">
        <f>+G10/D10</f>
        <v>0.043321291306903806</v>
      </c>
      <c r="I10" s="58"/>
    </row>
    <row r="11" spans="1:9" ht="12.75">
      <c r="A11" s="60" t="s">
        <v>14</v>
      </c>
      <c r="B11" s="49">
        <v>29</v>
      </c>
      <c r="C11" s="8">
        <f>+'WRKPR (JMR-6 p.1)'!D14</f>
        <v>15052453.530000003</v>
      </c>
      <c r="D11" s="22">
        <f>+'WRKPR (JMR-6 p.1)'!E14</f>
        <v>925051.5691794172</v>
      </c>
      <c r="E11" s="56">
        <f>+'JHS-15 p.1'!J10</f>
        <v>0.18836300548875123</v>
      </c>
      <c r="F11" s="22">
        <f>+E11*$C11/100+$D11</f>
        <v>953404.8230483228</v>
      </c>
      <c r="G11" s="22">
        <f>+F11-D11</f>
        <v>28353.253868905595</v>
      </c>
      <c r="H11" s="57">
        <f>+G11/D11</f>
        <v>0.030650457567524405</v>
      </c>
      <c r="I11" s="58"/>
    </row>
    <row r="12" spans="1:9" ht="12.75">
      <c r="A12" s="7"/>
      <c r="D12" s="22"/>
      <c r="E12" s="56"/>
      <c r="F12" s="22"/>
      <c r="G12" s="22"/>
      <c r="H12" s="57"/>
      <c r="I12" s="58"/>
    </row>
    <row r="13" spans="1:9" ht="12.75">
      <c r="A13" s="7" t="s">
        <v>37</v>
      </c>
      <c r="C13" s="8">
        <f>SUM(C8:C12)</f>
        <v>7123293782.919999</v>
      </c>
      <c r="D13" s="22">
        <f>SUM(D8:D12)</f>
        <v>484322762.6800336</v>
      </c>
      <c r="E13" s="56">
        <f>+G13/C13*100</f>
        <v>0.2846684679640824</v>
      </c>
      <c r="F13" s="22">
        <f>SUM(F8:F12)</f>
        <v>504600533.9604527</v>
      </c>
      <c r="G13" s="22">
        <f>SUM(G8:G11)</f>
        <v>20277771.280419093</v>
      </c>
      <c r="H13" s="57">
        <f>+G13/D13</f>
        <v>0.041868301147380806</v>
      </c>
      <c r="I13" s="58"/>
    </row>
    <row r="14" spans="1:9" ht="12.75">
      <c r="A14" s="7"/>
      <c r="D14" s="22"/>
      <c r="E14" s="56"/>
      <c r="F14" s="22"/>
      <c r="G14" s="22"/>
      <c r="H14" s="57"/>
      <c r="I14" s="58"/>
    </row>
    <row r="15" spans="1:9" ht="12.75">
      <c r="A15" s="60" t="s">
        <v>15</v>
      </c>
      <c r="B15" s="49">
        <v>31</v>
      </c>
      <c r="C15" s="8">
        <f>+'WRKPR (JMR-6 p.1)'!D18</f>
        <v>1664882182.7100003</v>
      </c>
      <c r="D15" s="22">
        <f>+'WRKPR (JMR-6 p.1)'!E18</f>
        <v>92483210.09425142</v>
      </c>
      <c r="E15" s="56">
        <f>+'JHS-15 p.1'!J12</f>
        <v>0.2525919816824961</v>
      </c>
      <c r="F15" s="22">
        <f>+E15*$C15/100+$D15</f>
        <v>96688568.9922374</v>
      </c>
      <c r="G15" s="22">
        <f>+F15-D15</f>
        <v>4205358.89798598</v>
      </c>
      <c r="H15" s="57">
        <f>+G15/D15</f>
        <v>0.04547159309998234</v>
      </c>
      <c r="I15" s="58"/>
    </row>
    <row r="16" spans="1:9" ht="12.75">
      <c r="A16" s="60" t="s">
        <v>16</v>
      </c>
      <c r="B16" s="49">
        <v>35</v>
      </c>
      <c r="C16" s="8">
        <f>+'WRKPR (JMR-6 p.1)'!D19</f>
        <v>5121000</v>
      </c>
      <c r="D16" s="22">
        <f>+'WRKPR (JMR-6 p.1)'!E19</f>
        <v>196766.16299999997</v>
      </c>
      <c r="E16" s="56">
        <f>+'JHS-15 p.1'!J13</f>
        <v>0.24129255011140893</v>
      </c>
      <c r="F16" s="22">
        <f>+E16*$C16/100+$D16</f>
        <v>209122.7544912052</v>
      </c>
      <c r="G16" s="22">
        <f>+F16-D16</f>
        <v>12356.59149120524</v>
      </c>
      <c r="H16" s="57">
        <f>+G16/D16</f>
        <v>0.06279835568682224</v>
      </c>
      <c r="I16" s="58"/>
    </row>
    <row r="17" spans="1:9" ht="12.75">
      <c r="A17" s="60" t="s">
        <v>17</v>
      </c>
      <c r="B17" s="49">
        <v>43</v>
      </c>
      <c r="C17" s="8">
        <f>+'WRKPR (JMR-6 p.1)'!D20</f>
        <v>175048208.39999998</v>
      </c>
      <c r="D17" s="22">
        <f>+'WRKPR (JMR-6 p.1)'!E20</f>
        <v>11026548.120174801</v>
      </c>
      <c r="E17" s="56">
        <f>+'JHS-15 p.1'!J14</f>
        <v>0.2745021120590947</v>
      </c>
      <c r="F17" s="22">
        <f>+E17*$C17/100+$D17</f>
        <v>11507059.149354406</v>
      </c>
      <c r="G17" s="22">
        <f>+F17-D17</f>
        <v>480511.0291796047</v>
      </c>
      <c r="H17" s="57">
        <f>+G17/D17</f>
        <v>0.04357764768653522</v>
      </c>
      <c r="I17" s="58"/>
    </row>
    <row r="18" spans="1:9" ht="12.75">
      <c r="A18" s="24"/>
      <c r="D18" s="22"/>
      <c r="E18" s="56"/>
      <c r="F18" s="22"/>
      <c r="G18" s="22"/>
      <c r="H18" s="57"/>
      <c r="I18" s="58"/>
    </row>
    <row r="19" spans="1:9" ht="12.75">
      <c r="A19" s="24" t="s">
        <v>38</v>
      </c>
      <c r="C19" s="8">
        <f>SUM(C15:C18)</f>
        <v>1845051391.1100001</v>
      </c>
      <c r="D19" s="22">
        <f>SUM(D15:D18)</f>
        <v>103706524.37742622</v>
      </c>
      <c r="E19" s="56">
        <f>+G19/C19*100</f>
        <v>0.25463933098526287</v>
      </c>
      <c r="F19" s="22">
        <f>SUM(F15:F18)</f>
        <v>108404750.89608303</v>
      </c>
      <c r="G19" s="22">
        <f>SUM(G15:G18)</f>
        <v>4698226.51865679</v>
      </c>
      <c r="H19" s="57">
        <f>+G19/D19</f>
        <v>0.045303094929285394</v>
      </c>
      <c r="I19" s="58"/>
    </row>
    <row r="20" spans="1:9" ht="12.75">
      <c r="A20" s="24"/>
      <c r="D20" s="22"/>
      <c r="E20" s="56"/>
      <c r="F20" s="22"/>
      <c r="G20" s="22"/>
      <c r="H20" s="57"/>
      <c r="I20" s="58"/>
    </row>
    <row r="21" spans="1:9" ht="12.75">
      <c r="A21" s="60" t="s">
        <v>39</v>
      </c>
      <c r="B21" s="49">
        <v>46</v>
      </c>
      <c r="C21" s="8">
        <f>+'WRKPR (JMR-6 p.1)'!D24</f>
        <v>50620000</v>
      </c>
      <c r="D21" s="22">
        <f>+'WRKPR (JMR-6 p.1)'!E24</f>
        <v>2156708.599</v>
      </c>
      <c r="E21" s="56">
        <f>+'JHS-15 p.1'!J16</f>
        <v>0.13454156683413462</v>
      </c>
      <c r="F21" s="22">
        <f>+E21*$C21/100+$D21</f>
        <v>2224813.540131439</v>
      </c>
      <c r="G21" s="22">
        <f>+F21-D21</f>
        <v>68104.94113143906</v>
      </c>
      <c r="H21" s="57">
        <f>+G21/D21</f>
        <v>0.031578184073183205</v>
      </c>
      <c r="I21" s="58"/>
    </row>
    <row r="22" spans="1:9" ht="12.75">
      <c r="A22" s="59" t="s">
        <v>40</v>
      </c>
      <c r="B22" s="49">
        <v>49</v>
      </c>
      <c r="C22" s="8">
        <f>+'WRKPR (JMR-6 p.1)'!D25</f>
        <v>427726004.48</v>
      </c>
      <c r="D22" s="22">
        <f>+'WRKPR (JMR-6 p.1)'!E25</f>
        <v>19217523.406457443</v>
      </c>
      <c r="E22" s="56">
        <f>+'JHS-15 p.1'!J17</f>
        <v>0.259996615373104</v>
      </c>
      <c r="F22" s="22">
        <f>+E22*$C22/100+$D22</f>
        <v>20329596.541176055</v>
      </c>
      <c r="G22" s="22">
        <f>+F22-D22</f>
        <v>1112073.1347186118</v>
      </c>
      <c r="H22" s="57">
        <f>+G22/D22</f>
        <v>0.05786766125883498</v>
      </c>
      <c r="I22" s="58"/>
    </row>
    <row r="23" spans="1:9" ht="12.75">
      <c r="A23" s="7"/>
      <c r="D23" s="22"/>
      <c r="E23" s="56"/>
      <c r="F23" s="22"/>
      <c r="G23" s="22"/>
      <c r="H23" s="57"/>
      <c r="I23" s="58"/>
    </row>
    <row r="24" spans="1:9" ht="12.75">
      <c r="A24" s="25" t="s">
        <v>41</v>
      </c>
      <c r="C24" s="8">
        <f>SUM(C21:C23)</f>
        <v>478346004.48</v>
      </c>
      <c r="D24" s="8">
        <f>SUM(D21:D23)</f>
        <v>21374232.005457442</v>
      </c>
      <c r="E24" s="56">
        <f>+G24/C24*100</f>
        <v>0.24672058819284964</v>
      </c>
      <c r="F24" s="8">
        <f>SUM(F21:F23)</f>
        <v>22554410.081307493</v>
      </c>
      <c r="G24" s="22">
        <f>SUM(G21:G23)</f>
        <v>1180178.075850051</v>
      </c>
      <c r="H24" s="57">
        <f>+G24/D24</f>
        <v>0.055214993247416716</v>
      </c>
      <c r="I24" s="58"/>
    </row>
    <row r="25" spans="1:9" ht="12.75">
      <c r="A25" s="7"/>
      <c r="D25" s="22"/>
      <c r="E25" s="56"/>
      <c r="F25" s="22"/>
      <c r="G25" s="22"/>
      <c r="H25" s="57"/>
      <c r="I25" s="58"/>
    </row>
    <row r="26" spans="1:9" ht="12.75">
      <c r="A26" s="7" t="s">
        <v>20</v>
      </c>
      <c r="C26" s="8">
        <f>+'WRKPR (JMR-6 p.1)'!D29</f>
        <v>82356894.11029999</v>
      </c>
      <c r="D26" s="22">
        <f>+'WRKPR (JMR-6 p.1)'!E29</f>
        <v>12752537.023942083</v>
      </c>
      <c r="E26" s="56">
        <f>+'JHS-15 p.1'!J19</f>
        <v>0.25467164325658953</v>
      </c>
      <c r="F26" s="22">
        <f>+E26*$C26/100+$D26</f>
        <v>12962276.679507874</v>
      </c>
      <c r="G26" s="22">
        <f>+F26-D26</f>
        <v>209739.65556579083</v>
      </c>
      <c r="H26" s="57">
        <f>+G26/D26</f>
        <v>0.016446896423199388</v>
      </c>
      <c r="I26" s="58"/>
    </row>
    <row r="27" spans="1:8" ht="12.75">
      <c r="A27" s="7"/>
      <c r="D27" s="22"/>
      <c r="F27" s="22"/>
      <c r="G27" s="22"/>
      <c r="H27" s="9"/>
    </row>
    <row r="28" spans="1:9" ht="12.75">
      <c r="A28" s="61" t="s">
        <v>42</v>
      </c>
      <c r="B28" s="62" t="s">
        <v>43</v>
      </c>
      <c r="C28" s="8">
        <f>+'WRKPR (JMR-6 p.1)'!D31</f>
        <v>7758862</v>
      </c>
      <c r="D28" s="22">
        <f>+'WRKPR (JMR-6 p.1)'!E31</f>
        <v>461992.83183291124</v>
      </c>
      <c r="E28" s="56">
        <f>+'JHS-15 p.1'!J21</f>
        <v>0.31668539087376407</v>
      </c>
      <c r="F28" s="22">
        <f>+E28*$C28/100+$D28</f>
        <v>486564.0142849672</v>
      </c>
      <c r="G28" s="22">
        <f>+F28-D28</f>
        <v>24571.182452055975</v>
      </c>
      <c r="H28" s="57">
        <f>+G28/D28</f>
        <v>0.0531852027975677</v>
      </c>
      <c r="I28" s="58"/>
    </row>
    <row r="29" spans="1:9" ht="12.75">
      <c r="A29" s="61"/>
      <c r="B29" s="62"/>
      <c r="D29" s="22"/>
      <c r="E29" s="56"/>
      <c r="F29" s="22"/>
      <c r="G29" s="22"/>
      <c r="H29" s="57"/>
      <c r="I29" s="58"/>
    </row>
    <row r="30" spans="1:9" ht="12.75">
      <c r="A30" s="60" t="s">
        <v>22</v>
      </c>
      <c r="C30" s="8">
        <f>SUM(C26,C24,C19,C13,C6,C28)</f>
        <v>19271717302.0203</v>
      </c>
      <c r="D30" s="22">
        <f>SUM(D26,D24,D19,D13,D6,D28)</f>
        <v>1367256714.2347813</v>
      </c>
      <c r="E30" s="56">
        <f>+G30/C30*100</f>
        <v>0.2826999957823613</v>
      </c>
      <c r="F30" s="22">
        <f>SUM(F26,F24,F19,F13,F6,F28)</f>
        <v>1421737858.234781</v>
      </c>
      <c r="G30" s="22">
        <f>SUM(G26,G24,G19,G13,G6,G28)</f>
        <v>54481143.999999985</v>
      </c>
      <c r="H30" s="57">
        <f>+G30/D30</f>
        <v>0.03984704805819271</v>
      </c>
      <c r="I30" s="58"/>
    </row>
    <row r="31" spans="1:9" ht="12.75">
      <c r="A31" s="25"/>
      <c r="D31" s="22"/>
      <c r="E31" s="56"/>
      <c r="F31" s="22"/>
      <c r="G31" s="22"/>
      <c r="H31" s="57"/>
      <c r="I31" s="58"/>
    </row>
    <row r="32" spans="1:9" ht="12.75">
      <c r="A32" s="25" t="s">
        <v>44</v>
      </c>
      <c r="D32" s="22"/>
      <c r="E32" s="56"/>
      <c r="F32" s="22"/>
      <c r="G32" s="22"/>
      <c r="H32" s="57"/>
      <c r="I32" s="58"/>
    </row>
    <row r="33" spans="1:9" ht="12.75">
      <c r="A33" s="59" t="s">
        <v>23</v>
      </c>
      <c r="B33" s="62" t="s">
        <v>43</v>
      </c>
      <c r="C33" s="8">
        <f>+'WRKPR (JMR-6 p.1)'!D36</f>
        <v>0</v>
      </c>
      <c r="D33" s="22">
        <f>+'WRKPR (JMR-6 p.1)'!E36</f>
        <v>1277711.6792397052</v>
      </c>
      <c r="E33" s="56"/>
      <c r="F33" s="22">
        <f>+E33*$C33/100+$D33</f>
        <v>1277711.6792397052</v>
      </c>
      <c r="G33" s="22">
        <f>+F33-D33</f>
        <v>0</v>
      </c>
      <c r="H33" s="57">
        <f>+G33/D33</f>
        <v>0</v>
      </c>
      <c r="I33" s="58"/>
    </row>
    <row r="34" spans="1:9" ht="12.75">
      <c r="A34" s="60" t="s">
        <v>24</v>
      </c>
      <c r="B34" s="62" t="s">
        <v>45</v>
      </c>
      <c r="C34" s="8">
        <f>+'WRKPR (JMR-6 p.1)'!D37</f>
        <v>2065832748</v>
      </c>
      <c r="D34" s="22">
        <f>+'WRKPR (JMR-6 p.1)'!E37</f>
        <v>6474515.555676</v>
      </c>
      <c r="E34" s="56"/>
      <c r="F34" s="22">
        <f>+E34*$C34/100+$D34</f>
        <v>6474515.555676</v>
      </c>
      <c r="G34" s="22">
        <f>+F34-D34</f>
        <v>0</v>
      </c>
      <c r="H34" s="57">
        <f>+G34/D34</f>
        <v>0</v>
      </c>
      <c r="I34" s="58"/>
    </row>
    <row r="35" spans="1:9" ht="12.75">
      <c r="A35" s="59"/>
      <c r="D35" s="22"/>
      <c r="E35" s="56"/>
      <c r="F35" s="22"/>
      <c r="G35" s="22"/>
      <c r="H35" s="57"/>
      <c r="I35" s="58"/>
    </row>
    <row r="36" spans="1:9" ht="12.75">
      <c r="A36" s="25"/>
      <c r="D36" s="22"/>
      <c r="E36" s="56"/>
      <c r="F36" s="22"/>
      <c r="G36" s="22"/>
      <c r="H36" s="57"/>
      <c r="I36" s="58"/>
    </row>
    <row r="37" spans="1:9" ht="12.75">
      <c r="A37" s="25" t="s">
        <v>25</v>
      </c>
      <c r="C37" s="8">
        <f>SUM(C30:C34)</f>
        <v>21337550050.0203</v>
      </c>
      <c r="D37" s="22">
        <f>SUM(D30:D34)</f>
        <v>1375008941.469697</v>
      </c>
      <c r="E37" s="56"/>
      <c r="F37" s="22">
        <f>SUM(F30:F34)</f>
        <v>1429490085.4696968</v>
      </c>
      <c r="G37" s="22">
        <f>SUM(G30:G34)</f>
        <v>54481143.999999985</v>
      </c>
      <c r="H37" s="57">
        <f>+G37/D37</f>
        <v>0.039622392521874855</v>
      </c>
      <c r="I37" s="58"/>
    </row>
    <row r="38" spans="1:8" ht="13.5" thickBot="1">
      <c r="A38" s="33"/>
      <c r="B38" s="63"/>
      <c r="C38" s="34"/>
      <c r="D38" s="34"/>
      <c r="E38" s="35"/>
      <c r="F38" s="34"/>
      <c r="G38" s="35"/>
      <c r="H38" s="38"/>
    </row>
    <row r="39" ht="157.5">
      <c r="J39" s="40" t="s">
        <v>46</v>
      </c>
    </row>
    <row r="41" spans="1:4" ht="12.75">
      <c r="A41" s="64"/>
      <c r="B41" s="5"/>
      <c r="C41" s="41"/>
      <c r="D41" s="30"/>
    </row>
  </sheetData>
  <printOptions/>
  <pageMargins left="1.75" right="0" top="0.75" bottom="0.5" header="0.5" footer="0.5"/>
  <pageSetup cellComments="asDisplayed" fitToHeight="1" fitToWidth="1" horizontalDpi="600" verticalDpi="600" orientation="landscape" scale="75"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K80"/>
  <sheetViews>
    <sheetView workbookViewId="0" topLeftCell="A1">
      <selection activeCell="J12" sqref="J12"/>
    </sheetView>
  </sheetViews>
  <sheetFormatPr defaultColWidth="9.140625" defaultRowHeight="12.75"/>
  <cols>
    <col min="1" max="2" width="8.7109375" style="66" customWidth="1"/>
    <col min="3" max="3" width="24.7109375" style="66" customWidth="1"/>
    <col min="4" max="4" width="14.28125" style="66" customWidth="1"/>
    <col min="5" max="5" width="11.28125" style="66" customWidth="1"/>
    <col min="6" max="6" width="7.00390625" style="66" customWidth="1"/>
    <col min="7" max="7" width="13.421875" style="66" customWidth="1"/>
    <col min="8" max="11" width="11.28125" style="66" customWidth="1"/>
    <col min="12" max="16384" width="9.140625" style="66" customWidth="1"/>
  </cols>
  <sheetData>
    <row r="1" spans="1:10" ht="12.75">
      <c r="A1" s="65" t="s">
        <v>27</v>
      </c>
      <c r="B1" s="65"/>
      <c r="C1" s="65"/>
      <c r="D1" s="65"/>
      <c r="E1" s="65"/>
      <c r="F1" s="65"/>
      <c r="G1" s="65"/>
      <c r="H1" s="65"/>
      <c r="I1" s="65"/>
      <c r="J1" s="65"/>
    </row>
    <row r="2" spans="1:10" ht="12.75">
      <c r="A2" s="67" t="s">
        <v>47</v>
      </c>
      <c r="B2" s="67"/>
      <c r="C2" s="65"/>
      <c r="D2" s="65"/>
      <c r="E2" s="65"/>
      <c r="F2" s="65"/>
      <c r="G2" s="65"/>
      <c r="H2" s="65"/>
      <c r="I2" s="65"/>
      <c r="J2" s="65"/>
    </row>
    <row r="3" ht="12.75">
      <c r="I3" s="68"/>
    </row>
    <row r="4" spans="1:10" ht="38.25">
      <c r="A4" s="69"/>
      <c r="B4" s="69"/>
      <c r="C4" s="69"/>
      <c r="D4" s="70" t="s">
        <v>48</v>
      </c>
      <c r="E4" s="70" t="s">
        <v>49</v>
      </c>
      <c r="F4" s="70" t="s">
        <v>50</v>
      </c>
      <c r="G4" s="70" t="s">
        <v>51</v>
      </c>
      <c r="H4" s="70" t="s">
        <v>52</v>
      </c>
      <c r="I4" s="70" t="s">
        <v>53</v>
      </c>
      <c r="J4" s="70" t="s">
        <v>54</v>
      </c>
    </row>
    <row r="5" spans="1:10" s="69" customFormat="1" ht="25.5">
      <c r="A5" s="71" t="s">
        <v>55</v>
      </c>
      <c r="B5" s="72" t="s">
        <v>56</v>
      </c>
      <c r="C5" s="71" t="s">
        <v>57</v>
      </c>
      <c r="D5" s="72" t="s">
        <v>58</v>
      </c>
      <c r="E5" s="71" t="s">
        <v>59</v>
      </c>
      <c r="F5" s="71" t="s">
        <v>60</v>
      </c>
      <c r="G5" s="72" t="s">
        <v>61</v>
      </c>
      <c r="H5" s="72" t="s">
        <v>62</v>
      </c>
      <c r="I5" s="71" t="s">
        <v>63</v>
      </c>
      <c r="J5" s="72" t="s">
        <v>64</v>
      </c>
    </row>
    <row r="6" spans="1:10" ht="12.75">
      <c r="A6" s="68">
        <v>1</v>
      </c>
      <c r="B6" s="68">
        <v>3</v>
      </c>
      <c r="C6" s="66" t="s">
        <v>65</v>
      </c>
      <c r="D6" s="73">
        <v>22</v>
      </c>
      <c r="E6" s="73">
        <v>28</v>
      </c>
      <c r="F6" s="73">
        <f>+E6-D6</f>
        <v>6</v>
      </c>
      <c r="G6" s="73">
        <v>350</v>
      </c>
      <c r="H6" s="73">
        <f>ROUND(+E6*G6/1000,0)</f>
        <v>10</v>
      </c>
      <c r="I6" s="74">
        <f>+'JHS-16 p.1'!E26/100</f>
        <v>0.0025467164325658955</v>
      </c>
      <c r="J6" s="75">
        <f>ROUND(+$H6*I6,2)</f>
        <v>0.03</v>
      </c>
    </row>
    <row r="7" spans="1:10" ht="12.75">
      <c r="A7" s="68">
        <f>+A6+1</f>
        <v>2</v>
      </c>
      <c r="B7" s="68"/>
      <c r="D7" s="73"/>
      <c r="E7" s="73"/>
      <c r="F7" s="73"/>
      <c r="G7" s="73"/>
      <c r="H7" s="73"/>
      <c r="I7" s="74"/>
      <c r="J7" s="75"/>
    </row>
    <row r="8" spans="1:10" ht="12.75">
      <c r="A8" s="68">
        <f aca="true" t="shared" si="0" ref="A8:A71">+A7+1</f>
        <v>3</v>
      </c>
      <c r="B8" s="68">
        <v>50</v>
      </c>
      <c r="C8" s="66" t="s">
        <v>66</v>
      </c>
      <c r="D8" s="73">
        <v>327</v>
      </c>
      <c r="E8" s="73">
        <v>327</v>
      </c>
      <c r="F8" s="73">
        <f aca="true" t="shared" si="1" ref="F8:F13">+E8-D8</f>
        <v>0</v>
      </c>
      <c r="G8" s="73">
        <v>350</v>
      </c>
      <c r="H8" s="73">
        <f aca="true" t="shared" si="2" ref="H8:H13">ROUND(+E8*G8/1000,0)</f>
        <v>114</v>
      </c>
      <c r="I8" s="74">
        <f>+I6</f>
        <v>0.0025467164325658955</v>
      </c>
      <c r="J8" s="75">
        <f aca="true" t="shared" si="3" ref="J8:J71">ROUND(+$H8*I8,2)</f>
        <v>0.29</v>
      </c>
    </row>
    <row r="9" spans="1:10" ht="12.75">
      <c r="A9" s="68">
        <f t="shared" si="0"/>
        <v>4</v>
      </c>
      <c r="B9" s="68">
        <v>50</v>
      </c>
      <c r="C9" s="66" t="s">
        <v>67</v>
      </c>
      <c r="D9" s="73">
        <v>100</v>
      </c>
      <c r="E9" s="73">
        <v>115</v>
      </c>
      <c r="F9" s="73">
        <f t="shared" si="1"/>
        <v>15</v>
      </c>
      <c r="G9" s="73">
        <v>350</v>
      </c>
      <c r="H9" s="73">
        <f t="shared" si="2"/>
        <v>40</v>
      </c>
      <c r="I9" s="74">
        <f aca="true" t="shared" si="4" ref="I9:I74">+I8</f>
        <v>0.0025467164325658955</v>
      </c>
      <c r="J9" s="75">
        <f t="shared" si="3"/>
        <v>0.1</v>
      </c>
    </row>
    <row r="10" spans="1:10" ht="12.75">
      <c r="A10" s="68">
        <f t="shared" si="0"/>
        <v>5</v>
      </c>
      <c r="B10" s="68">
        <v>50</v>
      </c>
      <c r="C10" s="66" t="s">
        <v>67</v>
      </c>
      <c r="D10" s="73">
        <v>175</v>
      </c>
      <c r="E10" s="73">
        <v>193</v>
      </c>
      <c r="F10" s="73">
        <f t="shared" si="1"/>
        <v>18</v>
      </c>
      <c r="G10" s="73">
        <v>350</v>
      </c>
      <c r="H10" s="73">
        <f t="shared" si="2"/>
        <v>68</v>
      </c>
      <c r="I10" s="74">
        <f t="shared" si="4"/>
        <v>0.0025467164325658955</v>
      </c>
      <c r="J10" s="75">
        <f t="shared" si="3"/>
        <v>0.17</v>
      </c>
    </row>
    <row r="11" spans="1:10" ht="12.75">
      <c r="A11" s="68">
        <f t="shared" si="0"/>
        <v>6</v>
      </c>
      <c r="B11" s="68">
        <v>50</v>
      </c>
      <c r="C11" s="66" t="s">
        <v>67</v>
      </c>
      <c r="D11" s="73">
        <v>400</v>
      </c>
      <c r="E11" s="73">
        <v>430</v>
      </c>
      <c r="F11" s="73">
        <f t="shared" si="1"/>
        <v>30</v>
      </c>
      <c r="G11" s="73">
        <v>350</v>
      </c>
      <c r="H11" s="73">
        <f t="shared" si="2"/>
        <v>151</v>
      </c>
      <c r="I11" s="74">
        <f t="shared" si="4"/>
        <v>0.0025467164325658955</v>
      </c>
      <c r="J11" s="75">
        <f t="shared" si="3"/>
        <v>0.38</v>
      </c>
    </row>
    <row r="12" spans="1:10" ht="12.75">
      <c r="A12" s="68">
        <f t="shared" si="0"/>
        <v>7</v>
      </c>
      <c r="B12" s="68">
        <v>50</v>
      </c>
      <c r="C12" s="66" t="s">
        <v>67</v>
      </c>
      <c r="D12" s="73">
        <v>700</v>
      </c>
      <c r="E12" s="73">
        <v>780</v>
      </c>
      <c r="F12" s="73">
        <f t="shared" si="1"/>
        <v>80</v>
      </c>
      <c r="G12" s="73">
        <v>350</v>
      </c>
      <c r="H12" s="73">
        <f t="shared" si="2"/>
        <v>273</v>
      </c>
      <c r="I12" s="74">
        <f t="shared" si="4"/>
        <v>0.0025467164325658955</v>
      </c>
      <c r="J12" s="75">
        <f t="shared" si="3"/>
        <v>0.7</v>
      </c>
    </row>
    <row r="13" spans="1:10" ht="12.75">
      <c r="A13" s="68">
        <f t="shared" si="0"/>
        <v>8</v>
      </c>
      <c r="B13" s="68">
        <v>50</v>
      </c>
      <c r="C13" s="66" t="s">
        <v>67</v>
      </c>
      <c r="D13" s="73">
        <v>1000</v>
      </c>
      <c r="E13" s="73">
        <v>1102</v>
      </c>
      <c r="F13" s="73">
        <f t="shared" si="1"/>
        <v>102</v>
      </c>
      <c r="G13" s="73">
        <v>350</v>
      </c>
      <c r="H13" s="73">
        <f t="shared" si="2"/>
        <v>386</v>
      </c>
      <c r="I13" s="74">
        <f t="shared" si="4"/>
        <v>0.0025467164325658955</v>
      </c>
      <c r="J13" s="75">
        <f t="shared" si="3"/>
        <v>0.98</v>
      </c>
    </row>
    <row r="14" spans="1:10" ht="12.75">
      <c r="A14" s="68">
        <f t="shared" si="0"/>
        <v>9</v>
      </c>
      <c r="B14" s="68"/>
      <c r="D14" s="73"/>
      <c r="E14" s="73"/>
      <c r="F14" s="73"/>
      <c r="G14" s="73"/>
      <c r="H14" s="73"/>
      <c r="I14" s="74"/>
      <c r="J14" s="75"/>
    </row>
    <row r="15" spans="1:11" ht="12.75">
      <c r="A15" s="68">
        <f t="shared" si="0"/>
        <v>10</v>
      </c>
      <c r="B15" s="68">
        <v>52</v>
      </c>
      <c r="C15" s="66" t="s">
        <v>68</v>
      </c>
      <c r="D15" s="73">
        <v>175</v>
      </c>
      <c r="E15" s="73">
        <v>211</v>
      </c>
      <c r="F15" s="73">
        <f aca="true" t="shared" si="5" ref="F15:F26">+E15-D15</f>
        <v>36</v>
      </c>
      <c r="G15" s="73">
        <v>350</v>
      </c>
      <c r="H15" s="73">
        <f aca="true" t="shared" si="6" ref="H15:H26">ROUND(+E15*G15/1000,0)</f>
        <v>74</v>
      </c>
      <c r="I15" s="74">
        <f>+I13</f>
        <v>0.0025467164325658955</v>
      </c>
      <c r="J15" s="75">
        <f t="shared" si="3"/>
        <v>0.19</v>
      </c>
      <c r="K15" s="76"/>
    </row>
    <row r="16" spans="1:11" ht="12.75">
      <c r="A16" s="68">
        <f t="shared" si="0"/>
        <v>11</v>
      </c>
      <c r="B16" s="68">
        <v>52</v>
      </c>
      <c r="C16" s="66" t="s">
        <v>68</v>
      </c>
      <c r="D16" s="73">
        <v>250</v>
      </c>
      <c r="E16" s="73">
        <v>289</v>
      </c>
      <c r="F16" s="73">
        <f t="shared" si="5"/>
        <v>39</v>
      </c>
      <c r="G16" s="73">
        <v>350</v>
      </c>
      <c r="H16" s="73">
        <f t="shared" si="6"/>
        <v>101</v>
      </c>
      <c r="I16" s="74">
        <f t="shared" si="4"/>
        <v>0.0025467164325658955</v>
      </c>
      <c r="J16" s="75">
        <f t="shared" si="3"/>
        <v>0.26</v>
      </c>
      <c r="K16" s="76"/>
    </row>
    <row r="17" spans="1:11" ht="12.75">
      <c r="A17" s="68">
        <f t="shared" si="0"/>
        <v>12</v>
      </c>
      <c r="B17" s="68">
        <v>52</v>
      </c>
      <c r="C17" s="66" t="s">
        <v>68</v>
      </c>
      <c r="D17" s="73">
        <v>400</v>
      </c>
      <c r="E17" s="73">
        <v>452</v>
      </c>
      <c r="F17" s="73">
        <f t="shared" si="5"/>
        <v>52</v>
      </c>
      <c r="G17" s="73">
        <v>350</v>
      </c>
      <c r="H17" s="73">
        <f t="shared" si="6"/>
        <v>158</v>
      </c>
      <c r="I17" s="74">
        <f t="shared" si="4"/>
        <v>0.0025467164325658955</v>
      </c>
      <c r="J17" s="75">
        <f t="shared" si="3"/>
        <v>0.4</v>
      </c>
      <c r="K17" s="76"/>
    </row>
    <row r="18" spans="1:11" ht="12.75">
      <c r="A18" s="68">
        <f t="shared" si="0"/>
        <v>13</v>
      </c>
      <c r="B18" s="68">
        <v>52</v>
      </c>
      <c r="C18" s="66" t="s">
        <v>68</v>
      </c>
      <c r="D18" s="73">
        <v>1000</v>
      </c>
      <c r="E18" s="73">
        <v>1080</v>
      </c>
      <c r="F18" s="73">
        <f t="shared" si="5"/>
        <v>80</v>
      </c>
      <c r="G18" s="73">
        <v>350</v>
      </c>
      <c r="H18" s="73">
        <f t="shared" si="6"/>
        <v>378</v>
      </c>
      <c r="I18" s="74">
        <f t="shared" si="4"/>
        <v>0.0025467164325658955</v>
      </c>
      <c r="J18" s="75">
        <f t="shared" si="3"/>
        <v>0.96</v>
      </c>
      <c r="K18" s="76"/>
    </row>
    <row r="19" spans="1:11" ht="12.75">
      <c r="A19" s="68">
        <f t="shared" si="0"/>
        <v>14</v>
      </c>
      <c r="B19" s="68">
        <v>52</v>
      </c>
      <c r="C19" s="66" t="s">
        <v>69</v>
      </c>
      <c r="D19" s="73">
        <v>50</v>
      </c>
      <c r="E19" s="73">
        <v>58</v>
      </c>
      <c r="F19" s="73">
        <f t="shared" si="5"/>
        <v>8</v>
      </c>
      <c r="G19" s="73">
        <v>350</v>
      </c>
      <c r="H19" s="73">
        <f t="shared" si="6"/>
        <v>20</v>
      </c>
      <c r="I19" s="74">
        <f t="shared" si="4"/>
        <v>0.0025467164325658955</v>
      </c>
      <c r="J19" s="75">
        <f t="shared" si="3"/>
        <v>0.05</v>
      </c>
      <c r="K19" s="76"/>
    </row>
    <row r="20" spans="1:11" ht="12.75">
      <c r="A20" s="68">
        <f t="shared" si="0"/>
        <v>15</v>
      </c>
      <c r="B20" s="68">
        <v>52</v>
      </c>
      <c r="C20" s="66" t="s">
        <v>69</v>
      </c>
      <c r="D20" s="73">
        <v>70</v>
      </c>
      <c r="E20" s="73">
        <v>83</v>
      </c>
      <c r="F20" s="73">
        <f t="shared" si="5"/>
        <v>13</v>
      </c>
      <c r="G20" s="73">
        <v>350</v>
      </c>
      <c r="H20" s="73">
        <f t="shared" si="6"/>
        <v>29</v>
      </c>
      <c r="I20" s="74">
        <f t="shared" si="4"/>
        <v>0.0025467164325658955</v>
      </c>
      <c r="J20" s="75">
        <f t="shared" si="3"/>
        <v>0.07</v>
      </c>
      <c r="K20" s="76"/>
    </row>
    <row r="21" spans="1:11" ht="12.75">
      <c r="A21" s="68">
        <f t="shared" si="0"/>
        <v>16</v>
      </c>
      <c r="B21" s="68">
        <v>52</v>
      </c>
      <c r="C21" s="66" t="s">
        <v>69</v>
      </c>
      <c r="D21" s="73">
        <v>100</v>
      </c>
      <c r="E21" s="73">
        <v>117</v>
      </c>
      <c r="F21" s="73">
        <f t="shared" si="5"/>
        <v>17</v>
      </c>
      <c r="G21" s="73">
        <v>350</v>
      </c>
      <c r="H21" s="73">
        <f t="shared" si="6"/>
        <v>41</v>
      </c>
      <c r="I21" s="74">
        <f t="shared" si="4"/>
        <v>0.0025467164325658955</v>
      </c>
      <c r="J21" s="75">
        <f t="shared" si="3"/>
        <v>0.1</v>
      </c>
      <c r="K21" s="76"/>
    </row>
    <row r="22" spans="1:11" ht="12.75">
      <c r="A22" s="68">
        <f t="shared" si="0"/>
        <v>17</v>
      </c>
      <c r="B22" s="68">
        <v>52</v>
      </c>
      <c r="C22" s="66" t="s">
        <v>69</v>
      </c>
      <c r="D22" s="73">
        <v>150</v>
      </c>
      <c r="E22" s="73">
        <v>171</v>
      </c>
      <c r="F22" s="73">
        <f t="shared" si="5"/>
        <v>21</v>
      </c>
      <c r="G22" s="73">
        <v>350</v>
      </c>
      <c r="H22" s="73">
        <f t="shared" si="6"/>
        <v>60</v>
      </c>
      <c r="I22" s="74">
        <f t="shared" si="4"/>
        <v>0.0025467164325658955</v>
      </c>
      <c r="J22" s="75">
        <f t="shared" si="3"/>
        <v>0.15</v>
      </c>
      <c r="K22" s="76"/>
    </row>
    <row r="23" spans="1:11" ht="12.75">
      <c r="A23" s="68">
        <f t="shared" si="0"/>
        <v>18</v>
      </c>
      <c r="B23" s="68">
        <v>52</v>
      </c>
      <c r="C23" s="66" t="s">
        <v>69</v>
      </c>
      <c r="D23" s="73">
        <v>200</v>
      </c>
      <c r="E23" s="73">
        <v>227</v>
      </c>
      <c r="F23" s="73">
        <f t="shared" si="5"/>
        <v>27</v>
      </c>
      <c r="G23" s="73">
        <v>350</v>
      </c>
      <c r="H23" s="73">
        <f t="shared" si="6"/>
        <v>79</v>
      </c>
      <c r="I23" s="74">
        <f t="shared" si="4"/>
        <v>0.0025467164325658955</v>
      </c>
      <c r="J23" s="75">
        <f t="shared" si="3"/>
        <v>0.2</v>
      </c>
      <c r="K23" s="76"/>
    </row>
    <row r="24" spans="1:11" ht="12.75">
      <c r="A24" s="68">
        <f t="shared" si="0"/>
        <v>19</v>
      </c>
      <c r="B24" s="68">
        <v>52</v>
      </c>
      <c r="C24" s="66" t="s">
        <v>69</v>
      </c>
      <c r="D24" s="73">
        <v>250</v>
      </c>
      <c r="E24" s="73">
        <v>281</v>
      </c>
      <c r="F24" s="73">
        <f t="shared" si="5"/>
        <v>31</v>
      </c>
      <c r="G24" s="73">
        <v>350</v>
      </c>
      <c r="H24" s="73">
        <f t="shared" si="6"/>
        <v>98</v>
      </c>
      <c r="I24" s="74">
        <f t="shared" si="4"/>
        <v>0.0025467164325658955</v>
      </c>
      <c r="J24" s="75">
        <f t="shared" si="3"/>
        <v>0.25</v>
      </c>
      <c r="K24" s="76"/>
    </row>
    <row r="25" spans="1:11" ht="12.75">
      <c r="A25" s="68">
        <f t="shared" si="0"/>
        <v>20</v>
      </c>
      <c r="B25" s="68">
        <v>52</v>
      </c>
      <c r="C25" s="66" t="s">
        <v>69</v>
      </c>
      <c r="D25" s="73">
        <v>310</v>
      </c>
      <c r="E25" s="73">
        <v>383</v>
      </c>
      <c r="F25" s="73">
        <f t="shared" si="5"/>
        <v>73</v>
      </c>
      <c r="G25" s="73">
        <v>350</v>
      </c>
      <c r="H25" s="73">
        <f t="shared" si="6"/>
        <v>134</v>
      </c>
      <c r="I25" s="74">
        <f t="shared" si="4"/>
        <v>0.0025467164325658955</v>
      </c>
      <c r="J25" s="75">
        <f t="shared" si="3"/>
        <v>0.34</v>
      </c>
      <c r="K25" s="76"/>
    </row>
    <row r="26" spans="1:11" ht="12.75">
      <c r="A26" s="68">
        <f t="shared" si="0"/>
        <v>21</v>
      </c>
      <c r="B26" s="68">
        <v>52</v>
      </c>
      <c r="C26" s="66" t="s">
        <v>69</v>
      </c>
      <c r="D26" s="73">
        <v>400</v>
      </c>
      <c r="E26" s="73">
        <v>438</v>
      </c>
      <c r="F26" s="73">
        <f t="shared" si="5"/>
        <v>38</v>
      </c>
      <c r="G26" s="73">
        <v>350</v>
      </c>
      <c r="H26" s="73">
        <f t="shared" si="6"/>
        <v>153</v>
      </c>
      <c r="I26" s="74">
        <f t="shared" si="4"/>
        <v>0.0025467164325658955</v>
      </c>
      <c r="J26" s="75">
        <f t="shared" si="3"/>
        <v>0.39</v>
      </c>
      <c r="K26" s="76"/>
    </row>
    <row r="27" spans="1:11" ht="12.75">
      <c r="A27" s="68">
        <f t="shared" si="0"/>
        <v>22</v>
      </c>
      <c r="B27" s="68"/>
      <c r="D27" s="73"/>
      <c r="E27" s="73"/>
      <c r="F27" s="73"/>
      <c r="G27" s="73"/>
      <c r="H27" s="73"/>
      <c r="I27" s="74"/>
      <c r="J27" s="75"/>
      <c r="K27" s="76"/>
    </row>
    <row r="28" spans="1:11" ht="12.75">
      <c r="A28" s="68">
        <f t="shared" si="0"/>
        <v>23</v>
      </c>
      <c r="B28" s="68">
        <v>53</v>
      </c>
      <c r="C28" s="66" t="s">
        <v>69</v>
      </c>
      <c r="D28" s="73">
        <v>50</v>
      </c>
      <c r="E28" s="73">
        <v>58</v>
      </c>
      <c r="F28" s="73">
        <f aca="true" t="shared" si="7" ref="F28:F36">+E28-D28</f>
        <v>8</v>
      </c>
      <c r="G28" s="73">
        <v>350</v>
      </c>
      <c r="H28" s="73">
        <f aca="true" t="shared" si="8" ref="H28:H36">ROUND(+E28*G28/1000,0)</f>
        <v>20</v>
      </c>
      <c r="I28" s="74">
        <f>+I26</f>
        <v>0.0025467164325658955</v>
      </c>
      <c r="J28" s="75">
        <f t="shared" si="3"/>
        <v>0.05</v>
      </c>
      <c r="K28" s="76"/>
    </row>
    <row r="29" spans="1:11" ht="12.75">
      <c r="A29" s="68">
        <f t="shared" si="0"/>
        <v>24</v>
      </c>
      <c r="B29" s="68">
        <v>53</v>
      </c>
      <c r="C29" s="66" t="s">
        <v>69</v>
      </c>
      <c r="D29" s="73">
        <v>70</v>
      </c>
      <c r="E29" s="73">
        <v>83</v>
      </c>
      <c r="F29" s="73">
        <f t="shared" si="7"/>
        <v>13</v>
      </c>
      <c r="G29" s="73">
        <v>350</v>
      </c>
      <c r="H29" s="73">
        <f t="shared" si="8"/>
        <v>29</v>
      </c>
      <c r="I29" s="74">
        <f t="shared" si="4"/>
        <v>0.0025467164325658955</v>
      </c>
      <c r="J29" s="75">
        <f t="shared" si="3"/>
        <v>0.07</v>
      </c>
      <c r="K29" s="76"/>
    </row>
    <row r="30" spans="1:11" ht="12.75">
      <c r="A30" s="68">
        <f t="shared" si="0"/>
        <v>25</v>
      </c>
      <c r="B30" s="68">
        <v>53</v>
      </c>
      <c r="C30" s="66" t="s">
        <v>69</v>
      </c>
      <c r="D30" s="73">
        <v>100</v>
      </c>
      <c r="E30" s="73">
        <v>117</v>
      </c>
      <c r="F30" s="73">
        <f t="shared" si="7"/>
        <v>17</v>
      </c>
      <c r="G30" s="73">
        <v>350</v>
      </c>
      <c r="H30" s="73">
        <f t="shared" si="8"/>
        <v>41</v>
      </c>
      <c r="I30" s="74">
        <f t="shared" si="4"/>
        <v>0.0025467164325658955</v>
      </c>
      <c r="J30" s="75">
        <f t="shared" si="3"/>
        <v>0.1</v>
      </c>
      <c r="K30" s="76"/>
    </row>
    <row r="31" spans="1:11" ht="12.75">
      <c r="A31" s="68">
        <f t="shared" si="0"/>
        <v>26</v>
      </c>
      <c r="B31" s="68">
        <v>53</v>
      </c>
      <c r="C31" s="66" t="s">
        <v>69</v>
      </c>
      <c r="D31" s="73">
        <v>150</v>
      </c>
      <c r="E31" s="73">
        <v>171</v>
      </c>
      <c r="F31" s="73">
        <f t="shared" si="7"/>
        <v>21</v>
      </c>
      <c r="G31" s="73">
        <v>350</v>
      </c>
      <c r="H31" s="73">
        <f t="shared" si="8"/>
        <v>60</v>
      </c>
      <c r="I31" s="74">
        <f t="shared" si="4"/>
        <v>0.0025467164325658955</v>
      </c>
      <c r="J31" s="75">
        <f t="shared" si="3"/>
        <v>0.15</v>
      </c>
      <c r="K31" s="76"/>
    </row>
    <row r="32" spans="1:11" ht="12.75">
      <c r="A32" s="68">
        <f t="shared" si="0"/>
        <v>27</v>
      </c>
      <c r="B32" s="68">
        <v>53</v>
      </c>
      <c r="C32" s="66" t="s">
        <v>69</v>
      </c>
      <c r="D32" s="73">
        <v>200</v>
      </c>
      <c r="E32" s="73">
        <v>227</v>
      </c>
      <c r="F32" s="73">
        <f t="shared" si="7"/>
        <v>27</v>
      </c>
      <c r="G32" s="73">
        <v>350</v>
      </c>
      <c r="H32" s="73">
        <f t="shared" si="8"/>
        <v>79</v>
      </c>
      <c r="I32" s="74">
        <f t="shared" si="4"/>
        <v>0.0025467164325658955</v>
      </c>
      <c r="J32" s="75">
        <f t="shared" si="3"/>
        <v>0.2</v>
      </c>
      <c r="K32" s="76"/>
    </row>
    <row r="33" spans="1:11" ht="12.75">
      <c r="A33" s="68">
        <f t="shared" si="0"/>
        <v>28</v>
      </c>
      <c r="B33" s="68">
        <v>53</v>
      </c>
      <c r="C33" s="66" t="s">
        <v>69</v>
      </c>
      <c r="D33" s="73">
        <v>250</v>
      </c>
      <c r="E33" s="73">
        <v>281</v>
      </c>
      <c r="F33" s="73">
        <f t="shared" si="7"/>
        <v>31</v>
      </c>
      <c r="G33" s="73">
        <v>350</v>
      </c>
      <c r="H33" s="73">
        <f t="shared" si="8"/>
        <v>98</v>
      </c>
      <c r="I33" s="74">
        <f t="shared" si="4"/>
        <v>0.0025467164325658955</v>
      </c>
      <c r="J33" s="75">
        <f t="shared" si="3"/>
        <v>0.25</v>
      </c>
      <c r="K33" s="76"/>
    </row>
    <row r="34" spans="1:11" ht="12.75">
      <c r="A34" s="68">
        <f t="shared" si="0"/>
        <v>29</v>
      </c>
      <c r="B34" s="68">
        <v>53</v>
      </c>
      <c r="C34" s="66" t="s">
        <v>69</v>
      </c>
      <c r="D34" s="73">
        <v>310</v>
      </c>
      <c r="E34" s="73">
        <v>383</v>
      </c>
      <c r="F34" s="73">
        <f t="shared" si="7"/>
        <v>73</v>
      </c>
      <c r="G34" s="73">
        <v>350</v>
      </c>
      <c r="H34" s="73">
        <f t="shared" si="8"/>
        <v>134</v>
      </c>
      <c r="I34" s="74">
        <f t="shared" si="4"/>
        <v>0.0025467164325658955</v>
      </c>
      <c r="J34" s="75">
        <f t="shared" si="3"/>
        <v>0.34</v>
      </c>
      <c r="K34" s="76"/>
    </row>
    <row r="35" spans="1:11" ht="12.75">
      <c r="A35" s="68">
        <f t="shared" si="0"/>
        <v>30</v>
      </c>
      <c r="B35" s="68">
        <v>53</v>
      </c>
      <c r="C35" s="66" t="s">
        <v>69</v>
      </c>
      <c r="D35" s="73">
        <v>400</v>
      </c>
      <c r="E35" s="73">
        <v>438</v>
      </c>
      <c r="F35" s="73">
        <f t="shared" si="7"/>
        <v>38</v>
      </c>
      <c r="G35" s="73">
        <v>350</v>
      </c>
      <c r="H35" s="73">
        <f t="shared" si="8"/>
        <v>153</v>
      </c>
      <c r="I35" s="74">
        <f t="shared" si="4"/>
        <v>0.0025467164325658955</v>
      </c>
      <c r="J35" s="75">
        <f t="shared" si="3"/>
        <v>0.39</v>
      </c>
      <c r="K35" s="76"/>
    </row>
    <row r="36" spans="1:11" ht="12.75">
      <c r="A36" s="68">
        <f t="shared" si="0"/>
        <v>31</v>
      </c>
      <c r="B36" s="68">
        <v>53</v>
      </c>
      <c r="C36" s="66" t="s">
        <v>69</v>
      </c>
      <c r="D36" s="73">
        <v>1000</v>
      </c>
      <c r="E36" s="73">
        <v>1102</v>
      </c>
      <c r="F36" s="73">
        <f t="shared" si="7"/>
        <v>102</v>
      </c>
      <c r="G36" s="73">
        <v>350</v>
      </c>
      <c r="H36" s="73">
        <f t="shared" si="8"/>
        <v>386</v>
      </c>
      <c r="I36" s="74">
        <f t="shared" si="4"/>
        <v>0.0025467164325658955</v>
      </c>
      <c r="J36" s="75">
        <f t="shared" si="3"/>
        <v>0.98</v>
      </c>
      <c r="K36" s="76"/>
    </row>
    <row r="37" spans="1:11" ht="12.75">
      <c r="A37" s="68">
        <f t="shared" si="0"/>
        <v>32</v>
      </c>
      <c r="B37" s="68"/>
      <c r="D37" s="73"/>
      <c r="E37" s="73"/>
      <c r="F37" s="73"/>
      <c r="G37" s="73"/>
      <c r="H37" s="73"/>
      <c r="I37" s="74"/>
      <c r="J37" s="75"/>
      <c r="K37" s="76"/>
    </row>
    <row r="38" spans="1:11" ht="12.75">
      <c r="A38" s="68">
        <f t="shared" si="0"/>
        <v>33</v>
      </c>
      <c r="B38" s="77">
        <v>54</v>
      </c>
      <c r="C38" s="78" t="s">
        <v>69</v>
      </c>
      <c r="D38" s="79">
        <v>50</v>
      </c>
      <c r="E38" s="79">
        <v>58</v>
      </c>
      <c r="F38" s="79">
        <f aca="true" t="shared" si="9" ref="F38:F46">+E38-D38</f>
        <v>8</v>
      </c>
      <c r="G38" s="79">
        <v>350</v>
      </c>
      <c r="H38" s="79">
        <f aca="true" t="shared" si="10" ref="H38:H46">ROUND(+E38*G38/1000,0)</f>
        <v>20</v>
      </c>
      <c r="I38" s="74">
        <f>+I36</f>
        <v>0.0025467164325658955</v>
      </c>
      <c r="J38" s="75">
        <f t="shared" si="3"/>
        <v>0.05</v>
      </c>
      <c r="K38" s="76"/>
    </row>
    <row r="39" spans="1:11" ht="12.75">
      <c r="A39" s="68">
        <f t="shared" si="0"/>
        <v>34</v>
      </c>
      <c r="B39" s="77">
        <v>54</v>
      </c>
      <c r="C39" s="78" t="s">
        <v>69</v>
      </c>
      <c r="D39" s="79">
        <v>70</v>
      </c>
      <c r="E39" s="79">
        <v>83</v>
      </c>
      <c r="F39" s="79">
        <f t="shared" si="9"/>
        <v>13</v>
      </c>
      <c r="G39" s="79">
        <v>350</v>
      </c>
      <c r="H39" s="79">
        <f t="shared" si="10"/>
        <v>29</v>
      </c>
      <c r="I39" s="74">
        <f t="shared" si="4"/>
        <v>0.0025467164325658955</v>
      </c>
      <c r="J39" s="75">
        <f t="shared" si="3"/>
        <v>0.07</v>
      </c>
      <c r="K39" s="76"/>
    </row>
    <row r="40" spans="1:11" ht="12.75">
      <c r="A40" s="68">
        <f t="shared" si="0"/>
        <v>35</v>
      </c>
      <c r="B40" s="77">
        <v>54</v>
      </c>
      <c r="C40" s="78" t="s">
        <v>69</v>
      </c>
      <c r="D40" s="79">
        <v>100</v>
      </c>
      <c r="E40" s="79">
        <v>117</v>
      </c>
      <c r="F40" s="79">
        <f t="shared" si="9"/>
        <v>17</v>
      </c>
      <c r="G40" s="79">
        <v>350</v>
      </c>
      <c r="H40" s="79">
        <f t="shared" si="10"/>
        <v>41</v>
      </c>
      <c r="I40" s="74">
        <f t="shared" si="4"/>
        <v>0.0025467164325658955</v>
      </c>
      <c r="J40" s="75">
        <f t="shared" si="3"/>
        <v>0.1</v>
      </c>
      <c r="K40" s="76"/>
    </row>
    <row r="41" spans="1:11" ht="12.75">
      <c r="A41" s="68">
        <f t="shared" si="0"/>
        <v>36</v>
      </c>
      <c r="B41" s="77">
        <v>54</v>
      </c>
      <c r="C41" s="78" t="s">
        <v>69</v>
      </c>
      <c r="D41" s="79">
        <v>150</v>
      </c>
      <c r="E41" s="79">
        <v>171</v>
      </c>
      <c r="F41" s="79">
        <f t="shared" si="9"/>
        <v>21</v>
      </c>
      <c r="G41" s="79">
        <v>350</v>
      </c>
      <c r="H41" s="79">
        <f t="shared" si="10"/>
        <v>60</v>
      </c>
      <c r="I41" s="74">
        <f t="shared" si="4"/>
        <v>0.0025467164325658955</v>
      </c>
      <c r="J41" s="75">
        <f t="shared" si="3"/>
        <v>0.15</v>
      </c>
      <c r="K41" s="76"/>
    </row>
    <row r="42" spans="1:11" ht="12.75">
      <c r="A42" s="68">
        <f t="shared" si="0"/>
        <v>37</v>
      </c>
      <c r="B42" s="77">
        <v>54</v>
      </c>
      <c r="C42" s="78" t="s">
        <v>69</v>
      </c>
      <c r="D42" s="79">
        <v>200</v>
      </c>
      <c r="E42" s="79">
        <v>227</v>
      </c>
      <c r="F42" s="79">
        <f t="shared" si="9"/>
        <v>27</v>
      </c>
      <c r="G42" s="79">
        <v>350</v>
      </c>
      <c r="H42" s="79">
        <f t="shared" si="10"/>
        <v>79</v>
      </c>
      <c r="I42" s="74">
        <f t="shared" si="4"/>
        <v>0.0025467164325658955</v>
      </c>
      <c r="J42" s="75">
        <f t="shared" si="3"/>
        <v>0.2</v>
      </c>
      <c r="K42" s="76"/>
    </row>
    <row r="43" spans="1:11" ht="12.75">
      <c r="A43" s="68">
        <f t="shared" si="0"/>
        <v>38</v>
      </c>
      <c r="B43" s="77">
        <v>54</v>
      </c>
      <c r="C43" s="78" t="s">
        <v>69</v>
      </c>
      <c r="D43" s="79">
        <v>250</v>
      </c>
      <c r="E43" s="79">
        <v>281</v>
      </c>
      <c r="F43" s="79">
        <f t="shared" si="9"/>
        <v>31</v>
      </c>
      <c r="G43" s="79">
        <v>350</v>
      </c>
      <c r="H43" s="79">
        <f t="shared" si="10"/>
        <v>98</v>
      </c>
      <c r="I43" s="74">
        <f t="shared" si="4"/>
        <v>0.0025467164325658955</v>
      </c>
      <c r="J43" s="75">
        <f t="shared" si="3"/>
        <v>0.25</v>
      </c>
      <c r="K43" s="76"/>
    </row>
    <row r="44" spans="1:11" ht="12.75">
      <c r="A44" s="68">
        <f t="shared" si="0"/>
        <v>39</v>
      </c>
      <c r="B44" s="77">
        <v>54</v>
      </c>
      <c r="C44" s="78" t="s">
        <v>69</v>
      </c>
      <c r="D44" s="79">
        <v>310</v>
      </c>
      <c r="E44" s="79">
        <v>383</v>
      </c>
      <c r="F44" s="79">
        <f t="shared" si="9"/>
        <v>73</v>
      </c>
      <c r="G44" s="79">
        <v>350</v>
      </c>
      <c r="H44" s="79">
        <f t="shared" si="10"/>
        <v>134</v>
      </c>
      <c r="I44" s="74">
        <f t="shared" si="4"/>
        <v>0.0025467164325658955</v>
      </c>
      <c r="J44" s="75">
        <f t="shared" si="3"/>
        <v>0.34</v>
      </c>
      <c r="K44" s="76"/>
    </row>
    <row r="45" spans="1:11" ht="12.75">
      <c r="A45" s="68">
        <f t="shared" si="0"/>
        <v>40</v>
      </c>
      <c r="B45" s="77">
        <v>54</v>
      </c>
      <c r="C45" s="78" t="s">
        <v>69</v>
      </c>
      <c r="D45" s="79">
        <v>400</v>
      </c>
      <c r="E45" s="79">
        <v>438</v>
      </c>
      <c r="F45" s="79">
        <f t="shared" si="9"/>
        <v>38</v>
      </c>
      <c r="G45" s="79">
        <v>350</v>
      </c>
      <c r="H45" s="79">
        <f t="shared" si="10"/>
        <v>153</v>
      </c>
      <c r="I45" s="74">
        <f t="shared" si="4"/>
        <v>0.0025467164325658955</v>
      </c>
      <c r="J45" s="75">
        <f t="shared" si="3"/>
        <v>0.39</v>
      </c>
      <c r="K45" s="76"/>
    </row>
    <row r="46" spans="1:11" ht="12.75">
      <c r="A46" s="68">
        <f t="shared" si="0"/>
        <v>41</v>
      </c>
      <c r="B46" s="77">
        <v>54</v>
      </c>
      <c r="C46" s="78" t="s">
        <v>69</v>
      </c>
      <c r="D46" s="79">
        <v>1000</v>
      </c>
      <c r="E46" s="79">
        <v>1102</v>
      </c>
      <c r="F46" s="79">
        <f t="shared" si="9"/>
        <v>102</v>
      </c>
      <c r="G46" s="79">
        <v>350</v>
      </c>
      <c r="H46" s="79">
        <f t="shared" si="10"/>
        <v>386</v>
      </c>
      <c r="I46" s="74">
        <f t="shared" si="4"/>
        <v>0.0025467164325658955</v>
      </c>
      <c r="J46" s="75">
        <f t="shared" si="3"/>
        <v>0.98</v>
      </c>
      <c r="K46" s="76"/>
    </row>
    <row r="47" spans="1:11" ht="12.75">
      <c r="A47" s="68">
        <f t="shared" si="0"/>
        <v>42</v>
      </c>
      <c r="B47" s="77"/>
      <c r="C47" s="78"/>
      <c r="D47" s="79"/>
      <c r="E47" s="79"/>
      <c r="F47" s="79"/>
      <c r="G47" s="79"/>
      <c r="H47" s="79"/>
      <c r="I47" s="74"/>
      <c r="J47" s="75"/>
      <c r="K47" s="76"/>
    </row>
    <row r="48" spans="1:10" ht="12.75">
      <c r="A48" s="68">
        <f t="shared" si="0"/>
        <v>43</v>
      </c>
      <c r="B48" s="68">
        <v>55</v>
      </c>
      <c r="C48" s="80" t="s">
        <v>70</v>
      </c>
      <c r="D48" s="73">
        <v>70</v>
      </c>
      <c r="E48" s="73">
        <f>+E39</f>
        <v>83</v>
      </c>
      <c r="F48" s="73">
        <f aca="true" t="shared" si="11" ref="F48:F55">+E48-D48</f>
        <v>13</v>
      </c>
      <c r="G48" s="73">
        <v>350</v>
      </c>
      <c r="H48" s="73">
        <f aca="true" t="shared" si="12" ref="H48:H55">ROUND(+E48*G48/1000,0)</f>
        <v>29</v>
      </c>
      <c r="I48" s="74">
        <f>+I46</f>
        <v>0.0025467164325658955</v>
      </c>
      <c r="J48" s="75">
        <f t="shared" si="3"/>
        <v>0.07</v>
      </c>
    </row>
    <row r="49" spans="1:10" ht="12.75">
      <c r="A49" s="68">
        <f t="shared" si="0"/>
        <v>44</v>
      </c>
      <c r="B49" s="68">
        <v>55</v>
      </c>
      <c r="C49" s="80" t="s">
        <v>70</v>
      </c>
      <c r="D49" s="73">
        <v>100</v>
      </c>
      <c r="E49" s="73">
        <f>+E40</f>
        <v>117</v>
      </c>
      <c r="F49" s="73">
        <f t="shared" si="11"/>
        <v>17</v>
      </c>
      <c r="G49" s="73">
        <v>350</v>
      </c>
      <c r="H49" s="73">
        <f t="shared" si="12"/>
        <v>41</v>
      </c>
      <c r="I49" s="74">
        <f t="shared" si="4"/>
        <v>0.0025467164325658955</v>
      </c>
      <c r="J49" s="75">
        <f t="shared" si="3"/>
        <v>0.1</v>
      </c>
    </row>
    <row r="50" spans="1:10" ht="12.75">
      <c r="A50" s="68">
        <f t="shared" si="0"/>
        <v>45</v>
      </c>
      <c r="B50" s="68">
        <v>55</v>
      </c>
      <c r="C50" s="80" t="s">
        <v>70</v>
      </c>
      <c r="D50" s="73">
        <v>150</v>
      </c>
      <c r="E50" s="73">
        <f>+E41</f>
        <v>171</v>
      </c>
      <c r="F50" s="73">
        <f t="shared" si="11"/>
        <v>21</v>
      </c>
      <c r="G50" s="73">
        <v>350</v>
      </c>
      <c r="H50" s="73">
        <f t="shared" si="12"/>
        <v>60</v>
      </c>
      <c r="I50" s="74">
        <f t="shared" si="4"/>
        <v>0.0025467164325658955</v>
      </c>
      <c r="J50" s="75">
        <f t="shared" si="3"/>
        <v>0.15</v>
      </c>
    </row>
    <row r="51" spans="1:10" ht="12.75">
      <c r="A51" s="68">
        <f t="shared" si="0"/>
        <v>46</v>
      </c>
      <c r="B51" s="68">
        <v>55</v>
      </c>
      <c r="C51" s="80" t="s">
        <v>70</v>
      </c>
      <c r="D51" s="73">
        <v>200</v>
      </c>
      <c r="E51" s="73">
        <f>+E42</f>
        <v>227</v>
      </c>
      <c r="F51" s="73">
        <f t="shared" si="11"/>
        <v>27</v>
      </c>
      <c r="G51" s="73">
        <v>350</v>
      </c>
      <c r="H51" s="73">
        <f t="shared" si="12"/>
        <v>79</v>
      </c>
      <c r="I51" s="74">
        <f t="shared" si="4"/>
        <v>0.0025467164325658955</v>
      </c>
      <c r="J51" s="75">
        <f t="shared" si="3"/>
        <v>0.2</v>
      </c>
    </row>
    <row r="52" spans="1:10" ht="12.75">
      <c r="A52" s="68">
        <f t="shared" si="0"/>
        <v>47</v>
      </c>
      <c r="B52" s="68">
        <v>55</v>
      </c>
      <c r="C52" s="80" t="s">
        <v>70</v>
      </c>
      <c r="D52" s="73">
        <v>250</v>
      </c>
      <c r="E52" s="73">
        <f>+E43</f>
        <v>281</v>
      </c>
      <c r="F52" s="73">
        <f t="shared" si="11"/>
        <v>31</v>
      </c>
      <c r="G52" s="73">
        <v>350</v>
      </c>
      <c r="H52" s="73">
        <f t="shared" si="12"/>
        <v>98</v>
      </c>
      <c r="I52" s="74">
        <f t="shared" si="4"/>
        <v>0.0025467164325658955</v>
      </c>
      <c r="J52" s="75">
        <f t="shared" si="3"/>
        <v>0.25</v>
      </c>
    </row>
    <row r="53" spans="1:10" ht="12.75">
      <c r="A53" s="68">
        <f t="shared" si="0"/>
        <v>48</v>
      </c>
      <c r="B53" s="68">
        <v>55</v>
      </c>
      <c r="C53" s="80" t="s">
        <v>70</v>
      </c>
      <c r="D53" s="73">
        <v>400</v>
      </c>
      <c r="E53" s="73">
        <f>+E45</f>
        <v>438</v>
      </c>
      <c r="F53" s="73">
        <f t="shared" si="11"/>
        <v>38</v>
      </c>
      <c r="G53" s="73">
        <v>350</v>
      </c>
      <c r="H53" s="73">
        <f t="shared" si="12"/>
        <v>153</v>
      </c>
      <c r="I53" s="74">
        <f t="shared" si="4"/>
        <v>0.0025467164325658955</v>
      </c>
      <c r="J53" s="75">
        <f t="shared" si="3"/>
        <v>0.39</v>
      </c>
    </row>
    <row r="54" spans="1:10" ht="12.75">
      <c r="A54" s="68">
        <f t="shared" si="0"/>
        <v>49</v>
      </c>
      <c r="B54" s="68">
        <v>55</v>
      </c>
      <c r="C54" s="80" t="s">
        <v>71</v>
      </c>
      <c r="D54" s="73">
        <v>175</v>
      </c>
      <c r="E54" s="73">
        <f>+E15</f>
        <v>211</v>
      </c>
      <c r="F54" s="73">
        <f t="shared" si="11"/>
        <v>36</v>
      </c>
      <c r="G54" s="73">
        <v>350</v>
      </c>
      <c r="H54" s="73">
        <f t="shared" si="12"/>
        <v>74</v>
      </c>
      <c r="I54" s="74">
        <f t="shared" si="4"/>
        <v>0.0025467164325658955</v>
      </c>
      <c r="J54" s="75">
        <f t="shared" si="3"/>
        <v>0.19</v>
      </c>
    </row>
    <row r="55" spans="1:10" ht="12.75">
      <c r="A55" s="68">
        <f t="shared" si="0"/>
        <v>50</v>
      </c>
      <c r="B55" s="68">
        <v>55</v>
      </c>
      <c r="C55" s="80" t="s">
        <v>71</v>
      </c>
      <c r="D55" s="73">
        <v>251</v>
      </c>
      <c r="E55" s="73">
        <f>+E16</f>
        <v>289</v>
      </c>
      <c r="F55" s="73">
        <f t="shared" si="11"/>
        <v>38</v>
      </c>
      <c r="G55" s="73">
        <v>350</v>
      </c>
      <c r="H55" s="73">
        <f t="shared" si="12"/>
        <v>101</v>
      </c>
      <c r="I55" s="74">
        <f t="shared" si="4"/>
        <v>0.0025467164325658955</v>
      </c>
      <c r="J55" s="75">
        <f t="shared" si="3"/>
        <v>0.26</v>
      </c>
    </row>
    <row r="56" spans="1:10" ht="12.75">
      <c r="A56" s="68">
        <f t="shared" si="0"/>
        <v>51</v>
      </c>
      <c r="B56" s="68"/>
      <c r="C56" s="80"/>
      <c r="D56" s="73"/>
      <c r="E56" s="73"/>
      <c r="F56" s="73"/>
      <c r="G56" s="73"/>
      <c r="H56" s="73"/>
      <c r="I56" s="74"/>
      <c r="J56" s="75"/>
    </row>
    <row r="57" spans="1:10" ht="12.75">
      <c r="A57" s="68">
        <f t="shared" si="0"/>
        <v>52</v>
      </c>
      <c r="B57" s="68">
        <v>58</v>
      </c>
      <c r="C57" s="80" t="s">
        <v>72</v>
      </c>
      <c r="D57" s="73">
        <v>70</v>
      </c>
      <c r="E57" s="73">
        <f aca="true" t="shared" si="13" ref="E57:E62">+E48</f>
        <v>83</v>
      </c>
      <c r="F57" s="73">
        <f aca="true" t="shared" si="14" ref="F57:F74">+E57-D57</f>
        <v>13</v>
      </c>
      <c r="G57" s="73">
        <v>350</v>
      </c>
      <c r="H57" s="73">
        <f aca="true" t="shared" si="15" ref="H57:H74">ROUND(+E57*G57/1000,0)</f>
        <v>29</v>
      </c>
      <c r="I57" s="74">
        <f>+I55</f>
        <v>0.0025467164325658955</v>
      </c>
      <c r="J57" s="75">
        <f t="shared" si="3"/>
        <v>0.07</v>
      </c>
    </row>
    <row r="58" spans="1:10" ht="12.75">
      <c r="A58" s="68">
        <f t="shared" si="0"/>
        <v>53</v>
      </c>
      <c r="B58" s="68">
        <v>58</v>
      </c>
      <c r="C58" s="80" t="s">
        <v>72</v>
      </c>
      <c r="D58" s="73">
        <v>100</v>
      </c>
      <c r="E58" s="73">
        <f t="shared" si="13"/>
        <v>117</v>
      </c>
      <c r="F58" s="73">
        <f t="shared" si="14"/>
        <v>17</v>
      </c>
      <c r="G58" s="73">
        <v>350</v>
      </c>
      <c r="H58" s="73">
        <f t="shared" si="15"/>
        <v>41</v>
      </c>
      <c r="I58" s="74">
        <f t="shared" si="4"/>
        <v>0.0025467164325658955</v>
      </c>
      <c r="J58" s="75">
        <f t="shared" si="3"/>
        <v>0.1</v>
      </c>
    </row>
    <row r="59" spans="1:10" ht="12.75">
      <c r="A59" s="68">
        <f t="shared" si="0"/>
        <v>54</v>
      </c>
      <c r="B59" s="68">
        <v>58</v>
      </c>
      <c r="C59" s="80" t="s">
        <v>72</v>
      </c>
      <c r="D59" s="73">
        <v>150</v>
      </c>
      <c r="E59" s="73">
        <f t="shared" si="13"/>
        <v>171</v>
      </c>
      <c r="F59" s="73">
        <f t="shared" si="14"/>
        <v>21</v>
      </c>
      <c r="G59" s="73">
        <v>350</v>
      </c>
      <c r="H59" s="73">
        <f t="shared" si="15"/>
        <v>60</v>
      </c>
      <c r="I59" s="74">
        <f t="shared" si="4"/>
        <v>0.0025467164325658955</v>
      </c>
      <c r="J59" s="75">
        <f t="shared" si="3"/>
        <v>0.15</v>
      </c>
    </row>
    <row r="60" spans="1:10" ht="12.75">
      <c r="A60" s="68">
        <f t="shared" si="0"/>
        <v>55</v>
      </c>
      <c r="B60" s="68">
        <v>58</v>
      </c>
      <c r="C60" s="80" t="s">
        <v>72</v>
      </c>
      <c r="D60" s="73">
        <v>200</v>
      </c>
      <c r="E60" s="73">
        <f t="shared" si="13"/>
        <v>227</v>
      </c>
      <c r="F60" s="73">
        <f t="shared" si="14"/>
        <v>27</v>
      </c>
      <c r="G60" s="73">
        <v>350</v>
      </c>
      <c r="H60" s="73">
        <f t="shared" si="15"/>
        <v>79</v>
      </c>
      <c r="I60" s="74">
        <f t="shared" si="4"/>
        <v>0.0025467164325658955</v>
      </c>
      <c r="J60" s="75">
        <f t="shared" si="3"/>
        <v>0.2</v>
      </c>
    </row>
    <row r="61" spans="1:10" ht="12.75">
      <c r="A61" s="68">
        <f t="shared" si="0"/>
        <v>56</v>
      </c>
      <c r="B61" s="68">
        <v>58</v>
      </c>
      <c r="C61" s="80" t="s">
        <v>72</v>
      </c>
      <c r="D61" s="73">
        <v>250</v>
      </c>
      <c r="E61" s="73">
        <f t="shared" si="13"/>
        <v>281</v>
      </c>
      <c r="F61" s="73">
        <f t="shared" si="14"/>
        <v>31</v>
      </c>
      <c r="G61" s="73">
        <v>350</v>
      </c>
      <c r="H61" s="73">
        <f t="shared" si="15"/>
        <v>98</v>
      </c>
      <c r="I61" s="74">
        <f t="shared" si="4"/>
        <v>0.0025467164325658955</v>
      </c>
      <c r="J61" s="75">
        <f t="shared" si="3"/>
        <v>0.25</v>
      </c>
    </row>
    <row r="62" spans="1:10" ht="12.75">
      <c r="A62" s="68">
        <f t="shared" si="0"/>
        <v>57</v>
      </c>
      <c r="B62" s="68">
        <v>58</v>
      </c>
      <c r="C62" s="80" t="s">
        <v>72</v>
      </c>
      <c r="D62" s="73">
        <v>400</v>
      </c>
      <c r="E62" s="73">
        <f t="shared" si="13"/>
        <v>438</v>
      </c>
      <c r="F62" s="73">
        <f t="shared" si="14"/>
        <v>38</v>
      </c>
      <c r="G62" s="73">
        <v>350</v>
      </c>
      <c r="H62" s="73">
        <f t="shared" si="15"/>
        <v>153</v>
      </c>
      <c r="I62" s="74">
        <f t="shared" si="4"/>
        <v>0.0025467164325658955</v>
      </c>
      <c r="J62" s="75">
        <f t="shared" si="3"/>
        <v>0.39</v>
      </c>
    </row>
    <row r="63" spans="1:10" ht="12.75">
      <c r="A63" s="68">
        <f t="shared" si="0"/>
        <v>58</v>
      </c>
      <c r="B63" s="68">
        <v>58</v>
      </c>
      <c r="C63" s="80" t="s">
        <v>73</v>
      </c>
      <c r="D63" s="73">
        <v>175</v>
      </c>
      <c r="E63" s="73">
        <f>+E15</f>
        <v>211</v>
      </c>
      <c r="F63" s="73">
        <f t="shared" si="14"/>
        <v>36</v>
      </c>
      <c r="G63" s="73">
        <v>350</v>
      </c>
      <c r="H63" s="73">
        <f t="shared" si="15"/>
        <v>74</v>
      </c>
      <c r="I63" s="74">
        <f t="shared" si="4"/>
        <v>0.0025467164325658955</v>
      </c>
      <c r="J63" s="75">
        <f t="shared" si="3"/>
        <v>0.19</v>
      </c>
    </row>
    <row r="64" spans="1:10" ht="12.75">
      <c r="A64" s="68">
        <f t="shared" si="0"/>
        <v>59</v>
      </c>
      <c r="B64" s="68">
        <v>58</v>
      </c>
      <c r="C64" s="80" t="s">
        <v>73</v>
      </c>
      <c r="D64" s="73">
        <v>251</v>
      </c>
      <c r="E64" s="73">
        <f>+E16</f>
        <v>289</v>
      </c>
      <c r="F64" s="73">
        <f t="shared" si="14"/>
        <v>38</v>
      </c>
      <c r="G64" s="73">
        <v>350</v>
      </c>
      <c r="H64" s="73">
        <f t="shared" si="15"/>
        <v>101</v>
      </c>
      <c r="I64" s="74">
        <f t="shared" si="4"/>
        <v>0.0025467164325658955</v>
      </c>
      <c r="J64" s="75">
        <f t="shared" si="3"/>
        <v>0.26</v>
      </c>
    </row>
    <row r="65" spans="1:10" ht="12.75">
      <c r="A65" s="68">
        <f t="shared" si="0"/>
        <v>60</v>
      </c>
      <c r="B65" s="68">
        <v>58</v>
      </c>
      <c r="C65" s="80" t="s">
        <v>73</v>
      </c>
      <c r="D65" s="73">
        <v>401</v>
      </c>
      <c r="E65" s="73">
        <f>+E17</f>
        <v>452</v>
      </c>
      <c r="F65" s="73">
        <f t="shared" si="14"/>
        <v>51</v>
      </c>
      <c r="G65" s="73">
        <v>350</v>
      </c>
      <c r="H65" s="73">
        <f t="shared" si="15"/>
        <v>158</v>
      </c>
      <c r="I65" s="74">
        <f t="shared" si="4"/>
        <v>0.0025467164325658955</v>
      </c>
      <c r="J65" s="75">
        <f t="shared" si="3"/>
        <v>0.4</v>
      </c>
    </row>
    <row r="66" spans="1:10" ht="12.75">
      <c r="A66" s="68">
        <f t="shared" si="0"/>
        <v>61</v>
      </c>
      <c r="B66" s="68">
        <v>58</v>
      </c>
      <c r="C66" s="80" t="s">
        <v>73</v>
      </c>
      <c r="D66" s="73">
        <v>1000</v>
      </c>
      <c r="E66" s="73">
        <f>+E18</f>
        <v>1080</v>
      </c>
      <c r="F66" s="73">
        <f t="shared" si="14"/>
        <v>80</v>
      </c>
      <c r="G66" s="73">
        <v>350</v>
      </c>
      <c r="H66" s="73">
        <f t="shared" si="15"/>
        <v>378</v>
      </c>
      <c r="I66" s="74">
        <f t="shared" si="4"/>
        <v>0.0025467164325658955</v>
      </c>
      <c r="J66" s="75">
        <f t="shared" si="3"/>
        <v>0.96</v>
      </c>
    </row>
    <row r="67" spans="1:10" ht="12.75">
      <c r="A67" s="68">
        <f t="shared" si="0"/>
        <v>62</v>
      </c>
      <c r="B67" s="68">
        <v>58</v>
      </c>
      <c r="C67" s="81" t="s">
        <v>74</v>
      </c>
      <c r="D67" s="73">
        <v>101</v>
      </c>
      <c r="E67" s="73">
        <f aca="true" t="shared" si="16" ref="E67:E74">+E58</f>
        <v>117</v>
      </c>
      <c r="F67" s="73">
        <f t="shared" si="14"/>
        <v>16</v>
      </c>
      <c r="G67" s="73">
        <v>350</v>
      </c>
      <c r="H67" s="73">
        <f t="shared" si="15"/>
        <v>41</v>
      </c>
      <c r="I67" s="74">
        <f t="shared" si="4"/>
        <v>0.0025467164325658955</v>
      </c>
      <c r="J67" s="75">
        <f t="shared" si="3"/>
        <v>0.1</v>
      </c>
    </row>
    <row r="68" spans="1:10" ht="12.75">
      <c r="A68" s="68">
        <f t="shared" si="0"/>
        <v>63</v>
      </c>
      <c r="B68" s="68">
        <v>58</v>
      </c>
      <c r="C68" s="81" t="s">
        <v>74</v>
      </c>
      <c r="D68" s="73">
        <v>151</v>
      </c>
      <c r="E68" s="73">
        <f t="shared" si="16"/>
        <v>171</v>
      </c>
      <c r="F68" s="73">
        <f t="shared" si="14"/>
        <v>20</v>
      </c>
      <c r="G68" s="73">
        <v>350</v>
      </c>
      <c r="H68" s="73">
        <f t="shared" si="15"/>
        <v>60</v>
      </c>
      <c r="I68" s="74">
        <f t="shared" si="4"/>
        <v>0.0025467164325658955</v>
      </c>
      <c r="J68" s="75">
        <f t="shared" si="3"/>
        <v>0.15</v>
      </c>
    </row>
    <row r="69" spans="1:10" ht="12.75">
      <c r="A69" s="68">
        <f t="shared" si="0"/>
        <v>64</v>
      </c>
      <c r="B69" s="68">
        <v>58</v>
      </c>
      <c r="C69" s="81" t="s">
        <v>74</v>
      </c>
      <c r="D69" s="73">
        <v>201</v>
      </c>
      <c r="E69" s="73">
        <f t="shared" si="16"/>
        <v>227</v>
      </c>
      <c r="F69" s="73">
        <f t="shared" si="14"/>
        <v>26</v>
      </c>
      <c r="G69" s="73">
        <v>350</v>
      </c>
      <c r="H69" s="73">
        <f t="shared" si="15"/>
        <v>79</v>
      </c>
      <c r="I69" s="74">
        <f t="shared" si="4"/>
        <v>0.0025467164325658955</v>
      </c>
      <c r="J69" s="75">
        <f t="shared" si="3"/>
        <v>0.2</v>
      </c>
    </row>
    <row r="70" spans="1:10" ht="12.75">
      <c r="A70" s="68">
        <f t="shared" si="0"/>
        <v>65</v>
      </c>
      <c r="B70" s="68">
        <v>58</v>
      </c>
      <c r="C70" s="81" t="s">
        <v>74</v>
      </c>
      <c r="D70" s="73">
        <v>252</v>
      </c>
      <c r="E70" s="73">
        <f t="shared" si="16"/>
        <v>281</v>
      </c>
      <c r="F70" s="73">
        <f t="shared" si="14"/>
        <v>29</v>
      </c>
      <c r="G70" s="73">
        <v>350</v>
      </c>
      <c r="H70" s="73">
        <f t="shared" si="15"/>
        <v>98</v>
      </c>
      <c r="I70" s="74">
        <f t="shared" si="4"/>
        <v>0.0025467164325658955</v>
      </c>
      <c r="J70" s="75">
        <f t="shared" si="3"/>
        <v>0.25</v>
      </c>
    </row>
    <row r="71" spans="1:10" ht="12.75">
      <c r="A71" s="68">
        <f t="shared" si="0"/>
        <v>66</v>
      </c>
      <c r="B71" s="68">
        <v>58</v>
      </c>
      <c r="C71" s="81" t="s">
        <v>74</v>
      </c>
      <c r="D71" s="73">
        <v>402</v>
      </c>
      <c r="E71" s="73">
        <f t="shared" si="16"/>
        <v>438</v>
      </c>
      <c r="F71" s="73">
        <f t="shared" si="14"/>
        <v>36</v>
      </c>
      <c r="G71" s="73">
        <v>350</v>
      </c>
      <c r="H71" s="73">
        <f t="shared" si="15"/>
        <v>153</v>
      </c>
      <c r="I71" s="74">
        <f t="shared" si="4"/>
        <v>0.0025467164325658955</v>
      </c>
      <c r="J71" s="75">
        <f t="shared" si="3"/>
        <v>0.39</v>
      </c>
    </row>
    <row r="72" spans="1:10" ht="12.75">
      <c r="A72" s="68">
        <f aca="true" t="shared" si="17" ref="A72:A80">+A71+1</f>
        <v>67</v>
      </c>
      <c r="B72" s="68">
        <v>58</v>
      </c>
      <c r="C72" s="80" t="s">
        <v>75</v>
      </c>
      <c r="D72" s="73">
        <v>176</v>
      </c>
      <c r="E72" s="73">
        <f t="shared" si="16"/>
        <v>211</v>
      </c>
      <c r="F72" s="73">
        <f t="shared" si="14"/>
        <v>35</v>
      </c>
      <c r="G72" s="73">
        <v>350</v>
      </c>
      <c r="H72" s="73">
        <f t="shared" si="15"/>
        <v>74</v>
      </c>
      <c r="I72" s="74">
        <f t="shared" si="4"/>
        <v>0.0025467164325658955</v>
      </c>
      <c r="J72" s="75">
        <f>ROUND(+$H72*I72,2)</f>
        <v>0.19</v>
      </c>
    </row>
    <row r="73" spans="1:10" ht="12.75">
      <c r="A73" s="68">
        <f t="shared" si="17"/>
        <v>68</v>
      </c>
      <c r="B73" s="68">
        <v>58</v>
      </c>
      <c r="C73" s="80" t="s">
        <v>75</v>
      </c>
      <c r="D73" s="73">
        <v>253</v>
      </c>
      <c r="E73" s="73">
        <f t="shared" si="16"/>
        <v>289</v>
      </c>
      <c r="F73" s="73">
        <f t="shared" si="14"/>
        <v>36</v>
      </c>
      <c r="G73" s="73">
        <v>350</v>
      </c>
      <c r="H73" s="73">
        <f t="shared" si="15"/>
        <v>101</v>
      </c>
      <c r="I73" s="74">
        <f t="shared" si="4"/>
        <v>0.0025467164325658955</v>
      </c>
      <c r="J73" s="75">
        <f>ROUND(+$H73*I73,2)</f>
        <v>0.26</v>
      </c>
    </row>
    <row r="74" spans="1:10" ht="12.75">
      <c r="A74" s="68">
        <f t="shared" si="17"/>
        <v>69</v>
      </c>
      <c r="B74" s="68">
        <v>58</v>
      </c>
      <c r="C74" s="80" t="s">
        <v>75</v>
      </c>
      <c r="D74" s="73">
        <v>403</v>
      </c>
      <c r="E74" s="73">
        <f t="shared" si="16"/>
        <v>452</v>
      </c>
      <c r="F74" s="73">
        <f t="shared" si="14"/>
        <v>49</v>
      </c>
      <c r="G74" s="73">
        <v>350</v>
      </c>
      <c r="H74" s="73">
        <f t="shared" si="15"/>
        <v>158</v>
      </c>
      <c r="I74" s="74">
        <f t="shared" si="4"/>
        <v>0.0025467164325658955</v>
      </c>
      <c r="J74" s="75">
        <f>ROUND(+$H74*I74,2)</f>
        <v>0.4</v>
      </c>
    </row>
    <row r="75" spans="1:11" ht="12.75">
      <c r="A75" s="68">
        <f t="shared" si="17"/>
        <v>70</v>
      </c>
      <c r="K75" s="76"/>
    </row>
    <row r="76" spans="1:11" ht="12.75">
      <c r="A76" s="68">
        <f t="shared" si="17"/>
        <v>71</v>
      </c>
      <c r="B76" s="77">
        <v>57</v>
      </c>
      <c r="C76" s="78" t="s">
        <v>76</v>
      </c>
      <c r="H76" s="82"/>
      <c r="K76" s="76"/>
    </row>
    <row r="77" spans="1:8" ht="12.75">
      <c r="A77" s="68">
        <f t="shared" si="17"/>
        <v>72</v>
      </c>
      <c r="B77" s="77">
        <v>57</v>
      </c>
      <c r="C77" s="83" t="s">
        <v>77</v>
      </c>
      <c r="H77" s="79">
        <v>10674886.0575</v>
      </c>
    </row>
    <row r="78" spans="1:8" ht="12.75">
      <c r="A78" s="68">
        <f t="shared" si="17"/>
        <v>73</v>
      </c>
      <c r="B78" s="77">
        <v>57</v>
      </c>
      <c r="C78" s="83" t="s">
        <v>78</v>
      </c>
      <c r="H78" s="79">
        <v>43570963.5</v>
      </c>
    </row>
    <row r="79" spans="1:9" ht="12.75">
      <c r="A79" s="68">
        <f t="shared" si="17"/>
        <v>74</v>
      </c>
      <c r="B79" s="77">
        <v>57</v>
      </c>
      <c r="C79" s="84" t="s">
        <v>79</v>
      </c>
      <c r="H79" s="74"/>
      <c r="I79" s="74">
        <f>+I74</f>
        <v>0.0025467164325658955</v>
      </c>
    </row>
    <row r="80" spans="1:10" ht="12.75">
      <c r="A80" s="68">
        <f t="shared" si="17"/>
        <v>75</v>
      </c>
      <c r="B80" s="77">
        <v>57</v>
      </c>
      <c r="C80" s="84" t="s">
        <v>80</v>
      </c>
      <c r="J80" s="85">
        <f>+I79*0.245</f>
        <v>0.0006239455259786444</v>
      </c>
    </row>
  </sheetData>
  <printOptions/>
  <pageMargins left="0.25" right="0.25" top="0.75" bottom="0.5" header="0.5" footer="0.5"/>
  <pageSetup cellComments="asDisplayed" fitToHeight="1" fitToWidth="1" horizontalDpi="600" verticalDpi="600" orientation="portrait" scale="68" r:id="rId3"/>
  <headerFooter alignWithMargins="0">
    <oddHeader>&amp;R&amp;"Arial,Bold"Docket Number UE-031725
Exhibit No. _____ (JHS-16)
Page 1 of 3</oddHeader>
  </headerFooter>
  <legacyDrawing r:id="rId2"/>
</worksheet>
</file>

<file path=xl/worksheets/sheet6.xml><?xml version="1.0" encoding="utf-8"?>
<worksheet xmlns="http://schemas.openxmlformats.org/spreadsheetml/2006/main" xmlns:r="http://schemas.openxmlformats.org/officeDocument/2006/relationships">
  <dimension ref="A1:N30"/>
  <sheetViews>
    <sheetView workbookViewId="0" topLeftCell="A1">
      <selection activeCell="A1" sqref="A1:H13"/>
    </sheetView>
  </sheetViews>
  <sheetFormatPr defaultColWidth="9.140625" defaultRowHeight="35.25" customHeight="1"/>
  <cols>
    <col min="1" max="1" width="9.140625" style="125" customWidth="1"/>
    <col min="2" max="2" width="2.421875" style="125" customWidth="1"/>
    <col min="3" max="3" width="12.8515625" style="129" customWidth="1"/>
    <col min="4" max="4" width="2.421875" style="129" customWidth="1"/>
    <col min="5" max="5" width="9.140625" style="125" customWidth="1"/>
    <col min="6" max="6" width="27.00390625" style="125" customWidth="1"/>
    <col min="7" max="7" width="11.00390625" style="15" customWidth="1"/>
    <col min="8" max="8" width="14.8515625" style="132" customWidth="1"/>
    <col min="9" max="9" width="14.7109375" style="132" customWidth="1"/>
    <col min="10" max="10" width="11.28125" style="125" hidden="1" customWidth="1"/>
    <col min="11" max="11" width="14.8515625" style="132" customWidth="1"/>
    <col min="12" max="12" width="12.28125" style="125" customWidth="1"/>
    <col min="13" max="13" width="9.140625" style="125" customWidth="1"/>
    <col min="14" max="14" width="7.7109375" style="125" customWidth="1"/>
    <col min="15" max="15" width="3.28125" style="125" customWidth="1"/>
    <col min="16" max="16384" width="9.140625" style="125" customWidth="1"/>
  </cols>
  <sheetData>
    <row r="1" spans="1:13" ht="12.75">
      <c r="A1" s="147" t="s">
        <v>27</v>
      </c>
      <c r="B1" s="147"/>
      <c r="C1" s="147"/>
      <c r="D1" s="147"/>
      <c r="E1" s="147"/>
      <c r="F1" s="147"/>
      <c r="G1" s="147"/>
      <c r="H1" s="147"/>
      <c r="I1" s="124"/>
      <c r="J1" s="124"/>
      <c r="K1" s="124"/>
      <c r="L1" s="124"/>
      <c r="M1" s="124"/>
    </row>
    <row r="2" spans="1:13" ht="12.75">
      <c r="A2" s="147" t="s">
        <v>134</v>
      </c>
      <c r="B2" s="147"/>
      <c r="C2" s="147"/>
      <c r="D2" s="147"/>
      <c r="E2" s="147"/>
      <c r="F2" s="147"/>
      <c r="G2" s="147"/>
      <c r="H2" s="147"/>
      <c r="I2" s="124"/>
      <c r="J2" s="124"/>
      <c r="K2" s="124"/>
      <c r="L2" s="124"/>
      <c r="M2" s="124"/>
    </row>
    <row r="3" spans="3:13" ht="12.75" customHeight="1">
      <c r="C3" s="125"/>
      <c r="D3" s="125"/>
      <c r="E3" s="124"/>
      <c r="F3" s="124"/>
      <c r="G3" s="126"/>
      <c r="H3" s="126"/>
      <c r="I3" s="124"/>
      <c r="J3" s="124"/>
      <c r="K3" s="124"/>
      <c r="L3" s="124"/>
      <c r="M3" s="124"/>
    </row>
    <row r="4" spans="1:14" s="129" customFormat="1" ht="25.5">
      <c r="A4" s="127" t="s">
        <v>135</v>
      </c>
      <c r="B4" s="125"/>
      <c r="C4" s="127" t="s">
        <v>136</v>
      </c>
      <c r="D4" s="125"/>
      <c r="E4" s="148" t="s">
        <v>86</v>
      </c>
      <c r="F4" s="148"/>
      <c r="G4" s="148"/>
      <c r="H4" s="148"/>
      <c r="I4" s="128"/>
      <c r="J4" s="128"/>
      <c r="K4" s="128"/>
      <c r="L4" s="128"/>
      <c r="M4" s="128"/>
      <c r="N4" s="125"/>
    </row>
    <row r="5" spans="1:8" ht="12.75">
      <c r="A5" s="130" t="s">
        <v>137</v>
      </c>
      <c r="B5" s="130"/>
      <c r="C5" s="130"/>
      <c r="D5" s="130"/>
      <c r="E5" s="130"/>
      <c r="F5" s="130"/>
      <c r="G5" s="130"/>
      <c r="H5" s="131"/>
    </row>
    <row r="6" spans="1:11" ht="60.75" customHeight="1">
      <c r="A6" s="130"/>
      <c r="B6" s="130"/>
      <c r="C6" s="133" t="s">
        <v>138</v>
      </c>
      <c r="D6" s="133"/>
      <c r="E6" s="149" t="s">
        <v>139</v>
      </c>
      <c r="F6" s="152"/>
      <c r="G6" s="152"/>
      <c r="H6" s="152"/>
      <c r="I6" s="135"/>
      <c r="J6" s="135"/>
      <c r="K6" s="125"/>
    </row>
    <row r="7" spans="1:14" s="15" customFormat="1" ht="60.75" customHeight="1">
      <c r="A7" s="130"/>
      <c r="B7" s="130"/>
      <c r="C7" s="133" t="s">
        <v>140</v>
      </c>
      <c r="D7" s="133"/>
      <c r="E7" s="149" t="s">
        <v>141</v>
      </c>
      <c r="F7" s="152"/>
      <c r="G7" s="152"/>
      <c r="H7" s="152"/>
      <c r="I7" s="135"/>
      <c r="J7" s="135"/>
      <c r="K7" s="125"/>
      <c r="L7" s="125"/>
      <c r="M7" s="125"/>
      <c r="N7" s="125"/>
    </row>
    <row r="8" spans="1:14" s="15" customFormat="1" ht="60.75" customHeight="1">
      <c r="A8" s="130"/>
      <c r="B8" s="130"/>
      <c r="C8" s="133" t="s">
        <v>142</v>
      </c>
      <c r="D8" s="133"/>
      <c r="E8" s="149" t="s">
        <v>143</v>
      </c>
      <c r="F8" s="152"/>
      <c r="G8" s="152"/>
      <c r="H8" s="152"/>
      <c r="I8" s="135"/>
      <c r="J8" s="135"/>
      <c r="K8" s="125"/>
      <c r="L8" s="125"/>
      <c r="M8" s="125"/>
      <c r="N8" s="125"/>
    </row>
    <row r="9" spans="1:14" s="15" customFormat="1" ht="60.75" customHeight="1">
      <c r="A9" s="130"/>
      <c r="B9" s="130"/>
      <c r="C9" s="133" t="s">
        <v>144</v>
      </c>
      <c r="D9" s="133"/>
      <c r="E9" s="149" t="s">
        <v>145</v>
      </c>
      <c r="F9" s="152"/>
      <c r="G9" s="152"/>
      <c r="H9" s="152"/>
      <c r="I9" s="135"/>
      <c r="J9" s="135"/>
      <c r="K9" s="125"/>
      <c r="L9" s="125"/>
      <c r="M9" s="125"/>
      <c r="N9" s="125"/>
    </row>
    <row r="10" spans="1:14" s="15" customFormat="1" ht="60.75" customHeight="1">
      <c r="A10" s="130"/>
      <c r="B10" s="130"/>
      <c r="C10" s="133" t="s">
        <v>146</v>
      </c>
      <c r="D10" s="133"/>
      <c r="E10" s="149" t="s">
        <v>147</v>
      </c>
      <c r="F10" s="152"/>
      <c r="G10" s="152"/>
      <c r="H10" s="152"/>
      <c r="I10" s="135"/>
      <c r="J10" s="135"/>
      <c r="K10" s="125"/>
      <c r="L10" s="125"/>
      <c r="M10" s="125"/>
      <c r="N10" s="125"/>
    </row>
    <row r="11" spans="1:14" s="15" customFormat="1" ht="60.75" customHeight="1">
      <c r="A11" s="130"/>
      <c r="B11" s="130"/>
      <c r="C11" s="133" t="s">
        <v>148</v>
      </c>
      <c r="D11" s="133"/>
      <c r="E11" s="149" t="s">
        <v>149</v>
      </c>
      <c r="F11" s="152"/>
      <c r="G11" s="152"/>
      <c r="H11" s="152"/>
      <c r="I11" s="135"/>
      <c r="J11" s="135"/>
      <c r="K11" s="125"/>
      <c r="L11" s="125"/>
      <c r="M11" s="125"/>
      <c r="N11" s="125"/>
    </row>
    <row r="12" spans="1:14" s="15" customFormat="1" ht="60.75" customHeight="1">
      <c r="A12" s="130" t="s">
        <v>150</v>
      </c>
      <c r="B12" s="130"/>
      <c r="C12" s="133"/>
      <c r="D12" s="133"/>
      <c r="E12" s="149" t="s">
        <v>151</v>
      </c>
      <c r="F12" s="152"/>
      <c r="G12" s="152"/>
      <c r="H12" s="152"/>
      <c r="I12" s="135"/>
      <c r="J12" s="135"/>
      <c r="K12" s="125"/>
      <c r="L12" s="125"/>
      <c r="M12" s="125"/>
      <c r="N12" s="125"/>
    </row>
    <row r="13" spans="1:13" ht="60.75" customHeight="1">
      <c r="A13" s="130" t="s">
        <v>152</v>
      </c>
      <c r="B13" s="130"/>
      <c r="C13" s="133"/>
      <c r="D13" s="133"/>
      <c r="E13" s="149" t="s">
        <v>153</v>
      </c>
      <c r="F13" s="152"/>
      <c r="G13" s="152"/>
      <c r="H13" s="152"/>
      <c r="I13" s="135"/>
      <c r="J13" s="135"/>
      <c r="K13" s="136"/>
      <c r="L13" s="136"/>
      <c r="M13" s="137"/>
    </row>
    <row r="14" spans="3:13" ht="12.75">
      <c r="C14" s="125"/>
      <c r="D14" s="125"/>
      <c r="E14" s="15"/>
      <c r="I14" s="136"/>
      <c r="J14" s="138"/>
      <c r="K14" s="136"/>
      <c r="L14" s="136"/>
      <c r="M14" s="137"/>
    </row>
    <row r="15" spans="3:13" ht="12.75">
      <c r="C15" s="125"/>
      <c r="D15" s="125"/>
      <c r="E15" s="15"/>
      <c r="I15" s="136"/>
      <c r="J15" s="138"/>
      <c r="K15" s="136"/>
      <c r="L15" s="136"/>
      <c r="M15" s="137"/>
    </row>
    <row r="16" spans="3:13" ht="12.75">
      <c r="C16" s="125"/>
      <c r="D16" s="125"/>
      <c r="E16" s="15"/>
      <c r="I16" s="136"/>
      <c r="J16" s="138"/>
      <c r="K16" s="136"/>
      <c r="L16" s="136"/>
      <c r="M16" s="137"/>
    </row>
    <row r="17" spans="3:14" ht="12.75">
      <c r="C17" s="125"/>
      <c r="D17" s="125"/>
      <c r="E17" s="15"/>
      <c r="I17" s="136"/>
      <c r="J17" s="138"/>
      <c r="K17" s="136"/>
      <c r="L17" s="136"/>
      <c r="M17" s="137"/>
      <c r="N17" s="139"/>
    </row>
    <row r="18" spans="3:12" ht="12.75">
      <c r="C18" s="125"/>
      <c r="D18" s="125"/>
      <c r="E18" s="15"/>
      <c r="I18" s="136"/>
      <c r="K18" s="136"/>
      <c r="L18" s="136"/>
    </row>
    <row r="19" spans="3:13" ht="35.25" customHeight="1">
      <c r="C19" s="125"/>
      <c r="D19" s="125"/>
      <c r="E19" s="15"/>
      <c r="F19" s="140"/>
      <c r="G19" s="150"/>
      <c r="H19" s="151"/>
      <c r="I19" s="136"/>
      <c r="J19" s="138"/>
      <c r="K19" s="136"/>
      <c r="L19" s="136"/>
      <c r="M19" s="137"/>
    </row>
    <row r="20" spans="3:13" ht="132.75" customHeight="1">
      <c r="C20" s="125"/>
      <c r="D20" s="125"/>
      <c r="E20" s="15"/>
      <c r="F20" s="140"/>
      <c r="G20" s="150"/>
      <c r="H20" s="151"/>
      <c r="I20" s="136"/>
      <c r="J20" s="138"/>
      <c r="K20" s="136"/>
      <c r="L20" s="136"/>
      <c r="M20" s="137"/>
    </row>
    <row r="21" spans="3:13" ht="35.25" customHeight="1">
      <c r="C21" s="125"/>
      <c r="D21" s="125"/>
      <c r="E21" s="15"/>
      <c r="F21" s="141"/>
      <c r="I21" s="136"/>
      <c r="J21" s="138"/>
      <c r="K21" s="136"/>
      <c r="L21" s="136"/>
      <c r="M21" s="137"/>
    </row>
    <row r="22" spans="3:13" ht="35.25" customHeight="1">
      <c r="C22" s="125"/>
      <c r="D22" s="125"/>
      <c r="E22" s="15"/>
      <c r="F22" s="135"/>
      <c r="I22" s="136"/>
      <c r="J22" s="138"/>
      <c r="K22" s="136"/>
      <c r="L22" s="136"/>
      <c r="M22" s="137"/>
    </row>
    <row r="23" spans="3:13" ht="35.25" customHeight="1">
      <c r="C23" s="125"/>
      <c r="D23" s="125"/>
      <c r="E23" s="15"/>
      <c r="F23" s="142"/>
      <c r="G23" s="18"/>
      <c r="I23" s="136"/>
      <c r="J23" s="138"/>
      <c r="K23" s="136"/>
      <c r="L23" s="136"/>
      <c r="M23" s="137"/>
    </row>
    <row r="24" spans="3:13" ht="35.25" customHeight="1">
      <c r="C24" s="125"/>
      <c r="D24" s="125"/>
      <c r="E24" s="15"/>
      <c r="F24" s="141"/>
      <c r="G24" s="18"/>
      <c r="I24" s="136"/>
      <c r="J24" s="138"/>
      <c r="K24" s="136"/>
      <c r="L24" s="136"/>
      <c r="M24" s="137"/>
    </row>
    <row r="25" spans="3:13" ht="35.25" customHeight="1">
      <c r="C25" s="125"/>
      <c r="D25" s="125"/>
      <c r="E25" s="15"/>
      <c r="F25" s="135"/>
      <c r="I25" s="136"/>
      <c r="J25" s="138"/>
      <c r="K25" s="136"/>
      <c r="L25" s="136"/>
      <c r="M25" s="137"/>
    </row>
    <row r="26" spans="3:13" ht="35.25" customHeight="1">
      <c r="C26" s="125"/>
      <c r="D26" s="125"/>
      <c r="E26" s="15"/>
      <c r="F26" s="135"/>
      <c r="I26" s="136"/>
      <c r="J26" s="138"/>
      <c r="K26" s="136"/>
      <c r="L26" s="136"/>
      <c r="M26" s="137"/>
    </row>
    <row r="27" spans="3:4" ht="35.25" customHeight="1">
      <c r="C27" s="125"/>
      <c r="D27" s="125"/>
    </row>
    <row r="28" spans="3:11" ht="35.25" customHeight="1">
      <c r="C28" s="125"/>
      <c r="D28" s="125"/>
      <c r="K28" s="143"/>
    </row>
    <row r="29" spans="3:4" ht="35.25" customHeight="1">
      <c r="C29" s="125"/>
      <c r="D29" s="125"/>
    </row>
    <row r="30" spans="3:9" ht="35.25" customHeight="1">
      <c r="C30" s="125"/>
      <c r="D30" s="125"/>
      <c r="G30" s="125"/>
      <c r="H30" s="125"/>
      <c r="I30" s="125"/>
    </row>
  </sheetData>
  <mergeCells count="13">
    <mergeCell ref="E11:H11"/>
    <mergeCell ref="E12:H12"/>
    <mergeCell ref="E13:H13"/>
    <mergeCell ref="G19:G20"/>
    <mergeCell ref="H19:H20"/>
    <mergeCell ref="E7:H7"/>
    <mergeCell ref="E8:H8"/>
    <mergeCell ref="E9:H9"/>
    <mergeCell ref="E10:H10"/>
    <mergeCell ref="A1:H1"/>
    <mergeCell ref="A2:H2"/>
    <mergeCell ref="E4:H4"/>
    <mergeCell ref="E6:H6"/>
  </mergeCells>
  <printOptions/>
  <pageMargins left="0.75" right="0.75" top="1" bottom="1" header="0.5" footer="0.5"/>
  <pageSetup horizontalDpi="600" verticalDpi="600" orientation="portrait" r:id="rId1"/>
  <headerFooter alignWithMargins="0">
    <oddHeader>&amp;RDocket Number UE-031725
Exhibit No. _____ (JHS-16)
Page 3 of 3</oddHeader>
  </headerFooter>
</worksheet>
</file>

<file path=xl/worksheets/sheet7.xml><?xml version="1.0" encoding="utf-8"?>
<worksheet xmlns="http://schemas.openxmlformats.org/spreadsheetml/2006/main" xmlns:r="http://schemas.openxmlformats.org/officeDocument/2006/relationships">
  <dimension ref="A1:E47"/>
  <sheetViews>
    <sheetView workbookViewId="0" topLeftCell="A28">
      <selection activeCell="A48" sqref="A48:IV48"/>
    </sheetView>
  </sheetViews>
  <sheetFormatPr defaultColWidth="9.140625" defaultRowHeight="12.75"/>
  <cols>
    <col min="2" max="2" width="86.57421875" style="0" customWidth="1"/>
    <col min="3" max="3" width="13.7109375" style="0" customWidth="1"/>
    <col min="4" max="4" width="17.8515625" style="0" customWidth="1"/>
    <col min="5" max="5" width="0" style="87" hidden="1" customWidth="1"/>
    <col min="6" max="6" width="11.28125" style="87" customWidth="1"/>
    <col min="7" max="13" width="9.140625" style="87" customWidth="1"/>
  </cols>
  <sheetData>
    <row r="1" spans="1:4" ht="12.75">
      <c r="A1" s="86"/>
      <c r="B1" s="86"/>
      <c r="C1" s="86"/>
      <c r="D1" s="86"/>
    </row>
    <row r="2" spans="1:4" ht="12.75">
      <c r="A2" s="88" t="s">
        <v>81</v>
      </c>
      <c r="B2" s="86"/>
      <c r="C2" s="86"/>
      <c r="D2" s="86"/>
    </row>
    <row r="3" spans="1:4" ht="12.75">
      <c r="A3" s="88" t="s">
        <v>82</v>
      </c>
      <c r="B3" s="86"/>
      <c r="C3" s="86"/>
      <c r="D3" s="86"/>
    </row>
    <row r="4" spans="1:4" ht="12.75">
      <c r="A4" s="88" t="s">
        <v>83</v>
      </c>
      <c r="B4" s="86"/>
      <c r="C4" s="86"/>
      <c r="D4" s="86"/>
    </row>
    <row r="5" spans="1:4" ht="12.75">
      <c r="A5" s="88" t="s">
        <v>84</v>
      </c>
      <c r="B5" s="86"/>
      <c r="C5" s="86"/>
      <c r="D5" s="86"/>
    </row>
    <row r="6" ht="12.75"/>
    <row r="7" ht="12.75"/>
    <row r="8" spans="1:4" ht="12.75">
      <c r="A8" s="89" t="s">
        <v>85</v>
      </c>
      <c r="B8" s="89" t="s">
        <v>86</v>
      </c>
      <c r="C8" s="89" t="s">
        <v>87</v>
      </c>
      <c r="D8" s="89" t="s">
        <v>88</v>
      </c>
    </row>
    <row r="9" ht="12.75"/>
    <row r="10" spans="1:4" ht="12.75">
      <c r="A10" s="90">
        <v>10</v>
      </c>
      <c r="B10" t="s">
        <v>89</v>
      </c>
      <c r="C10" s="90" t="s">
        <v>90</v>
      </c>
      <c r="D10" s="91">
        <v>64443048.96842719</v>
      </c>
    </row>
    <row r="11" spans="1:4" ht="12.75">
      <c r="A11" s="90">
        <v>11</v>
      </c>
      <c r="B11" s="92" t="s">
        <v>91</v>
      </c>
      <c r="C11" s="90" t="s">
        <v>90</v>
      </c>
      <c r="D11" s="93">
        <v>0.9554723</v>
      </c>
    </row>
    <row r="12" spans="1:4" ht="12.75">
      <c r="A12" s="90">
        <v>12</v>
      </c>
      <c r="D12" s="94"/>
    </row>
    <row r="13" spans="1:4" ht="12.75">
      <c r="A13" s="90">
        <v>13</v>
      </c>
      <c r="B13" t="s">
        <v>92</v>
      </c>
      <c r="C13" s="90" t="s">
        <v>90</v>
      </c>
      <c r="D13" s="95">
        <v>61573548.216875754</v>
      </c>
    </row>
    <row r="14" spans="1:4" ht="12.75">
      <c r="A14" s="90">
        <v>14</v>
      </c>
      <c r="B14" s="92" t="s">
        <v>93</v>
      </c>
      <c r="D14" s="95"/>
    </row>
    <row r="15" spans="1:5" ht="12.75">
      <c r="A15" s="90">
        <v>15</v>
      </c>
      <c r="B15" s="96" t="s">
        <v>94</v>
      </c>
      <c r="C15" s="90" t="s">
        <v>95</v>
      </c>
      <c r="D15" s="87">
        <v>-165269.1743384637</v>
      </c>
      <c r="E15" s="87">
        <v>-287.56836334892085</v>
      </c>
    </row>
    <row r="16" spans="1:5" ht="12.75">
      <c r="A16" s="90">
        <v>16</v>
      </c>
      <c r="B16" s="96" t="s">
        <v>96</v>
      </c>
      <c r="C16" s="90" t="s">
        <v>97</v>
      </c>
      <c r="D16" s="87">
        <v>-1352822.4478307664</v>
      </c>
      <c r="E16" s="87">
        <v>-2353.9110592254847</v>
      </c>
    </row>
    <row r="17" spans="1:4" ht="12.75">
      <c r="A17" s="90">
        <v>17</v>
      </c>
      <c r="B17" t="s">
        <v>98</v>
      </c>
      <c r="C17" s="90"/>
      <c r="D17" s="87"/>
    </row>
    <row r="18" spans="1:4" ht="12.75">
      <c r="A18" s="90">
        <v>18</v>
      </c>
      <c r="B18" s="96" t="s">
        <v>99</v>
      </c>
      <c r="C18" s="90" t="s">
        <v>100</v>
      </c>
      <c r="D18" s="87">
        <v>-1289106.1730577596</v>
      </c>
    </row>
    <row r="19" spans="1:4" ht="12.75">
      <c r="A19" s="90">
        <v>19</v>
      </c>
      <c r="B19" s="96" t="s">
        <v>101</v>
      </c>
      <c r="C19" s="90" t="s">
        <v>100</v>
      </c>
      <c r="D19" s="87">
        <v>-3187343.5097212885</v>
      </c>
    </row>
    <row r="20" spans="1:4" ht="12.75">
      <c r="A20" s="90">
        <v>20</v>
      </c>
      <c r="B20" s="96" t="s">
        <v>102</v>
      </c>
      <c r="C20" s="90" t="s">
        <v>100</v>
      </c>
      <c r="D20" s="87">
        <v>-392440.0711338198</v>
      </c>
    </row>
    <row r="21" spans="1:4" ht="12.75">
      <c r="A21" s="90">
        <v>21</v>
      </c>
      <c r="B21" s="96" t="s">
        <v>103</v>
      </c>
      <c r="C21" s="90" t="s">
        <v>100</v>
      </c>
      <c r="D21" s="87">
        <v>-7005150.603787181</v>
      </c>
    </row>
    <row r="22" spans="1:4" ht="12.75">
      <c r="A22" s="90">
        <v>22</v>
      </c>
      <c r="B22" s="96" t="s">
        <v>104</v>
      </c>
      <c r="C22" s="90" t="s">
        <v>100</v>
      </c>
      <c r="D22" s="87">
        <v>33972.82343065267</v>
      </c>
    </row>
    <row r="23" spans="1:4" ht="12.75">
      <c r="A23" s="90">
        <v>23</v>
      </c>
      <c r="B23" s="96" t="s">
        <v>105</v>
      </c>
      <c r="C23" s="90" t="s">
        <v>100</v>
      </c>
      <c r="D23" s="87">
        <v>120560.36468109525</v>
      </c>
    </row>
    <row r="24" spans="1:4" ht="12.75">
      <c r="A24" s="90">
        <v>24</v>
      </c>
      <c r="B24" s="96" t="s">
        <v>106</v>
      </c>
      <c r="C24" s="90" t="s">
        <v>100</v>
      </c>
      <c r="D24" s="87">
        <v>1261853.83</v>
      </c>
    </row>
    <row r="25" spans="1:4" ht="12.75">
      <c r="A25" s="90">
        <v>25</v>
      </c>
      <c r="B25" s="96" t="s">
        <v>107</v>
      </c>
      <c r="C25" s="90" t="s">
        <v>108</v>
      </c>
      <c r="D25" s="87">
        <v>-399964.158798635</v>
      </c>
    </row>
    <row r="26" spans="1:5" ht="12.75">
      <c r="A26" s="90">
        <v>26</v>
      </c>
      <c r="B26" s="92" t="s">
        <v>109</v>
      </c>
      <c r="C26" s="90" t="s">
        <v>110</v>
      </c>
      <c r="D26" s="87">
        <v>-692865.9318695825</v>
      </c>
      <c r="E26" s="87">
        <v>-1205.5867214530485</v>
      </c>
    </row>
    <row r="27" spans="1:4" ht="12.75">
      <c r="A27" s="90">
        <v>27</v>
      </c>
      <c r="B27" t="s">
        <v>111</v>
      </c>
      <c r="C27" s="90" t="s">
        <v>112</v>
      </c>
      <c r="D27" s="87">
        <v>-2340127.905546831</v>
      </c>
    </row>
    <row r="28" spans="1:5" ht="12.75">
      <c r="A28" s="90">
        <v>28</v>
      </c>
      <c r="B28" t="s">
        <v>113</v>
      </c>
      <c r="C28" s="90" t="s">
        <v>114</v>
      </c>
      <c r="D28" s="87">
        <v>34936.91243530996</v>
      </c>
      <c r="E28" s="87">
        <v>60.790227637438065</v>
      </c>
    </row>
    <row r="29" spans="1:4" ht="12.75">
      <c r="A29" s="90">
        <v>29</v>
      </c>
      <c r="B29" t="s">
        <v>115</v>
      </c>
      <c r="D29" s="87"/>
    </row>
    <row r="30" spans="1:5" ht="12.75">
      <c r="A30" s="90">
        <v>30</v>
      </c>
      <c r="B30" s="96" t="s">
        <v>116</v>
      </c>
      <c r="C30" s="90" t="s">
        <v>117</v>
      </c>
      <c r="D30" s="87">
        <v>2189773.711184333</v>
      </c>
      <c r="E30" s="87">
        <v>3810.2062574606603</v>
      </c>
    </row>
    <row r="31" spans="1:5" ht="12.75">
      <c r="A31" s="90">
        <v>31</v>
      </c>
      <c r="B31" s="96" t="s">
        <v>118</v>
      </c>
      <c r="C31" s="90" t="s">
        <v>117</v>
      </c>
      <c r="D31" s="87">
        <v>4770895.570769231</v>
      </c>
      <c r="E31" s="87">
        <v>8301.35829313829</v>
      </c>
    </row>
    <row r="32" spans="1:5" ht="12.75">
      <c r="A32" s="90">
        <v>32</v>
      </c>
      <c r="B32" s="92" t="s">
        <v>119</v>
      </c>
      <c r="C32" s="90" t="s">
        <v>120</v>
      </c>
      <c r="D32" s="87">
        <v>521396.88461538457</v>
      </c>
      <c r="E32" s="87">
        <v>907.2305792307503</v>
      </c>
    </row>
    <row r="33" spans="1:4" ht="12.75">
      <c r="A33" s="90">
        <v>33</v>
      </c>
      <c r="B33" s="92" t="s">
        <v>121</v>
      </c>
      <c r="C33" s="90" t="s">
        <v>120</v>
      </c>
      <c r="D33" s="87">
        <v>-126807.92002567928</v>
      </c>
    </row>
    <row r="34" spans="1:4" ht="12.75">
      <c r="A34" s="90">
        <v>34</v>
      </c>
      <c r="B34" s="92" t="s">
        <v>122</v>
      </c>
      <c r="C34" s="90" t="s">
        <v>97</v>
      </c>
      <c r="D34" s="87">
        <v>206954.06418814353</v>
      </c>
    </row>
    <row r="35" spans="1:4" ht="12.75">
      <c r="A35" s="90">
        <v>35</v>
      </c>
      <c r="B35" s="97" t="s">
        <v>123</v>
      </c>
      <c r="C35" s="90"/>
      <c r="D35" s="98">
        <v>53761994.48206989</v>
      </c>
    </row>
    <row r="36" spans="1:4" ht="12.75">
      <c r="A36" s="90">
        <v>36</v>
      </c>
      <c r="B36" s="92" t="s">
        <v>124</v>
      </c>
      <c r="C36" s="90" t="s">
        <v>125</v>
      </c>
      <c r="D36" s="99">
        <v>0.9554723</v>
      </c>
    </row>
    <row r="37" spans="1:4" ht="12.75">
      <c r="A37" s="90">
        <v>37</v>
      </c>
      <c r="B37" s="92" t="s">
        <v>126</v>
      </c>
      <c r="C37" s="90"/>
      <c r="D37" s="98">
        <v>56267454.83052715</v>
      </c>
    </row>
    <row r="38" spans="1:4" ht="12.75">
      <c r="A38" s="90">
        <v>38</v>
      </c>
      <c r="B38" s="96" t="s">
        <v>127</v>
      </c>
      <c r="C38" s="90" t="s">
        <v>125</v>
      </c>
      <c r="D38" s="8">
        <v>-227530.41087943316</v>
      </c>
    </row>
    <row r="39" spans="1:4" ht="12.75">
      <c r="A39" s="90">
        <v>39</v>
      </c>
      <c r="B39" s="96" t="s">
        <v>128</v>
      </c>
      <c r="C39" s="90" t="s">
        <v>125</v>
      </c>
      <c r="D39" s="87">
        <v>-1558780</v>
      </c>
    </row>
    <row r="40" spans="1:4" ht="12.75">
      <c r="A40" s="90">
        <v>40</v>
      </c>
      <c r="C40" s="90"/>
      <c r="D40" s="98"/>
    </row>
    <row r="41" spans="1:4" ht="13.5" thickBot="1">
      <c r="A41" s="90">
        <v>41</v>
      </c>
      <c r="B41" s="92" t="s">
        <v>129</v>
      </c>
      <c r="C41" s="90" t="s">
        <v>125</v>
      </c>
      <c r="D41" s="100">
        <v>54481144.419647716</v>
      </c>
    </row>
    <row r="42" spans="1:4" ht="13.5" thickTop="1">
      <c r="A42" s="90"/>
      <c r="D42" s="87"/>
    </row>
    <row r="43" ht="12.75">
      <c r="D43" s="87"/>
    </row>
    <row r="44" ht="12.75">
      <c r="D44" s="87"/>
    </row>
    <row r="45" ht="12.75">
      <c r="D45" s="87"/>
    </row>
    <row r="46" ht="12.75">
      <c r="D46" s="87"/>
    </row>
    <row r="47" ht="12.75">
      <c r="D47" s="87"/>
    </row>
  </sheetData>
  <printOptions/>
  <pageMargins left="0.75" right="0.75" top="1" bottom="1" header="0.5" footer="0.5"/>
  <pageSetup cellComments="asDisplayed" horizontalDpi="600" verticalDpi="600" orientation="landscape" scale="80" r:id="rId3"/>
  <headerFooter alignWithMargins="0">
    <oddHeader>&amp;RDocket Number UE-031725
Exhibit No. _____(JHS-14)
Page 1 of 1
</oddHead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L51"/>
  <sheetViews>
    <sheetView workbookViewId="0" topLeftCell="A1">
      <selection activeCell="A1" sqref="A1"/>
    </sheetView>
  </sheetViews>
  <sheetFormatPr defaultColWidth="9.140625" defaultRowHeight="12.75"/>
  <cols>
    <col min="1" max="1" width="5.8515625" style="5" customWidth="1"/>
    <col min="2" max="2" width="27.00390625" style="5" customWidth="1"/>
    <col min="3" max="3" width="11.00390625" style="49" customWidth="1"/>
    <col min="4" max="4" width="22.8515625" style="8" customWidth="1"/>
    <col min="5" max="5" width="20.8515625" style="8" customWidth="1"/>
    <col min="6" max="6" width="11.28125" style="5" customWidth="1"/>
    <col min="7" max="7" width="17.57421875" style="8" customWidth="1"/>
    <col min="8" max="8" width="12.28125" style="5" customWidth="1"/>
    <col min="9" max="9" width="14.28125" style="5" customWidth="1"/>
    <col min="10" max="10" width="10.57421875" style="5" customWidth="1"/>
    <col min="11" max="12" width="4.140625" style="5" customWidth="1"/>
    <col min="13" max="16384" width="9.140625" style="5" customWidth="1"/>
  </cols>
  <sheetData>
    <row r="1" spans="1:9" ht="20.25">
      <c r="A1" s="49"/>
      <c r="B1" s="101" t="s">
        <v>27</v>
      </c>
      <c r="C1" s="44"/>
      <c r="D1" s="146"/>
      <c r="E1" s="44"/>
      <c r="F1" s="44"/>
      <c r="G1" s="44"/>
      <c r="H1" s="44"/>
      <c r="I1" s="45"/>
    </row>
    <row r="2" spans="1:9" ht="20.25">
      <c r="A2" s="49"/>
      <c r="B2" s="102" t="s">
        <v>130</v>
      </c>
      <c r="C2" s="47"/>
      <c r="D2" s="103"/>
      <c r="E2" s="47"/>
      <c r="F2" s="47"/>
      <c r="G2" s="47"/>
      <c r="H2" s="47"/>
      <c r="I2" s="48"/>
    </row>
    <row r="3" spans="1:9" ht="12.75">
      <c r="A3" s="49"/>
      <c r="B3" s="46"/>
      <c r="C3" s="47"/>
      <c r="D3" s="47"/>
      <c r="E3" s="47"/>
      <c r="F3" s="47"/>
      <c r="G3" s="47"/>
      <c r="H3" s="47"/>
      <c r="I3" s="48"/>
    </row>
    <row r="4" spans="1:9" ht="12.75">
      <c r="A4" s="49"/>
      <c r="B4" s="46"/>
      <c r="C4" s="47"/>
      <c r="D4" s="47"/>
      <c r="E4" s="47"/>
      <c r="F4" s="47"/>
      <c r="G4" s="47"/>
      <c r="H4" s="47"/>
      <c r="I4" s="48"/>
    </row>
    <row r="5" spans="1:9" ht="12.75">
      <c r="A5" s="49"/>
      <c r="B5" s="46"/>
      <c r="C5" s="47"/>
      <c r="D5" s="47"/>
      <c r="E5" s="47"/>
      <c r="F5" s="47"/>
      <c r="G5" s="47"/>
      <c r="H5" s="47"/>
      <c r="I5" s="48"/>
    </row>
    <row r="6" spans="1:9" ht="12.75">
      <c r="A6" s="49"/>
      <c r="B6" s="7"/>
      <c r="I6" s="9"/>
    </row>
    <row r="7" spans="1:9" s="15" customFormat="1" ht="90" thickBot="1">
      <c r="A7" s="104"/>
      <c r="B7" s="10" t="s">
        <v>29</v>
      </c>
      <c r="C7" s="50" t="s">
        <v>30</v>
      </c>
      <c r="D7" s="105" t="s">
        <v>131</v>
      </c>
      <c r="E7" s="51" t="s">
        <v>132</v>
      </c>
      <c r="F7" s="52" t="s">
        <v>33</v>
      </c>
      <c r="G7" s="53" t="s">
        <v>34</v>
      </c>
      <c r="H7" s="12" t="s">
        <v>35</v>
      </c>
      <c r="I7" s="54" t="s">
        <v>36</v>
      </c>
    </row>
    <row r="8" spans="1:9" ht="12.75">
      <c r="A8" s="106"/>
      <c r="B8" s="1"/>
      <c r="C8" s="55"/>
      <c r="E8" s="2"/>
      <c r="F8" s="3"/>
      <c r="G8" s="2"/>
      <c r="H8" s="3"/>
      <c r="I8" s="4"/>
    </row>
    <row r="9" spans="1:9" ht="12.75">
      <c r="A9" s="107">
        <v>1</v>
      </c>
      <c r="B9" s="25" t="s">
        <v>133</v>
      </c>
      <c r="C9" s="49">
        <v>7</v>
      </c>
      <c r="D9" s="108">
        <v>9734910367.400002</v>
      </c>
      <c r="E9" s="109">
        <v>744638665.3160889</v>
      </c>
      <c r="F9" s="110">
        <v>0.039869943580193384</v>
      </c>
      <c r="G9" s="22">
        <v>748519968.5871537</v>
      </c>
      <c r="H9" s="22">
        <v>3881303.2710647583</v>
      </c>
      <c r="I9" s="57">
        <v>0.005212331096743678</v>
      </c>
    </row>
    <row r="10" spans="1:9" ht="12.75">
      <c r="A10" s="107"/>
      <c r="B10" s="7"/>
      <c r="D10" s="111"/>
      <c r="E10" s="112"/>
      <c r="F10" s="56"/>
      <c r="G10" s="22"/>
      <c r="H10" s="22"/>
      <c r="I10" s="57"/>
    </row>
    <row r="11" spans="1:9" ht="12.75">
      <c r="A11" s="107">
        <v>2</v>
      </c>
      <c r="B11" s="59" t="s">
        <v>11</v>
      </c>
      <c r="C11" s="49">
        <v>24</v>
      </c>
      <c r="D11" s="108">
        <v>2389582724.6499996</v>
      </c>
      <c r="E11" s="109">
        <v>168983399.54203057</v>
      </c>
      <c r="F11" s="110">
        <v>0.04022851407205405</v>
      </c>
      <c r="G11" s="22">
        <v>169944693.16467977</v>
      </c>
      <c r="H11" s="22">
        <v>961293.6226491928</v>
      </c>
      <c r="I11" s="57">
        <v>0.00568868673049801</v>
      </c>
    </row>
    <row r="12" spans="1:9" ht="12.75">
      <c r="A12" s="107">
        <v>3</v>
      </c>
      <c r="B12" s="60" t="s">
        <v>12</v>
      </c>
      <c r="C12" s="49">
        <v>25</v>
      </c>
      <c r="D12" s="108">
        <v>2840353570.7499995</v>
      </c>
      <c r="E12" s="109">
        <v>197081130.17015684</v>
      </c>
      <c r="F12" s="110">
        <v>0.03993362602589813</v>
      </c>
      <c r="G12" s="22">
        <v>198215386.3429134</v>
      </c>
      <c r="H12" s="22">
        <v>1134256.1727565527</v>
      </c>
      <c r="I12" s="57">
        <v>0.005755275361863681</v>
      </c>
    </row>
    <row r="13" spans="1:9" ht="12.75">
      <c r="A13" s="113">
        <v>4</v>
      </c>
      <c r="B13" s="60" t="s">
        <v>13</v>
      </c>
      <c r="C13" s="49">
        <v>26</v>
      </c>
      <c r="D13" s="108">
        <v>1878305033.99</v>
      </c>
      <c r="E13" s="109">
        <v>117333181.39866678</v>
      </c>
      <c r="F13" s="110">
        <v>0.03739140587020196</v>
      </c>
      <c r="G13" s="22">
        <v>118035506.05740643</v>
      </c>
      <c r="H13" s="22">
        <v>702324.6587396413</v>
      </c>
      <c r="I13" s="57">
        <v>0.005985729274256443</v>
      </c>
    </row>
    <row r="14" spans="1:9" ht="12.75">
      <c r="A14" s="113">
        <v>5</v>
      </c>
      <c r="B14" s="60" t="s">
        <v>14</v>
      </c>
      <c r="C14" s="49">
        <v>29</v>
      </c>
      <c r="D14" s="108">
        <v>15052453.530000003</v>
      </c>
      <c r="E14" s="109">
        <v>925051.5691794172</v>
      </c>
      <c r="F14" s="110">
        <v>0.02602623149327165</v>
      </c>
      <c r="G14" s="22">
        <v>928969.1555805522</v>
      </c>
      <c r="H14" s="22">
        <v>3917.586401134962</v>
      </c>
      <c r="I14" s="57">
        <v>0.004234992438973023</v>
      </c>
    </row>
    <row r="15" spans="1:9" ht="12.75">
      <c r="A15" s="107"/>
      <c r="B15" s="7"/>
      <c r="D15" s="114"/>
      <c r="E15" s="112"/>
      <c r="F15" s="56"/>
      <c r="G15" s="22"/>
      <c r="H15" s="22"/>
      <c r="I15" s="57"/>
    </row>
    <row r="16" spans="1:9" ht="12.75">
      <c r="A16" s="113">
        <v>6</v>
      </c>
      <c r="B16" s="7" t="s">
        <v>37</v>
      </c>
      <c r="D16" s="114">
        <v>7123293782.919999</v>
      </c>
      <c r="E16" s="112">
        <v>484322762.6800336</v>
      </c>
      <c r="F16" s="56">
        <v>0.03933281605294122</v>
      </c>
      <c r="G16" s="22">
        <v>487124554.72058016</v>
      </c>
      <c r="H16" s="22">
        <v>2801792.0405465215</v>
      </c>
      <c r="I16" s="57">
        <v>0.005784968736638788</v>
      </c>
    </row>
    <row r="17" spans="1:9" ht="12.75">
      <c r="A17" s="107"/>
      <c r="B17" s="7"/>
      <c r="D17" s="114"/>
      <c r="E17" s="112"/>
      <c r="F17" s="56"/>
      <c r="G17" s="22"/>
      <c r="H17" s="22"/>
      <c r="I17" s="57"/>
    </row>
    <row r="18" spans="1:9" ht="12.75">
      <c r="A18" s="113">
        <v>7</v>
      </c>
      <c r="B18" s="60" t="s">
        <v>15</v>
      </c>
      <c r="C18" s="49">
        <v>31</v>
      </c>
      <c r="D18" s="108">
        <v>1664882182.7100003</v>
      </c>
      <c r="E18" s="109">
        <v>92483210.09425142</v>
      </c>
      <c r="F18" s="110">
        <v>0.03490078835573403</v>
      </c>
      <c r="G18" s="22">
        <v>93064267.10121137</v>
      </c>
      <c r="H18" s="22">
        <v>581057.006959945</v>
      </c>
      <c r="I18" s="57">
        <v>0.006282837786099537</v>
      </c>
    </row>
    <row r="19" spans="1:9" ht="12.75">
      <c r="A19" s="113">
        <v>8</v>
      </c>
      <c r="B19" s="60" t="s">
        <v>16</v>
      </c>
      <c r="C19" s="49">
        <v>35</v>
      </c>
      <c r="D19" s="111">
        <v>5121000</v>
      </c>
      <c r="E19" s="109">
        <v>196766.16299999997</v>
      </c>
      <c r="F19" s="110">
        <v>0.03333953899549775</v>
      </c>
      <c r="G19" s="22">
        <v>198473.48079195942</v>
      </c>
      <c r="H19" s="22">
        <v>1707.3177919594455</v>
      </c>
      <c r="I19" s="57">
        <v>0.008676887153404754</v>
      </c>
    </row>
    <row r="20" spans="1:9" ht="12.75">
      <c r="A20" s="113">
        <v>9</v>
      </c>
      <c r="B20" s="60" t="s">
        <v>17</v>
      </c>
      <c r="C20" s="49">
        <v>43</v>
      </c>
      <c r="D20" s="108">
        <v>175048208.39999998</v>
      </c>
      <c r="E20" s="109">
        <v>11026548.120174801</v>
      </c>
      <c r="F20" s="110">
        <v>0.0379281244494086</v>
      </c>
      <c r="G20" s="22">
        <v>11092940.622503214</v>
      </c>
      <c r="H20" s="22">
        <v>66392.50232841261</v>
      </c>
      <c r="I20" s="57">
        <v>0.00602115019177553</v>
      </c>
    </row>
    <row r="21" spans="1:9" ht="12.75">
      <c r="A21" s="107"/>
      <c r="B21" s="24"/>
      <c r="D21" s="114"/>
      <c r="E21" s="112"/>
      <c r="F21" s="56"/>
      <c r="G21" s="22"/>
      <c r="H21" s="22"/>
      <c r="I21" s="57"/>
    </row>
    <row r="22" spans="1:9" ht="12.75">
      <c r="A22" s="113">
        <v>10</v>
      </c>
      <c r="B22" s="24" t="s">
        <v>38</v>
      </c>
      <c r="D22" s="114">
        <v>1845051391.1100001</v>
      </c>
      <c r="E22" s="112">
        <v>103706524.37742622</v>
      </c>
      <c r="F22" s="56">
        <v>0.03518367185912248</v>
      </c>
      <c r="G22" s="22">
        <v>104355681.20450655</v>
      </c>
      <c r="H22" s="22">
        <v>649156.8270803171</v>
      </c>
      <c r="I22" s="57">
        <v>0.006259556290960021</v>
      </c>
    </row>
    <row r="23" spans="1:9" ht="12.75">
      <c r="A23" s="107"/>
      <c r="B23" s="24"/>
      <c r="D23" s="114"/>
      <c r="E23" s="112"/>
      <c r="F23" s="56"/>
      <c r="G23" s="22"/>
      <c r="H23" s="22"/>
      <c r="I23" s="57"/>
    </row>
    <row r="24" spans="1:9" ht="12.75">
      <c r="A24" s="113">
        <v>11</v>
      </c>
      <c r="B24" s="60" t="s">
        <v>39</v>
      </c>
      <c r="C24" s="49">
        <v>46</v>
      </c>
      <c r="D24" s="111">
        <v>50620000</v>
      </c>
      <c r="E24" s="109">
        <v>2156708.599</v>
      </c>
      <c r="F24" s="110">
        <v>0.018589690448009854</v>
      </c>
      <c r="G24" s="22">
        <v>2166118.7003047825</v>
      </c>
      <c r="H24" s="22">
        <v>9410.101304782555</v>
      </c>
      <c r="I24" s="57">
        <v>0.004363176976781069</v>
      </c>
    </row>
    <row r="25" spans="1:9" ht="12.75">
      <c r="A25" s="113">
        <v>12</v>
      </c>
      <c r="B25" s="59" t="s">
        <v>40</v>
      </c>
      <c r="C25" s="49">
        <v>49</v>
      </c>
      <c r="D25" s="111">
        <v>427726004.48</v>
      </c>
      <c r="E25" s="109">
        <v>19217523.406457443</v>
      </c>
      <c r="F25" s="110">
        <v>0.03592389111444505</v>
      </c>
      <c r="G25" s="22">
        <v>19371179.230575003</v>
      </c>
      <c r="H25" s="22">
        <v>153655.82411755994</v>
      </c>
      <c r="I25" s="57">
        <v>0.007995610093334334</v>
      </c>
    </row>
    <row r="26" spans="1:9" ht="12.75">
      <c r="A26" s="107"/>
      <c r="B26" s="7"/>
      <c r="D26" s="114"/>
      <c r="E26" s="112"/>
      <c r="F26" s="56"/>
      <c r="G26" s="22"/>
      <c r="H26" s="22"/>
      <c r="I26" s="57"/>
    </row>
    <row r="27" spans="1:9" ht="12.75">
      <c r="A27" s="113">
        <v>13</v>
      </c>
      <c r="B27" s="25" t="s">
        <v>41</v>
      </c>
      <c r="D27" s="114">
        <v>478346004.48</v>
      </c>
      <c r="E27" s="114">
        <v>21374232.005457442</v>
      </c>
      <c r="F27" s="110">
        <v>0.03408953433187094</v>
      </c>
      <c r="G27" s="8">
        <v>21537297.930879787</v>
      </c>
      <c r="H27" s="22">
        <v>163065.9254223425</v>
      </c>
      <c r="I27" s="57">
        <v>0.0076290893343305705</v>
      </c>
    </row>
    <row r="28" spans="1:9" ht="12.75">
      <c r="A28" s="107"/>
      <c r="B28" s="7"/>
      <c r="D28" s="114"/>
      <c r="E28" s="112"/>
      <c r="F28" s="110"/>
      <c r="G28" s="22"/>
      <c r="H28" s="22"/>
      <c r="I28" s="57"/>
    </row>
    <row r="29" spans="1:10" ht="12.75">
      <c r="A29" s="113">
        <v>14</v>
      </c>
      <c r="B29" s="7" t="s">
        <v>20</v>
      </c>
      <c r="D29" s="111">
        <v>82356894.11029999</v>
      </c>
      <c r="E29" s="109">
        <v>12752537.023942083</v>
      </c>
      <c r="F29" s="110">
        <v>0.03518813646538315</v>
      </c>
      <c r="G29" s="22">
        <v>12781516.880230267</v>
      </c>
      <c r="H29" s="22">
        <v>28979.85628818348</v>
      </c>
      <c r="I29" s="57">
        <v>0.0022724777221799575</v>
      </c>
      <c r="J29" s="115"/>
    </row>
    <row r="30" spans="1:9" ht="12.75">
      <c r="A30" s="107"/>
      <c r="B30" s="7"/>
      <c r="D30" s="114"/>
      <c r="E30" s="112"/>
      <c r="F30" s="116"/>
      <c r="G30" s="22"/>
      <c r="H30" s="22"/>
      <c r="I30" s="9"/>
    </row>
    <row r="31" spans="1:9" ht="12.75">
      <c r="A31" s="107">
        <v>15</v>
      </c>
      <c r="B31" s="61" t="s">
        <v>42</v>
      </c>
      <c r="C31" s="62" t="s">
        <v>43</v>
      </c>
      <c r="D31" s="108">
        <v>7758862</v>
      </c>
      <c r="E31" s="109">
        <v>461992.83183291124</v>
      </c>
      <c r="F31" s="110">
        <v>0.04375661384267947</v>
      </c>
      <c r="G31" s="22">
        <v>465387.8471168376</v>
      </c>
      <c r="H31" s="22">
        <v>3395.01528392639</v>
      </c>
      <c r="I31" s="57">
        <v>0.007348631948372445</v>
      </c>
    </row>
    <row r="32" spans="1:9" ht="12.75">
      <c r="A32" s="107"/>
      <c r="B32" s="61"/>
      <c r="C32" s="62"/>
      <c r="D32" s="114"/>
      <c r="E32" s="112"/>
      <c r="F32" s="56"/>
      <c r="G32" s="22"/>
      <c r="H32" s="22"/>
      <c r="I32" s="57"/>
    </row>
    <row r="33" spans="1:9" ht="12.75">
      <c r="A33" s="107">
        <v>16</v>
      </c>
      <c r="B33" s="60" t="s">
        <v>22</v>
      </c>
      <c r="D33" s="117">
        <v>19271717302.0203</v>
      </c>
      <c r="E33" s="112">
        <v>1367256714.2347813</v>
      </c>
      <c r="F33" s="56">
        <v>0.03906083104953445</v>
      </c>
      <c r="G33" s="22">
        <v>1374784407.1704674</v>
      </c>
      <c r="H33" s="118">
        <v>7527692.935686049</v>
      </c>
      <c r="I33" s="57">
        <v>0.005505690963016486</v>
      </c>
    </row>
    <row r="34" spans="1:9" ht="12.75">
      <c r="A34" s="107"/>
      <c r="B34" s="25"/>
      <c r="D34" s="114"/>
      <c r="E34" s="112"/>
      <c r="F34" s="56"/>
      <c r="G34" s="22"/>
      <c r="H34" s="22"/>
      <c r="I34" s="57"/>
    </row>
    <row r="35" spans="1:9" ht="12.75">
      <c r="A35" s="107">
        <v>17</v>
      </c>
      <c r="B35" s="25" t="s">
        <v>44</v>
      </c>
      <c r="D35" s="114"/>
      <c r="E35" s="112"/>
      <c r="F35" s="56"/>
      <c r="G35" s="22"/>
      <c r="H35" s="22"/>
      <c r="I35" s="57"/>
    </row>
    <row r="36" spans="1:9" ht="12.75">
      <c r="A36" s="113">
        <v>18</v>
      </c>
      <c r="B36" s="59" t="s">
        <v>23</v>
      </c>
      <c r="C36" s="62" t="s">
        <v>43</v>
      </c>
      <c r="D36" s="111">
        <v>0</v>
      </c>
      <c r="E36" s="109">
        <v>1277711.6792397052</v>
      </c>
      <c r="F36" s="56"/>
      <c r="G36" s="22">
        <v>1277711.6792397052</v>
      </c>
      <c r="H36" s="22">
        <v>0</v>
      </c>
      <c r="I36" s="57">
        <v>0</v>
      </c>
    </row>
    <row r="37" spans="1:9" ht="12.75">
      <c r="A37" s="113">
        <v>19</v>
      </c>
      <c r="B37" s="60" t="s">
        <v>24</v>
      </c>
      <c r="C37" s="62" t="s">
        <v>45</v>
      </c>
      <c r="D37" s="111">
        <v>2065832748</v>
      </c>
      <c r="E37" s="109">
        <v>6474515.555676</v>
      </c>
      <c r="F37" s="56"/>
      <c r="G37" s="22">
        <v>6474515.555676</v>
      </c>
      <c r="H37" s="22">
        <v>0</v>
      </c>
      <c r="I37" s="57">
        <v>0</v>
      </c>
    </row>
    <row r="38" spans="1:9" ht="12.75">
      <c r="A38" s="107"/>
      <c r="B38" s="59"/>
      <c r="D38" s="114"/>
      <c r="E38" s="112"/>
      <c r="F38" s="56"/>
      <c r="G38" s="22"/>
      <c r="H38" s="22"/>
      <c r="I38" s="57"/>
    </row>
    <row r="39" spans="1:9" ht="12.75">
      <c r="A39" s="107"/>
      <c r="B39" s="25"/>
      <c r="D39" s="114"/>
      <c r="E39" s="112"/>
      <c r="F39" s="56"/>
      <c r="G39" s="22"/>
      <c r="H39" s="22"/>
      <c r="I39" s="57"/>
    </row>
    <row r="40" spans="1:9" ht="12.75">
      <c r="A40" s="113">
        <v>20</v>
      </c>
      <c r="B40" s="25" t="s">
        <v>25</v>
      </c>
      <c r="D40" s="114">
        <v>21337550050.0203</v>
      </c>
      <c r="E40" s="112">
        <v>1375008941.469697</v>
      </c>
      <c r="F40" s="56"/>
      <c r="G40" s="22">
        <v>1382536634.405383</v>
      </c>
      <c r="H40" s="22">
        <v>7527692.935686049</v>
      </c>
      <c r="I40" s="57">
        <v>0.005474650170376327</v>
      </c>
    </row>
    <row r="41" spans="1:9" ht="13.5" thickBot="1">
      <c r="A41" s="119"/>
      <c r="B41" s="33"/>
      <c r="C41" s="63"/>
      <c r="D41" s="120"/>
      <c r="E41" s="120"/>
      <c r="F41" s="35"/>
      <c r="G41" s="34"/>
      <c r="H41" s="35"/>
      <c r="I41" s="38"/>
    </row>
    <row r="42" spans="4:12" ht="12.75">
      <c r="D42" s="114"/>
      <c r="E42" s="114"/>
      <c r="J42" s="39"/>
      <c r="K42" s="121"/>
      <c r="L42" s="122"/>
    </row>
    <row r="43" ht="12.75">
      <c r="D43" s="114"/>
    </row>
    <row r="44" spans="2:5" ht="12.75">
      <c r="B44" s="64"/>
      <c r="C44" s="5"/>
      <c r="D44" s="123"/>
      <c r="E44" s="30"/>
    </row>
    <row r="45" ht="12.75">
      <c r="D45" s="114"/>
    </row>
    <row r="46" ht="12.75">
      <c r="D46" s="114"/>
    </row>
    <row r="47" ht="12.75">
      <c r="D47" s="114"/>
    </row>
    <row r="48" ht="12.75">
      <c r="D48" s="114"/>
    </row>
    <row r="49" ht="12.75">
      <c r="D49" s="114"/>
    </row>
    <row r="50" ht="12.75">
      <c r="D50" s="114"/>
    </row>
    <row r="51" ht="12.75">
      <c r="D51" s="114"/>
    </row>
  </sheetData>
  <printOptions/>
  <pageMargins left="0.75" right="0.75" top="1" bottom="1" header="0.5" footer="0.5"/>
  <pageSetup cellComments="asDisplayed" fitToHeight="1" fitToWidth="1" horizontalDpi="600" verticalDpi="600" orientation="landscape" scale="80" r:id="rId3"/>
  <headerFooter alignWithMargins="0">
    <oddHeader>&amp;R&amp;"Arial,Bold"Docket Number UE-031725
Exhibit _____(JMR-6)
Page 1 of 3</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Puget Sound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Colleen Paulson</dc:creator>
  <cp:keywords/>
  <dc:description/>
  <cp:lastModifiedBy>Lisa D. Hardie</cp:lastModifiedBy>
  <cp:lastPrinted>2004-02-13T18:29:38Z</cp:lastPrinted>
  <dcterms:created xsi:type="dcterms:W3CDTF">2004-02-12T21:16:50Z</dcterms:created>
  <dcterms:modified xsi:type="dcterms:W3CDTF">2004-02-13T18:30:47Z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Testimony</vt:lpwstr>
  </property>
  <property fmtid="{D5CDD505-2E9C-101B-9397-08002B2CF9AE}" pid="3" name="IsHighlyConfidential">
    <vt:lpwstr>0</vt:lpwstr>
  </property>
  <property fmtid="{D5CDD505-2E9C-101B-9397-08002B2CF9AE}" pid="4" name="DocketNumber">
    <vt:lpwstr>031725</vt:lpwstr>
  </property>
  <property fmtid="{D5CDD505-2E9C-101B-9397-08002B2CF9AE}" pid="5" name="IsConfidential">
    <vt:lpwstr>0</vt:lpwstr>
  </property>
  <property fmtid="{D5CDD505-2E9C-101B-9397-08002B2CF9AE}" pid="6" name="Date1">
    <vt:lpwstr>2004-02-13T00:00:00Z</vt:lpwstr>
  </property>
  <property fmtid="{D5CDD505-2E9C-101B-9397-08002B2CF9AE}" pid="7" name="CaseType">
    <vt:lpwstr>Tariff Revision</vt:lpwstr>
  </property>
  <property fmtid="{D5CDD505-2E9C-101B-9397-08002B2CF9AE}" pid="8" name="OpenedDate">
    <vt:lpwstr>2003-10-24T00:00:00Z</vt:lpwstr>
  </property>
  <property fmtid="{D5CDD505-2E9C-101B-9397-08002B2CF9AE}" pid="9" name="Prefix">
    <vt:lpwstr>UE</vt:lpwstr>
  </property>
  <property fmtid="{D5CDD505-2E9C-101B-9397-08002B2CF9AE}" pid="10" name="CaseCompanyNames">
    <vt:lpwstr>Puget Sound Energy</vt:lpwstr>
  </property>
  <property fmtid="{D5CDD505-2E9C-101B-9397-08002B2CF9AE}" pid="11" name="IndustryCode">
    <vt:lpwstr>140</vt:lpwstr>
  </property>
  <property fmtid="{D5CDD505-2E9C-101B-9397-08002B2CF9AE}" pid="12" name="CaseStatus">
    <vt:lpwstr>Closed</vt:lpwstr>
  </property>
  <property fmtid="{D5CDD505-2E9C-101B-9397-08002B2CF9AE}" pid="13" name="_docset_NoMedatataSyncRequired">
    <vt:lpwstr>False</vt:lpwstr>
  </property>
  <property fmtid="{D5CDD505-2E9C-101B-9397-08002B2CF9AE}" pid="14" name="Nickname">
    <vt:lpwstr/>
  </property>
  <property fmtid="{D5CDD505-2E9C-101B-9397-08002B2CF9AE}" pid="15" name="Process">
    <vt:lpwstr/>
  </property>
  <property fmtid="{D5CDD505-2E9C-101B-9397-08002B2CF9AE}" pid="16" name="Visibility">
    <vt:lpwstr/>
  </property>
  <property fmtid="{D5CDD505-2E9C-101B-9397-08002B2CF9AE}" pid="17" name="DocumentGroup">
    <vt:lpwstr/>
  </property>
</Properties>
</file>