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ustomProperty4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25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21.bin" ContentType="application/vnd.openxmlformats-officedocument.spreadsheetml.customProperty"/>
  <Override PartName="/xl/customProperty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0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.Liotta\Desktop\"/>
    </mc:Choice>
  </mc:AlternateContent>
  <bookViews>
    <workbookView xWindow="0" yWindow="210" windowWidth="24000" windowHeight="8790" tabRatio="599" activeTab="1"/>
  </bookViews>
  <sheets>
    <sheet name="Table of Contents" sheetId="28" r:id="rId1"/>
    <sheet name="ECOS - INPUTS" sheetId="29" r:id="rId2"/>
    <sheet name="ECOS - CLASSIFIERS" sheetId="31" r:id="rId3"/>
    <sheet name="ECOS - EXTERNAL (2019 GRC)" sheetId="32" r:id="rId4"/>
    <sheet name="Peak Credit" sheetId="21" r:id="rId5"/>
    <sheet name="ROR" sheetId="26" r:id="rId6"/>
    <sheet name="Revenue Sensitive Items" sheetId="27" r:id="rId7"/>
    <sheet name="Proposed Rev" sheetId="38" r:id="rId8"/>
    <sheet name="Prop RW &amp; Spec Cont Rev" sheetId="39" r:id="rId9"/>
    <sheet name="Customer Counts" sheetId="1" r:id="rId10"/>
    <sheet name="Customer Deposits (235)" sheetId="4" r:id="rId11"/>
    <sheet name="Customer Advances (252)" sheetId="5" r:id="rId12"/>
    <sheet name="Proforma Revenue" sheetId="30" r:id="rId13"/>
    <sheet name="Other Op Rev (450-451)" sheetId="7" r:id="rId14"/>
    <sheet name="Other Op Rev Equip Rental (454)" sheetId="8" r:id="rId15"/>
    <sheet name="Records &amp; Collec (903)" sheetId="2" r:id="rId16"/>
    <sheet name="Uncollectibles (904)" sheetId="9" r:id="rId17"/>
    <sheet name="Dist Plant (360-368)" sheetId="14" r:id="rId18"/>
    <sheet name="Dist Accum Depr (360-368)" sheetId="15" r:id="rId19"/>
    <sheet name="NCP Dist Plant (360-362)" sheetId="16" r:id="rId20"/>
    <sheet name="NCP Dist OH-UG Plant (364-367)" sheetId="17" r:id="rId21"/>
    <sheet name="Dist Transformer Plant (368)" sheetId="18" r:id="rId22"/>
    <sheet name="Distribution Service (369)" sheetId="12" r:id="rId23"/>
    <sheet name="Meter Costs (370)" sheetId="11" r:id="rId24"/>
    <sheet name="Load Research Data - Summary" sheetId="13" r:id="rId25"/>
    <sheet name="Load Research Data - Dem 4CP" sheetId="19" r:id="rId26"/>
    <sheet name="Load Research Data -Energy" sheetId="20" r:id="rId27"/>
    <sheet name="BPA Delivered MWh" sheetId="37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Order1">0</definedName>
    <definedName name="_Order2">0</definedName>
    <definedName name="AccessDatabase">"I:\COMTREL\FINICLE\TradeSummary.mdb"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>1</definedName>
    <definedName name="_xlnm.Print_Area" localSheetId="11">'Customer Advances (252)'!#REF!</definedName>
    <definedName name="_xlnm.Print_Area" localSheetId="9">'Customer Counts'!$A$1:$Q$24</definedName>
    <definedName name="_xlnm.Print_Area" localSheetId="10">'Customer Deposits (235)'!$A$1:$B$16</definedName>
    <definedName name="_xlnm.Print_Area" localSheetId="18">'Dist Accum Depr (360-368)'!$A$1:$I$17</definedName>
    <definedName name="_xlnm.Print_Area" localSheetId="17">'Dist Plant (360-368)'!$A$1:$I$18</definedName>
    <definedName name="_xlnm.Print_Area" localSheetId="21">'Dist Transformer Plant (368)'!$A$1:$E$33</definedName>
    <definedName name="_xlnm.Print_Area" localSheetId="22">'Distribution Service (369)'!$A$1:$C$26</definedName>
    <definedName name="_xlnm.Print_Area" localSheetId="2">'ECOS - CLASSIFIERS'!$A$1:$I$22</definedName>
    <definedName name="_xlnm.Print_Area" localSheetId="3">'ECOS - EXTERNAL (2019 GRC)'!$A$1:$P$173</definedName>
    <definedName name="_xlnm.Print_Area" localSheetId="1">'ECOS - INPUTS'!$A$1:$F$74</definedName>
    <definedName name="_xlnm.Print_Area" localSheetId="25">'Load Research Data - Dem 4CP'!#REF!</definedName>
    <definedName name="_xlnm.Print_Area" localSheetId="24">'Load Research Data - Summary'!$A$1:$H$25</definedName>
    <definedName name="_xlnm.Print_Area" localSheetId="26">'Load Research Data -Energy'!#REF!</definedName>
    <definedName name="_xlnm.Print_Area" localSheetId="23">'Meter Costs (370)'!#REF!</definedName>
    <definedName name="_xlnm.Print_Area" localSheetId="20">'NCP Dist OH-UG Plant (364-367)'!$A$1:$C$22</definedName>
    <definedName name="_xlnm.Print_Area" localSheetId="19">'NCP Dist Plant (360-362)'!$A$1:$D$23</definedName>
    <definedName name="_xlnm.Print_Area" localSheetId="13">'Other Op Rev (450-451)'!$A$1:$N$12</definedName>
    <definedName name="_xlnm.Print_Area" localSheetId="14">'Other Op Rev Equip Rental (454)'!$A$1:$B$13</definedName>
    <definedName name="_xlnm.Print_Area" localSheetId="4">'Peak Credit'!#REF!</definedName>
    <definedName name="_xlnm.Print_Area" localSheetId="12">'Proforma Revenue'!$A$1:$N$40</definedName>
    <definedName name="_xlnm.Print_Area" localSheetId="8">'Prop RW &amp; Spec Cont Rev'!$A$1:$J$58</definedName>
    <definedName name="_xlnm.Print_Area" localSheetId="7">'Proposed Rev'!$A$1:$O$66</definedName>
    <definedName name="_xlnm.Print_Area" localSheetId="15">'Records &amp; Collec (903)'!$A$1:$L$23</definedName>
    <definedName name="_xlnm.Print_Area" localSheetId="6">'Revenue Sensitive Items'!#REF!</definedName>
    <definedName name="_xlnm.Print_Area" localSheetId="0">'Table of Contents'!$A$1:$B$36</definedName>
    <definedName name="_xlnm.Print_Area" localSheetId="16">'Uncollectibles (904)'!$A$1:$N$16</definedName>
    <definedName name="_xlnm.Print_Titles" localSheetId="3">'ECOS - EXTERNAL (2019 GRC)'!$1:$3</definedName>
  </definedNames>
  <calcPr calcId="162913" iterate="1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3" l="1"/>
  <c r="E23" i="13"/>
  <c r="F20" i="13"/>
  <c r="E20" i="13"/>
  <c r="E19" i="13"/>
  <c r="F18" i="13"/>
  <c r="E18" i="13"/>
  <c r="F17" i="13"/>
  <c r="E17" i="13"/>
  <c r="E16" i="13"/>
  <c r="F14" i="13"/>
  <c r="E14" i="13"/>
  <c r="F13" i="13"/>
  <c r="E13" i="13"/>
  <c r="F12" i="13"/>
  <c r="E12" i="13"/>
  <c r="E22" i="13" s="1"/>
  <c r="E24" i="13" s="1"/>
  <c r="F11" i="13"/>
  <c r="E11" i="13"/>
  <c r="F10" i="13"/>
  <c r="E10" i="13"/>
  <c r="F9" i="13"/>
  <c r="F22" i="13" s="1"/>
  <c r="F24" i="13" s="1"/>
  <c r="E9" i="13"/>
  <c r="H23" i="13"/>
  <c r="H20" i="13"/>
  <c r="H19" i="13"/>
  <c r="H18" i="13"/>
  <c r="H17" i="13"/>
  <c r="H16" i="13"/>
  <c r="H15" i="13"/>
  <c r="H14" i="13"/>
  <c r="H22" i="13" s="1"/>
  <c r="H24" i="13" s="1"/>
  <c r="H13" i="13"/>
  <c r="H12" i="13"/>
  <c r="H11" i="13"/>
  <c r="H10" i="13"/>
  <c r="H9" i="13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B57" i="19"/>
  <c r="R45" i="19"/>
  <c r="R46" i="19" s="1"/>
  <c r="P45" i="19"/>
  <c r="P46" i="19" s="1"/>
  <c r="O45" i="19"/>
  <c r="O46" i="19" s="1"/>
  <c r="N45" i="19"/>
  <c r="N46" i="19" s="1"/>
  <c r="M45" i="19"/>
  <c r="M46" i="19" s="1"/>
  <c r="L45" i="19"/>
  <c r="L46" i="19" s="1"/>
  <c r="K45" i="19"/>
  <c r="K46" i="19" s="1"/>
  <c r="J45" i="19"/>
  <c r="J46" i="19" s="1"/>
  <c r="I45" i="19"/>
  <c r="I46" i="19" s="1"/>
  <c r="H45" i="19"/>
  <c r="H46" i="19" s="1"/>
  <c r="G45" i="19"/>
  <c r="G46" i="19" s="1"/>
  <c r="F45" i="19"/>
  <c r="F46" i="19" s="1"/>
  <c r="E45" i="19"/>
  <c r="E46" i="19" s="1"/>
  <c r="D45" i="19"/>
  <c r="Q45" i="19" s="1"/>
  <c r="S45" i="19" s="1"/>
  <c r="P42" i="19"/>
  <c r="P48" i="19" s="1"/>
  <c r="N42" i="19"/>
  <c r="N48" i="19" s="1"/>
  <c r="M42" i="19"/>
  <c r="L42" i="19"/>
  <c r="K42" i="19"/>
  <c r="J42" i="19"/>
  <c r="I42" i="19"/>
  <c r="I48" i="19" s="1"/>
  <c r="H42" i="19"/>
  <c r="H48" i="19" s="1"/>
  <c r="G42" i="19"/>
  <c r="G48" i="19" s="1"/>
  <c r="F42" i="19"/>
  <c r="F48" i="19" s="1"/>
  <c r="E42" i="19"/>
  <c r="D42" i="19"/>
  <c r="W40" i="19"/>
  <c r="V40" i="19"/>
  <c r="U40" i="19"/>
  <c r="P40" i="19"/>
  <c r="N40" i="19"/>
  <c r="M40" i="19"/>
  <c r="L40" i="19"/>
  <c r="K40" i="19"/>
  <c r="J40" i="19"/>
  <c r="I40" i="19"/>
  <c r="H40" i="19"/>
  <c r="G40" i="19"/>
  <c r="F40" i="19"/>
  <c r="E40" i="19"/>
  <c r="D40" i="19"/>
  <c r="X38" i="19"/>
  <c r="R38" i="19"/>
  <c r="S38" i="19" s="1"/>
  <c r="Q38" i="19"/>
  <c r="O38" i="19"/>
  <c r="X37" i="19"/>
  <c r="R37" i="19" s="1"/>
  <c r="O37" i="19"/>
  <c r="Q37" i="19" s="1"/>
  <c r="S37" i="19" s="1"/>
  <c r="X36" i="19"/>
  <c r="R36" i="19" s="1"/>
  <c r="O36" i="19"/>
  <c r="Q36" i="19" s="1"/>
  <c r="X35" i="19"/>
  <c r="R35" i="19"/>
  <c r="Q35" i="19"/>
  <c r="S35" i="19" s="1"/>
  <c r="O35" i="19"/>
  <c r="X34" i="19"/>
  <c r="R34" i="19" s="1"/>
  <c r="O34" i="19"/>
  <c r="Q34" i="19" s="1"/>
  <c r="S34" i="19" s="1"/>
  <c r="X33" i="19"/>
  <c r="R33" i="19" s="1"/>
  <c r="S33" i="19" s="1"/>
  <c r="Q33" i="19"/>
  <c r="O33" i="19"/>
  <c r="X32" i="19"/>
  <c r="R32" i="19"/>
  <c r="O32" i="19"/>
  <c r="Q32" i="19" s="1"/>
  <c r="S32" i="19" s="1"/>
  <c r="X31" i="19"/>
  <c r="R31" i="19" s="1"/>
  <c r="S31" i="19" s="1"/>
  <c r="Q31" i="19"/>
  <c r="O31" i="19"/>
  <c r="X30" i="19"/>
  <c r="R30" i="19"/>
  <c r="S30" i="19" s="1"/>
  <c r="Q30" i="19"/>
  <c r="O30" i="19"/>
  <c r="X29" i="19"/>
  <c r="R29" i="19" s="1"/>
  <c r="O29" i="19"/>
  <c r="O42" i="19" s="1"/>
  <c r="O48" i="19" s="1"/>
  <c r="X28" i="19"/>
  <c r="R28" i="19" s="1"/>
  <c r="O28" i="19"/>
  <c r="Q28" i="19" s="1"/>
  <c r="S28" i="19" s="1"/>
  <c r="X27" i="19"/>
  <c r="R27" i="19"/>
  <c r="Q27" i="19"/>
  <c r="S27" i="19" s="1"/>
  <c r="O27" i="19"/>
  <c r="O40" i="19" s="1"/>
  <c r="S20" i="19"/>
  <c r="R21" i="19" s="1"/>
  <c r="X16" i="19"/>
  <c r="Y16" i="19" s="1"/>
  <c r="T16" i="19"/>
  <c r="S16" i="19"/>
  <c r="X15" i="19"/>
  <c r="Y15" i="19" s="1"/>
  <c r="T15" i="19"/>
  <c r="S15" i="19"/>
  <c r="X14" i="19"/>
  <c r="Y14" i="19" s="1"/>
  <c r="T14" i="19"/>
  <c r="S14" i="19"/>
  <c r="X13" i="19"/>
  <c r="Y13" i="19" s="1"/>
  <c r="T13" i="19"/>
  <c r="S13" i="19"/>
  <c r="X12" i="19"/>
  <c r="Y12" i="19" s="1"/>
  <c r="T12" i="19"/>
  <c r="S12" i="19"/>
  <c r="X11" i="19"/>
  <c r="Y11" i="19" s="1"/>
  <c r="T11" i="19"/>
  <c r="S11" i="19"/>
  <c r="X10" i="19"/>
  <c r="Y10" i="19" s="1"/>
  <c r="T10" i="19"/>
  <c r="S10" i="19"/>
  <c r="X9" i="19"/>
  <c r="Y9" i="19" s="1"/>
  <c r="T9" i="19"/>
  <c r="S9" i="19"/>
  <c r="X8" i="19"/>
  <c r="Y8" i="19" s="1"/>
  <c r="T8" i="19"/>
  <c r="S8" i="19"/>
  <c r="X7" i="19"/>
  <c r="Y7" i="19" s="1"/>
  <c r="T7" i="19"/>
  <c r="S7" i="19"/>
  <c r="X6" i="19"/>
  <c r="Y6" i="19" s="1"/>
  <c r="T6" i="19"/>
  <c r="S6" i="19"/>
  <c r="X5" i="19"/>
  <c r="Y5" i="19" s="1"/>
  <c r="T5" i="19"/>
  <c r="S5" i="19"/>
  <c r="P21" i="19"/>
  <c r="L21" i="19"/>
  <c r="K21" i="19"/>
  <c r="H21" i="19"/>
  <c r="D21" i="19"/>
  <c r="R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Q40" i="19" l="1"/>
  <c r="J48" i="19"/>
  <c r="Q42" i="19"/>
  <c r="L48" i="19"/>
  <c r="K48" i="19"/>
  <c r="R42" i="19"/>
  <c r="R48" i="19" s="1"/>
  <c r="S36" i="19"/>
  <c r="E48" i="19"/>
  <c r="M48" i="19"/>
  <c r="D46" i="19"/>
  <c r="D48" i="19"/>
  <c r="R40" i="19"/>
  <c r="Q29" i="19"/>
  <c r="S29" i="19" s="1"/>
  <c r="E21" i="19"/>
  <c r="M21" i="19"/>
  <c r="F21" i="19"/>
  <c r="N21" i="19"/>
  <c r="G21" i="19"/>
  <c r="O21" i="19"/>
  <c r="I21" i="19"/>
  <c r="Q21" i="19"/>
  <c r="S21" i="19" s="1"/>
  <c r="J21" i="19"/>
  <c r="Q48" i="19" l="1"/>
  <c r="Q46" i="19"/>
  <c r="S42" i="19"/>
  <c r="S40" i="19"/>
  <c r="S46" i="19" l="1"/>
  <c r="S48" i="19"/>
  <c r="Q49" i="19"/>
  <c r="S47" i="19" l="1"/>
  <c r="B56" i="19"/>
  <c r="B58" i="19" s="1"/>
  <c r="B59" i="19" s="1"/>
  <c r="Q52" i="19" s="1"/>
  <c r="S52" i="19" s="1"/>
  <c r="J47" i="19"/>
  <c r="J51" i="19" s="1"/>
  <c r="G47" i="19"/>
  <c r="G51" i="19" s="1"/>
  <c r="G53" i="19" s="1"/>
  <c r="G63" i="19" s="1"/>
  <c r="L47" i="19"/>
  <c r="L51" i="19" s="1"/>
  <c r="F47" i="19"/>
  <c r="F51" i="19" s="1"/>
  <c r="H47" i="19"/>
  <c r="H51" i="19" s="1"/>
  <c r="H53" i="19" s="1"/>
  <c r="H63" i="19" s="1"/>
  <c r="I47" i="19"/>
  <c r="I51" i="19" s="1"/>
  <c r="N47" i="19"/>
  <c r="P47" i="19"/>
  <c r="P51" i="19" s="1"/>
  <c r="R47" i="19"/>
  <c r="R51" i="19" s="1"/>
  <c r="K47" i="19"/>
  <c r="K51" i="19" s="1"/>
  <c r="M47" i="19"/>
  <c r="M51" i="19" s="1"/>
  <c r="O47" i="19"/>
  <c r="O51" i="19" s="1"/>
  <c r="O53" i="19" s="1"/>
  <c r="O63" i="19" s="1"/>
  <c r="E47" i="19"/>
  <c r="E51" i="19" s="1"/>
  <c r="E53" i="19" s="1"/>
  <c r="E63" i="19" s="1"/>
  <c r="D47" i="19"/>
  <c r="D51" i="19" s="1"/>
  <c r="D53" i="19" s="1"/>
  <c r="D63" i="19" s="1"/>
  <c r="S49" i="19"/>
  <c r="G49" i="19"/>
  <c r="G52" i="19" s="1"/>
  <c r="H49" i="19"/>
  <c r="H52" i="19" s="1"/>
  <c r="N49" i="19"/>
  <c r="N52" i="19" s="1"/>
  <c r="O49" i="19"/>
  <c r="O52" i="19" s="1"/>
  <c r="I49" i="19"/>
  <c r="I52" i="19" s="1"/>
  <c r="F49" i="19"/>
  <c r="F52" i="19" s="1"/>
  <c r="P49" i="19"/>
  <c r="P52" i="19" s="1"/>
  <c r="E49" i="19"/>
  <c r="E52" i="19" s="1"/>
  <c r="D49" i="19"/>
  <c r="D52" i="19" s="1"/>
  <c r="J49" i="19"/>
  <c r="J52" i="19" s="1"/>
  <c r="M49" i="19"/>
  <c r="M52" i="19" s="1"/>
  <c r="R49" i="19"/>
  <c r="R52" i="19" s="1"/>
  <c r="L49" i="19"/>
  <c r="L52" i="19" s="1"/>
  <c r="K49" i="19"/>
  <c r="K52" i="19" s="1"/>
  <c r="Q47" i="19"/>
  <c r="Q51" i="19" s="1"/>
  <c r="I53" i="19" l="1"/>
  <c r="I63" i="19" s="1"/>
  <c r="L53" i="19"/>
  <c r="L63" i="19" s="1"/>
  <c r="R53" i="19"/>
  <c r="R63" i="19" s="1"/>
  <c r="J53" i="19"/>
  <c r="J63" i="19" s="1"/>
  <c r="F53" i="19"/>
  <c r="F63" i="19" s="1"/>
  <c r="K53" i="19"/>
  <c r="K63" i="19" s="1"/>
  <c r="P53" i="19"/>
  <c r="P63" i="19" s="1"/>
  <c r="M53" i="19"/>
  <c r="M63" i="19" s="1"/>
  <c r="S51" i="19"/>
  <c r="Q53" i="19"/>
  <c r="N51" i="19"/>
  <c r="N53" i="19" s="1"/>
  <c r="N63" i="19" s="1"/>
  <c r="S53" i="19" l="1"/>
  <c r="S63" i="19" s="1"/>
  <c r="F64" i="19" s="1"/>
  <c r="Q63" i="19"/>
  <c r="R64" i="19"/>
  <c r="I64" i="19"/>
  <c r="J65" i="19"/>
  <c r="M64" i="19"/>
  <c r="M65" i="19"/>
  <c r="J64" i="19" l="1"/>
  <c r="N64" i="19"/>
  <c r="N65" i="19"/>
  <c r="D64" i="19"/>
  <c r="G64" i="19"/>
  <c r="O65" i="19"/>
  <c r="E65" i="19"/>
  <c r="H64" i="19"/>
  <c r="D65" i="19"/>
  <c r="G65" i="19"/>
  <c r="E64" i="19"/>
  <c r="H65" i="19"/>
  <c r="O64" i="19"/>
  <c r="L64" i="19"/>
  <c r="P65" i="19"/>
  <c r="F65" i="19"/>
  <c r="I65" i="19"/>
  <c r="P64" i="19"/>
  <c r="Q64" i="19" l="1"/>
  <c r="S64" i="19" s="1"/>
  <c r="Q65" i="19"/>
  <c r="S65" i="19" s="1"/>
  <c r="D22" i="37" l="1"/>
  <c r="A22" i="37"/>
  <c r="A21" i="37"/>
  <c r="A20" i="37"/>
  <c r="A19" i="37"/>
  <c r="D18" i="37"/>
  <c r="A18" i="37"/>
  <c r="A17" i="37"/>
  <c r="A16" i="37"/>
  <c r="A15" i="37"/>
  <c r="D14" i="37"/>
  <c r="A14" i="37"/>
  <c r="A13" i="37"/>
  <c r="A12" i="37"/>
  <c r="A11" i="37"/>
  <c r="A10" i="37"/>
  <c r="A9" i="37"/>
  <c r="D8" i="37"/>
  <c r="A8" i="37"/>
  <c r="R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Q16" i="19"/>
  <c r="Q15" i="19"/>
  <c r="Q14" i="19"/>
  <c r="Q13" i="19"/>
  <c r="Q12" i="19"/>
  <c r="Q11" i="19"/>
  <c r="Q10" i="19"/>
  <c r="Q9" i="19"/>
  <c r="Q8" i="19"/>
  <c r="Q7" i="19"/>
  <c r="Q6" i="19"/>
  <c r="Q5" i="19"/>
  <c r="Q20" i="19" s="1"/>
  <c r="G24" i="13"/>
  <c r="D24" i="13"/>
  <c r="C24" i="13"/>
  <c r="G23" i="13"/>
  <c r="D23" i="13"/>
  <c r="C23" i="13"/>
  <c r="G22" i="13"/>
  <c r="D22" i="13"/>
  <c r="C22" i="13"/>
  <c r="G20" i="13"/>
  <c r="D20" i="13"/>
  <c r="C20" i="13"/>
  <c r="N94" i="32"/>
  <c r="G19" i="13"/>
  <c r="C19" i="13"/>
  <c r="G18" i="13"/>
  <c r="O97" i="32"/>
  <c r="D18" i="13"/>
  <c r="C18" i="13"/>
  <c r="G17" i="13"/>
  <c r="D17" i="13"/>
  <c r="C17" i="13"/>
  <c r="L94" i="32"/>
  <c r="G16" i="13"/>
  <c r="C16" i="13"/>
  <c r="G15" i="13"/>
  <c r="D15" i="13"/>
  <c r="C15" i="13"/>
  <c r="G14" i="13"/>
  <c r="D14" i="13"/>
  <c r="C14" i="13"/>
  <c r="G13" i="13"/>
  <c r="D13" i="13"/>
  <c r="C13" i="13"/>
  <c r="G12" i="13"/>
  <c r="D12" i="13"/>
  <c r="C12" i="13"/>
  <c r="G11" i="13"/>
  <c r="D11" i="13"/>
  <c r="C11" i="13"/>
  <c r="G10" i="13"/>
  <c r="D10" i="13"/>
  <c r="C10" i="13"/>
  <c r="G9" i="13"/>
  <c r="D9" i="13"/>
  <c r="C9" i="13"/>
  <c r="B35" i="11"/>
  <c r="B34" i="11"/>
  <c r="B33" i="11"/>
  <c r="B31" i="11"/>
  <c r="B30" i="11"/>
  <c r="B29" i="11"/>
  <c r="B28" i="11"/>
  <c r="K27" i="11"/>
  <c r="I27" i="11"/>
  <c r="K26" i="11"/>
  <c r="D26" i="11"/>
  <c r="K25" i="11"/>
  <c r="J25" i="11"/>
  <c r="G23" i="11"/>
  <c r="F23" i="11"/>
  <c r="E23" i="11"/>
  <c r="K22" i="11"/>
  <c r="I22" i="11"/>
  <c r="K21" i="11"/>
  <c r="I21" i="11"/>
  <c r="K20" i="11"/>
  <c r="I20" i="11"/>
  <c r="G19" i="11"/>
  <c r="D19" i="11"/>
  <c r="G18" i="11"/>
  <c r="D18" i="11"/>
  <c r="G17" i="11"/>
  <c r="D17" i="11"/>
  <c r="K16" i="11"/>
  <c r="I16" i="11"/>
  <c r="K15" i="11"/>
  <c r="I15" i="11"/>
  <c r="K14" i="11"/>
  <c r="I14" i="11"/>
  <c r="K13" i="11"/>
  <c r="I13" i="11"/>
  <c r="K12" i="11"/>
  <c r="J12" i="11"/>
  <c r="I12" i="11"/>
  <c r="K11" i="11"/>
  <c r="I11" i="11"/>
  <c r="K10" i="11"/>
  <c r="J10" i="11"/>
  <c r="I10" i="11"/>
  <c r="K9" i="11"/>
  <c r="J9" i="11"/>
  <c r="I9" i="11"/>
  <c r="K8" i="11"/>
  <c r="I8" i="11"/>
  <c r="K7" i="11"/>
  <c r="I7" i="11"/>
  <c r="B26" i="12"/>
  <c r="E33" i="18"/>
  <c r="B33" i="18"/>
  <c r="E19" i="18"/>
  <c r="B19" i="18"/>
  <c r="E18" i="18"/>
  <c r="B18" i="18"/>
  <c r="E15" i="18"/>
  <c r="B15" i="18"/>
  <c r="C60" i="17"/>
  <c r="C58" i="17"/>
  <c r="B58" i="17"/>
  <c r="C56" i="17"/>
  <c r="B56" i="17"/>
  <c r="C45" i="17"/>
  <c r="B45" i="17"/>
  <c r="C34" i="17"/>
  <c r="B34" i="17"/>
  <c r="B23" i="17"/>
  <c r="C22" i="17"/>
  <c r="B22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D58" i="16"/>
  <c r="C58" i="16"/>
  <c r="B58" i="16"/>
  <c r="D56" i="16"/>
  <c r="C56" i="16"/>
  <c r="B56" i="16"/>
  <c r="D45" i="16"/>
  <c r="C45" i="16"/>
  <c r="B45" i="16"/>
  <c r="D34" i="16"/>
  <c r="C34" i="16"/>
  <c r="B34" i="16"/>
  <c r="D23" i="16"/>
  <c r="C23" i="16"/>
  <c r="B23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I16" i="15"/>
  <c r="H16" i="15"/>
  <c r="G16" i="15"/>
  <c r="F16" i="15"/>
  <c r="E16" i="15"/>
  <c r="D16" i="15"/>
  <c r="C16" i="15"/>
  <c r="I15" i="15"/>
  <c r="H15" i="15"/>
  <c r="G15" i="15"/>
  <c r="F15" i="15"/>
  <c r="E15" i="15"/>
  <c r="D15" i="15"/>
  <c r="C15" i="15"/>
  <c r="I14" i="15"/>
  <c r="H14" i="15"/>
  <c r="G14" i="15"/>
  <c r="F14" i="15"/>
  <c r="E14" i="15"/>
  <c r="D14" i="15"/>
  <c r="C14" i="15"/>
  <c r="I13" i="15"/>
  <c r="H13" i="15"/>
  <c r="G13" i="15"/>
  <c r="F13" i="15"/>
  <c r="E13" i="15"/>
  <c r="D13" i="15"/>
  <c r="C13" i="15"/>
  <c r="I12" i="15"/>
  <c r="H12" i="15"/>
  <c r="G12" i="15"/>
  <c r="F12" i="15"/>
  <c r="E12" i="15"/>
  <c r="D12" i="15"/>
  <c r="C12" i="15"/>
  <c r="I11" i="15"/>
  <c r="H11" i="15"/>
  <c r="G11" i="15"/>
  <c r="F11" i="15"/>
  <c r="E11" i="15"/>
  <c r="D11" i="15"/>
  <c r="C11" i="15"/>
  <c r="I10" i="15"/>
  <c r="H10" i="15"/>
  <c r="G10" i="15"/>
  <c r="F10" i="15"/>
  <c r="E10" i="15"/>
  <c r="D10" i="15"/>
  <c r="C10" i="15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17" i="14"/>
  <c r="H17" i="14"/>
  <c r="G17" i="14"/>
  <c r="F17" i="14"/>
  <c r="E17" i="14"/>
  <c r="D17" i="14"/>
  <c r="C17" i="14"/>
  <c r="I15" i="14"/>
  <c r="H15" i="14"/>
  <c r="G15" i="14"/>
  <c r="F15" i="14"/>
  <c r="E15" i="14"/>
  <c r="D15" i="14"/>
  <c r="C15" i="14"/>
  <c r="I14" i="14"/>
  <c r="H14" i="14"/>
  <c r="G14" i="14"/>
  <c r="F14" i="14"/>
  <c r="E14" i="14"/>
  <c r="D14" i="14"/>
  <c r="C14" i="14"/>
  <c r="I13" i="14"/>
  <c r="H13" i="14"/>
  <c r="G13" i="14"/>
  <c r="F13" i="14"/>
  <c r="E13" i="14"/>
  <c r="D13" i="14"/>
  <c r="C13" i="14"/>
  <c r="I12" i="14"/>
  <c r="H12" i="14"/>
  <c r="G12" i="14"/>
  <c r="F12" i="14"/>
  <c r="E12" i="14"/>
  <c r="D12" i="14"/>
  <c r="C12" i="14"/>
  <c r="I11" i="14"/>
  <c r="H11" i="14"/>
  <c r="G11" i="14"/>
  <c r="F11" i="14"/>
  <c r="E11" i="14"/>
  <c r="D11" i="14"/>
  <c r="C11" i="14"/>
  <c r="I10" i="14"/>
  <c r="H10" i="14"/>
  <c r="G10" i="14"/>
  <c r="F10" i="14"/>
  <c r="E10" i="14"/>
  <c r="D10" i="14"/>
  <c r="C10" i="14"/>
  <c r="I9" i="14"/>
  <c r="H9" i="14"/>
  <c r="G9" i="14"/>
  <c r="F9" i="14"/>
  <c r="E9" i="14"/>
  <c r="D9" i="14"/>
  <c r="C9" i="14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B15" i="9"/>
  <c r="B14" i="9"/>
  <c r="B13" i="9"/>
  <c r="B12" i="9"/>
  <c r="B11" i="9"/>
  <c r="B10" i="9"/>
  <c r="B9" i="9"/>
  <c r="B14" i="8"/>
  <c r="O11" i="7"/>
  <c r="O10" i="7"/>
  <c r="O9" i="7"/>
  <c r="O8" i="7"/>
  <c r="O7" i="7"/>
  <c r="A40" i="30"/>
  <c r="N39" i="30"/>
  <c r="M39" i="30"/>
  <c r="L39" i="30"/>
  <c r="K39" i="30"/>
  <c r="J39" i="30"/>
  <c r="H39" i="30"/>
  <c r="G39" i="30"/>
  <c r="F39" i="30"/>
  <c r="E39" i="30"/>
  <c r="D39" i="30"/>
  <c r="B39" i="30"/>
  <c r="A39" i="30"/>
  <c r="A38" i="30"/>
  <c r="N37" i="30"/>
  <c r="M37" i="30"/>
  <c r="L37" i="30"/>
  <c r="K37" i="30"/>
  <c r="J37" i="30"/>
  <c r="H37" i="30"/>
  <c r="G37" i="30"/>
  <c r="F37" i="30"/>
  <c r="E37" i="30"/>
  <c r="D37" i="30"/>
  <c r="C37" i="30"/>
  <c r="B37" i="30"/>
  <c r="A37" i="30"/>
  <c r="A36" i="30"/>
  <c r="N35" i="30"/>
  <c r="M35" i="30"/>
  <c r="L35" i="30"/>
  <c r="K35" i="30"/>
  <c r="J35" i="30"/>
  <c r="H35" i="30"/>
  <c r="G35" i="30"/>
  <c r="F35" i="30"/>
  <c r="E35" i="30"/>
  <c r="D35" i="30"/>
  <c r="B35" i="30"/>
  <c r="A35" i="30"/>
  <c r="A34" i="30"/>
  <c r="N33" i="30"/>
  <c r="M33" i="30"/>
  <c r="L33" i="30"/>
  <c r="K33" i="30"/>
  <c r="J33" i="30"/>
  <c r="H33" i="30"/>
  <c r="G33" i="30"/>
  <c r="F33" i="30"/>
  <c r="E33" i="30"/>
  <c r="D33" i="30"/>
  <c r="C33" i="30"/>
  <c r="B33" i="30"/>
  <c r="A33" i="30"/>
  <c r="A32" i="30"/>
  <c r="N31" i="30"/>
  <c r="M31" i="30"/>
  <c r="L31" i="30"/>
  <c r="K31" i="30"/>
  <c r="J31" i="30"/>
  <c r="H31" i="30"/>
  <c r="G31" i="30"/>
  <c r="F31" i="30"/>
  <c r="E31" i="30"/>
  <c r="D31" i="30"/>
  <c r="C31" i="30"/>
  <c r="B31" i="30"/>
  <c r="A31" i="30"/>
  <c r="A30" i="30"/>
  <c r="N29" i="30"/>
  <c r="M29" i="30"/>
  <c r="L29" i="30"/>
  <c r="K29" i="30"/>
  <c r="J29" i="30"/>
  <c r="H29" i="30"/>
  <c r="G29" i="30"/>
  <c r="F29" i="30"/>
  <c r="E29" i="30"/>
  <c r="D29" i="30"/>
  <c r="B29" i="30"/>
  <c r="A29" i="30"/>
  <c r="N28" i="30"/>
  <c r="M28" i="30"/>
  <c r="L28" i="30"/>
  <c r="K28" i="30"/>
  <c r="J28" i="30"/>
  <c r="H28" i="30"/>
  <c r="G28" i="30"/>
  <c r="F28" i="30"/>
  <c r="E28" i="30"/>
  <c r="D28" i="30"/>
  <c r="C28" i="30"/>
  <c r="B28" i="30"/>
  <c r="A28" i="30"/>
  <c r="N27" i="30"/>
  <c r="M27" i="30"/>
  <c r="L27" i="30"/>
  <c r="K27" i="30"/>
  <c r="J27" i="30"/>
  <c r="H27" i="30"/>
  <c r="G27" i="30"/>
  <c r="F27" i="30"/>
  <c r="E27" i="30"/>
  <c r="D27" i="30"/>
  <c r="C27" i="30"/>
  <c r="B27" i="30"/>
  <c r="A27" i="30"/>
  <c r="A26" i="30"/>
  <c r="N25" i="30"/>
  <c r="M25" i="30"/>
  <c r="L25" i="30"/>
  <c r="K25" i="30"/>
  <c r="J25" i="30"/>
  <c r="H25" i="30"/>
  <c r="G25" i="30"/>
  <c r="F25" i="30"/>
  <c r="E25" i="30"/>
  <c r="D25" i="30"/>
  <c r="C25" i="30"/>
  <c r="B25" i="30"/>
  <c r="A25" i="30"/>
  <c r="A24" i="30"/>
  <c r="N23" i="30"/>
  <c r="M23" i="30"/>
  <c r="L23" i="30"/>
  <c r="K23" i="30"/>
  <c r="J23" i="30"/>
  <c r="H23" i="30"/>
  <c r="G23" i="30"/>
  <c r="F23" i="30"/>
  <c r="E23" i="30"/>
  <c r="D23" i="30"/>
  <c r="B23" i="30"/>
  <c r="A23" i="30"/>
  <c r="N22" i="30"/>
  <c r="M22" i="30"/>
  <c r="L22" i="30"/>
  <c r="K22" i="30"/>
  <c r="J22" i="30"/>
  <c r="H22" i="30"/>
  <c r="G22" i="30"/>
  <c r="F22" i="30"/>
  <c r="E22" i="30"/>
  <c r="D22" i="30"/>
  <c r="C22" i="30"/>
  <c r="B22" i="30"/>
  <c r="A22" i="30"/>
  <c r="N21" i="30"/>
  <c r="M21" i="30"/>
  <c r="L21" i="30"/>
  <c r="K21" i="30"/>
  <c r="J21" i="30"/>
  <c r="H21" i="30"/>
  <c r="G21" i="30"/>
  <c r="F21" i="30"/>
  <c r="E21" i="30"/>
  <c r="D21" i="30"/>
  <c r="C21" i="30"/>
  <c r="B21" i="30"/>
  <c r="A21" i="30"/>
  <c r="N20" i="30"/>
  <c r="M20" i="30"/>
  <c r="L20" i="30"/>
  <c r="K20" i="30"/>
  <c r="J20" i="30"/>
  <c r="H20" i="30"/>
  <c r="G20" i="30"/>
  <c r="F20" i="30"/>
  <c r="E20" i="30"/>
  <c r="D20" i="30"/>
  <c r="C20" i="30"/>
  <c r="B20" i="30"/>
  <c r="A20" i="30"/>
  <c r="A19" i="30"/>
  <c r="N18" i="30"/>
  <c r="M18" i="30"/>
  <c r="L18" i="30"/>
  <c r="K18" i="30"/>
  <c r="J18" i="30"/>
  <c r="H18" i="30"/>
  <c r="G18" i="30"/>
  <c r="F18" i="30"/>
  <c r="E18" i="30"/>
  <c r="D18" i="30"/>
  <c r="B18" i="30"/>
  <c r="A18" i="30"/>
  <c r="N17" i="30"/>
  <c r="M17" i="30"/>
  <c r="L17" i="30"/>
  <c r="K17" i="30"/>
  <c r="J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H13" i="30"/>
  <c r="G13" i="30"/>
  <c r="F13" i="30"/>
  <c r="E13" i="30"/>
  <c r="D13" i="30"/>
  <c r="C13" i="30"/>
  <c r="B13" i="30"/>
  <c r="A13" i="30"/>
  <c r="A12" i="30"/>
  <c r="N11" i="30"/>
  <c r="M11" i="30"/>
  <c r="L11" i="30"/>
  <c r="K11" i="30"/>
  <c r="J11" i="30"/>
  <c r="H11" i="30"/>
  <c r="G11" i="30"/>
  <c r="F11" i="30"/>
  <c r="E11" i="30"/>
  <c r="D11" i="30"/>
  <c r="B11" i="30"/>
  <c r="A11" i="30"/>
  <c r="N10" i="30"/>
  <c r="M10" i="30"/>
  <c r="L10" i="30"/>
  <c r="K10" i="30"/>
  <c r="J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H7" i="30"/>
  <c r="G7" i="30"/>
  <c r="F7" i="30"/>
  <c r="E7" i="30"/>
  <c r="D7" i="30"/>
  <c r="C7" i="30"/>
  <c r="B7" i="30"/>
  <c r="A7" i="30"/>
  <c r="F20" i="5"/>
  <c r="E20" i="5"/>
  <c r="D20" i="5"/>
  <c r="C20" i="5"/>
  <c r="A20" i="5"/>
  <c r="F19" i="5"/>
  <c r="C19" i="5"/>
  <c r="A19" i="5"/>
  <c r="F18" i="5"/>
  <c r="C18" i="5"/>
  <c r="A18" i="5"/>
  <c r="F17" i="5"/>
  <c r="C17" i="5"/>
  <c r="A17" i="5"/>
  <c r="F16" i="5"/>
  <c r="E16" i="5"/>
  <c r="D16" i="5"/>
  <c r="C16" i="5"/>
  <c r="A16" i="5"/>
  <c r="A15" i="5"/>
  <c r="C14" i="5"/>
  <c r="A14" i="5"/>
  <c r="F13" i="5"/>
  <c r="A13" i="5"/>
  <c r="F12" i="5"/>
  <c r="A12" i="5"/>
  <c r="F11" i="5"/>
  <c r="A11" i="5"/>
  <c r="E10" i="5"/>
  <c r="A10" i="5"/>
  <c r="A9" i="5"/>
  <c r="A8" i="5"/>
  <c r="C7" i="5"/>
  <c r="B18" i="4"/>
  <c r="Q24" i="1"/>
  <c r="P24" i="1"/>
  <c r="O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I58" i="39"/>
  <c r="F58" i="39"/>
  <c r="A58" i="39"/>
  <c r="I56" i="39"/>
  <c r="A56" i="39"/>
  <c r="I54" i="39"/>
  <c r="G54" i="39"/>
  <c r="F54" i="39"/>
  <c r="D54" i="39"/>
  <c r="C54" i="39"/>
  <c r="A54" i="39"/>
  <c r="I52" i="39"/>
  <c r="G52" i="39"/>
  <c r="F52" i="39"/>
  <c r="D52" i="39"/>
  <c r="C52" i="39"/>
  <c r="A52" i="39"/>
  <c r="I50" i="39"/>
  <c r="F50" i="39"/>
  <c r="C50" i="39"/>
  <c r="A50" i="39"/>
  <c r="I49" i="39"/>
  <c r="G49" i="39"/>
  <c r="F49" i="39"/>
  <c r="D49" i="39"/>
  <c r="C49" i="39"/>
  <c r="A49" i="39"/>
  <c r="I48" i="39"/>
  <c r="G48" i="39"/>
  <c r="F48" i="39"/>
  <c r="D48" i="39"/>
  <c r="C48" i="39"/>
  <c r="A48" i="39"/>
  <c r="I47" i="39"/>
  <c r="G47" i="39"/>
  <c r="F47" i="39"/>
  <c r="D47" i="39"/>
  <c r="C47" i="39"/>
  <c r="A47" i="39"/>
  <c r="A46" i="39"/>
  <c r="C45" i="39"/>
  <c r="A45" i="39"/>
  <c r="A44" i="39"/>
  <c r="A43" i="39"/>
  <c r="J41" i="39"/>
  <c r="I41" i="39"/>
  <c r="F41" i="39"/>
  <c r="A41" i="39"/>
  <c r="I39" i="39"/>
  <c r="F39" i="39"/>
  <c r="C39" i="39"/>
  <c r="A39" i="39"/>
  <c r="I38" i="39"/>
  <c r="G38" i="39"/>
  <c r="F38" i="39"/>
  <c r="D38" i="39"/>
  <c r="C38" i="39"/>
  <c r="A38" i="39"/>
  <c r="I37" i="39"/>
  <c r="G37" i="39"/>
  <c r="F37" i="39"/>
  <c r="D37" i="39"/>
  <c r="C37" i="39"/>
  <c r="A37" i="39"/>
  <c r="I36" i="39"/>
  <c r="G36" i="39"/>
  <c r="F36" i="39"/>
  <c r="D36" i="39"/>
  <c r="C36" i="39"/>
  <c r="A36" i="39"/>
  <c r="A35" i="39"/>
  <c r="A32" i="39"/>
  <c r="I30" i="39"/>
  <c r="G30" i="39"/>
  <c r="F30" i="39"/>
  <c r="D30" i="39"/>
  <c r="C30" i="39"/>
  <c r="A30" i="39"/>
  <c r="A29" i="39"/>
  <c r="J25" i="39"/>
  <c r="I25" i="39"/>
  <c r="F25" i="39"/>
  <c r="A25" i="39"/>
  <c r="I23" i="39"/>
  <c r="F23" i="39"/>
  <c r="A23" i="39"/>
  <c r="I21" i="39"/>
  <c r="F21" i="39"/>
  <c r="C21" i="39"/>
  <c r="A21" i="39"/>
  <c r="I19" i="39"/>
  <c r="F19" i="39"/>
  <c r="C19" i="39"/>
  <c r="A19" i="39"/>
  <c r="I18" i="39"/>
  <c r="G18" i="39"/>
  <c r="F18" i="39"/>
  <c r="D18" i="39"/>
  <c r="C18" i="39"/>
  <c r="A18" i="39"/>
  <c r="I17" i="39"/>
  <c r="F17" i="39"/>
  <c r="C17" i="39"/>
  <c r="A17" i="39"/>
  <c r="I16" i="39"/>
  <c r="F16" i="39"/>
  <c r="C16" i="39"/>
  <c r="A16" i="39"/>
  <c r="A15" i="39"/>
  <c r="I14" i="39"/>
  <c r="G14" i="39"/>
  <c r="F14" i="39"/>
  <c r="D14" i="39"/>
  <c r="C14" i="39"/>
  <c r="A14" i="39"/>
  <c r="A13" i="39"/>
  <c r="A12" i="39"/>
  <c r="I10" i="39"/>
  <c r="G10" i="39"/>
  <c r="F10" i="39"/>
  <c r="D10" i="39"/>
  <c r="C10" i="39"/>
  <c r="G9" i="39"/>
  <c r="D9" i="39"/>
  <c r="C9" i="39"/>
  <c r="A5" i="39"/>
  <c r="A4" i="39"/>
  <c r="A3" i="39"/>
  <c r="A2" i="39"/>
  <c r="A1" i="39"/>
  <c r="I38" i="38"/>
  <c r="B38" i="38"/>
  <c r="A38" i="38"/>
  <c r="I37" i="38"/>
  <c r="B37" i="38"/>
  <c r="A37" i="38"/>
  <c r="I36" i="38"/>
  <c r="B36" i="38"/>
  <c r="A36" i="38"/>
  <c r="I35" i="38"/>
  <c r="B35" i="38"/>
  <c r="A35" i="38"/>
  <c r="B34" i="38"/>
  <c r="A34" i="38"/>
  <c r="A33" i="38"/>
  <c r="M32" i="38"/>
  <c r="K32" i="38"/>
  <c r="J32" i="38"/>
  <c r="I32" i="38"/>
  <c r="G32" i="38"/>
  <c r="F32" i="38"/>
  <c r="E32" i="38"/>
  <c r="D32" i="38"/>
  <c r="B32" i="38"/>
  <c r="A32" i="38"/>
  <c r="A31" i="38"/>
  <c r="M30" i="38"/>
  <c r="K30" i="38"/>
  <c r="J30" i="38"/>
  <c r="I30" i="38"/>
  <c r="E30" i="38"/>
  <c r="D30" i="38"/>
  <c r="B30" i="38"/>
  <c r="A30" i="38"/>
  <c r="A29" i="38"/>
  <c r="M28" i="38"/>
  <c r="K28" i="38"/>
  <c r="J28" i="38"/>
  <c r="I28" i="38"/>
  <c r="E28" i="38"/>
  <c r="D28" i="38"/>
  <c r="B28" i="38"/>
  <c r="A28" i="38"/>
  <c r="A27" i="38"/>
  <c r="M26" i="38"/>
  <c r="K26" i="38"/>
  <c r="J26" i="38"/>
  <c r="I26" i="38"/>
  <c r="H26" i="38"/>
  <c r="G26" i="38"/>
  <c r="E26" i="38"/>
  <c r="D26" i="38"/>
  <c r="C26" i="38"/>
  <c r="B26" i="38"/>
  <c r="A26" i="38"/>
  <c r="A25" i="38"/>
  <c r="M24" i="38"/>
  <c r="K24" i="38"/>
  <c r="J24" i="38"/>
  <c r="I24" i="38"/>
  <c r="E24" i="38"/>
  <c r="D24" i="38"/>
  <c r="C24" i="38"/>
  <c r="B24" i="38"/>
  <c r="A24" i="38"/>
  <c r="A23" i="38"/>
  <c r="M22" i="38"/>
  <c r="K22" i="38"/>
  <c r="J22" i="38"/>
  <c r="I22" i="38"/>
  <c r="H22" i="38"/>
  <c r="G22" i="38"/>
  <c r="E22" i="38"/>
  <c r="D22" i="38"/>
  <c r="C22" i="38"/>
  <c r="B22" i="38"/>
  <c r="A22" i="38"/>
  <c r="A21" i="38"/>
  <c r="M20" i="38"/>
  <c r="K20" i="38"/>
  <c r="J20" i="38"/>
  <c r="I20" i="38"/>
  <c r="E20" i="38"/>
  <c r="D20" i="38"/>
  <c r="B20" i="38"/>
  <c r="A20" i="38"/>
  <c r="M19" i="38"/>
  <c r="K19" i="38"/>
  <c r="J19" i="38"/>
  <c r="I19" i="38"/>
  <c r="H19" i="38"/>
  <c r="G19" i="38"/>
  <c r="E19" i="38"/>
  <c r="D19" i="38"/>
  <c r="C19" i="38"/>
  <c r="B19" i="38"/>
  <c r="A19" i="38"/>
  <c r="M18" i="38"/>
  <c r="K18" i="38"/>
  <c r="J18" i="38"/>
  <c r="I18" i="38"/>
  <c r="H18" i="38"/>
  <c r="G18" i="38"/>
  <c r="E18" i="38"/>
  <c r="D18" i="38"/>
  <c r="C18" i="38"/>
  <c r="B18" i="38"/>
  <c r="A18" i="38"/>
  <c r="M17" i="38"/>
  <c r="K17" i="38"/>
  <c r="J17" i="38"/>
  <c r="I17" i="38"/>
  <c r="H17" i="38"/>
  <c r="G17" i="38"/>
  <c r="E17" i="38"/>
  <c r="D17" i="38"/>
  <c r="C17" i="38"/>
  <c r="B17" i="38"/>
  <c r="A17" i="38"/>
  <c r="B16" i="38"/>
  <c r="A16" i="38"/>
  <c r="A15" i="38"/>
  <c r="M14" i="38"/>
  <c r="K14" i="38"/>
  <c r="J14" i="38"/>
  <c r="I14" i="38"/>
  <c r="E14" i="38"/>
  <c r="D14" i="38"/>
  <c r="B14" i="38"/>
  <c r="A14" i="38"/>
  <c r="M13" i="38"/>
  <c r="K13" i="38"/>
  <c r="J13" i="38"/>
  <c r="I13" i="38"/>
  <c r="H13" i="38"/>
  <c r="G13" i="38"/>
  <c r="E13" i="38"/>
  <c r="D13" i="38"/>
  <c r="C13" i="38"/>
  <c r="B13" i="38"/>
  <c r="A13" i="38"/>
  <c r="M12" i="38"/>
  <c r="K12" i="38"/>
  <c r="J12" i="38"/>
  <c r="I12" i="38"/>
  <c r="H12" i="38"/>
  <c r="G12" i="38"/>
  <c r="E12" i="38"/>
  <c r="D12" i="38"/>
  <c r="C12" i="38"/>
  <c r="B12" i="38"/>
  <c r="A12" i="38"/>
  <c r="M11" i="38"/>
  <c r="K11" i="38"/>
  <c r="J11" i="38"/>
  <c r="I11" i="38"/>
  <c r="H11" i="38"/>
  <c r="G11" i="38"/>
  <c r="E11" i="38"/>
  <c r="D11" i="38"/>
  <c r="C11" i="38"/>
  <c r="B11" i="38"/>
  <c r="A11" i="38"/>
  <c r="B10" i="38"/>
  <c r="A10" i="38"/>
  <c r="A9" i="38"/>
  <c r="M8" i="38"/>
  <c r="K8" i="38"/>
  <c r="J8" i="38"/>
  <c r="I8" i="38"/>
  <c r="H8" i="38"/>
  <c r="G8" i="38"/>
  <c r="E8" i="38"/>
  <c r="D8" i="38"/>
  <c r="C8" i="38"/>
  <c r="B8" i="38"/>
  <c r="A8" i="38"/>
  <c r="A7" i="38"/>
  <c r="K6" i="38"/>
  <c r="J6" i="38"/>
  <c r="I6" i="38"/>
  <c r="H6" i="38"/>
  <c r="G6" i="38"/>
  <c r="F6" i="38"/>
  <c r="E6" i="38"/>
  <c r="D6" i="38"/>
  <c r="A6" i="38"/>
  <c r="M5" i="38"/>
  <c r="K5" i="38"/>
  <c r="J5" i="38"/>
  <c r="I5" i="38"/>
  <c r="H5" i="38"/>
  <c r="G5" i="38"/>
  <c r="F5" i="38"/>
  <c r="E5" i="38"/>
  <c r="D5" i="38"/>
  <c r="C5" i="38"/>
  <c r="B5" i="38"/>
  <c r="A5" i="38"/>
  <c r="E19" i="27"/>
  <c r="B19" i="27"/>
  <c r="A19" i="27"/>
  <c r="E18" i="27"/>
  <c r="D18" i="27"/>
  <c r="B18" i="27"/>
  <c r="A18" i="27"/>
  <c r="E17" i="27"/>
  <c r="B17" i="27"/>
  <c r="A17" i="27"/>
  <c r="A16" i="27"/>
  <c r="E15" i="27"/>
  <c r="B15" i="27"/>
  <c r="A15" i="27"/>
  <c r="B14" i="27"/>
  <c r="A14" i="27"/>
  <c r="E13" i="27"/>
  <c r="D13" i="27"/>
  <c r="B13" i="27"/>
  <c r="A13" i="27"/>
  <c r="E12" i="27"/>
  <c r="B12" i="27"/>
  <c r="A12" i="27"/>
  <c r="E11" i="27"/>
  <c r="B11" i="27"/>
  <c r="A11" i="27"/>
  <c r="B9" i="27"/>
  <c r="A9" i="27"/>
  <c r="A8" i="27"/>
  <c r="B5" i="27"/>
  <c r="B4" i="27"/>
  <c r="B3" i="27"/>
  <c r="B2" i="27"/>
  <c r="B1" i="27"/>
  <c r="E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A14" i="26"/>
  <c r="E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9" i="26"/>
  <c r="D9" i="26"/>
  <c r="C9" i="26"/>
  <c r="B9" i="26"/>
  <c r="A9" i="26"/>
  <c r="E8" i="26"/>
  <c r="C8" i="26"/>
  <c r="A8" i="26"/>
  <c r="A5" i="26"/>
  <c r="A4" i="26"/>
  <c r="A3" i="26"/>
  <c r="A2" i="26"/>
  <c r="A1" i="26"/>
  <c r="G34" i="21"/>
  <c r="E34" i="21"/>
  <c r="B34" i="21"/>
  <c r="A34" i="21"/>
  <c r="G33" i="21"/>
  <c r="F33" i="21"/>
  <c r="E33" i="21"/>
  <c r="B33" i="21"/>
  <c r="A33" i="21"/>
  <c r="G32" i="21"/>
  <c r="F32" i="21"/>
  <c r="E32" i="21"/>
  <c r="B32" i="21"/>
  <c r="A32" i="21"/>
  <c r="B31" i="21"/>
  <c r="A31" i="21"/>
  <c r="G30" i="21"/>
  <c r="F30" i="21"/>
  <c r="E30" i="21"/>
  <c r="G29" i="21"/>
  <c r="E29" i="21"/>
  <c r="E28" i="21"/>
  <c r="F25" i="21"/>
  <c r="E25" i="21"/>
  <c r="B25" i="21"/>
  <c r="A25" i="21"/>
  <c r="F24" i="21"/>
  <c r="E24" i="21"/>
  <c r="B24" i="21"/>
  <c r="A24" i="21"/>
  <c r="F23" i="21"/>
  <c r="E23" i="21"/>
  <c r="B23" i="21"/>
  <c r="A23" i="21"/>
  <c r="F22" i="21"/>
  <c r="E22" i="21"/>
  <c r="B22" i="21"/>
  <c r="A22" i="21"/>
  <c r="F21" i="21"/>
  <c r="E21" i="21"/>
  <c r="B21" i="21"/>
  <c r="A21" i="21"/>
  <c r="F20" i="21"/>
  <c r="E20" i="21"/>
  <c r="B20" i="21"/>
  <c r="A20" i="21"/>
  <c r="G19" i="21"/>
  <c r="F19" i="21"/>
  <c r="E19" i="21"/>
  <c r="B19" i="21"/>
  <c r="A19" i="21"/>
  <c r="G18" i="21"/>
  <c r="F18" i="21"/>
  <c r="E18" i="21"/>
  <c r="B18" i="21"/>
  <c r="A18" i="21"/>
  <c r="F17" i="21"/>
  <c r="E17" i="21"/>
  <c r="B17" i="21"/>
  <c r="A17" i="21"/>
  <c r="G16" i="21"/>
  <c r="F16" i="21"/>
  <c r="E16" i="21"/>
  <c r="B16" i="21"/>
  <c r="A16" i="21"/>
  <c r="G15" i="21"/>
  <c r="F15" i="21"/>
  <c r="E15" i="21"/>
  <c r="E14" i="21"/>
  <c r="B12" i="21"/>
  <c r="F9" i="21"/>
  <c r="E9" i="21"/>
  <c r="C9" i="21"/>
  <c r="F8" i="21"/>
  <c r="C8" i="21"/>
  <c r="G7" i="21"/>
  <c r="F7" i="21"/>
  <c r="E7" i="21"/>
  <c r="G6" i="21"/>
  <c r="A3" i="21"/>
  <c r="A2" i="21"/>
  <c r="A1" i="21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D172" i="32"/>
  <c r="A172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D169" i="32"/>
  <c r="A169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O166" i="32"/>
  <c r="J166" i="32"/>
  <c r="I166" i="32"/>
  <c r="H166" i="32"/>
  <c r="G166" i="32"/>
  <c r="F166" i="32"/>
  <c r="E166" i="32"/>
  <c r="D166" i="32"/>
  <c r="A166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155" i="32"/>
  <c r="P154" i="32"/>
  <c r="N154" i="32"/>
  <c r="M154" i="32"/>
  <c r="L154" i="32"/>
  <c r="K154" i="32"/>
  <c r="I154" i="32"/>
  <c r="D154" i="32"/>
  <c r="A154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152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D151" i="32"/>
  <c r="A151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149" i="32"/>
  <c r="P148" i="32"/>
  <c r="O148" i="32"/>
  <c r="K148" i="32"/>
  <c r="J148" i="32"/>
  <c r="I148" i="32"/>
  <c r="H148" i="32"/>
  <c r="G148" i="32"/>
  <c r="F148" i="32"/>
  <c r="E148" i="32"/>
  <c r="D148" i="32"/>
  <c r="A148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D145" i="32"/>
  <c r="A145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143" i="32"/>
  <c r="P142" i="32"/>
  <c r="O142" i="32"/>
  <c r="K142" i="32"/>
  <c r="J142" i="32"/>
  <c r="I142" i="32"/>
  <c r="H142" i="32"/>
  <c r="G142" i="32"/>
  <c r="F142" i="32"/>
  <c r="E142" i="32"/>
  <c r="D142" i="32"/>
  <c r="A142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140" i="32"/>
  <c r="P139" i="32"/>
  <c r="O139" i="32"/>
  <c r="K139" i="32"/>
  <c r="J139" i="32"/>
  <c r="I139" i="32"/>
  <c r="H139" i="32"/>
  <c r="G139" i="32"/>
  <c r="F139" i="32"/>
  <c r="E139" i="32"/>
  <c r="D139" i="32"/>
  <c r="A139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137" i="32"/>
  <c r="P136" i="32"/>
  <c r="O136" i="32"/>
  <c r="K136" i="32"/>
  <c r="J136" i="32"/>
  <c r="I136" i="32"/>
  <c r="H136" i="32"/>
  <c r="G136" i="32"/>
  <c r="F136" i="32"/>
  <c r="E136" i="32"/>
  <c r="D136" i="32"/>
  <c r="A136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134" i="32"/>
  <c r="P133" i="32"/>
  <c r="O133" i="32"/>
  <c r="K133" i="32"/>
  <c r="J133" i="32"/>
  <c r="I133" i="32"/>
  <c r="H133" i="32"/>
  <c r="G133" i="32"/>
  <c r="F133" i="32"/>
  <c r="E133" i="32"/>
  <c r="D133" i="32"/>
  <c r="A133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131" i="32"/>
  <c r="P130" i="32"/>
  <c r="N130" i="32"/>
  <c r="M130" i="32"/>
  <c r="L130" i="32"/>
  <c r="K130" i="32"/>
  <c r="I130" i="32"/>
  <c r="D130" i="32"/>
  <c r="A130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128" i="32"/>
  <c r="P127" i="32"/>
  <c r="N127" i="32"/>
  <c r="M127" i="32"/>
  <c r="L127" i="32"/>
  <c r="K127" i="32"/>
  <c r="I127" i="32"/>
  <c r="D127" i="32"/>
  <c r="A127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125" i="32"/>
  <c r="P124" i="32"/>
  <c r="N124" i="32"/>
  <c r="M124" i="32"/>
  <c r="L124" i="32"/>
  <c r="K124" i="32"/>
  <c r="I124" i="32"/>
  <c r="D124" i="32"/>
  <c r="A124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122" i="32"/>
  <c r="P121" i="32"/>
  <c r="N121" i="32"/>
  <c r="M121" i="32"/>
  <c r="L121" i="32"/>
  <c r="K121" i="32"/>
  <c r="I121" i="32"/>
  <c r="D121" i="32"/>
  <c r="A121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119" i="32"/>
  <c r="P118" i="32"/>
  <c r="N118" i="32"/>
  <c r="M118" i="32"/>
  <c r="L118" i="32"/>
  <c r="K118" i="32"/>
  <c r="I118" i="32"/>
  <c r="D118" i="32"/>
  <c r="A118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116" i="32"/>
  <c r="P115" i="32"/>
  <c r="N115" i="32"/>
  <c r="M115" i="32"/>
  <c r="L115" i="32"/>
  <c r="K115" i="32"/>
  <c r="I115" i="32"/>
  <c r="D115" i="32"/>
  <c r="A115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113" i="32"/>
  <c r="P112" i="32"/>
  <c r="N112" i="32"/>
  <c r="M112" i="32"/>
  <c r="L112" i="32"/>
  <c r="K112" i="32"/>
  <c r="I112" i="32"/>
  <c r="D112" i="32"/>
  <c r="A112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110" i="32"/>
  <c r="P109" i="32"/>
  <c r="N109" i="32"/>
  <c r="M109" i="32"/>
  <c r="L109" i="32"/>
  <c r="K109" i="32"/>
  <c r="I109" i="32"/>
  <c r="D109" i="32"/>
  <c r="A109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107" i="32"/>
  <c r="P106" i="32"/>
  <c r="N106" i="32"/>
  <c r="M106" i="32"/>
  <c r="L106" i="32"/>
  <c r="K106" i="32"/>
  <c r="I106" i="32"/>
  <c r="D106" i="32"/>
  <c r="A106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104" i="32"/>
  <c r="P103" i="32"/>
  <c r="N103" i="32"/>
  <c r="M103" i="32"/>
  <c r="L103" i="32"/>
  <c r="K103" i="32"/>
  <c r="I103" i="32"/>
  <c r="D103" i="32"/>
  <c r="A103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101" i="32"/>
  <c r="P100" i="32"/>
  <c r="N100" i="32"/>
  <c r="M100" i="32"/>
  <c r="L100" i="32"/>
  <c r="K100" i="32"/>
  <c r="I100" i="32"/>
  <c r="D100" i="32"/>
  <c r="A100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98" i="32"/>
  <c r="N97" i="32"/>
  <c r="L97" i="32"/>
  <c r="K97" i="32"/>
  <c r="A97" i="32"/>
  <c r="A95" i="32"/>
  <c r="O94" i="32"/>
  <c r="K94" i="32"/>
  <c r="A94" i="32"/>
  <c r="D91" i="32"/>
  <c r="A91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89" i="32"/>
  <c r="D88" i="32"/>
  <c r="A88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86" i="32"/>
  <c r="D85" i="32"/>
  <c r="A85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0" i="32"/>
  <c r="A80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78" i="32"/>
  <c r="D77" i="32"/>
  <c r="A77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75" i="32"/>
  <c r="O74" i="32"/>
  <c r="M74" i="32"/>
  <c r="K74" i="32"/>
  <c r="J74" i="32"/>
  <c r="I74" i="32"/>
  <c r="H74" i="32"/>
  <c r="G74" i="32"/>
  <c r="F74" i="32"/>
  <c r="E74" i="32"/>
  <c r="D74" i="32"/>
  <c r="A74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72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A71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69" i="32"/>
  <c r="D68" i="32"/>
  <c r="A68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66" i="32"/>
  <c r="H65" i="32"/>
  <c r="G65" i="32"/>
  <c r="F65" i="32"/>
  <c r="E65" i="32"/>
  <c r="D65" i="32"/>
  <c r="A65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63" i="32"/>
  <c r="P62" i="32"/>
  <c r="N62" i="32"/>
  <c r="M62" i="32"/>
  <c r="L62" i="32"/>
  <c r="K62" i="32"/>
  <c r="J62" i="32"/>
  <c r="I62" i="32"/>
  <c r="H62" i="32"/>
  <c r="G62" i="32"/>
  <c r="F62" i="32"/>
  <c r="E62" i="32"/>
  <c r="D62" i="32"/>
  <c r="A62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60" i="32"/>
  <c r="O59" i="32"/>
  <c r="I59" i="32"/>
  <c r="H59" i="32"/>
  <c r="G59" i="32"/>
  <c r="F59" i="32"/>
  <c r="E59" i="32"/>
  <c r="D59" i="32"/>
  <c r="A59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57" i="32"/>
  <c r="P56" i="32"/>
  <c r="O56" i="32"/>
  <c r="N56" i="32"/>
  <c r="M56" i="32"/>
  <c r="L56" i="32"/>
  <c r="K56" i="32"/>
  <c r="I56" i="32"/>
  <c r="H56" i="32"/>
  <c r="G56" i="32"/>
  <c r="F56" i="32"/>
  <c r="E56" i="32"/>
  <c r="D56" i="32"/>
  <c r="A56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54" i="32"/>
  <c r="P53" i="32"/>
  <c r="O53" i="32"/>
  <c r="N53" i="32"/>
  <c r="M53" i="32"/>
  <c r="K53" i="32"/>
  <c r="I53" i="32"/>
  <c r="H53" i="32"/>
  <c r="G53" i="32"/>
  <c r="F53" i="32"/>
  <c r="E53" i="32"/>
  <c r="D53" i="32"/>
  <c r="A53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51" i="32"/>
  <c r="P50" i="32"/>
  <c r="O50" i="32"/>
  <c r="N50" i="32"/>
  <c r="M50" i="32"/>
  <c r="K50" i="32"/>
  <c r="I50" i="32"/>
  <c r="H50" i="32"/>
  <c r="G50" i="32"/>
  <c r="F50" i="32"/>
  <c r="E50" i="32"/>
  <c r="D50" i="32"/>
  <c r="A50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P47" i="32"/>
  <c r="O47" i="32"/>
  <c r="N47" i="32"/>
  <c r="M47" i="32"/>
  <c r="K47" i="32"/>
  <c r="I47" i="32"/>
  <c r="H47" i="32"/>
  <c r="G47" i="32"/>
  <c r="F47" i="32"/>
  <c r="E47" i="32"/>
  <c r="D47" i="32"/>
  <c r="A47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P44" i="32"/>
  <c r="O44" i="32"/>
  <c r="N44" i="32"/>
  <c r="M44" i="32"/>
  <c r="K44" i="32"/>
  <c r="I44" i="32"/>
  <c r="H44" i="32"/>
  <c r="G44" i="32"/>
  <c r="F44" i="32"/>
  <c r="E44" i="32"/>
  <c r="D44" i="32"/>
  <c r="A44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42" i="32"/>
  <c r="D41" i="32"/>
  <c r="A41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39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A38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36" i="32"/>
  <c r="H35" i="32"/>
  <c r="G35" i="32"/>
  <c r="F35" i="32"/>
  <c r="E35" i="32"/>
  <c r="D35" i="32"/>
  <c r="A35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33" i="32"/>
  <c r="O32" i="32"/>
  <c r="I32" i="32"/>
  <c r="H32" i="32"/>
  <c r="G32" i="32"/>
  <c r="F32" i="32"/>
  <c r="E32" i="32"/>
  <c r="D32" i="32"/>
  <c r="A32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30" i="32"/>
  <c r="D29" i="32"/>
  <c r="A29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27" i="32"/>
  <c r="D26" i="32"/>
  <c r="A26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3" i="32"/>
  <c r="A23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21" i="32"/>
  <c r="D20" i="32"/>
  <c r="A20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18" i="32"/>
  <c r="P17" i="32"/>
  <c r="N17" i="32"/>
  <c r="M17" i="32"/>
  <c r="L17" i="32"/>
  <c r="K17" i="32"/>
  <c r="J17" i="32"/>
  <c r="I17" i="32"/>
  <c r="H17" i="32"/>
  <c r="G17" i="32"/>
  <c r="F17" i="32"/>
  <c r="E17" i="32"/>
  <c r="D17" i="32"/>
  <c r="A17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15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A14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A12" i="32"/>
  <c r="H11" i="32"/>
  <c r="G11" i="32"/>
  <c r="F11" i="32"/>
  <c r="E11" i="32"/>
  <c r="D11" i="32"/>
  <c r="A11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9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A8" i="32"/>
  <c r="P7" i="32"/>
  <c r="O7" i="32"/>
  <c r="N7" i="32"/>
  <c r="M7" i="32"/>
  <c r="L7" i="32"/>
  <c r="K7" i="32"/>
  <c r="J7" i="32"/>
  <c r="I7" i="32"/>
  <c r="H7" i="32"/>
  <c r="G7" i="32"/>
  <c r="F7" i="32"/>
  <c r="E7" i="32"/>
  <c r="E12" i="31"/>
  <c r="E13" i="31" s="1"/>
  <c r="D12" i="31"/>
  <c r="D13" i="31" s="1"/>
  <c r="F74" i="29"/>
  <c r="E74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G44" i="29"/>
  <c r="F44" i="29"/>
  <c r="G35" i="29"/>
  <c r="F31" i="29"/>
  <c r="F30" i="29"/>
  <c r="F29" i="29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M97" i="32" l="1"/>
  <c r="M94" i="32"/>
  <c r="G97" i="32"/>
  <c r="G94" i="32"/>
  <c r="H97" i="32"/>
  <c r="H94" i="32"/>
  <c r="J97" i="32"/>
  <c r="J94" i="32"/>
  <c r="E94" i="32"/>
  <c r="P97" i="32"/>
  <c r="P94" i="32"/>
  <c r="I94" i="32"/>
  <c r="I97" i="32"/>
  <c r="F94" i="32"/>
  <c r="F97" i="32"/>
  <c r="E97" i="32" l="1"/>
  <c r="D97" i="32" s="1"/>
  <c r="D94" i="32"/>
  <c r="K93" i="32" l="1"/>
  <c r="J93" i="32"/>
  <c r="L93" i="32"/>
  <c r="I93" i="32"/>
  <c r="P93" i="32"/>
  <c r="H93" i="32"/>
  <c r="O93" i="32"/>
  <c r="G93" i="32"/>
  <c r="N93" i="32"/>
  <c r="F93" i="32"/>
  <c r="M93" i="32"/>
  <c r="E93" i="32"/>
  <c r="P96" i="32"/>
  <c r="H96" i="32"/>
  <c r="O96" i="32"/>
  <c r="G96" i="32"/>
  <c r="N96" i="32"/>
  <c r="F96" i="32"/>
  <c r="M96" i="32"/>
  <c r="E96" i="32"/>
  <c r="L96" i="32"/>
  <c r="K96" i="32"/>
  <c r="I96" i="32"/>
  <c r="J96" i="32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<sst xmlns="http://schemas.openxmlformats.org/spreadsheetml/2006/main" count="1145" uniqueCount="573">
  <si>
    <t>Key Figures</t>
  </si>
  <si>
    <t>Customer Counts</t>
  </si>
  <si>
    <t>Row Labels</t>
  </si>
  <si>
    <t>Average</t>
  </si>
  <si>
    <t>Total</t>
  </si>
  <si>
    <t>Lights</t>
  </si>
  <si>
    <t>Firm Resale</t>
  </si>
  <si>
    <t>449-459</t>
  </si>
  <si>
    <t>Grand Total</t>
  </si>
  <si>
    <t>Sum of Overall Result</t>
  </si>
  <si>
    <t>Customer Advances</t>
  </si>
  <si>
    <t>FERC Account 252</t>
  </si>
  <si>
    <t>Direct Assignment</t>
  </si>
  <si>
    <t>Line No</t>
  </si>
  <si>
    <t>Description</t>
  </si>
  <si>
    <t>A/C 25200161 Residential Single Family Elec Customer</t>
  </si>
  <si>
    <t>A/C 25200171 Residential Plat Elec Customer Advances</t>
  </si>
  <si>
    <t>A/C 25200181 Non-Residential Elec Customer Advances</t>
  </si>
  <si>
    <t>Schedule 7</t>
  </si>
  <si>
    <t>Schedule 24</t>
  </si>
  <si>
    <t>Schedule 25 &amp; 29</t>
  </si>
  <si>
    <t>Schedule 26</t>
  </si>
  <si>
    <t>G/L Account</t>
  </si>
  <si>
    <t>Equipment Rental Revenue</t>
  </si>
  <si>
    <t>FERC Account 454</t>
  </si>
  <si>
    <t>Distribution Service Line Allocation</t>
  </si>
  <si>
    <t>Source:  BRD-01, CIS</t>
  </si>
  <si>
    <t>Sum of Number_Of_Records</t>
  </si>
  <si>
    <t>Column Labels</t>
  </si>
  <si>
    <t>OVRH</t>
  </si>
  <si>
    <t>OH</t>
  </si>
  <si>
    <t>UG</t>
  </si>
  <si>
    <t>Other</t>
  </si>
  <si>
    <t>Puget Sound Energy</t>
  </si>
  <si>
    <t>Tab</t>
  </si>
  <si>
    <t>Customer Deposits</t>
  </si>
  <si>
    <t>Other Op Rev (450-451)</t>
  </si>
  <si>
    <t>Other Op Rev (454)</t>
  </si>
  <si>
    <t>Records &amp; Collec (903)</t>
  </si>
  <si>
    <t>Uncollectibles (904)</t>
  </si>
  <si>
    <t>Meter Costs (370)</t>
  </si>
  <si>
    <t>Distribution Service (369)</t>
  </si>
  <si>
    <t>Dist Plant (360-368)</t>
  </si>
  <si>
    <t>NCP Dist Plant (360-362)</t>
  </si>
  <si>
    <t>NCP Dist OH-UG Plant (364-367)</t>
  </si>
  <si>
    <t>Dist Transformer Plant (368)</t>
  </si>
  <si>
    <t>Load Research Data - Summary</t>
  </si>
  <si>
    <t>Load Research Data -Energy</t>
  </si>
  <si>
    <t>Global Inputs</t>
  </si>
  <si>
    <t>Model Choice</t>
  </si>
  <si>
    <t>Functions</t>
  </si>
  <si>
    <t>Reserved 1</t>
  </si>
  <si>
    <t>Reserved 2</t>
  </si>
  <si>
    <t>Name</t>
  </si>
  <si>
    <t>F_PRODU</t>
  </si>
  <si>
    <t>Production</t>
  </si>
  <si>
    <t>F_TRANS</t>
  </si>
  <si>
    <t>Transmission</t>
  </si>
  <si>
    <t>F_DISTR</t>
  </si>
  <si>
    <t>Distribution</t>
  </si>
  <si>
    <t>~</t>
  </si>
  <si>
    <t>Rate Classes</t>
  </si>
  <si>
    <t>Rate Class</t>
  </si>
  <si>
    <t>Res Svc</t>
  </si>
  <si>
    <t>Residential Sch 7</t>
  </si>
  <si>
    <t>Sec Svc 24</t>
  </si>
  <si>
    <t>Sec Volt Sch 24 (kW&lt; 50)</t>
  </si>
  <si>
    <t>Sec Svc 25 / 29 / 7A</t>
  </si>
  <si>
    <t>Sec Volt Sch 25 (kW &gt; 50 &amp; &lt; 350)</t>
  </si>
  <si>
    <t>Sec Svc 26 /26P</t>
  </si>
  <si>
    <t>Sec Volt Sch 26 (kW &gt; 350)</t>
  </si>
  <si>
    <t>Pri Svc 31</t>
  </si>
  <si>
    <t>Pri Volt Sch 31 (General Service)</t>
  </si>
  <si>
    <t>Factor Name</t>
  </si>
  <si>
    <t>Pri Svc 35</t>
  </si>
  <si>
    <t>Pri Volt Sch 35 (Irrigation)</t>
  </si>
  <si>
    <t>Unit Costs</t>
  </si>
  <si>
    <t>ENERGY_1</t>
  </si>
  <si>
    <t>Pri Svc 43</t>
  </si>
  <si>
    <t>Pri Volt Sch 43 (Interruptible)</t>
  </si>
  <si>
    <t>CUST_1</t>
  </si>
  <si>
    <t>DEM_2B</t>
  </si>
  <si>
    <t>High Volt 46/49</t>
  </si>
  <si>
    <t>ENERGY_2</t>
  </si>
  <si>
    <t>Rate of Return</t>
  </si>
  <si>
    <t>Percent</t>
  </si>
  <si>
    <t>Lighting 50-59</t>
  </si>
  <si>
    <t>Street &amp; Area Lighting</t>
  </si>
  <si>
    <t>ROR</t>
  </si>
  <si>
    <t>Firm Resale Small</t>
  </si>
  <si>
    <t>Firm Resale (Small)</t>
  </si>
  <si>
    <t>ROD</t>
  </si>
  <si>
    <t>ROE</t>
  </si>
  <si>
    <t>Income Tax</t>
  </si>
  <si>
    <t>State Income Tax</t>
  </si>
  <si>
    <t>Federal Income Tax</t>
  </si>
  <si>
    <t>Effective Tax Rate</t>
  </si>
  <si>
    <t>Uncollectible</t>
  </si>
  <si>
    <t>Classifers</t>
  </si>
  <si>
    <t>Residential</t>
  </si>
  <si>
    <t>DEM</t>
  </si>
  <si>
    <t>Demand</t>
  </si>
  <si>
    <t>NRG</t>
  </si>
  <si>
    <t>Energy</t>
  </si>
  <si>
    <t>Revenue Conversion Factors</t>
  </si>
  <si>
    <t>CUS</t>
  </si>
  <si>
    <t>Customer</t>
  </si>
  <si>
    <t>Proforma Delivered Sales</t>
  </si>
  <si>
    <t>kWh Sales</t>
  </si>
  <si>
    <t>$ Sales</t>
  </si>
  <si>
    <t>Line No.</t>
  </si>
  <si>
    <t>Total Secondary Voltage</t>
  </si>
  <si>
    <t>Total Primary Voltage</t>
  </si>
  <si>
    <t>50-59</t>
  </si>
  <si>
    <t>Proforma Revenue</t>
  </si>
  <si>
    <t>Classifiers</t>
  </si>
  <si>
    <t>PC1</t>
  </si>
  <si>
    <t>Peak Credit - All Customers Top 200 CP, No Int</t>
  </si>
  <si>
    <t>PC2</t>
  </si>
  <si>
    <t>Peak Credit - All Customers Top 200CP, No Int or Transp</t>
  </si>
  <si>
    <t>TFR</t>
  </si>
  <si>
    <t>Transformers</t>
  </si>
  <si>
    <t>PC3</t>
  </si>
  <si>
    <t>Peak Credit - All Customers 4 Monthly CP, No Int</t>
  </si>
  <si>
    <t>PC4</t>
  </si>
  <si>
    <t>Peak Credit - 4 Monthly CP, No Int or Transp</t>
  </si>
  <si>
    <t>External Allocators</t>
  </si>
  <si>
    <t>Classifier</t>
  </si>
  <si>
    <t>CUSTOMER EXTERNAL ALLOCATORS</t>
  </si>
  <si>
    <t>Ave. No. Cust.</t>
  </si>
  <si>
    <t>CUST_2</t>
  </si>
  <si>
    <t>Ave. No. Cust Incl. RES &amp; SEC Only, No Sch 40</t>
  </si>
  <si>
    <t>CUST_3</t>
  </si>
  <si>
    <t>CUST_4</t>
  </si>
  <si>
    <t>Meter Counts. A/C 902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</si>
  <si>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</si>
  <si>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</si>
  <si>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</si>
  <si>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</si>
  <si>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</si>
  <si>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</si>
  <si>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</si>
  <si>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DIR252.00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</si>
  <si>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</si>
  <si>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</si>
  <si>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</si>
  <si>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</si>
  <si>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</si>
  <si>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</si>
  <si>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</si>
  <si>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</si>
  <si>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</si>
  <si>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</si>
  <si>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</si>
  <si>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</si>
  <si>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</si>
  <si>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</si>
  <si>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</si>
  <si>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</si>
  <si>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</si>
  <si>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</si>
  <si>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</si>
  <si>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</si>
  <si>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</si>
  <si>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</si>
  <si>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</si>
  <si>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PROFORMA_RETAIL</t>
  </si>
  <si>
    <t>RESID</t>
  </si>
  <si>
    <t>Residential Allocation Only</t>
  </si>
  <si>
    <t>UG_TFMRC</t>
  </si>
  <si>
    <t>Allocate Underground Transformers</t>
  </si>
  <si>
    <t>DEMAND EXTERNAL ALLOCATORS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</si>
  <si>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</si>
  <si>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</si>
  <si>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</si>
  <si>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</si>
  <si>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</si>
  <si>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</si>
  <si>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</si>
  <si>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</si>
  <si>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</si>
  <si>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</si>
  <si>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</si>
  <si>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</si>
  <si>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</si>
  <si>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</si>
  <si>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</si>
  <si>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</si>
  <si>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</si>
  <si>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</si>
  <si>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</si>
  <si>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</si>
  <si>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</si>
  <si>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</si>
  <si>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</si>
  <si>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</si>
  <si>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</si>
  <si>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</si>
  <si>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</si>
  <si>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</si>
  <si>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</si>
  <si>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</si>
  <si>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</si>
  <si>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</si>
  <si>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</si>
  <si>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</si>
  <si>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</si>
  <si>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</si>
  <si>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</si>
  <si>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</si>
  <si>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</si>
  <si>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</si>
  <si>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</si>
  <si>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</si>
  <si>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</si>
  <si>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</si>
  <si>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ENERGY EXTERNAL ALLOCATORS</t>
  </si>
  <si>
    <t>BPAX</t>
  </si>
  <si>
    <t>Annual kWhs</t>
  </si>
  <si>
    <t>Energy - NO RETAIL WHEELING</t>
  </si>
  <si>
    <t>Secondary Voltage Only</t>
  </si>
  <si>
    <t>Sum of COUNT</t>
  </si>
  <si>
    <t>Sum of TOTAL_METER_COST</t>
  </si>
  <si>
    <t>459H</t>
  </si>
  <si>
    <t>SCH_449EC</t>
  </si>
  <si>
    <t>SCH_449EI</t>
  </si>
  <si>
    <t>Sum of Amount</t>
  </si>
  <si>
    <t>Tariff</t>
  </si>
  <si>
    <t>COS ID</t>
  </si>
  <si>
    <t>ID451.05</t>
  </si>
  <si>
    <t>Bill Initiation</t>
  </si>
  <si>
    <t>ID451.02</t>
  </si>
  <si>
    <t>Connection / Reconnection Fee</t>
  </si>
  <si>
    <t>ID450.02</t>
  </si>
  <si>
    <t>Disconnection</t>
  </si>
  <si>
    <t>ID451.06</t>
  </si>
  <si>
    <t>ID450.01</t>
  </si>
  <si>
    <t>Late Pay Fee</t>
  </si>
  <si>
    <t>Payment Return Fee</t>
  </si>
  <si>
    <t>Records &amp; Collections</t>
  </si>
  <si>
    <t>Meter Related Costs</t>
  </si>
  <si>
    <t>Other Cust Accounting Related Costs</t>
  </si>
  <si>
    <t>Meter Counts</t>
  </si>
  <si>
    <t>in A/C 903</t>
  </si>
  <si>
    <t>Allocated</t>
  </si>
  <si>
    <t>Non Large Volume Customer Count</t>
  </si>
  <si>
    <t>Direct Assignment (APUA, Credit Card, Major Accounts)</t>
  </si>
  <si>
    <t>Total Costs</t>
  </si>
  <si>
    <t>46 / 49</t>
  </si>
  <si>
    <t>449 HV</t>
  </si>
  <si>
    <t>Line</t>
  </si>
  <si>
    <t>FERC Account</t>
  </si>
  <si>
    <t>Schedule 31</t>
  </si>
  <si>
    <t>Schedule 46 / 49</t>
  </si>
  <si>
    <t>All Direct Assignment</t>
  </si>
  <si>
    <t>364-365</t>
  </si>
  <si>
    <t>366-367</t>
  </si>
  <si>
    <t>368 OH</t>
  </si>
  <si>
    <t>368 UG</t>
  </si>
  <si>
    <t>Total Direct Assignment</t>
  </si>
  <si>
    <t>Schedule 43</t>
  </si>
  <si>
    <t>Load Research Allocation Factors</t>
  </si>
  <si>
    <t>Electric Cost of Service Allocation Factors</t>
  </si>
  <si>
    <t>Load Research Data</t>
  </si>
  <si>
    <t>Energy - All Rate Schedules</t>
  </si>
  <si>
    <t>Energy - Exclude Transportation</t>
  </si>
  <si>
    <t>4 CP Demand - Exclude Interruptible</t>
  </si>
  <si>
    <t>4 CP Demand - Exclude Interruptible &amp; Transportation</t>
  </si>
  <si>
    <t>4 CP  Demand</t>
  </si>
  <si>
    <t>Check</t>
  </si>
  <si>
    <t>Distribution Line Transformers</t>
  </si>
  <si>
    <t>Source:  BRD-03</t>
  </si>
  <si>
    <t>OH-UG</t>
  </si>
  <si>
    <t>Sum of WEIGHTED COST</t>
  </si>
  <si>
    <t>Sum of Weighted Cost</t>
  </si>
  <si>
    <t>SCH_51E</t>
  </si>
  <si>
    <t>SCH_52E</t>
  </si>
  <si>
    <t>SCH_53E</t>
  </si>
  <si>
    <t>SCH_54E</t>
  </si>
  <si>
    <t>SCH_55E</t>
  </si>
  <si>
    <t>SCH_56E</t>
  </si>
  <si>
    <t>SCH_58E</t>
  </si>
  <si>
    <t>SCH_59E</t>
  </si>
  <si>
    <t>5x</t>
  </si>
  <si>
    <t>FERC Accounts 364, 365, 366, 367</t>
  </si>
  <si>
    <t>FERC Accounts 360, 361 &amp; 362</t>
  </si>
  <si>
    <t>Distribution Substation Costs</t>
  </si>
  <si>
    <t>OH &amp; UG Line Miles</t>
  </si>
  <si>
    <t>Load Research Data - Demand 4CP</t>
  </si>
  <si>
    <t>BPA Res Exchange kWh</t>
  </si>
  <si>
    <t>Wtd. Ave. No. Cust. A/C 903 Customer Records Direct Assignment</t>
  </si>
  <si>
    <t>Allocation of Account 904 Costs</t>
  </si>
  <si>
    <t>Uncollectible Accounts</t>
  </si>
  <si>
    <t>Page #</t>
  </si>
  <si>
    <t>Twelve Months ended December 2008</t>
  </si>
  <si>
    <t>Summary - Rate Spread</t>
  </si>
  <si>
    <t>Proposed Revenue</t>
  </si>
  <si>
    <t>12NCP Cost Assignment</t>
  </si>
  <si>
    <t>Historic Test Year Twelve Months ended December 2018</t>
  </si>
  <si>
    <t>Adjusted Test Year Twelve Months ended December 2018 @ Proforma Rev Requirement</t>
  </si>
  <si>
    <t>Adjusted Test Year Twelve Months ended December 2018 ~ Proposed Rate Increase</t>
  </si>
  <si>
    <t>Special Contract (Transportation)</t>
  </si>
  <si>
    <t xml:space="preserve">Special Contract </t>
  </si>
  <si>
    <t>Revenue Targets by Rate Class and Case</t>
  </si>
  <si>
    <t>GRC Test Year Ended December 2018</t>
  </si>
  <si>
    <t>Source:  Customer Counts YE 12-2018.xlsx</t>
  </si>
  <si>
    <t>Sum of 004/2018</t>
  </si>
  <si>
    <t>Sum of 005/2018</t>
  </si>
  <si>
    <t>Sum of 006/2018</t>
  </si>
  <si>
    <t>Sum of 007/2018</t>
  </si>
  <si>
    <t>Sum of 008/2018</t>
  </si>
  <si>
    <t>Sum of 003/2018</t>
  </si>
  <si>
    <t>Sum of 002/2018</t>
  </si>
  <si>
    <t>Sum of 001/2018</t>
  </si>
  <si>
    <t>Sum of 009/2018</t>
  </si>
  <si>
    <t>Sum of 010/2018</t>
  </si>
  <si>
    <t>Sum of 011/2018</t>
  </si>
  <si>
    <t>Sum of 012/2018</t>
  </si>
  <si>
    <t>TY ended December 2018</t>
  </si>
  <si>
    <t>Electric Rates</t>
  </si>
  <si>
    <t>Twelve Months ended December 2018</t>
  </si>
  <si>
    <t>Sum of Total YE 12-2018</t>
  </si>
  <si>
    <t>Twelve Months Ended December 2018</t>
  </si>
  <si>
    <t>Test Year ended December 2018</t>
  </si>
  <si>
    <t>2019 GRC</t>
  </si>
  <si>
    <t>GRC Test Year ending December 2018</t>
  </si>
  <si>
    <t>High Volt Sch 46 &amp; 49 (Interruptible &amp; Gen Svc)</t>
  </si>
  <si>
    <t>Choice/Retail Wheeling</t>
  </si>
  <si>
    <t>Sch 449-459 (Transportation)</t>
  </si>
  <si>
    <t>Sspecial Contract Adjustment</t>
  </si>
  <si>
    <t>Special Contract</t>
  </si>
  <si>
    <t>YE December 2018</t>
  </si>
  <si>
    <t>FERC 235</t>
  </si>
  <si>
    <t>Fuel</t>
  </si>
  <si>
    <t>Elec</t>
  </si>
  <si>
    <t>PSE/23500003</t>
  </si>
  <si>
    <t>AC Desc</t>
  </si>
  <si>
    <t>Customer Dep Comm</t>
  </si>
  <si>
    <t>Direct Assignment Special Contract</t>
  </si>
  <si>
    <t>One Time Charge Detail (BRD-07)</t>
  </si>
  <si>
    <t>Light</t>
  </si>
  <si>
    <t>APUA Accounts 14400311 &amp; 14400312</t>
  </si>
  <si>
    <t>Direct Assignment of Distribution Plant Accumulated Depreciation</t>
  </si>
  <si>
    <t>Direct Assignment of Distribution Plant</t>
  </si>
  <si>
    <t>ALTERNATE_SCHEDULE</t>
  </si>
  <si>
    <t>Average Schedule 40 Meter Cost</t>
  </si>
  <si>
    <t>Non-Special Contract Sch 40 Migration Basic Charges</t>
  </si>
  <si>
    <t>Special Contract Sch 40 Migration Basic Charges</t>
  </si>
  <si>
    <t>Sch 40 Migration Basic Charges</t>
  </si>
  <si>
    <t>Meter Cost Excl Sch 40</t>
  </si>
  <si>
    <t>Meter Cost Adjustment</t>
  </si>
  <si>
    <t>Adjusted Meter Costs</t>
  </si>
  <si>
    <t>Meter Cost Allocation Factor - BRD-02</t>
  </si>
  <si>
    <t>Twelve Months ended December 30, 2018</t>
  </si>
  <si>
    <t>Retail Wheeling (449-459)</t>
  </si>
  <si>
    <t>Lighting (50-59)</t>
  </si>
  <si>
    <t>8 &amp; 24</t>
  </si>
  <si>
    <t>7A, 11, 25 &amp; 29</t>
  </si>
  <si>
    <t>12 &amp; 26</t>
  </si>
  <si>
    <t>10 &amp; 31</t>
  </si>
  <si>
    <t>46 &amp;49</t>
  </si>
  <si>
    <t>Direct Assign UG Dist Lines - Accum Depr</t>
  </si>
  <si>
    <t>Schedule 449-459</t>
  </si>
  <si>
    <t>Subtotal</t>
  </si>
  <si>
    <t>BPA Exchange Load</t>
  </si>
  <si>
    <t>Test Year Ended December 2018</t>
  </si>
  <si>
    <t>Delivered Only</t>
  </si>
  <si>
    <t>Annual mWh Delivered Sales YE 12-2018</t>
  </si>
  <si>
    <t>Total Retail Sales</t>
  </si>
  <si>
    <t>BPA Residential Exchange MWh</t>
  </si>
  <si>
    <t>2019 General Rate Case</t>
  </si>
  <si>
    <t>Cost of Service Direct Assignment Workpapers</t>
  </si>
  <si>
    <t>Total Meter Count</t>
  </si>
  <si>
    <t>Less Sch 40</t>
  </si>
  <si>
    <t>Add Migration</t>
  </si>
  <si>
    <t>Subtotal Sch 25</t>
  </si>
  <si>
    <t>Subtotal Sch 31</t>
  </si>
  <si>
    <t>Subtotal Sch 26</t>
  </si>
  <si>
    <t>2019 GRC ECOS - Inputs</t>
  </si>
  <si>
    <t>2019 GRC ECOS - Classifiers</t>
  </si>
  <si>
    <t>2019 GRC ECOS - External Allocation Factors</t>
  </si>
  <si>
    <t>2019 GRC ROR</t>
  </si>
  <si>
    <t>2019 GRC Revenue Sensitive Items</t>
  </si>
  <si>
    <t>2019 GRC Peak Credit</t>
  </si>
  <si>
    <t>Dist Accum Depr (360-367)</t>
  </si>
  <si>
    <t>Terex</t>
  </si>
  <si>
    <t>Cardinal 31</t>
  </si>
  <si>
    <t>Costco 25</t>
  </si>
  <si>
    <t>Costco 26</t>
  </si>
  <si>
    <t>Evergreen 25</t>
  </si>
  <si>
    <t>Evergreen 31</t>
  </si>
  <si>
    <t>Kroger 25</t>
  </si>
  <si>
    <t>Kroger 26</t>
  </si>
  <si>
    <t>Kroger 31</t>
  </si>
  <si>
    <t>MCI 31</t>
  </si>
  <si>
    <t>Mikron 31</t>
  </si>
  <si>
    <t>MS SC</t>
  </si>
  <si>
    <t>Muckleshoot 25</t>
  </si>
  <si>
    <t>Muckleshoot 26</t>
  </si>
  <si>
    <t>Overlake 31</t>
  </si>
  <si>
    <t>Overlake 25</t>
  </si>
  <si>
    <t>Valley General 25</t>
  </si>
  <si>
    <t>Valley General 31</t>
  </si>
  <si>
    <t>Exclude Special Contract (Directly Assigned)</t>
  </si>
  <si>
    <t>Microsoft</t>
  </si>
  <si>
    <t/>
  </si>
  <si>
    <t>Proposed Revenue - Spec Cont &amp; Retail Wheeling</t>
  </si>
  <si>
    <t>Allocation of Account 903 Costs</t>
  </si>
  <si>
    <t>Proforma Retail Revenue - No Transportation or Firm Resale</t>
  </si>
  <si>
    <t>DIR_SC</t>
  </si>
  <si>
    <t>Monthly CP by Class</t>
  </si>
  <si>
    <t>with losses</t>
  </si>
  <si>
    <t>YearMo</t>
  </si>
  <si>
    <t>Date</t>
  </si>
  <si>
    <t>Hour</t>
  </si>
  <si>
    <t>_7</t>
  </si>
  <si>
    <t>_24</t>
  </si>
  <si>
    <t>_25</t>
  </si>
  <si>
    <t>_26</t>
  </si>
  <si>
    <t>_29</t>
  </si>
  <si>
    <t>_31</t>
  </si>
  <si>
    <t>_35</t>
  </si>
  <si>
    <t>_43</t>
  </si>
  <si>
    <t>SC</t>
  </si>
  <si>
    <t>_46</t>
  </si>
  <si>
    <t>_49</t>
  </si>
  <si>
    <t>_5</t>
  </si>
  <si>
    <t>System</t>
  </si>
  <si>
    <t>_449-459</t>
  </si>
  <si>
    <t>18:00</t>
  </si>
  <si>
    <t>08:00</t>
  </si>
  <si>
    <t>4 CP</t>
  </si>
  <si>
    <t>25 / 29</t>
  </si>
  <si>
    <t>40</t>
  </si>
  <si>
    <t>449-459/Retail Wheeling</t>
  </si>
  <si>
    <t>50 / Lighting</t>
  </si>
  <si>
    <t>FR Small</t>
  </si>
  <si>
    <t>TEMPERATURE ADJUSTED ANNUAL ENERGY ALLOCATIONS BY RATE SCHEDULE</t>
  </si>
  <si>
    <t>12 MONTHS ENDED DECEMBER 31, 2018</t>
  </si>
  <si>
    <t>NET GPI</t>
  </si>
  <si>
    <t>TEMP ADJ</t>
  </si>
  <si>
    <t>TEMP ADJ GPI</t>
  </si>
  <si>
    <t>DELIVERED KWH (Cal View)</t>
  </si>
  <si>
    <t>TEMP ADJUSTED</t>
  </si>
  <si>
    <t>TEMP ADJ DELIVERED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</si>
  <si>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</si>
  <si>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</si>
  <si>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</si>
  <si>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</si>
  <si>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</si>
  <si>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</si>
  <si>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</si>
  <si>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</si>
  <si>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</si>
  <si>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</si>
  <si>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</si>
  <si>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</si>
  <si>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</si>
  <si>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</si>
  <si>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</si>
  <si>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Billed kWh</t>
  </si>
  <si>
    <t>(incl. losses</t>
  </si>
  <si>
    <t>Adjusted</t>
  </si>
  <si>
    <t>Class</t>
  </si>
  <si>
    <t>actual kWh</t>
  </si>
  <si>
    <t>kWh</t>
  </si>
  <si>
    <t>Losses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</si>
  <si>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</si>
  <si>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</si>
  <si>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</si>
  <si>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</si>
  <si>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</si>
  <si>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</si>
  <si>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</si>
  <si>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</si>
  <si>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</si>
  <si>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</si>
  <si>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</si>
  <si>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</si>
  <si>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</si>
  <si>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</si>
  <si>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</si>
  <si>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</si>
  <si>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</si>
  <si>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</si>
  <si>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</si>
  <si>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</si>
  <si>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</si>
  <si>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PV</t>
  </si>
  <si>
    <t>Total Transp.</t>
  </si>
  <si>
    <t>Note:  Annual actual kWh includes the impacts of schedule 40 rate migrations anticipated during the rate year on Schedules 24, 25, 26, 31 &amp; Special Contract.</t>
  </si>
  <si>
    <t>ANNUAL ENERGY LOSS ALLOCATIONS BY RATE SCHEDULE</t>
  </si>
  <si>
    <t>Delivery</t>
  </si>
  <si>
    <t>% of Total</t>
  </si>
  <si>
    <t>% of Annual</t>
  </si>
  <si>
    <t>Voltage Level</t>
  </si>
  <si>
    <t>Energy Losses</t>
  </si>
  <si>
    <t>High Voltage (Sch 46,49)</t>
  </si>
  <si>
    <t>Primary (Sch 05,31,35,40,43)</t>
  </si>
  <si>
    <t>Secondary (7,24,25,26,29,Lighting)</t>
  </si>
  <si>
    <t>Total (not incl. transportation)</t>
  </si>
  <si>
    <t>KWH LOSSES</t>
  </si>
  <si>
    <t>MISC USAGE</t>
  </si>
  <si>
    <t>KWH BILLED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</si>
  <si>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</si>
  <si>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</si>
  <si>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</si>
  <si>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</si>
  <si>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</si>
  <si>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</si>
  <si>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</si>
  <si>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</si>
  <si>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</si>
  <si>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</si>
  <si>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</si>
  <si>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</si>
  <si>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Actual</t>
  </si>
  <si>
    <t>Misc. Use</t>
  </si>
  <si>
    <t>Coincident</t>
  </si>
  <si>
    <t>Annual Loss</t>
  </si>
  <si>
    <t>Delivered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</si>
  <si>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</si>
  <si>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</si>
  <si>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</si>
  <si>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</si>
  <si>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</si>
  <si>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</si>
  <si>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</si>
  <si>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((2+3)/8760)</t>
  </si>
  <si>
    <t>(5/4)</t>
  </si>
  <si>
    <t>(6*7*8784)</t>
  </si>
  <si>
    <t>8/sum(8)</t>
  </si>
  <si>
    <t>(2+3+9)</t>
  </si>
  <si>
    <t>(9/(2+3))</t>
  </si>
  <si>
    <t>calendar view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</si>
  <si>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</si>
  <si>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</si>
  <si>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</si>
  <si>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</si>
  <si>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</si>
  <si>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</si>
  <si>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</si>
  <si>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</si>
  <si>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</si>
  <si>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</si>
  <si>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4-6</t>
  </si>
  <si>
    <t>29-30</t>
  </si>
  <si>
    <t>Electric Cost of Service Direct Assignments</t>
  </si>
  <si>
    <t>Docket No. UE-190529</t>
  </si>
  <si>
    <t>449HV</t>
  </si>
  <si>
    <t>449PV</t>
  </si>
  <si>
    <t>Note: not sure why using Nov instead of Mar per DLA</t>
  </si>
  <si>
    <t>Monthly NCP by Class</t>
  </si>
  <si>
    <t>4 NCP</t>
  </si>
  <si>
    <t>A&amp;E 4 NCP</t>
  </si>
  <si>
    <t>Energy MWh</t>
  </si>
  <si>
    <t>Average kWh (MWh/8.760)</t>
  </si>
  <si>
    <t>Average %</t>
  </si>
  <si>
    <t>Excess</t>
  </si>
  <si>
    <t>Excess %</t>
  </si>
  <si>
    <t>Average % x LF</t>
  </si>
  <si>
    <t>Excess % x (1-LF)</t>
  </si>
  <si>
    <t>Average&amp;Excess 4 NCP</t>
  </si>
  <si>
    <t>System LF</t>
  </si>
  <si>
    <t xml:space="preserve">  Average</t>
  </si>
  <si>
    <t xml:space="preserve">  Peak</t>
  </si>
  <si>
    <t xml:space="preserve">  Load Factor</t>
  </si>
  <si>
    <t xml:space="preserve">  1-Load Factor</t>
  </si>
  <si>
    <t>4CP</t>
  </si>
  <si>
    <t>A&amp;E 4NCP</t>
  </si>
  <si>
    <t>A&amp;E 4NCP excl Inter</t>
  </si>
  <si>
    <t>A&amp;E 4NCP excl Inter&amp;Transp</t>
  </si>
  <si>
    <t>Note: 4CP is replaced with A&amp;E 4 NCP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</si>
</sst>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000_);_(* \(#,##0.000000\);_(* &quot;-&quot;??_);_(@_)"/>
    <numFmt numFmtId="169" formatCode="0.0%"/>
    <numFmt numFmtId="170" formatCode="#,##0.0"/>
    <numFmt numFmtId="171" formatCode="#,##0.0000_);[Red]\(#,##0.0000\)"/>
    <numFmt numFmtId="172" formatCode="#,##0.0000"/>
    <numFmt numFmtId="173" formatCode="0.00000"/>
    <numFmt numFmtId="174" formatCode="[$-409]mmm\-yy;@"/>
    <numFmt numFmtId="175" formatCode="_(&quot;$&quot;* #,##0.000000_);_(&quot;$&quot;* \(#,##0.000000\);_(&quot;$&quot;* &quot;-&quot;??_);_(@_)"/>
    <numFmt numFmtId="176" formatCode="_(&quot;$&quot;* #,##0.000_);_(&quot;$&quot;* \(#,##0.000\);_(&quot;$&quot;* &quot;-&quot;??_);_(@_)"/>
    <numFmt numFmtId="177" formatCode="_(&quot;$&quot;* #,##0.00000_);_(&quot;$&quot;* \(#,##0.00000\);_(&quot;$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5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 applyFill="1"/>
    <xf numFmtId="0" fontId="3" fillId="0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165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164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1" fontId="0" fillId="0" borderId="0" xfId="0" applyNumberFormat="1" applyAlignment="1">
      <alignment wrapText="1"/>
    </xf>
    <xf numFmtId="41" fontId="0" fillId="0" borderId="0" xfId="0" applyNumberFormat="1"/>
    <xf numFmtId="41" fontId="2" fillId="2" borderId="6" xfId="0" applyNumberFormat="1" applyFont="1" applyFill="1" applyBorder="1"/>
    <xf numFmtId="42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0" fontId="2" fillId="2" borderId="5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left"/>
    </xf>
    <xf numFmtId="0" fontId="0" fillId="4" borderId="0" xfId="0" applyNumberFormat="1" applyFill="1" applyAlignment="1"/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7" fontId="0" fillId="4" borderId="0" xfId="0" applyNumberFormat="1" applyFont="1" applyFill="1" applyAlignment="1">
      <alignment horizontal="right"/>
    </xf>
    <xf numFmtId="167" fontId="10" fillId="5" borderId="7" xfId="0" quotePrefix="1" applyNumberFormat="1" applyFont="1" applyFill="1" applyBorder="1" applyAlignment="1">
      <alignment horizontal="left"/>
    </xf>
    <xf numFmtId="167" fontId="10" fillId="5" borderId="7" xfId="0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167" fontId="10" fillId="5" borderId="8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10" fontId="10" fillId="5" borderId="7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8" fontId="10" fillId="5" borderId="8" xfId="0" applyNumberFormat="1" applyFont="1" applyFill="1" applyBorder="1" applyAlignment="1">
      <alignment horizontal="left"/>
    </xf>
    <xf numFmtId="0" fontId="9" fillId="0" borderId="0" xfId="0" quotePrefix="1" applyFont="1" applyAlignment="1">
      <alignment horizontal="left"/>
    </xf>
    <xf numFmtId="0" fontId="0" fillId="4" borderId="0" xfId="0" applyNumberFormat="1" applyFill="1" applyBorder="1" applyAlignment="1"/>
    <xf numFmtId="0" fontId="11" fillId="4" borderId="0" xfId="0" applyNumberFormat="1" applyFont="1" applyFill="1" applyAlignment="1">
      <alignment horizontal="right"/>
    </xf>
    <xf numFmtId="9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167" fontId="0" fillId="0" borderId="0" xfId="0" applyNumberFormat="1" applyFont="1" applyFill="1"/>
    <xf numFmtId="166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9" fontId="10" fillId="5" borderId="8" xfId="0" applyNumberFormat="1" applyFont="1" applyFill="1" applyBorder="1" applyAlignment="1">
      <alignment horizontal="center"/>
    </xf>
    <xf numFmtId="167" fontId="10" fillId="5" borderId="8" xfId="0" quotePrefix="1" applyNumberFormat="1" applyFont="1" applyFill="1" applyBorder="1" applyAlignment="1">
      <alignment horizontal="left"/>
    </xf>
    <xf numFmtId="9" fontId="10" fillId="5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41" fontId="0" fillId="0" borderId="0" xfId="0" applyNumberFormat="1" applyAlignment="1">
      <alignment horizontal="left" wrapText="1"/>
    </xf>
    <xf numFmtId="167" fontId="7" fillId="5" borderId="8" xfId="0" applyNumberFormat="1" applyFont="1" applyFill="1" applyBorder="1" applyAlignment="1">
      <alignment horizontal="left"/>
    </xf>
    <xf numFmtId="167" fontId="7" fillId="0" borderId="8" xfId="0" applyNumberFormat="1" applyFont="1" applyFill="1" applyBorder="1" applyAlignment="1">
      <alignment horizontal="left"/>
    </xf>
    <xf numFmtId="10" fontId="7" fillId="0" borderId="8" xfId="0" applyNumberFormat="1" applyFont="1" applyFill="1" applyBorder="1" applyAlignment="1">
      <alignment horizontal="right"/>
    </xf>
    <xf numFmtId="0" fontId="7" fillId="3" borderId="20" xfId="0" applyFont="1" applyFill="1" applyBorder="1"/>
    <xf numFmtId="41" fontId="0" fillId="4" borderId="0" xfId="0" applyNumberFormat="1" applyFill="1" applyBorder="1" applyAlignment="1"/>
    <xf numFmtId="0" fontId="7" fillId="3" borderId="0" xfId="0" applyFont="1" applyFill="1" applyBorder="1"/>
    <xf numFmtId="0" fontId="0" fillId="0" borderId="0" xfId="0" quotePrefix="1" applyAlignment="1">
      <alignment horizontal="left"/>
    </xf>
    <xf numFmtId="0" fontId="0" fillId="0" borderId="0" xfId="0" pivotButton="1"/>
    <xf numFmtId="0" fontId="0" fillId="0" borderId="0" xfId="0" quotePrefix="1" applyFill="1" applyAlignment="1">
      <alignment horizontal="left"/>
    </xf>
    <xf numFmtId="0" fontId="0" fillId="0" borderId="26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3" xfId="0" quotePrefix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9" xfId="0" applyFill="1" applyBorder="1"/>
    <xf numFmtId="0" fontId="0" fillId="0" borderId="2" xfId="0" applyFill="1" applyBorder="1"/>
    <xf numFmtId="0" fontId="0" fillId="0" borderId="26" xfId="0" applyFill="1" applyBorder="1"/>
    <xf numFmtId="0" fontId="0" fillId="0" borderId="30" xfId="0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166" fontId="1" fillId="0" borderId="0" xfId="0" applyNumberFormat="1" applyFont="1"/>
    <xf numFmtId="0" fontId="0" fillId="0" borderId="0" xfId="0" quotePrefix="1" applyAlignment="1">
      <alignment horizontal="right"/>
    </xf>
    <xf numFmtId="0" fontId="7" fillId="0" borderId="0" xfId="0" applyFont="1"/>
    <xf numFmtId="0" fontId="7" fillId="0" borderId="34" xfId="0" applyFont="1" applyBorder="1" applyAlignment="1">
      <alignment horizontal="center"/>
    </xf>
    <xf numFmtId="0" fontId="7" fillId="0" borderId="35" xfId="0" quotePrefix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 wrapText="1"/>
    </xf>
    <xf numFmtId="0" fontId="7" fillId="0" borderId="35" xfId="0" applyFont="1" applyBorder="1" applyAlignment="1">
      <alignment horizontal="right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39" xfId="0" applyFont="1" applyBorder="1"/>
    <xf numFmtId="0" fontId="7" fillId="0" borderId="13" xfId="0" applyFont="1" applyBorder="1"/>
    <xf numFmtId="0" fontId="7" fillId="0" borderId="32" xfId="0" quotePrefix="1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33" xfId="0" quotePrefix="1" applyFont="1" applyFill="1" applyBorder="1" applyAlignment="1">
      <alignment horizontal="center" wrapText="1"/>
    </xf>
    <xf numFmtId="167" fontId="7" fillId="0" borderId="37" xfId="0" applyNumberFormat="1" applyFont="1" applyFill="1" applyBorder="1"/>
    <xf numFmtId="167" fontId="7" fillId="0" borderId="0" xfId="0" applyNumberFormat="1" applyFont="1" applyFill="1" applyBorder="1"/>
    <xf numFmtId="167" fontId="7" fillId="0" borderId="37" xfId="0" applyNumberFormat="1" applyFont="1" applyFill="1" applyBorder="1"/>
    <xf numFmtId="0" fontId="7" fillId="0" borderId="39" xfId="0" applyFont="1" applyFill="1" applyBorder="1"/>
    <xf numFmtId="0" fontId="7" fillId="0" borderId="13" xfId="0" applyFont="1" applyFill="1" applyBorder="1"/>
    <xf numFmtId="0" fontId="7" fillId="0" borderId="40" xfId="0" applyFont="1" applyFill="1" applyBorder="1"/>
    <xf numFmtId="0" fontId="0" fillId="0" borderId="0" xfId="0" applyFill="1" applyAlignment="1">
      <alignment wrapText="1"/>
    </xf>
    <xf numFmtId="42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0" fillId="0" borderId="0" xfId="0" applyNumberFormat="1" applyFont="1" applyFill="1"/>
    <xf numFmtId="167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Continuous"/>
    </xf>
    <xf numFmtId="0" fontId="19" fillId="0" borderId="2" xfId="0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quotePrefix="1" applyFont="1" applyFill="1" applyAlignment="1">
      <alignment horizontal="center" vertical="top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/>
    </xf>
    <xf numFmtId="167" fontId="19" fillId="0" borderId="24" xfId="0" applyNumberFormat="1" applyFont="1" applyFill="1" applyBorder="1"/>
    <xf numFmtId="0" fontId="19" fillId="0" borderId="0" xfId="0" applyFont="1" applyFill="1"/>
    <xf numFmtId="9" fontId="19" fillId="0" borderId="0" xfId="0" applyNumberFormat="1" applyFont="1" applyFill="1"/>
    <xf numFmtId="166" fontId="19" fillId="0" borderId="24" xfId="0" applyNumberFormat="1" applyFont="1" applyFill="1" applyBorder="1"/>
    <xf numFmtId="167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quotePrefix="1" applyFont="1" applyFill="1" applyAlignment="1">
      <alignment horizontal="left" indent="1"/>
    </xf>
    <xf numFmtId="0" fontId="19" fillId="0" borderId="0" xfId="0" quotePrefix="1" applyFont="1" applyFill="1" applyAlignment="1">
      <alignment horizontal="left"/>
    </xf>
    <xf numFmtId="3" fontId="19" fillId="0" borderId="0" xfId="0" applyNumberFormat="1" applyFont="1" applyFill="1" applyBorder="1"/>
    <xf numFmtId="16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166" fontId="19" fillId="0" borderId="0" xfId="0" applyNumberFormat="1" applyFont="1" applyFill="1"/>
    <xf numFmtId="10" fontId="19" fillId="0" borderId="0" xfId="0" applyNumberFormat="1" applyFont="1" applyFill="1"/>
    <xf numFmtId="3" fontId="19" fillId="0" borderId="24" xfId="0" applyNumberFormat="1" applyFont="1" applyFill="1" applyBorder="1"/>
    <xf numFmtId="0" fontId="19" fillId="0" borderId="0" xfId="0" applyFont="1" applyFill="1" applyBorder="1"/>
    <xf numFmtId="167" fontId="19" fillId="0" borderId="4" xfId="0" applyNumberFormat="1" applyFont="1" applyFill="1" applyBorder="1"/>
    <xf numFmtId="166" fontId="19" fillId="0" borderId="4" xfId="0" applyNumberFormat="1" applyFont="1" applyFill="1" applyBorder="1"/>
    <xf numFmtId="10" fontId="19" fillId="0" borderId="4" xfId="0" applyNumberFormat="1" applyFont="1" applyFill="1" applyBorder="1"/>
    <xf numFmtId="10" fontId="19" fillId="0" borderId="0" xfId="0" applyNumberFormat="1" applyFont="1" applyFill="1" applyBorder="1"/>
    <xf numFmtId="166" fontId="19" fillId="0" borderId="0" xfId="0" applyNumberFormat="1" applyFont="1" applyFill="1"/>
    <xf numFmtId="9" fontId="20" fillId="0" borderId="35" xfId="0" applyNumberFormat="1" applyFont="1" applyFill="1" applyBorder="1"/>
    <xf numFmtId="10" fontId="19" fillId="0" borderId="36" xfId="0" applyNumberFormat="1" applyFont="1" applyFill="1" applyBorder="1"/>
    <xf numFmtId="10" fontId="19" fillId="0" borderId="38" xfId="0" applyNumberFormat="1" applyFont="1" applyFill="1" applyBorder="1"/>
    <xf numFmtId="10" fontId="20" fillId="0" borderId="40" xfId="0" applyNumberFormat="1" applyFont="1" applyFill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4" borderId="0" xfId="0" quotePrefix="1" applyNumberFormat="1" applyFill="1" applyAlignment="1">
      <alignment horizontal="left"/>
    </xf>
    <xf numFmtId="0" fontId="11" fillId="0" borderId="0" xfId="0" quotePrefix="1" applyFont="1" applyAlignment="1">
      <alignment horizontal="right" wrapText="1"/>
    </xf>
    <xf numFmtId="0" fontId="2" fillId="2" borderId="5" xfId="0" quotePrefix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10" fontId="22" fillId="0" borderId="0" xfId="0" applyNumberFormat="1" applyFont="1" applyFill="1"/>
    <xf numFmtId="9" fontId="22" fillId="0" borderId="3" xfId="0" applyNumberFormat="1" applyFont="1" applyFill="1" applyBorder="1"/>
    <xf numFmtId="0" fontId="22" fillId="0" borderId="3" xfId="0" applyFont="1" applyFill="1" applyBorder="1"/>
    <xf numFmtId="10" fontId="22" fillId="0" borderId="3" xfId="0" applyNumberFormat="1" applyFont="1" applyFill="1" applyBorder="1"/>
    <xf numFmtId="10" fontId="22" fillId="0" borderId="0" xfId="0" applyNumberFormat="1" applyFont="1"/>
    <xf numFmtId="9" fontId="22" fillId="0" borderId="3" xfId="0" applyNumberFormat="1" applyFont="1" applyBorder="1"/>
    <xf numFmtId="0" fontId="22" fillId="0" borderId="3" xfId="0" applyFont="1" applyBorder="1"/>
    <xf numFmtId="10" fontId="22" fillId="0" borderId="3" xfId="0" applyNumberFormat="1" applyFont="1" applyBorder="1"/>
    <xf numFmtId="164" fontId="4" fillId="0" borderId="4" xfId="0" applyNumberFormat="1" applyFont="1" applyFill="1" applyBorder="1" applyAlignment="1" applyProtection="1">
      <protection locked="0"/>
    </xf>
    <xf numFmtId="44" fontId="0" fillId="0" borderId="0" xfId="0" applyNumberFormat="1"/>
    <xf numFmtId="0" fontId="2" fillId="2" borderId="6" xfId="0" applyFont="1" applyFill="1" applyBorder="1" applyAlignment="1">
      <alignment horizontal="left"/>
    </xf>
    <xf numFmtId="166" fontId="0" fillId="0" borderId="0" xfId="1" applyNumberFormat="1" applyFont="1"/>
    <xf numFmtId="166" fontId="0" fillId="10" borderId="0" xfId="1" applyNumberFormat="1" applyFont="1" applyFill="1"/>
    <xf numFmtId="9" fontId="0" fillId="0" borderId="0" xfId="2" applyFont="1"/>
    <xf numFmtId="42" fontId="2" fillId="2" borderId="6" xfId="0" applyNumberFormat="1" applyFont="1" applyFill="1" applyBorder="1"/>
    <xf numFmtId="167" fontId="0" fillId="0" borderId="0" xfId="3" applyNumberFormat="1" applyFont="1"/>
    <xf numFmtId="0" fontId="6" fillId="2" borderId="0" xfId="0" quotePrefix="1" applyFont="1" applyFill="1" applyAlignment="1">
      <alignment horizontal="center" wrapText="1"/>
    </xf>
    <xf numFmtId="43" fontId="0" fillId="0" borderId="0" xfId="0" applyNumberFormat="1"/>
    <xf numFmtId="14" fontId="0" fillId="0" borderId="0" xfId="0" applyNumberFormat="1" applyFill="1"/>
    <xf numFmtId="174" fontId="0" fillId="0" borderId="0" xfId="0" applyNumberFormat="1" applyFill="1"/>
    <xf numFmtId="167" fontId="0" fillId="0" borderId="0" xfId="3" applyNumberFormat="1" applyFont="1" applyFill="1"/>
    <xf numFmtId="0" fontId="11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4" fillId="0" borderId="0" xfId="4" applyFont="1" applyAlignment="1">
      <alignment horizontal="centerContinuous"/>
    </xf>
    <xf numFmtId="0" fontId="14" fillId="0" borderId="0" xfId="4" applyFont="1" applyAlignment="1"/>
    <xf numFmtId="0" fontId="7" fillId="6" borderId="34" xfId="4" applyFont="1" applyFill="1" applyBorder="1" applyAlignment="1"/>
    <xf numFmtId="3" fontId="7" fillId="7" borderId="36" xfId="4" applyNumberFormat="1" applyFont="1" applyFill="1" applyBorder="1" applyAlignment="1"/>
    <xf numFmtId="0" fontId="7" fillId="6" borderId="34" xfId="4" applyFont="1" applyFill="1" applyBorder="1" applyAlignment="1">
      <alignment horizontal="left"/>
    </xf>
    <xf numFmtId="0" fontId="14" fillId="11" borderId="35" xfId="4" applyFont="1" applyFill="1" applyBorder="1" applyAlignment="1">
      <alignment horizontal="center"/>
    </xf>
    <xf numFmtId="3" fontId="7" fillId="0" borderId="36" xfId="4" applyNumberFormat="1" applyFont="1" applyBorder="1" applyAlignment="1">
      <alignment horizontal="right"/>
    </xf>
    <xf numFmtId="0" fontId="7" fillId="6" borderId="37" xfId="4" applyFont="1" applyFill="1" applyBorder="1" applyAlignment="1"/>
    <xf numFmtId="3" fontId="7" fillId="0" borderId="41" xfId="4" applyNumberFormat="1" applyFont="1" applyBorder="1" applyAlignment="1"/>
    <xf numFmtId="0" fontId="7" fillId="6" borderId="37" xfId="4" applyFont="1" applyFill="1" applyBorder="1" applyAlignment="1">
      <alignment horizontal="left"/>
    </xf>
    <xf numFmtId="0" fontId="14" fillId="11" borderId="0" xfId="4" applyFont="1" applyFill="1" applyBorder="1" applyAlignment="1">
      <alignment horizontal="center"/>
    </xf>
    <xf numFmtId="3" fontId="7" fillId="0" borderId="38" xfId="4" applyNumberFormat="1" applyFont="1" applyBorder="1" applyAlignment="1">
      <alignment horizontal="right"/>
    </xf>
    <xf numFmtId="0" fontId="7" fillId="6" borderId="39" xfId="4" applyFont="1" applyFill="1" applyBorder="1" applyAlignment="1"/>
    <xf numFmtId="3" fontId="7" fillId="7" borderId="40" xfId="4" applyNumberFormat="1" applyFont="1" applyFill="1" applyBorder="1" applyAlignment="1"/>
    <xf numFmtId="0" fontId="7" fillId="6" borderId="39" xfId="4" applyFont="1" applyFill="1" applyBorder="1" applyAlignment="1">
      <alignment horizontal="left"/>
    </xf>
    <xf numFmtId="0" fontId="14" fillId="11" borderId="13" xfId="4" applyFont="1" applyFill="1" applyBorder="1" applyAlignment="1">
      <alignment horizontal="center"/>
    </xf>
    <xf numFmtId="3" fontId="7" fillId="0" borderId="40" xfId="4" applyNumberFormat="1" applyFont="1" applyBorder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 wrapText="1"/>
    </xf>
    <xf numFmtId="0" fontId="7" fillId="0" borderId="0" xfId="4" applyFont="1" applyFill="1" applyAlignment="1">
      <alignment horizontal="center"/>
    </xf>
    <xf numFmtId="0" fontId="7" fillId="6" borderId="34" xfId="4" quotePrefix="1" applyFont="1" applyFill="1" applyBorder="1" applyAlignment="1">
      <alignment horizontal="center"/>
    </xf>
    <xf numFmtId="0" fontId="7" fillId="6" borderId="35" xfId="4" quotePrefix="1" applyFont="1" applyFill="1" applyBorder="1" applyAlignment="1">
      <alignment horizontal="center"/>
    </xf>
    <xf numFmtId="0" fontId="7" fillId="0" borderId="36" xfId="4" quotePrefix="1" applyFont="1" applyFill="1" applyBorder="1" applyAlignment="1">
      <alignment horizontal="center"/>
    </xf>
    <xf numFmtId="0" fontId="11" fillId="6" borderId="37" xfId="4" applyFont="1" applyFill="1" applyBorder="1" applyAlignment="1">
      <alignment horizontal="center"/>
    </xf>
    <xf numFmtId="0" fontId="11" fillId="6" borderId="0" xfId="4" applyFont="1" applyFill="1" applyBorder="1" applyAlignment="1">
      <alignment horizontal="center"/>
    </xf>
    <xf numFmtId="0" fontId="11" fillId="0" borderId="38" xfId="4" applyFont="1" applyFill="1" applyBorder="1" applyAlignment="1">
      <alignment horizontal="center"/>
    </xf>
    <xf numFmtId="0" fontId="7" fillId="6" borderId="37" xfId="4" applyFont="1" applyFill="1" applyBorder="1"/>
    <xf numFmtId="0" fontId="7" fillId="6" borderId="0" xfId="4" applyFont="1" applyFill="1" applyBorder="1"/>
    <xf numFmtId="0" fontId="7" fillId="6" borderId="0" xfId="4" applyFont="1" applyFill="1" applyBorder="1" applyAlignment="1">
      <alignment horizontal="center"/>
    </xf>
    <xf numFmtId="0" fontId="12" fillId="6" borderId="37" xfId="4" applyFont="1" applyFill="1" applyBorder="1" applyAlignment="1">
      <alignment horizontal="center"/>
    </xf>
    <xf numFmtId="0" fontId="12" fillId="6" borderId="0" xfId="4" applyFont="1" applyFill="1" applyBorder="1" applyAlignment="1">
      <alignment horizontal="center" wrapText="1"/>
    </xf>
    <xf numFmtId="0" fontId="12" fillId="6" borderId="0" xfId="4" applyFont="1" applyFill="1" applyBorder="1" applyAlignment="1">
      <alignment horizontal="center"/>
    </xf>
    <xf numFmtId="0" fontId="12" fillId="6" borderId="0" xfId="4" quotePrefix="1" applyFont="1" applyFill="1" applyBorder="1" applyAlignment="1">
      <alignment horizontal="center"/>
    </xf>
    <xf numFmtId="0" fontId="12" fillId="0" borderId="38" xfId="4" quotePrefix="1" applyFont="1" applyFill="1" applyBorder="1" applyAlignment="1">
      <alignment horizontal="center"/>
    </xf>
    <xf numFmtId="0" fontId="15" fillId="0" borderId="37" xfId="4" quotePrefix="1" applyFont="1" applyBorder="1" applyAlignment="1">
      <alignment horizontal="center"/>
    </xf>
    <xf numFmtId="0" fontId="15" fillId="0" borderId="0" xfId="4" quotePrefix="1" applyFont="1" applyBorder="1" applyAlignment="1">
      <alignment horizontal="right"/>
    </xf>
    <xf numFmtId="0" fontId="15" fillId="0" borderId="38" xfId="4" quotePrefix="1" applyFont="1" applyFill="1" applyBorder="1" applyAlignment="1">
      <alignment horizontal="right"/>
    </xf>
    <xf numFmtId="0" fontId="12" fillId="0" borderId="42" xfId="4" quotePrefix="1" applyFont="1" applyBorder="1" applyAlignment="1">
      <alignment horizontal="center"/>
    </xf>
    <xf numFmtId="41" fontId="12" fillId="0" borderId="24" xfId="4" applyNumberFormat="1" applyFont="1" applyFill="1" applyBorder="1" applyAlignment="1">
      <alignment horizontal="right"/>
    </xf>
    <xf numFmtId="41" fontId="12" fillId="12" borderId="24" xfId="4" applyNumberFormat="1" applyFont="1" applyFill="1" applyBorder="1" applyAlignment="1">
      <alignment horizontal="right"/>
    </xf>
    <xf numFmtId="10" fontId="12" fillId="0" borderId="24" xfId="4" applyNumberFormat="1" applyFont="1" applyBorder="1" applyAlignment="1">
      <alignment horizontal="right"/>
    </xf>
    <xf numFmtId="37" fontId="12" fillId="0" borderId="24" xfId="4" applyNumberFormat="1" applyFont="1" applyBorder="1" applyAlignment="1">
      <alignment horizontal="right"/>
    </xf>
    <xf numFmtId="37" fontId="12" fillId="0" borderId="43" xfId="4" applyNumberFormat="1" applyFont="1" applyFill="1" applyBorder="1" applyAlignment="1">
      <alignment horizontal="right"/>
    </xf>
    <xf numFmtId="0" fontId="12" fillId="0" borderId="42" xfId="4" applyFont="1" applyBorder="1" applyAlignment="1">
      <alignment horizontal="center"/>
    </xf>
    <xf numFmtId="0" fontId="15" fillId="0" borderId="0" xfId="4" quotePrefix="1" applyFont="1" applyFill="1" applyBorder="1" applyAlignment="1">
      <alignment horizontal="right"/>
    </xf>
    <xf numFmtId="0" fontId="12" fillId="0" borderId="37" xfId="4" applyFont="1" applyBorder="1" applyAlignment="1">
      <alignment horizontal="center"/>
    </xf>
    <xf numFmtId="3" fontId="12" fillId="0" borderId="0" xfId="4" applyNumberFormat="1" applyFont="1" applyBorder="1" applyAlignment="1">
      <alignment horizontal="right"/>
    </xf>
    <xf numFmtId="3" fontId="12" fillId="0" borderId="0" xfId="4" applyNumberFormat="1" applyFont="1" applyFill="1" applyBorder="1" applyAlignment="1">
      <alignment horizontal="right"/>
    </xf>
    <xf numFmtId="3" fontId="12" fillId="0" borderId="0" xfId="4" quotePrefix="1" applyNumberFormat="1" applyFont="1" applyBorder="1" applyAlignment="1">
      <alignment horizontal="right"/>
    </xf>
    <xf numFmtId="3" fontId="12" fillId="0" borderId="38" xfId="4" applyNumberFormat="1" applyFont="1" applyFill="1" applyBorder="1" applyAlignment="1">
      <alignment horizontal="right"/>
    </xf>
    <xf numFmtId="0" fontId="12" fillId="0" borderId="39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2" fillId="0" borderId="13" xfId="4" applyFont="1" applyFill="1" applyBorder="1" applyAlignment="1">
      <alignment horizontal="center"/>
    </xf>
    <xf numFmtId="3" fontId="12" fillId="0" borderId="13" xfId="4" applyNumberFormat="1" applyFont="1" applyBorder="1" applyAlignment="1">
      <alignment horizontal="center"/>
    </xf>
    <xf numFmtId="0" fontId="12" fillId="0" borderId="40" xfId="4" applyFont="1" applyFill="1" applyBorder="1" applyAlignment="1">
      <alignment horizontal="center"/>
    </xf>
    <xf numFmtId="0" fontId="11" fillId="0" borderId="0" xfId="4" applyFont="1" applyAlignment="1">
      <alignment horizontal="left"/>
    </xf>
    <xf numFmtId="0" fontId="12" fillId="0" borderId="44" xfId="4" applyFont="1" applyBorder="1" applyAlignment="1">
      <alignment horizontal="center"/>
    </xf>
    <xf numFmtId="41" fontId="12" fillId="0" borderId="45" xfId="4" applyNumberFormat="1" applyFont="1" applyFill="1" applyBorder="1" applyAlignment="1">
      <alignment horizontal="right"/>
    </xf>
    <xf numFmtId="3" fontId="12" fillId="0" borderId="45" xfId="4" applyNumberFormat="1" applyFont="1" applyBorder="1" applyAlignment="1">
      <alignment horizontal="right"/>
    </xf>
    <xf numFmtId="10" fontId="12" fillId="0" borderId="45" xfId="4" applyNumberFormat="1" applyFont="1" applyBorder="1" applyAlignment="1">
      <alignment horizontal="right"/>
    </xf>
    <xf numFmtId="37" fontId="12" fillId="0" borderId="45" xfId="4" applyNumberFormat="1" applyFont="1" applyBorder="1" applyAlignment="1">
      <alignment horizontal="right"/>
    </xf>
    <xf numFmtId="37" fontId="12" fillId="0" borderId="46" xfId="4" applyNumberFormat="1" applyFont="1" applyFill="1" applyBorder="1" applyAlignment="1">
      <alignment horizontal="right"/>
    </xf>
    <xf numFmtId="3" fontId="12" fillId="0" borderId="24" xfId="4" applyNumberFormat="1" applyFont="1" applyBorder="1" applyAlignment="1">
      <alignment horizontal="right"/>
    </xf>
    <xf numFmtId="37" fontId="12" fillId="0" borderId="2" xfId="4" applyNumberFormat="1" applyFont="1" applyBorder="1" applyAlignment="1">
      <alignment horizontal="right"/>
    </xf>
    <xf numFmtId="41" fontId="12" fillId="0" borderId="0" xfId="4" applyNumberFormat="1" applyFont="1" applyFill="1" applyBorder="1" applyAlignment="1">
      <alignment horizontal="right"/>
    </xf>
    <xf numFmtId="10" fontId="12" fillId="0" borderId="0" xfId="4" applyNumberFormat="1" applyFont="1" applyBorder="1" applyAlignment="1">
      <alignment horizontal="right"/>
    </xf>
    <xf numFmtId="0" fontId="12" fillId="0" borderId="37" xfId="4" quotePrefix="1" applyFont="1" applyBorder="1" applyAlignment="1">
      <alignment horizontal="center"/>
    </xf>
    <xf numFmtId="0" fontId="12" fillId="0" borderId="0" xfId="4" quotePrefix="1" applyFont="1" applyBorder="1" applyAlignment="1">
      <alignment horizontal="center"/>
    </xf>
    <xf numFmtId="0" fontId="12" fillId="0" borderId="38" xfId="4" quotePrefix="1" applyFont="1" applyBorder="1" applyAlignment="1">
      <alignment horizontal="center"/>
    </xf>
    <xf numFmtId="37" fontId="12" fillId="0" borderId="0" xfId="4" applyNumberFormat="1" applyFont="1" applyBorder="1" applyAlignment="1">
      <alignment horizontal="right"/>
    </xf>
    <xf numFmtId="37" fontId="12" fillId="0" borderId="0" xfId="4" quotePrefix="1" applyNumberFormat="1" applyFont="1" applyBorder="1" applyAlignment="1">
      <alignment horizontal="right"/>
    </xf>
    <xf numFmtId="37" fontId="12" fillId="0" borderId="38" xfId="4" applyNumberFormat="1" applyFont="1" applyFill="1" applyBorder="1" applyAlignment="1">
      <alignment horizontal="right"/>
    </xf>
    <xf numFmtId="3" fontId="12" fillId="0" borderId="13" xfId="4" applyNumberFormat="1" applyFont="1" applyBorder="1" applyAlignment="1">
      <alignment horizontal="right"/>
    </xf>
    <xf numFmtId="3" fontId="12" fillId="0" borderId="13" xfId="4" quotePrefix="1" applyNumberFormat="1" applyFont="1" applyBorder="1" applyAlignment="1">
      <alignment horizontal="right"/>
    </xf>
    <xf numFmtId="3" fontId="12" fillId="0" borderId="40" xfId="4" applyNumberFormat="1" applyFont="1" applyFill="1" applyBorder="1" applyAlignment="1">
      <alignment horizontal="right"/>
    </xf>
    <xf numFmtId="0" fontId="12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7" fillId="0" borderId="0" xfId="4" applyFont="1" applyAlignment="1"/>
    <xf numFmtId="0" fontId="11" fillId="6" borderId="34" xfId="4" applyFont="1" applyFill="1" applyBorder="1" applyAlignment="1">
      <alignment horizontal="centerContinuous"/>
    </xf>
    <xf numFmtId="0" fontId="11" fillId="6" borderId="35" xfId="4" applyFont="1" applyFill="1" applyBorder="1" applyAlignment="1">
      <alignment horizontal="centerContinuous"/>
    </xf>
    <xf numFmtId="0" fontId="11" fillId="6" borderId="35" xfId="4" applyFont="1" applyFill="1" applyBorder="1" applyAlignment="1">
      <alignment horizontal="center"/>
    </xf>
    <xf numFmtId="0" fontId="11" fillId="6" borderId="36" xfId="4" applyFont="1" applyFill="1" applyBorder="1" applyAlignment="1">
      <alignment horizontal="center"/>
    </xf>
    <xf numFmtId="3" fontId="7" fillId="0" borderId="36" xfId="4" applyNumberFormat="1" applyFont="1" applyBorder="1"/>
    <xf numFmtId="3" fontId="7" fillId="0" borderId="0" xfId="4" applyNumberFormat="1" applyFont="1" applyAlignment="1"/>
    <xf numFmtId="0" fontId="11" fillId="6" borderId="37" xfId="4" applyFont="1" applyFill="1" applyBorder="1" applyAlignment="1">
      <alignment horizontal="centerContinuous"/>
    </xf>
    <xf numFmtId="0" fontId="11" fillId="6" borderId="0" xfId="4" applyFont="1" applyFill="1" applyBorder="1" applyAlignment="1">
      <alignment horizontal="centerContinuous"/>
    </xf>
    <xf numFmtId="0" fontId="11" fillId="6" borderId="38" xfId="4" applyFont="1" applyFill="1" applyBorder="1" applyAlignment="1">
      <alignment horizontal="center"/>
    </xf>
    <xf numFmtId="3" fontId="7" fillId="7" borderId="38" xfId="4" applyNumberFormat="1" applyFont="1" applyFill="1" applyBorder="1" applyAlignment="1"/>
    <xf numFmtId="0" fontId="7" fillId="6" borderId="0" xfId="4" applyFont="1" applyFill="1" applyBorder="1" applyAlignment="1"/>
    <xf numFmtId="10" fontId="7" fillId="0" borderId="0" xfId="4" applyNumberFormat="1" applyFont="1" applyBorder="1" applyAlignment="1"/>
    <xf numFmtId="10" fontId="7" fillId="0" borderId="38" xfId="4" applyNumberFormat="1" applyFont="1" applyBorder="1" applyAlignment="1"/>
    <xf numFmtId="37" fontId="7" fillId="0" borderId="41" xfId="4" applyNumberFormat="1" applyFont="1" applyBorder="1" applyAlignment="1"/>
    <xf numFmtId="0" fontId="7" fillId="6" borderId="47" xfId="4" applyFont="1" applyFill="1" applyBorder="1" applyAlignment="1"/>
    <xf numFmtId="3" fontId="7" fillId="0" borderId="48" xfId="4" applyNumberFormat="1" applyFont="1" applyBorder="1" applyAlignment="1"/>
    <xf numFmtId="172" fontId="7" fillId="0" borderId="0" xfId="4" applyNumberFormat="1" applyFont="1" applyAlignment="1"/>
    <xf numFmtId="0" fontId="7" fillId="6" borderId="49" xfId="4" applyFont="1" applyFill="1" applyBorder="1" applyAlignment="1"/>
    <xf numFmtId="0" fontId="7" fillId="6" borderId="2" xfId="4" applyFont="1" applyFill="1" applyBorder="1" applyAlignment="1"/>
    <xf numFmtId="10" fontId="7" fillId="0" borderId="2" xfId="4" applyNumberFormat="1" applyFont="1" applyBorder="1" applyAlignment="1"/>
    <xf numFmtId="10" fontId="7" fillId="0" borderId="41" xfId="4" applyNumberFormat="1" applyFont="1" applyBorder="1" applyAlignment="1"/>
    <xf numFmtId="0" fontId="7" fillId="6" borderId="13" xfId="4" applyFont="1" applyFill="1" applyBorder="1" applyAlignment="1">
      <alignment horizontal="centerContinuous"/>
    </xf>
    <xf numFmtId="10" fontId="7" fillId="0" borderId="13" xfId="4" applyNumberFormat="1" applyFont="1" applyBorder="1" applyAlignment="1"/>
    <xf numFmtId="10" fontId="7" fillId="0" borderId="40" xfId="4" applyNumberFormat="1" applyFont="1" applyBorder="1" applyAlignment="1">
      <alignment horizontal="right"/>
    </xf>
    <xf numFmtId="0" fontId="7" fillId="0" borderId="0" xfId="4" applyFont="1" applyFill="1" applyAlignment="1">
      <alignment horizontal="center" wrapText="1"/>
    </xf>
    <xf numFmtId="0" fontId="12" fillId="6" borderId="34" xfId="4" quotePrefix="1" applyFont="1" applyFill="1" applyBorder="1" applyAlignment="1">
      <alignment horizontal="center"/>
    </xf>
    <xf numFmtId="0" fontId="12" fillId="6" borderId="35" xfId="4" quotePrefix="1" applyFont="1" applyFill="1" applyBorder="1" applyAlignment="1">
      <alignment horizontal="center"/>
    </xf>
    <xf numFmtId="0" fontId="12" fillId="6" borderId="36" xfId="4" quotePrefix="1" applyFont="1" applyFill="1" applyBorder="1" applyAlignment="1">
      <alignment horizontal="center"/>
    </xf>
    <xf numFmtId="0" fontId="15" fillId="6" borderId="37" xfId="4" applyFont="1" applyFill="1" applyBorder="1" applyAlignment="1">
      <alignment horizontal="center"/>
    </xf>
    <xf numFmtId="0" fontId="15" fillId="6" borderId="0" xfId="4" applyFont="1" applyFill="1" applyBorder="1" applyAlignment="1">
      <alignment horizontal="center"/>
    </xf>
    <xf numFmtId="0" fontId="15" fillId="6" borderId="38" xfId="4" applyFont="1" applyFill="1" applyBorder="1" applyAlignment="1">
      <alignment horizontal="center"/>
    </xf>
    <xf numFmtId="0" fontId="7" fillId="6" borderId="38" xfId="4" applyFont="1" applyFill="1" applyBorder="1" applyAlignment="1">
      <alignment horizontal="center"/>
    </xf>
    <xf numFmtId="0" fontId="12" fillId="6" borderId="38" xfId="4" quotePrefix="1" applyFont="1" applyFill="1" applyBorder="1" applyAlignment="1">
      <alignment horizontal="center"/>
    </xf>
    <xf numFmtId="0" fontId="15" fillId="0" borderId="38" xfId="4" quotePrefix="1" applyFont="1" applyBorder="1" applyAlignment="1">
      <alignment horizontal="right"/>
    </xf>
    <xf numFmtId="3" fontId="12" fillId="0" borderId="24" xfId="4" applyNumberFormat="1" applyFont="1" applyFill="1" applyBorder="1" applyAlignment="1">
      <alignment horizontal="right"/>
    </xf>
    <xf numFmtId="3" fontId="12" fillId="8" borderId="24" xfId="4" applyNumberFormat="1" applyFont="1" applyFill="1" applyBorder="1" applyAlignment="1">
      <alignment horizontal="right"/>
    </xf>
    <xf numFmtId="173" fontId="12" fillId="0" borderId="24" xfId="4" applyNumberFormat="1" applyFont="1" applyBorder="1" applyAlignment="1">
      <alignment horizontal="right"/>
    </xf>
    <xf numFmtId="10" fontId="12" fillId="0" borderId="43" xfId="4" applyNumberFormat="1" applyFont="1" applyBorder="1" applyAlignment="1">
      <alignment horizontal="right"/>
    </xf>
    <xf numFmtId="173" fontId="12" fillId="0" borderId="0" xfId="4" applyNumberFormat="1" applyFont="1" applyBorder="1" applyAlignment="1">
      <alignment horizontal="right"/>
    </xf>
    <xf numFmtId="10" fontId="12" fillId="0" borderId="38" xfId="4" applyNumberFormat="1" applyFont="1" applyBorder="1" applyAlignment="1">
      <alignment horizontal="right"/>
    </xf>
    <xf numFmtId="0" fontId="12" fillId="0" borderId="40" xfId="4" applyFont="1" applyBorder="1" applyAlignment="1">
      <alignment horizontal="center"/>
    </xf>
    <xf numFmtId="3" fontId="12" fillId="0" borderId="0" xfId="4" applyNumberFormat="1" applyFont="1" applyBorder="1" applyAlignment="1">
      <alignment horizontal="center"/>
    </xf>
    <xf numFmtId="0" fontId="15" fillId="0" borderId="37" xfId="4" applyFont="1" applyBorder="1" applyAlignment="1">
      <alignment horizontal="left"/>
    </xf>
    <xf numFmtId="0" fontId="12" fillId="0" borderId="0" xfId="4" applyFont="1" applyFill="1" applyBorder="1" applyAlignment="1">
      <alignment horizontal="center"/>
    </xf>
    <xf numFmtId="3" fontId="12" fillId="0" borderId="45" xfId="4" applyNumberFormat="1" applyFont="1" applyFill="1" applyBorder="1" applyAlignment="1">
      <alignment horizontal="right"/>
    </xf>
    <xf numFmtId="3" fontId="12" fillId="9" borderId="45" xfId="4" applyNumberFormat="1" applyFont="1" applyFill="1" applyBorder="1" applyAlignment="1">
      <alignment horizontal="right"/>
    </xf>
    <xf numFmtId="173" fontId="12" fillId="0" borderId="45" xfId="4" applyNumberFormat="1" applyFont="1" applyFill="1" applyBorder="1" applyAlignment="1">
      <alignment horizontal="right"/>
    </xf>
    <xf numFmtId="10" fontId="12" fillId="0" borderId="46" xfId="4" applyNumberFormat="1" applyFont="1" applyBorder="1" applyAlignment="1">
      <alignment horizontal="right"/>
    </xf>
    <xf numFmtId="3" fontId="12" fillId="9" borderId="24" xfId="4" applyNumberFormat="1" applyFont="1" applyFill="1" applyBorder="1" applyAlignment="1">
      <alignment horizontal="right"/>
    </xf>
    <xf numFmtId="173" fontId="12" fillId="0" borderId="24" xfId="4" applyNumberFormat="1" applyFont="1" applyFill="1" applyBorder="1" applyAlignment="1">
      <alignment horizontal="right"/>
    </xf>
    <xf numFmtId="0" fontId="12" fillId="0" borderId="0" xfId="4" quotePrefix="1" applyFont="1" applyBorder="1" applyAlignment="1">
      <alignment horizontal="right"/>
    </xf>
    <xf numFmtId="0" fontId="12" fillId="0" borderId="38" xfId="4" quotePrefix="1" applyFont="1" applyBorder="1" applyAlignment="1">
      <alignment horizontal="right"/>
    </xf>
    <xf numFmtId="0" fontId="25" fillId="0" borderId="0" xfId="4" applyFont="1" applyBorder="1" applyAlignment="1">
      <alignment horizontal="left"/>
    </xf>
    <xf numFmtId="0" fontId="25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10" fontId="18" fillId="0" borderId="0" xfId="4" applyNumberFormat="1" applyFont="1" applyFill="1" applyBorder="1" applyAlignment="1">
      <alignment horizontal="right"/>
    </xf>
    <xf numFmtId="0" fontId="17" fillId="0" borderId="2" xfId="4" applyFont="1" applyBorder="1" applyAlignment="1">
      <alignment horizontal="center"/>
    </xf>
    <xf numFmtId="10" fontId="18" fillId="0" borderId="2" xfId="4" applyNumberFormat="1" applyFont="1" applyFill="1" applyBorder="1" applyAlignment="1">
      <alignment horizontal="right"/>
    </xf>
    <xf numFmtId="167" fontId="18" fillId="0" borderId="0" xfId="3" applyNumberFormat="1" applyFont="1" applyFill="1" applyBorder="1" applyAlignment="1">
      <alignment horizontal="right"/>
    </xf>
    <xf numFmtId="167" fontId="18" fillId="0" borderId="2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6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center" wrapText="1"/>
    </xf>
    <xf numFmtId="0" fontId="7" fillId="0" borderId="0" xfId="0" quotePrefix="1" applyFont="1" applyFill="1" applyAlignment="1">
      <alignment horizontal="center"/>
    </xf>
    <xf numFmtId="167" fontId="0" fillId="0" borderId="24" xfId="0" applyNumberFormat="1" applyFont="1" applyFill="1" applyBorder="1"/>
    <xf numFmtId="0" fontId="7" fillId="0" borderId="0" xfId="0" quotePrefix="1" applyFont="1" applyFill="1" applyAlignment="1">
      <alignment horizontal="left"/>
    </xf>
    <xf numFmtId="167" fontId="0" fillId="0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Fill="1" applyAlignment="1">
      <alignment horizontal="left" wrapText="1"/>
    </xf>
    <xf numFmtId="43" fontId="0" fillId="0" borderId="0" xfId="3" applyFont="1"/>
    <xf numFmtId="43" fontId="0" fillId="0" borderId="0" xfId="3" applyFont="1" applyFill="1"/>
    <xf numFmtId="43" fontId="0" fillId="0" borderId="0" xfId="0" applyNumberFormat="1" applyFill="1"/>
    <xf numFmtId="43" fontId="0" fillId="0" borderId="50" xfId="0" applyNumberFormat="1" applyFont="1" applyFill="1" applyBorder="1"/>
    <xf numFmtId="43" fontId="0" fillId="10" borderId="0" xfId="3" applyFont="1" applyFill="1"/>
    <xf numFmtId="0" fontId="8" fillId="0" borderId="0" xfId="5" quotePrefix="1" applyAlignment="1">
      <alignment horizontal="left"/>
    </xf>
    <xf numFmtId="166" fontId="19" fillId="10" borderId="4" xfId="0" applyNumberFormat="1" applyFont="1" applyFill="1" applyBorder="1"/>
    <xf numFmtId="0" fontId="19" fillId="0" borderId="35" xfId="0" applyFont="1" applyFill="1" applyBorder="1"/>
    <xf numFmtId="0" fontId="19" fillId="0" borderId="38" xfId="0" applyFont="1" applyFill="1" applyBorder="1"/>
    <xf numFmtId="0" fontId="19" fillId="0" borderId="13" xfId="0" applyFont="1" applyFill="1" applyBorder="1"/>
    <xf numFmtId="0" fontId="19" fillId="0" borderId="0" xfId="0" quotePrefix="1" applyFont="1" applyFill="1" applyBorder="1" applyAlignment="1">
      <alignment horizontal="fill" vertical="top" wrapText="1"/>
    </xf>
    <xf numFmtId="0" fontId="29" fillId="0" borderId="0" xfId="0" quotePrefix="1" applyFont="1" applyFill="1" applyAlignment="1" applyProtection="1">
      <alignment horizontal="centerContinuous"/>
    </xf>
    <xf numFmtId="0" fontId="28" fillId="0" borderId="0" xfId="0" applyFont="1" applyFill="1" applyAlignment="1" applyProtection="1">
      <alignment horizontal="centerContinuous"/>
    </xf>
    <xf numFmtId="37" fontId="28" fillId="0" borderId="0" xfId="0" applyNumberFormat="1" applyFont="1" applyFill="1" applyAlignment="1" applyProtection="1">
      <alignment horizontal="centerContinuous"/>
    </xf>
    <xf numFmtId="0" fontId="28" fillId="0" borderId="0" xfId="0" applyFont="1" applyFill="1" applyProtection="1"/>
    <xf numFmtId="37" fontId="29" fillId="0" borderId="0" xfId="0" applyNumberFormat="1" applyFont="1" applyFill="1" applyAlignment="1" applyProtection="1">
      <alignment horizontal="center"/>
    </xf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center"/>
    </xf>
    <xf numFmtId="37" fontId="29" fillId="0" borderId="51" xfId="0" applyNumberFormat="1" applyFont="1" applyFill="1" applyBorder="1" applyAlignment="1" applyProtection="1">
      <alignment horizontal="center"/>
    </xf>
    <xf numFmtId="0" fontId="29" fillId="0" borderId="51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0" fillId="0" borderId="0" xfId="0" applyFill="1" applyProtection="1"/>
    <xf numFmtId="5" fontId="0" fillId="0" borderId="0" xfId="0" applyNumberFormat="1" applyFill="1" applyProtection="1"/>
    <xf numFmtId="0" fontId="30" fillId="0" borderId="0" xfId="0" applyFont="1" applyFill="1" applyProtection="1"/>
    <xf numFmtId="5" fontId="30" fillId="0" borderId="0" xfId="0" applyNumberFormat="1" applyFont="1" applyFill="1" applyProtection="1"/>
    <xf numFmtId="0" fontId="31" fillId="0" borderId="0" xfId="0" quotePrefix="1" applyFont="1" applyFill="1" applyAlignment="1" applyProtection="1">
      <alignment horizontal="left"/>
    </xf>
    <xf numFmtId="0" fontId="30" fillId="0" borderId="0" xfId="0" quotePrefix="1" applyFont="1" applyFill="1" applyAlignment="1" applyProtection="1">
      <alignment horizontal="left"/>
    </xf>
    <xf numFmtId="37" fontId="0" fillId="0" borderId="0" xfId="0" applyNumberFormat="1" applyFont="1" applyFill="1" applyProtection="1"/>
    <xf numFmtId="44" fontId="32" fillId="0" borderId="0" xfId="0" applyNumberFormat="1" applyFont="1" applyFill="1" applyProtection="1">
      <protection locked="0"/>
    </xf>
    <xf numFmtId="0" fontId="0" fillId="0" borderId="0" xfId="0" applyFont="1" applyFill="1" applyProtection="1"/>
    <xf numFmtId="175" fontId="32" fillId="0" borderId="0" xfId="0" applyNumberFormat="1" applyFont="1" applyFill="1" applyProtection="1">
      <protection locked="0"/>
    </xf>
    <xf numFmtId="0" fontId="30" fillId="0" borderId="0" xfId="0" quotePrefix="1" applyFont="1" applyFill="1" applyAlignment="1" applyProtection="1">
      <alignment horizontal="left" indent="1"/>
    </xf>
    <xf numFmtId="37" fontId="0" fillId="0" borderId="0" xfId="0" applyNumberFormat="1" applyFill="1"/>
    <xf numFmtId="0" fontId="30" fillId="0" borderId="0" xfId="0" applyFont="1" applyFill="1" applyAlignment="1" applyProtection="1">
      <alignment horizontal="left" indent="1"/>
    </xf>
    <xf numFmtId="166" fontId="30" fillId="0" borderId="0" xfId="0" applyNumberFormat="1" applyFont="1" applyFill="1" applyProtection="1"/>
    <xf numFmtId="37" fontId="0" fillId="0" borderId="2" xfId="0" applyNumberFormat="1" applyFont="1" applyFill="1" applyBorder="1" applyProtection="1"/>
    <xf numFmtId="5" fontId="30" fillId="0" borderId="2" xfId="0" applyNumberFormat="1" applyFont="1" applyFill="1" applyBorder="1" applyProtection="1"/>
    <xf numFmtId="0" fontId="30" fillId="0" borderId="0" xfId="0" applyFont="1" applyFill="1" applyAlignment="1" applyProtection="1">
      <alignment horizontal="left" indent="2"/>
    </xf>
    <xf numFmtId="37" fontId="0" fillId="0" borderId="0" xfId="0" applyNumberFormat="1" applyFont="1" applyFill="1" applyBorder="1" applyProtection="1"/>
    <xf numFmtId="167" fontId="0" fillId="0" borderId="0" xfId="0" applyNumberFormat="1" applyFont="1" applyFill="1" applyBorder="1" applyProtection="1"/>
    <xf numFmtId="0" fontId="30" fillId="0" borderId="0" xfId="0" applyFont="1" applyFill="1" applyBorder="1" applyProtection="1"/>
    <xf numFmtId="5" fontId="0" fillId="0" borderId="0" xfId="0" applyNumberFormat="1" applyFont="1" applyFill="1" applyBorder="1" applyProtection="1"/>
    <xf numFmtId="167" fontId="33" fillId="0" borderId="0" xfId="0" applyNumberFormat="1" applyFont="1" applyFill="1" applyBorder="1" applyProtection="1"/>
    <xf numFmtId="176" fontId="32" fillId="0" borderId="0" xfId="0" applyNumberFormat="1" applyFont="1" applyFill="1" applyProtection="1">
      <protection locked="0"/>
    </xf>
    <xf numFmtId="5" fontId="30" fillId="0" borderId="4" xfId="0" applyNumberFormat="1" applyFont="1" applyFill="1" applyBorder="1" applyProtection="1"/>
    <xf numFmtId="7" fontId="30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44" fontId="30" fillId="0" borderId="0" xfId="0" applyNumberFormat="1" applyFont="1" applyFill="1" applyProtection="1">
      <protection locked="0"/>
    </xf>
    <xf numFmtId="5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7" fontId="0" fillId="0" borderId="20" xfId="3" applyNumberFormat="1" applyFont="1" applyBorder="1"/>
    <xf numFmtId="0" fontId="0" fillId="0" borderId="0" xfId="0" applyBorder="1"/>
    <xf numFmtId="42" fontId="0" fillId="0" borderId="27" xfId="0" applyNumberFormat="1" applyBorder="1"/>
    <xf numFmtId="42" fontId="0" fillId="0" borderId="0" xfId="0" applyNumberFormat="1" applyBorder="1"/>
    <xf numFmtId="166" fontId="0" fillId="0" borderId="0" xfId="1" applyNumberFormat="1" applyFont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0" fontId="0" fillId="0" borderId="27" xfId="0" applyBorder="1"/>
    <xf numFmtId="0" fontId="0" fillId="0" borderId="28" xfId="0" applyBorder="1"/>
    <xf numFmtId="166" fontId="0" fillId="0" borderId="27" xfId="0" applyNumberFormat="1" applyBorder="1"/>
    <xf numFmtId="10" fontId="0" fillId="0" borderId="0" xfId="2" applyNumberFormat="1" applyFont="1" applyFill="1"/>
    <xf numFmtId="177" fontId="32" fillId="0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5" fillId="0" borderId="0" xfId="6" applyFont="1" applyAlignment="1">
      <alignment horizontal="center"/>
    </xf>
    <xf numFmtId="0" fontId="36" fillId="0" borderId="0" xfId="6" applyFont="1"/>
    <xf numFmtId="0" fontId="35" fillId="0" borderId="0" xfId="6" applyFont="1"/>
    <xf numFmtId="0" fontId="37" fillId="0" borderId="9" xfId="6" applyFont="1" applyBorder="1"/>
    <xf numFmtId="0" fontId="37" fillId="0" borderId="10" xfId="6" applyFont="1" applyBorder="1"/>
    <xf numFmtId="0" fontId="37" fillId="0" borderId="10" xfId="6" applyFont="1" applyBorder="1" applyAlignment="1">
      <alignment horizontal="center"/>
    </xf>
    <xf numFmtId="0" fontId="37" fillId="0" borderId="11" xfId="6" applyFont="1" applyBorder="1" applyAlignment="1">
      <alignment horizontal="center"/>
    </xf>
    <xf numFmtId="0" fontId="37" fillId="0" borderId="12" xfId="6" applyFont="1" applyBorder="1"/>
    <xf numFmtId="0" fontId="37" fillId="0" borderId="13" xfId="6" applyFont="1" applyBorder="1"/>
    <xf numFmtId="0" fontId="37" fillId="0" borderId="13" xfId="6" applyFont="1" applyBorder="1" applyAlignment="1">
      <alignment horizontal="center"/>
    </xf>
    <xf numFmtId="0" fontId="37" fillId="0" borderId="14" xfId="6" applyFont="1" applyBorder="1" applyAlignment="1">
      <alignment horizontal="center"/>
    </xf>
    <xf numFmtId="0" fontId="36" fillId="0" borderId="15" xfId="6" applyFont="1" applyBorder="1"/>
    <xf numFmtId="0" fontId="36" fillId="0" borderId="0" xfId="6" applyFont="1" applyBorder="1"/>
    <xf numFmtId="3" fontId="36" fillId="0" borderId="0" xfId="7" applyNumberFormat="1" applyFont="1" applyBorder="1" applyAlignment="1">
      <alignment horizontal="center"/>
    </xf>
    <xf numFmtId="0" fontId="36" fillId="0" borderId="16" xfId="6" applyFont="1" applyBorder="1"/>
    <xf numFmtId="0" fontId="36" fillId="0" borderId="17" xfId="6" applyFont="1" applyBorder="1"/>
    <xf numFmtId="0" fontId="36" fillId="0" borderId="18" xfId="6" applyFont="1" applyBorder="1"/>
    <xf numFmtId="3" fontId="36" fillId="0" borderId="18" xfId="7" applyNumberFormat="1" applyFont="1" applyBorder="1" applyAlignment="1">
      <alignment horizontal="center"/>
    </xf>
    <xf numFmtId="9" fontId="37" fillId="0" borderId="19" xfId="6" applyNumberFormat="1" applyFont="1" applyBorder="1" applyAlignment="1">
      <alignment horizontal="center"/>
    </xf>
    <xf numFmtId="0" fontId="36" fillId="0" borderId="13" xfId="6" applyFont="1" applyBorder="1"/>
    <xf numFmtId="0" fontId="37" fillId="0" borderId="0" xfId="6" applyFont="1" applyBorder="1"/>
    <xf numFmtId="0" fontId="37" fillId="0" borderId="2" xfId="6" applyFont="1" applyBorder="1" applyAlignment="1">
      <alignment horizontal="center"/>
    </xf>
    <xf numFmtId="6" fontId="36" fillId="0" borderId="0" xfId="8" applyNumberFormat="1" applyFont="1" applyFill="1" applyAlignment="1">
      <alignment horizontal="right" indent="1"/>
    </xf>
    <xf numFmtId="10" fontId="36" fillId="0" borderId="0" xfId="6" applyNumberFormat="1" applyFont="1" applyFill="1" applyAlignment="1">
      <alignment horizontal="right" indent="1"/>
    </xf>
    <xf numFmtId="8" fontId="36" fillId="0" borderId="0" xfId="8" applyFont="1" applyFill="1" applyAlignment="1">
      <alignment horizontal="right" indent="1"/>
    </xf>
    <xf numFmtId="38" fontId="36" fillId="0" borderId="0" xfId="8" applyNumberFormat="1" applyFont="1" applyFill="1" applyAlignment="1">
      <alignment horizontal="right" indent="1"/>
    </xf>
    <xf numFmtId="9" fontId="36" fillId="0" borderId="0" xfId="6" applyNumberFormat="1" applyFont="1" applyFill="1" applyAlignment="1">
      <alignment horizontal="right" indent="1"/>
    </xf>
    <xf numFmtId="169" fontId="36" fillId="0" borderId="0" xfId="6" applyNumberFormat="1" applyFont="1" applyFill="1" applyAlignment="1">
      <alignment horizontal="right" indent="1"/>
    </xf>
    <xf numFmtId="0" fontId="36" fillId="0" borderId="0" xfId="6" applyFont="1" applyFill="1" applyAlignment="1">
      <alignment horizontal="right"/>
    </xf>
    <xf numFmtId="0" fontId="36" fillId="0" borderId="0" xfId="6" applyFont="1" applyFill="1" applyBorder="1"/>
    <xf numFmtId="170" fontId="36" fillId="0" borderId="0" xfId="7" applyNumberFormat="1" applyFont="1" applyFill="1" applyBorder="1" applyAlignment="1">
      <alignment horizontal="center"/>
    </xf>
    <xf numFmtId="171" fontId="36" fillId="0" borderId="0" xfId="8" applyNumberFormat="1" applyFont="1" applyFill="1" applyAlignment="1">
      <alignment horizontal="right" indent="1"/>
    </xf>
    <xf numFmtId="0" fontId="35" fillId="0" borderId="0" xfId="6" applyFont="1" applyFill="1"/>
    <xf numFmtId="0" fontId="38" fillId="0" borderId="0" xfId="6" applyFont="1" applyFill="1" applyBorder="1" applyAlignment="1">
      <alignment horizontal="center"/>
    </xf>
    <xf numFmtId="0" fontId="38" fillId="0" borderId="2" xfId="6" applyFont="1" applyFill="1" applyBorder="1" applyAlignment="1">
      <alignment horizontal="center"/>
    </xf>
    <xf numFmtId="0" fontId="36" fillId="0" borderId="0" xfId="6" applyFont="1" applyFill="1" applyAlignment="1">
      <alignment horizontal="left"/>
    </xf>
    <xf numFmtId="0" fontId="36" fillId="0" borderId="0" xfId="6" quotePrefix="1" applyFont="1" applyFill="1" applyAlignment="1">
      <alignment horizontal="left"/>
    </xf>
    <xf numFmtId="10" fontId="36" fillId="0" borderId="0" xfId="6" applyNumberFormat="1" applyFont="1" applyFill="1" applyAlignment="1">
      <alignment horizontal="center"/>
    </xf>
    <xf numFmtId="10" fontId="39" fillId="0" borderId="0" xfId="9" applyNumberFormat="1" applyFont="1"/>
    <xf numFmtId="10" fontId="36" fillId="0" borderId="2" xfId="6" applyNumberFormat="1" applyFont="1" applyFill="1" applyBorder="1" applyAlignment="1">
      <alignment horizontal="center"/>
    </xf>
    <xf numFmtId="10" fontId="36" fillId="0" borderId="0" xfId="6" applyNumberFormat="1" applyFont="1" applyFill="1" applyBorder="1" applyAlignment="1">
      <alignment horizontal="center"/>
    </xf>
    <xf numFmtId="0" fontId="35" fillId="0" borderId="0" xfId="6" applyFont="1" applyFill="1" applyBorder="1" applyAlignment="1">
      <alignment horizontal="center"/>
    </xf>
    <xf numFmtId="0" fontId="35" fillId="0" borderId="13" xfId="6" applyFont="1" applyBorder="1" applyAlignment="1">
      <alignment horizontal="center"/>
    </xf>
    <xf numFmtId="10" fontId="0" fillId="0" borderId="0" xfId="0" applyNumberFormat="1" applyFill="1"/>
    <xf numFmtId="0" fontId="0" fillId="10" borderId="0" xfId="0" applyFill="1"/>
    <xf numFmtId="167" fontId="40" fillId="0" borderId="0" xfId="0" applyNumberFormat="1" applyFont="1" applyFill="1"/>
    <xf numFmtId="167" fontId="41" fillId="0" borderId="0" xfId="3" applyNumberFormat="1" applyFont="1" applyFill="1"/>
    <xf numFmtId="0" fontId="2" fillId="0" borderId="0" xfId="0" applyFont="1" applyFill="1"/>
    <xf numFmtId="167" fontId="42" fillId="0" borderId="0" xfId="3" applyNumberFormat="1" applyFont="1" applyFill="1"/>
    <xf numFmtId="0" fontId="6" fillId="0" borderId="0" xfId="0" applyFont="1" applyFill="1"/>
    <xf numFmtId="0" fontId="0" fillId="0" borderId="0" xfId="0" applyFont="1" applyFill="1"/>
    <xf numFmtId="10" fontId="2" fillId="0" borderId="0" xfId="0" applyNumberFormat="1" applyFont="1" applyFill="1"/>
    <xf numFmtId="10" fontId="2" fillId="10" borderId="0" xfId="0" applyNumberFormat="1" applyFont="1" applyFill="1"/>
    <xf numFmtId="0" fontId="43" fillId="0" borderId="0" xfId="0" applyFont="1" applyFill="1"/>
    <xf numFmtId="10" fontId="7" fillId="0" borderId="38" xfId="2" applyNumberFormat="1" applyFont="1" applyFill="1" applyBorder="1"/>
    <xf numFmtId="10" fontId="7" fillId="0" borderId="38" xfId="2" quotePrefix="1" applyNumberFormat="1" applyFont="1" applyFill="1" applyBorder="1"/>
    <xf numFmtId="10" fontId="7" fillId="0" borderId="0" xfId="2" applyNumberFormat="1" applyFont="1" applyFill="1" applyBorder="1"/>
    <xf numFmtId="10" fontId="7" fillId="5" borderId="8" xfId="2" applyNumberFormat="1" applyFont="1" applyFill="1" applyBorder="1" applyAlignment="1">
      <alignment horizontal="left"/>
    </xf>
    <xf numFmtId="10" fontId="7" fillId="5" borderId="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center" wrapText="1"/>
    </xf>
    <xf numFmtId="0" fontId="35" fillId="0" borderId="0" xfId="6" quotePrefix="1" applyFont="1" applyAlignment="1">
      <alignment horizontal="center"/>
    </xf>
    <xf numFmtId="0" fontId="35" fillId="0" borderId="0" xfId="6" applyFont="1" applyAlignment="1">
      <alignment horizontal="center"/>
    </xf>
    <xf numFmtId="0" fontId="37" fillId="0" borderId="2" xfId="6" applyFont="1" applyBorder="1" applyAlignment="1">
      <alignment horizontal="center"/>
    </xf>
    <xf numFmtId="0" fontId="38" fillId="0" borderId="2" xfId="6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37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39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/>
    </xf>
    <xf numFmtId="0" fontId="19" fillId="0" borderId="34" xfId="0" quotePrefix="1" applyFont="1" applyFill="1" applyBorder="1" applyAlignment="1">
      <alignment horizontal="left"/>
    </xf>
    <xf numFmtId="0" fontId="19" fillId="0" borderId="35" xfId="0" quotePrefix="1" applyFont="1" applyFill="1" applyBorder="1" applyAlignment="1">
      <alignment horizontal="left"/>
    </xf>
    <xf numFmtId="0" fontId="19" fillId="0" borderId="37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8" fillId="0" borderId="0" xfId="0" quotePrefix="1" applyNumberFormat="1" applyFont="1" applyFill="1" applyAlignment="1">
      <alignment horizontal="center"/>
    </xf>
    <xf numFmtId="0" fontId="29" fillId="0" borderId="0" xfId="0" quotePrefix="1" applyFont="1" applyFill="1" applyAlignment="1" applyProtection="1">
      <alignment horizontal="center"/>
    </xf>
    <xf numFmtId="0" fontId="29" fillId="0" borderId="23" xfId="0" applyFont="1" applyFill="1" applyBorder="1" applyAlignment="1" applyProtection="1">
      <alignment horizontal="center"/>
    </xf>
    <xf numFmtId="0" fontId="29" fillId="0" borderId="24" xfId="0" applyFont="1" applyFill="1" applyBorder="1" applyAlignment="1" applyProtection="1">
      <alignment horizontal="center"/>
    </xf>
    <xf numFmtId="0" fontId="29" fillId="0" borderId="25" xfId="0" applyFont="1" applyFill="1" applyBorder="1" applyAlignment="1" applyProtection="1">
      <alignment horizontal="center"/>
    </xf>
    <xf numFmtId="0" fontId="29" fillId="0" borderId="23" xfId="0" quotePrefix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quotePrefix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0" xfId="4" applyFont="1" applyAlignment="1">
      <alignment horizontal="left" wrapText="1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</cellXfs>
  <cellStyles count="10">
    <cellStyle name="Comma" xfId="3" builtinId="3"/>
    <cellStyle name="Comma 2 2" xfId="7"/>
    <cellStyle name="Currency" xfId="1" builtinId="4"/>
    <cellStyle name="Currency 2 2" xfId="8"/>
    <cellStyle name="Hyperlink" xfId="5" builtinId="8"/>
    <cellStyle name="Normal" xfId="0" builtinId="0"/>
    <cellStyle name="Normal 2 2" xfId="6"/>
    <cellStyle name="Normal_Energy and Demand Allocations_TYE 09-30-2003_WEATHER ADJUSTEDV5" xfId="4"/>
    <cellStyle name="Percent" xfId="2" builtinId="5"/>
    <cellStyle name="Percent 2 2" xfId="9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30</xdr:row>
      <xdr:rowOff>144780</xdr:rowOff>
    </xdr:from>
    <xdr:to>
      <xdr:col>16</xdr:col>
      <xdr:colOff>84435</xdr:colOff>
      <xdr:row>61</xdr:row>
      <xdr:rowOff>46203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0" y="5996940"/>
          <a:ext cx="7094835" cy="5570703"/>
        </a:xfrm>
        <a:prstGeom prst="rect">
          <a:avLst/>
        </a:prstGeom>
      </xdr:spPr>
    </xdr:pic>
    <xdr:clientData/>
  </xdr:twoCellAnchor>
  <xdr:twoCellAnchor editAs="oneCell">
    <xdr:from>
      <xdr:col>4</xdr:col>
      <xdr:colOff>350520</xdr:colOff>
      <xdr:row>55</xdr:row>
      <xdr:rowOff>160020</xdr:rowOff>
    </xdr:from>
    <xdr:to>
      <xdr:col>15</xdr:col>
      <xdr:colOff>579721</xdr:colOff>
      <xdr:row>85</xdr:row>
      <xdr:rowOff>130013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860" y="10584180"/>
          <a:ext cx="6934801" cy="5456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449580</xdr:colOff>
      <xdr:row>29</xdr:row>
      <xdr:rowOff>137160</xdr:rowOff>
    </xdr:from>
    <xdr:to>
      <xdr:col>15</xdr:col>
      <xdr:colOff>366387</xdr:colOff>
      <xdr:row>61</xdr:row>
      <xdr:rowOff>30976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540" y="5631180"/>
          <a:ext cx="7232007" cy="5723116"/>
        </a:xfrm>
        <a:prstGeom prst="rect">
          <a:avLst/>
        </a:prstGeom>
      </xdr:spPr>
    </xdr:pic>
    <xdr:clientData/>
  </xdr:twoCellAnchor>
  <xdr:twoCellAnchor editAs="oneCell">
    <xdr:from>
      <xdr:col>3</xdr:col>
      <xdr:colOff>327660</xdr:colOff>
      <xdr:row>51</xdr:row>
      <xdr:rowOff>60960</xdr:rowOff>
    </xdr:from>
    <xdr:to>
      <xdr:col>15</xdr:col>
      <xdr:colOff>191123</xdr:colOff>
      <xdr:row>84</xdr:row>
      <xdr:rowOff>8139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6620" y="9555480"/>
          <a:ext cx="7178663" cy="5982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3-ELEC-NORM-MO-REV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BDJ03C-PC-(2019-IRP)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190529-30-PSE-WP-SEF-14.00E-ELECTRIC-MODEL-SUPPLEMENTAL-19GRC-09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6-ELEC-RATE-SPREAD-DESIGN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RASANEN\%23%20%20%202019%20GRC\Data%20Requests\WUTC\WUTC%20DR%20065\190529-30%20PSE%20Resp%20WUTC%20DR%20016_Attach%20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A/Desktop/10857/COS%20Model/BAI%20A&amp;E%204NCP/NEW-PSE-WP-BDJ04-ECOS-(DIR-ASSIGN-INPUTS)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  <sheetName val="NEW-PSE-WP-JAP03-ELEC-NORM-MO-R"/>
    </sheetNames>
    <sheetDataSet>
      <sheetData sheetId="0"/>
      <sheetData sheetId="1">
        <row r="7">
          <cell r="A7" t="str">
            <v>Line No.</v>
          </cell>
          <cell r="B7" t="str">
            <v>Rate Sch</v>
          </cell>
          <cell r="C7" t="str">
            <v>Description</v>
          </cell>
          <cell r="D7" t="str">
            <v>12 Months ended December 2018</v>
          </cell>
          <cell r="E7" t="str">
            <v>Billed Sales</v>
          </cell>
          <cell r="F7" t="str">
            <v>Unbilled Sales</v>
          </cell>
          <cell r="G7" t="str">
            <v>Schedule 40 Migration</v>
          </cell>
          <cell r="H7" t="str">
            <v>Temperature Adjustmemt</v>
          </cell>
          <cell r="J7" t="str">
            <v>12 Months ended December 2018</v>
          </cell>
          <cell r="K7" t="str">
            <v>Billed Sales</v>
          </cell>
          <cell r="L7" t="str">
            <v>Unbilled Sales</v>
          </cell>
          <cell r="M7" t="str">
            <v>Schedule 40 Migration</v>
          </cell>
          <cell r="N7" t="str">
            <v>Temperature Adjustmemt</v>
          </cell>
        </row>
        <row r="8">
          <cell r="A8"/>
          <cell r="B8" t="str">
            <v>(a)</v>
          </cell>
          <cell r="C8" t="str">
            <v>(b)</v>
          </cell>
          <cell r="D8" t="str">
            <v>(c)</v>
          </cell>
          <cell r="E8" t="str">
            <v>(d)</v>
          </cell>
          <cell r="F8" t="str">
            <v>(e)</v>
          </cell>
          <cell r="G8" t="str">
            <v>(f)</v>
          </cell>
          <cell r="H8" t="str">
            <v>(g)</v>
          </cell>
          <cell r="J8" t="str">
            <v>(h)</v>
          </cell>
          <cell r="K8" t="str">
            <v>(i)</v>
          </cell>
          <cell r="L8" t="str">
            <v>(j)</v>
          </cell>
          <cell r="M8" t="str">
            <v>(k)</v>
          </cell>
          <cell r="N8" t="str">
            <v>(l)</v>
          </cell>
        </row>
        <row r="9">
          <cell r="A9">
            <v>1</v>
          </cell>
          <cell r="B9">
            <v>7</v>
          </cell>
          <cell r="C9" t="str">
            <v>Residential</v>
          </cell>
          <cell r="D9">
            <v>10623030235.689331</v>
          </cell>
          <cell r="E9">
            <v>10519663299</v>
          </cell>
          <cell r="F9">
            <v>-24716561.447262883</v>
          </cell>
          <cell r="G9">
            <v>0</v>
          </cell>
          <cell r="H9">
            <v>128083498.13659537</v>
          </cell>
          <cell r="J9">
            <v>1105896512.391351</v>
          </cell>
          <cell r="K9">
            <v>1094853126.391351</v>
          </cell>
          <cell r="L9">
            <v>-2571505</v>
          </cell>
          <cell r="M9">
            <v>0</v>
          </cell>
          <cell r="N9">
            <v>13614891</v>
          </cell>
        </row>
        <row r="10">
          <cell r="A10">
            <v>2</v>
          </cell>
          <cell r="B10" t="str">
            <v>7A</v>
          </cell>
          <cell r="C10" t="str">
            <v>Residential Master Meters</v>
          </cell>
          <cell r="D10">
            <v>2442683</v>
          </cell>
          <cell r="E10">
            <v>2023177</v>
          </cell>
          <cell r="F10">
            <v>419506</v>
          </cell>
          <cell r="G10">
            <v>0</v>
          </cell>
          <cell r="H10">
            <v>0</v>
          </cell>
          <cell r="J10">
            <v>196567</v>
          </cell>
          <cell r="K10">
            <v>170578</v>
          </cell>
          <cell r="L10">
            <v>25989</v>
          </cell>
          <cell r="M10">
            <v>0</v>
          </cell>
          <cell r="N10">
            <v>0</v>
          </cell>
        </row>
        <row r="11">
          <cell r="A11">
            <v>3</v>
          </cell>
          <cell r="B11" t="str">
            <v>Total Residential</v>
          </cell>
          <cell r="D11">
            <v>10625472918.689331</v>
          </cell>
          <cell r="E11">
            <v>10521686476</v>
          </cell>
          <cell r="F11">
            <v>-24297055.447262883</v>
          </cell>
          <cell r="G11">
            <v>0</v>
          </cell>
          <cell r="H11">
            <v>128083498.13659537</v>
          </cell>
          <cell r="J11">
            <v>1106093079.391351</v>
          </cell>
          <cell r="K11">
            <v>1095023704.391351</v>
          </cell>
          <cell r="L11">
            <v>-2545516</v>
          </cell>
          <cell r="M11">
            <v>0</v>
          </cell>
          <cell r="N11">
            <v>13614891</v>
          </cell>
        </row>
        <row r="12">
          <cell r="A12">
            <v>4</v>
          </cell>
        </row>
        <row r="13">
          <cell r="A13">
            <v>5</v>
          </cell>
          <cell r="B13" t="str">
            <v>8 / 24</v>
          </cell>
          <cell r="C13" t="str">
            <v>Gen Svc &lt; 50kW</v>
          </cell>
          <cell r="D13">
            <v>2700129196.7702866</v>
          </cell>
          <cell r="E13">
            <v>2698169560</v>
          </cell>
          <cell r="F13">
            <v>-8302835.4912163178</v>
          </cell>
          <cell r="G13">
            <v>853998</v>
          </cell>
          <cell r="H13">
            <v>9408474.2615028732</v>
          </cell>
          <cell r="J13">
            <v>263390391</v>
          </cell>
          <cell r="K13">
            <v>263190585</v>
          </cell>
          <cell r="L13">
            <v>-763116</v>
          </cell>
          <cell r="M13">
            <v>77075</v>
          </cell>
          <cell r="N13">
            <v>885847</v>
          </cell>
        </row>
        <row r="14">
          <cell r="A14">
            <v>6</v>
          </cell>
          <cell r="B14" t="str">
            <v>11 / 25</v>
          </cell>
          <cell r="C14" t="str">
            <v>Gen Svc &gt;50 &amp; &lt; 350kW</v>
          </cell>
          <cell r="D14">
            <v>2987721690.5601029</v>
          </cell>
          <cell r="E14">
            <v>2975372786.5</v>
          </cell>
          <cell r="F14">
            <v>4178384.441164609</v>
          </cell>
          <cell r="G14">
            <v>6794968</v>
          </cell>
          <cell r="H14">
            <v>1375551.6189382095</v>
          </cell>
          <cell r="J14">
            <v>269241246</v>
          </cell>
          <cell r="K14">
            <v>268163032</v>
          </cell>
          <cell r="L14">
            <v>410358</v>
          </cell>
          <cell r="M14">
            <v>579724</v>
          </cell>
          <cell r="N14">
            <v>88132</v>
          </cell>
        </row>
        <row r="15">
          <cell r="A15">
            <v>7</v>
          </cell>
          <cell r="B15" t="str">
            <v>12 / 26</v>
          </cell>
          <cell r="C15" t="str">
            <v>Gen Svc &gt; 350kW</v>
          </cell>
          <cell r="D15">
            <v>1941274619.9308119</v>
          </cell>
          <cell r="E15">
            <v>1894753399</v>
          </cell>
          <cell r="F15">
            <v>7193011.2870582342</v>
          </cell>
          <cell r="G15">
            <v>44108557</v>
          </cell>
          <cell r="H15">
            <v>-4780347.3562464509</v>
          </cell>
          <cell r="J15">
            <v>159417134</v>
          </cell>
          <cell r="K15">
            <v>155848072</v>
          </cell>
          <cell r="L15">
            <v>578403</v>
          </cell>
          <cell r="M15">
            <v>3264005</v>
          </cell>
          <cell r="N15">
            <v>-273346</v>
          </cell>
        </row>
        <row r="16">
          <cell r="A16">
            <v>8</v>
          </cell>
          <cell r="B16" t="str">
            <v>26P</v>
          </cell>
          <cell r="C16" t="str">
            <v>Gen Svc &gt; 350kW (pv)</v>
          </cell>
          <cell r="D16">
            <v>26744</v>
          </cell>
          <cell r="E16">
            <v>26744</v>
          </cell>
          <cell r="F16">
            <v>0</v>
          </cell>
          <cell r="G16">
            <v>0</v>
          </cell>
          <cell r="H16">
            <v>0</v>
          </cell>
          <cell r="J16">
            <v>863705</v>
          </cell>
          <cell r="K16">
            <v>863705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9</v>
          </cell>
          <cell r="B17">
            <v>29</v>
          </cell>
          <cell r="C17" t="str">
            <v>Irrigation Service</v>
          </cell>
          <cell r="D17">
            <v>16009313.796828577</v>
          </cell>
          <cell r="E17">
            <v>16726140</v>
          </cell>
          <cell r="F17">
            <v>-250609.84182764241</v>
          </cell>
          <cell r="G17">
            <v>0</v>
          </cell>
          <cell r="H17">
            <v>-466216.36134378111</v>
          </cell>
          <cell r="J17">
            <v>1265444</v>
          </cell>
          <cell r="K17">
            <v>1283795</v>
          </cell>
          <cell r="L17">
            <v>6749</v>
          </cell>
          <cell r="M17">
            <v>0</v>
          </cell>
          <cell r="N17">
            <v>-25100</v>
          </cell>
        </row>
        <row r="18">
          <cell r="A18">
            <v>10</v>
          </cell>
          <cell r="B18" t="str">
            <v>Total Secondary Voltage</v>
          </cell>
          <cell r="D18">
            <v>7645161565.0580292</v>
          </cell>
          <cell r="E18">
            <v>7585048629.5</v>
          </cell>
          <cell r="F18">
            <v>2817950.3951788833</v>
          </cell>
          <cell r="G18">
            <v>51757523</v>
          </cell>
          <cell r="H18">
            <v>5537462.1628508503</v>
          </cell>
          <cell r="J18">
            <v>694177920</v>
          </cell>
          <cell r="K18">
            <v>689349189</v>
          </cell>
          <cell r="L18">
            <v>232394</v>
          </cell>
          <cell r="M18">
            <v>3920804</v>
          </cell>
          <cell r="N18">
            <v>675533</v>
          </cell>
        </row>
        <row r="19">
          <cell r="A19">
            <v>11</v>
          </cell>
        </row>
        <row r="20">
          <cell r="A20">
            <v>12</v>
          </cell>
          <cell r="B20" t="str">
            <v>10 / 31</v>
          </cell>
          <cell r="C20" t="str">
            <v>General Service</v>
          </cell>
          <cell r="D20">
            <v>1407978352.242965</v>
          </cell>
          <cell r="E20">
            <v>1297857967</v>
          </cell>
          <cell r="F20">
            <v>-273450.99646974355</v>
          </cell>
          <cell r="G20">
            <v>110833086</v>
          </cell>
          <cell r="H20">
            <v>-439249.76056518452</v>
          </cell>
          <cell r="J20">
            <v>113255219</v>
          </cell>
          <cell r="K20">
            <v>105065774</v>
          </cell>
          <cell r="L20">
            <v>-160</v>
          </cell>
          <cell r="M20">
            <v>8213770</v>
          </cell>
          <cell r="N20">
            <v>-24165</v>
          </cell>
        </row>
        <row r="21">
          <cell r="A21">
            <v>13</v>
          </cell>
          <cell r="B21">
            <v>35</v>
          </cell>
          <cell r="C21" t="str">
            <v>Irrigation Service</v>
          </cell>
          <cell r="D21">
            <v>4443660</v>
          </cell>
          <cell r="E21">
            <v>4447380</v>
          </cell>
          <cell r="F21">
            <v>-3720</v>
          </cell>
          <cell r="G21">
            <v>0</v>
          </cell>
          <cell r="H21">
            <v>0</v>
          </cell>
          <cell r="J21">
            <v>268014</v>
          </cell>
          <cell r="K21">
            <v>268415</v>
          </cell>
          <cell r="L21">
            <v>-401</v>
          </cell>
          <cell r="M21">
            <v>0</v>
          </cell>
          <cell r="N21">
            <v>0</v>
          </cell>
        </row>
        <row r="22">
          <cell r="A22">
            <v>14</v>
          </cell>
          <cell r="B22">
            <v>43</v>
          </cell>
          <cell r="C22" t="str">
            <v>Interruptible Elec Schools</v>
          </cell>
          <cell r="D22">
            <v>122500713.32397975</v>
          </cell>
          <cell r="E22">
            <v>120139341</v>
          </cell>
          <cell r="F22">
            <v>-441932.86571428552</v>
          </cell>
          <cell r="G22">
            <v>0</v>
          </cell>
          <cell r="H22">
            <v>2803305.1896940321</v>
          </cell>
          <cell r="J22">
            <v>10687146</v>
          </cell>
          <cell r="K22">
            <v>10553677</v>
          </cell>
          <cell r="L22">
            <v>-26700</v>
          </cell>
          <cell r="M22">
            <v>0</v>
          </cell>
          <cell r="N22">
            <v>160169</v>
          </cell>
        </row>
        <row r="23">
          <cell r="A23">
            <v>15</v>
          </cell>
          <cell r="B23" t="str">
            <v>Total Primary Voltage</v>
          </cell>
          <cell r="D23">
            <v>1534922725.5669448</v>
          </cell>
          <cell r="E23">
            <v>1422444688</v>
          </cell>
          <cell r="F23">
            <v>-719103.86218402907</v>
          </cell>
          <cell r="G23">
            <v>110833086</v>
          </cell>
          <cell r="H23">
            <v>2364055.4291288476</v>
          </cell>
          <cell r="J23">
            <v>124210379</v>
          </cell>
          <cell r="K23">
            <v>115887866</v>
          </cell>
          <cell r="L23">
            <v>-27261</v>
          </cell>
          <cell r="M23">
            <v>8213770</v>
          </cell>
          <cell r="N23">
            <v>136004</v>
          </cell>
        </row>
        <row r="24">
          <cell r="A24">
            <v>16</v>
          </cell>
        </row>
        <row r="25">
          <cell r="A25">
            <v>17</v>
          </cell>
          <cell r="B25">
            <v>40</v>
          </cell>
          <cell r="C25" t="str">
            <v>Campus</v>
          </cell>
          <cell r="D25">
            <v>2.0000000263098627</v>
          </cell>
          <cell r="E25">
            <v>518545449</v>
          </cell>
          <cell r="F25">
            <v>-18911070.058978755</v>
          </cell>
          <cell r="G25">
            <v>-498811142.95520836</v>
          </cell>
          <cell r="H25">
            <v>-823233.98581287614</v>
          </cell>
          <cell r="J25">
            <v>0</v>
          </cell>
          <cell r="K25">
            <v>38010023.07</v>
          </cell>
          <cell r="L25">
            <v>-1360265</v>
          </cell>
          <cell r="M25">
            <v>-36606417.07</v>
          </cell>
          <cell r="N25">
            <v>-43341</v>
          </cell>
        </row>
        <row r="26">
          <cell r="A26">
            <v>18</v>
          </cell>
        </row>
        <row r="27">
          <cell r="A27">
            <v>19</v>
          </cell>
          <cell r="B27">
            <v>46</v>
          </cell>
          <cell r="C27" t="str">
            <v>Interruptible Service</v>
          </cell>
          <cell r="D27">
            <v>78351492</v>
          </cell>
          <cell r="E27">
            <v>77875892</v>
          </cell>
          <cell r="F27">
            <v>475600</v>
          </cell>
          <cell r="G27">
            <v>0</v>
          </cell>
          <cell r="H27">
            <v>0</v>
          </cell>
          <cell r="J27">
            <v>5190433</v>
          </cell>
          <cell r="K27">
            <v>5123861</v>
          </cell>
          <cell r="L27">
            <v>66572</v>
          </cell>
          <cell r="M27">
            <v>0</v>
          </cell>
          <cell r="N27">
            <v>0</v>
          </cell>
        </row>
        <row r="28">
          <cell r="A28">
            <v>20</v>
          </cell>
          <cell r="B28">
            <v>49</v>
          </cell>
          <cell r="C28" t="str">
            <v>General Service</v>
          </cell>
          <cell r="D28">
            <v>542259321.40199995</v>
          </cell>
          <cell r="E28">
            <v>539795730</v>
          </cell>
          <cell r="F28">
            <v>2463591.4019999988</v>
          </cell>
          <cell r="G28">
            <v>0</v>
          </cell>
          <cell r="H28">
            <v>0</v>
          </cell>
          <cell r="J28">
            <v>34937811</v>
          </cell>
          <cell r="K28">
            <v>34754549</v>
          </cell>
          <cell r="L28">
            <v>183262</v>
          </cell>
          <cell r="M28">
            <v>0</v>
          </cell>
          <cell r="N28">
            <v>0</v>
          </cell>
        </row>
        <row r="29">
          <cell r="A29">
            <v>21</v>
          </cell>
          <cell r="B29" t="str">
            <v>Total High Voltage</v>
          </cell>
          <cell r="D29">
            <v>620610813.40199995</v>
          </cell>
          <cell r="E29">
            <v>617671622</v>
          </cell>
          <cell r="F29">
            <v>2939191.4019999988</v>
          </cell>
          <cell r="G29">
            <v>0</v>
          </cell>
          <cell r="H29">
            <v>0</v>
          </cell>
          <cell r="J29">
            <v>40128244</v>
          </cell>
          <cell r="K29">
            <v>39878410</v>
          </cell>
          <cell r="L29">
            <v>249834</v>
          </cell>
          <cell r="M29">
            <v>0</v>
          </cell>
          <cell r="N29">
            <v>0</v>
          </cell>
        </row>
        <row r="30">
          <cell r="A30">
            <v>22</v>
          </cell>
        </row>
        <row r="31">
          <cell r="A31">
            <v>23</v>
          </cell>
          <cell r="B31" t="str">
            <v>50-59</v>
          </cell>
          <cell r="C31" t="str">
            <v>Street &amp; Area Lighting</v>
          </cell>
          <cell r="D31">
            <v>69969105.295999989</v>
          </cell>
          <cell r="E31">
            <v>70204592.217999995</v>
          </cell>
          <cell r="F31">
            <v>-235486.92200000011</v>
          </cell>
          <cell r="G31">
            <v>0</v>
          </cell>
          <cell r="H31">
            <v>0</v>
          </cell>
          <cell r="J31">
            <v>16457494</v>
          </cell>
          <cell r="K31">
            <v>16512883</v>
          </cell>
          <cell r="L31">
            <v>-55389</v>
          </cell>
          <cell r="M31">
            <v>0</v>
          </cell>
          <cell r="N31">
            <v>0</v>
          </cell>
        </row>
        <row r="32">
          <cell r="A32">
            <v>24</v>
          </cell>
        </row>
        <row r="33">
          <cell r="A33">
            <v>25</v>
          </cell>
          <cell r="B33" t="str">
            <v>449 / 459 / SC</v>
          </cell>
          <cell r="C33" t="str">
            <v>Retail Wheeling</v>
          </cell>
          <cell r="D33">
            <v>2364947542.1700001</v>
          </cell>
          <cell r="E33">
            <v>2027109354</v>
          </cell>
          <cell r="F33">
            <v>1617652.1700000241</v>
          </cell>
          <cell r="G33">
            <v>336220536</v>
          </cell>
          <cell r="H33">
            <v>0</v>
          </cell>
          <cell r="J33">
            <v>15607906</v>
          </cell>
          <cell r="K33">
            <v>10086305</v>
          </cell>
          <cell r="L33">
            <v>28051</v>
          </cell>
          <cell r="M33">
            <v>5493550</v>
          </cell>
          <cell r="N33">
            <v>0</v>
          </cell>
        </row>
        <row r="34">
          <cell r="A34">
            <v>26</v>
          </cell>
        </row>
        <row r="35">
          <cell r="A35">
            <v>27</v>
          </cell>
          <cell r="B35" t="str">
            <v>Total Retail Delivered Sales</v>
          </cell>
          <cell r="D35">
            <v>22861084672.182304</v>
          </cell>
          <cell r="E35">
            <v>22762710810.718002</v>
          </cell>
          <cell r="F35">
            <v>-36787922.323246762</v>
          </cell>
          <cell r="G35">
            <v>2.0447916388511658</v>
          </cell>
          <cell r="H35">
            <v>135161781.74276218</v>
          </cell>
          <cell r="J35">
            <v>1996675022.391351</v>
          </cell>
          <cell r="K35">
            <v>2004748380.4613509</v>
          </cell>
          <cell r="L35">
            <v>-3478152</v>
          </cell>
          <cell r="M35">
            <v>-18978293.07</v>
          </cell>
          <cell r="N35">
            <v>14383087</v>
          </cell>
        </row>
        <row r="36">
          <cell r="A36">
            <v>28</v>
          </cell>
        </row>
        <row r="37">
          <cell r="A37">
            <v>29</v>
          </cell>
          <cell r="B37" t="str">
            <v>005</v>
          </cell>
          <cell r="C37" t="str">
            <v>Firm Resale</v>
          </cell>
          <cell r="D37">
            <v>7170066.2345252717</v>
          </cell>
          <cell r="E37">
            <v>7130880</v>
          </cell>
          <cell r="F37">
            <v>-46730</v>
          </cell>
          <cell r="G37">
            <v>0</v>
          </cell>
          <cell r="H37">
            <v>85916.234525271488</v>
          </cell>
          <cell r="J37">
            <v>327360</v>
          </cell>
          <cell r="K37">
            <v>325876</v>
          </cell>
          <cell r="L37">
            <v>-1535</v>
          </cell>
          <cell r="M37">
            <v>0</v>
          </cell>
          <cell r="N37">
            <v>3019</v>
          </cell>
        </row>
        <row r="38">
          <cell r="A38">
            <v>30</v>
          </cell>
        </row>
        <row r="39">
          <cell r="A39">
            <v>31</v>
          </cell>
          <cell r="B39" t="str">
            <v>Total Delivered Sales</v>
          </cell>
          <cell r="D39">
            <v>22868254738.416828</v>
          </cell>
          <cell r="E39">
            <v>22769841690.718002</v>
          </cell>
          <cell r="F39">
            <v>-36834652.323246762</v>
          </cell>
          <cell r="G39">
            <v>2.0447916388511658</v>
          </cell>
          <cell r="H39">
            <v>135247697.97728744</v>
          </cell>
          <cell r="J39">
            <v>1997002382.391351</v>
          </cell>
          <cell r="K39">
            <v>2005074256.4613509</v>
          </cell>
          <cell r="L39">
            <v>-3479687</v>
          </cell>
          <cell r="M39">
            <v>-18978293.07</v>
          </cell>
          <cell r="N39">
            <v>14386106</v>
          </cell>
        </row>
        <row r="40">
          <cell r="A40">
            <v>32</v>
          </cell>
        </row>
      </sheetData>
      <sheetData sheetId="2">
        <row r="1">
          <cell r="A1" t="str">
            <v>PSE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2">
          <cell r="D32">
            <v>1897.0049755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BDJ-3 (C)"/>
      <sheetName val="Natural Gas Price Projections"/>
      <sheetName val="2017 IRP Resource Costs"/>
      <sheetName val="EPA Table A1 Emission Costs"/>
      <sheetName val="Fixed Charge Rate"/>
    </sheetNames>
    <sheetDataSet>
      <sheetData sheetId="0"/>
      <sheetData sheetId="1">
        <row r="1">
          <cell r="A1" t="str">
            <v>PUGET SOUND ENERGY</v>
          </cell>
        </row>
        <row r="2">
          <cell r="A2" t="str">
            <v>PEAK CREDIT METHOD FOR 2019 GRC WITH UPDATED DATA</v>
          </cell>
        </row>
        <row r="3">
          <cell r="A3" t="str">
            <v>COMPANY PROPOSAL</v>
          </cell>
        </row>
        <row r="6">
          <cell r="G6" t="str">
            <v>Peak</v>
          </cell>
        </row>
        <row r="7">
          <cell r="E7" t="str">
            <v>Peaker</v>
          </cell>
          <cell r="F7" t="str">
            <v>CCCT</v>
          </cell>
          <cell r="G7" t="str">
            <v>Credit</v>
          </cell>
        </row>
        <row r="8">
          <cell r="C8" t="str">
            <v xml:space="preserve">Levelized Cost ($/MWh) </v>
          </cell>
          <cell r="F8">
            <v>121.59029405350826</v>
          </cell>
        </row>
        <row r="9">
          <cell r="C9" t="str">
            <v>Levelized Cost ($/kW-yr)</v>
          </cell>
          <cell r="E9">
            <v>97.420991386162811</v>
          </cell>
          <cell r="F9">
            <v>852.10478072698584</v>
          </cell>
        </row>
        <row r="12">
          <cell r="B12" t="str">
            <v>Assumptions</v>
          </cell>
        </row>
        <row r="14">
          <cell r="E14" t="str">
            <v>Plant Assumptions</v>
          </cell>
        </row>
        <row r="15">
          <cell r="E15" t="str">
            <v>Peaker</v>
          </cell>
          <cell r="F15" t="str">
            <v>CCCT</v>
          </cell>
          <cell r="G15" t="str">
            <v>Notes</v>
          </cell>
        </row>
        <row r="16">
          <cell r="A16">
            <v>1</v>
          </cell>
          <cell r="B16" t="str">
            <v>Capital Costs ($/kW-yr)</v>
          </cell>
          <cell r="E16">
            <v>671.35418410041837</v>
          </cell>
          <cell r="F16">
            <v>1341.9466238664293</v>
          </cell>
          <cell r="G16" t="str">
            <v>2019 Dollars</v>
          </cell>
        </row>
        <row r="17">
          <cell r="A17">
            <v>2</v>
          </cell>
          <cell r="B17" t="str">
            <v>Fixed Charge Rate</v>
          </cell>
          <cell r="E17">
            <v>9.7199999999999995E-2</v>
          </cell>
          <cell r="F17">
            <v>9.7199999999999995E-2</v>
          </cell>
        </row>
        <row r="18">
          <cell r="A18">
            <v>3</v>
          </cell>
          <cell r="B18" t="str">
            <v>Fixed O&amp;M ($/kW-yr)</v>
          </cell>
          <cell r="E18">
            <v>12.63762523552567</v>
          </cell>
          <cell r="F18">
            <v>56.702377644525825</v>
          </cell>
          <cell r="G18" t="str">
            <v>2019 Dollars</v>
          </cell>
        </row>
        <row r="19">
          <cell r="A19">
            <v>4</v>
          </cell>
          <cell r="B19" t="str">
            <v>Variable O&amp;M ($/MWh)</v>
          </cell>
          <cell r="E19">
            <v>24.359299999999998</v>
          </cell>
          <cell r="F19">
            <v>2.6477499999999998</v>
          </cell>
          <cell r="G19" t="str">
            <v>2019 Dollars</v>
          </cell>
        </row>
        <row r="20">
          <cell r="A20">
            <v>5</v>
          </cell>
          <cell r="B20" t="str">
            <v>Heat Rate (Btu/kWh)</v>
          </cell>
          <cell r="E20">
            <v>9822.6</v>
          </cell>
          <cell r="F20">
            <v>6650.4000000000005</v>
          </cell>
        </row>
        <row r="21">
          <cell r="A21">
            <v>6</v>
          </cell>
          <cell r="B21" t="str">
            <v>Weighted Cost of Capital</v>
          </cell>
          <cell r="E21">
            <v>7.6200000000000004E-2</v>
          </cell>
          <cell r="F21">
            <v>7.6200000000000004E-2</v>
          </cell>
        </row>
        <row r="22">
          <cell r="A22">
            <v>7</v>
          </cell>
          <cell r="B22" t="str">
            <v>Capacity Factor</v>
          </cell>
          <cell r="E22">
            <v>0</v>
          </cell>
          <cell r="F22">
            <v>0.8</v>
          </cell>
        </row>
        <row r="23">
          <cell r="A23">
            <v>8</v>
          </cell>
          <cell r="B23" t="str">
            <v>Reserve Margin</v>
          </cell>
          <cell r="E23">
            <v>0.03</v>
          </cell>
          <cell r="F23">
            <v>0.03</v>
          </cell>
        </row>
        <row r="24">
          <cell r="A24">
            <v>9</v>
          </cell>
          <cell r="B24" t="str">
            <v>Planning Margin</v>
          </cell>
          <cell r="E24">
            <v>0.13500000000000001</v>
          </cell>
          <cell r="F24">
            <v>0.13500000000000001</v>
          </cell>
        </row>
        <row r="25">
          <cell r="A25">
            <v>10</v>
          </cell>
          <cell r="B25" t="str">
            <v>CO2 Emissions (tons/GWh)</v>
          </cell>
          <cell r="E25">
            <v>574.62210000000005</v>
          </cell>
          <cell r="F25">
            <v>389.04840000000007</v>
          </cell>
        </row>
        <row r="28">
          <cell r="E28" t="str">
            <v>Weighted Cost of Capital</v>
          </cell>
        </row>
        <row r="29">
          <cell r="E29" t="str">
            <v>Pro Forma</v>
          </cell>
          <cell r="G29" t="str">
            <v>Cost of</v>
          </cell>
        </row>
        <row r="30">
          <cell r="E30" t="str">
            <v>Capital %</v>
          </cell>
          <cell r="F30" t="str">
            <v>Cost %</v>
          </cell>
          <cell r="G30" t="str">
            <v>Capital</v>
          </cell>
        </row>
        <row r="31">
          <cell r="A31">
            <v>11</v>
          </cell>
          <cell r="B31" t="str">
            <v>Other</v>
          </cell>
        </row>
        <row r="32">
          <cell r="A32">
            <v>12</v>
          </cell>
          <cell r="B32" t="str">
            <v>Debt</v>
          </cell>
          <cell r="E32">
            <v>0.51500000000000001</v>
          </cell>
          <cell r="F32">
            <v>5.57E-2</v>
          </cell>
          <cell r="G32">
            <v>2.87E-2</v>
          </cell>
        </row>
        <row r="33">
          <cell r="A33">
            <v>13</v>
          </cell>
          <cell r="B33" t="str">
            <v>Common Equity</v>
          </cell>
          <cell r="E33">
            <v>0.48499999999999999</v>
          </cell>
          <cell r="F33">
            <v>9.8000000000000004E-2</v>
          </cell>
          <cell r="G33">
            <v>4.7500000000000001E-2</v>
          </cell>
        </row>
        <row r="34">
          <cell r="A34">
            <v>14</v>
          </cell>
          <cell r="B34" t="str">
            <v>TOTAL</v>
          </cell>
          <cell r="E34">
            <v>1</v>
          </cell>
          <cell r="G34">
            <v>7.6200000000000004E-2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  <cell r="J15"/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1">
        <row r="1">
          <cell r="A1" t="str">
            <v xml:space="preserve">PUGET SOUND ENERGY </v>
          </cell>
        </row>
      </sheetData>
      <sheetData sheetId="2">
        <row r="1">
          <cell r="A1" t="str">
            <v xml:space="preserve">PUGET SOUND ENERGY </v>
          </cell>
        </row>
      </sheetData>
      <sheetData sheetId="3"/>
      <sheetData sheetId="4">
        <row r="2">
          <cell r="DP2" t="str">
            <v>UE-__________</v>
          </cell>
        </row>
      </sheetData>
      <sheetData sheetId="5">
        <row r="23">
          <cell r="H23">
            <v>48055688.225346237</v>
          </cell>
        </row>
      </sheetData>
      <sheetData sheetId="6"/>
      <sheetData sheetId="7">
        <row r="4">
          <cell r="C4" t="str">
            <v>2019 GENERAL RATE CASE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>
        <row r="5">
          <cell r="A5" t="str">
            <v>Line No.</v>
          </cell>
          <cell r="B5" t="str">
            <v>Voltage Level</v>
          </cell>
          <cell r="C5" t="str">
            <v>Schedule</v>
          </cell>
          <cell r="D5" t="str">
            <v>MWh</v>
          </cell>
          <cell r="E5" t="str">
            <v>Proforma
Revenue
($000)</v>
          </cell>
          <cell r="F5" t="str">
            <v>Proposed
Increase
($)</v>
          </cell>
          <cell r="G5" t="str">
            <v>Percent of Total w/o Schedule 449, MSSC &amp; Firm Resale</v>
          </cell>
          <cell r="H5" t="str">
            <v>Percent of Uniform Increase</v>
          </cell>
          <cell r="I5" t="str">
            <v>Proposed Revenue Increase (%)</v>
          </cell>
          <cell r="J5" t="str">
            <v>Proposed
Revenue
Increase
($000)</v>
          </cell>
          <cell r="K5" t="str">
            <v>Proposed
Revenue
($000)</v>
          </cell>
          <cell r="M5" t="str">
            <v>Proposed
Revenue
Increase
($)</v>
          </cell>
        </row>
        <row r="6">
          <cell r="A6"/>
          <cell r="D6" t="str">
            <v>A</v>
          </cell>
          <cell r="E6" t="str">
            <v>B</v>
          </cell>
          <cell r="F6" t="str">
            <v>C</v>
          </cell>
          <cell r="G6" t="str">
            <v>D</v>
          </cell>
          <cell r="H6" t="str">
            <v>E</v>
          </cell>
          <cell r="I6" t="str">
            <v>F</v>
          </cell>
          <cell r="J6" t="str">
            <v>G  = B * F</v>
          </cell>
          <cell r="K6" t="str">
            <v>H = B + G</v>
          </cell>
        </row>
        <row r="7">
          <cell r="A7"/>
        </row>
        <row r="8">
          <cell r="A8">
            <v>1</v>
          </cell>
          <cell r="B8" t="str">
            <v>Residential</v>
          </cell>
          <cell r="C8">
            <v>7</v>
          </cell>
          <cell r="D8">
            <v>10623030.235689331</v>
          </cell>
          <cell r="E8">
            <v>1105896.514</v>
          </cell>
          <cell r="G8">
            <v>0.55823273170692511</v>
          </cell>
          <cell r="H8">
            <v>1</v>
          </cell>
          <cell r="I8">
            <v>7.6805746094331134E-2</v>
          </cell>
          <cell r="J8">
            <v>84939.206860889914</v>
          </cell>
          <cell r="K8">
            <v>1190835.7208608899</v>
          </cell>
          <cell r="M8">
            <v>84939206.860889912</v>
          </cell>
        </row>
        <row r="9">
          <cell r="A9">
            <v>2</v>
          </cell>
        </row>
        <row r="10">
          <cell r="A10">
            <v>3</v>
          </cell>
          <cell r="B10" t="str">
            <v>Secondary Voltage</v>
          </cell>
        </row>
        <row r="11">
          <cell r="A11">
            <v>4</v>
          </cell>
          <cell r="B11" t="str">
            <v>Demand &lt;= 50 kW</v>
          </cell>
          <cell r="C11" t="str">
            <v>8 / 24</v>
          </cell>
          <cell r="D11">
            <v>2700129.1967702867</v>
          </cell>
          <cell r="E11">
            <v>263390.397</v>
          </cell>
          <cell r="G11">
            <v>0.13295379717842343</v>
          </cell>
          <cell r="H11">
            <v>1</v>
          </cell>
          <cell r="I11">
            <v>7.6805746094331134E-2</v>
          </cell>
          <cell r="J11">
            <v>20229.895955667078</v>
          </cell>
          <cell r="K11">
            <v>283620.29295566707</v>
          </cell>
          <cell r="M11">
            <v>20229895.955667078</v>
          </cell>
        </row>
        <row r="12">
          <cell r="A12">
            <v>5</v>
          </cell>
          <cell r="B12" t="str">
            <v>Demand &gt; 50 kW but &lt;= 350 kW</v>
          </cell>
          <cell r="C12" t="str">
            <v>7A / 11/ 25 / 29</v>
          </cell>
          <cell r="D12">
            <v>3006173.6873569316</v>
          </cell>
          <cell r="E12">
            <v>270703.24200000003</v>
          </cell>
          <cell r="G12">
            <v>0.13664516376582128</v>
          </cell>
          <cell r="H12">
            <v>0.75</v>
          </cell>
          <cell r="I12">
            <v>5.7604309570748351E-2</v>
          </cell>
          <cell r="J12">
            <v>15593.673353973209</v>
          </cell>
          <cell r="K12">
            <v>286296.91535397322</v>
          </cell>
          <cell r="M12">
            <v>15593673.353973208</v>
          </cell>
        </row>
        <row r="13">
          <cell r="A13">
            <v>6</v>
          </cell>
          <cell r="B13" t="str">
            <v>Demand &gt; 350 kW</v>
          </cell>
          <cell r="C13" t="str">
            <v>12 / 26 / 26P</v>
          </cell>
          <cell r="D13">
            <v>1941301.3639308119</v>
          </cell>
          <cell r="E13">
            <v>160280.84099999999</v>
          </cell>
          <cell r="G13">
            <v>8.0906314993333381E-2</v>
          </cell>
          <cell r="H13">
            <v>0.75</v>
          </cell>
          <cell r="I13">
            <v>5.7604309570748351E-2</v>
          </cell>
          <cell r="J13">
            <v>9232.8671832238942</v>
          </cell>
          <cell r="K13">
            <v>169513.70818322388</v>
          </cell>
          <cell r="M13">
            <v>9232867.1832238939</v>
          </cell>
        </row>
        <row r="14">
          <cell r="A14">
            <v>7</v>
          </cell>
          <cell r="B14" t="str">
            <v>Total Secondary Voltage</v>
          </cell>
          <cell r="D14">
            <v>7647604.2480580304</v>
          </cell>
          <cell r="E14">
            <v>694374.48</v>
          </cell>
          <cell r="J14">
            <v>45056.436492864173</v>
          </cell>
          <cell r="K14">
            <v>739430.91649286414</v>
          </cell>
          <cell r="M14">
            <v>45056436.492864177</v>
          </cell>
        </row>
        <row r="15">
          <cell r="A15">
            <v>8</v>
          </cell>
        </row>
        <row r="16">
          <cell r="A16">
            <v>9</v>
          </cell>
          <cell r="B16" t="str">
            <v>Primary Voltage</v>
          </cell>
        </row>
        <row r="17">
          <cell r="A17">
            <v>10</v>
          </cell>
          <cell r="B17" t="str">
            <v>General Service</v>
          </cell>
          <cell r="C17" t="str">
            <v>10 / 31</v>
          </cell>
          <cell r="D17">
            <v>1407978.352242965</v>
          </cell>
          <cell r="E17">
            <v>113255.217</v>
          </cell>
          <cell r="G17">
            <v>5.7168793251093107E-2</v>
          </cell>
          <cell r="H17">
            <v>1</v>
          </cell>
          <cell r="I17">
            <v>7.6805746094331134E-2</v>
          </cell>
          <cell r="J17">
            <v>8698.6514407603754</v>
          </cell>
          <cell r="K17">
            <v>121953.86844076039</v>
          </cell>
          <cell r="M17">
            <v>8698651.4407603759</v>
          </cell>
        </row>
        <row r="18">
          <cell r="A18">
            <v>11</v>
          </cell>
          <cell r="B18" t="str">
            <v>Irrigation</v>
          </cell>
          <cell r="C18">
            <v>35</v>
          </cell>
          <cell r="D18">
            <v>4443.66</v>
          </cell>
          <cell r="E18">
            <v>268.01499999999999</v>
          </cell>
          <cell r="G18">
            <v>1.3528819712730513E-4</v>
          </cell>
          <cell r="H18">
            <v>1.5</v>
          </cell>
          <cell r="I18">
            <v>0.1152086191414967</v>
          </cell>
          <cell r="J18">
            <v>30.877638059208238</v>
          </cell>
          <cell r="K18">
            <v>298.89263805920825</v>
          </cell>
          <cell r="M18">
            <v>30877.638059208239</v>
          </cell>
        </row>
        <row r="19">
          <cell r="A19">
            <v>12</v>
          </cell>
          <cell r="B19" t="str">
            <v>Interruptible Total Electric Schools</v>
          </cell>
          <cell r="C19">
            <v>43</v>
          </cell>
          <cell r="D19">
            <v>122500.71332397975</v>
          </cell>
          <cell r="E19">
            <v>10687.148999999999</v>
          </cell>
          <cell r="G19">
            <v>5.3946425410550964E-3</v>
          </cell>
          <cell r="H19">
            <v>1.25</v>
          </cell>
          <cell r="I19">
            <v>9.6007182617913911E-2</v>
          </cell>
          <cell r="J19">
            <v>1026.0430657078559</v>
          </cell>
          <cell r="K19">
            <v>11713.192065707855</v>
          </cell>
          <cell r="M19">
            <v>1026043.065707856</v>
          </cell>
        </row>
        <row r="20">
          <cell r="A20">
            <v>13</v>
          </cell>
          <cell r="B20" t="str">
            <v>Total Primary Voltage</v>
          </cell>
          <cell r="D20">
            <v>1534922.7255669446</v>
          </cell>
          <cell r="E20">
            <v>124210.38100000001</v>
          </cell>
          <cell r="J20">
            <v>9755.5721445274394</v>
          </cell>
          <cell r="K20">
            <v>133965.95314452745</v>
          </cell>
          <cell r="M20">
            <v>9755572.144527439</v>
          </cell>
        </row>
        <row r="21">
          <cell r="A21">
            <v>14</v>
          </cell>
        </row>
        <row r="22">
          <cell r="A22">
            <v>15</v>
          </cell>
          <cell r="B22" t="str">
            <v>Total High Voltage</v>
          </cell>
          <cell r="C22" t="str">
            <v>46 / 49</v>
          </cell>
          <cell r="D22">
            <v>620610.81340199988</v>
          </cell>
          <cell r="E22">
            <v>40128.248</v>
          </cell>
          <cell r="G22">
            <v>2.0255874954004022E-2</v>
          </cell>
          <cell r="H22">
            <v>0.75</v>
          </cell>
          <cell r="I22">
            <v>5.7604309570748351E-2</v>
          </cell>
          <cell r="J22">
            <v>2311.5600203237632</v>
          </cell>
          <cell r="K22">
            <v>42439.808020323762</v>
          </cell>
          <cell r="M22">
            <v>2311560.0203237631</v>
          </cell>
        </row>
        <row r="23">
          <cell r="A23">
            <v>16</v>
          </cell>
        </row>
        <row r="24">
          <cell r="A24">
            <v>17</v>
          </cell>
          <cell r="B24" t="str">
            <v>Choice / Retail Wheeling / Special Contract</v>
          </cell>
          <cell r="C24" t="str">
            <v>449 / 459 / SC</v>
          </cell>
          <cell r="D24">
            <v>2364947.5421700003</v>
          </cell>
          <cell r="E24">
            <v>15608.262999999999</v>
          </cell>
          <cell r="I24">
            <v>-6.3922950298825679E-2</v>
          </cell>
          <cell r="J24">
            <v>-997.72621999999967</v>
          </cell>
          <cell r="K24">
            <v>14610.536779999999</v>
          </cell>
          <cell r="M24">
            <v>-997726.21999999962</v>
          </cell>
        </row>
        <row r="25">
          <cell r="A25">
            <v>18</v>
          </cell>
        </row>
        <row r="26">
          <cell r="A26">
            <v>19</v>
          </cell>
          <cell r="B26" t="str">
            <v>Lighting</v>
          </cell>
          <cell r="C26" t="str">
            <v>50-59</v>
          </cell>
          <cell r="D26">
            <v>69969.105296000009</v>
          </cell>
          <cell r="E26">
            <v>16457.504000000001</v>
          </cell>
          <cell r="G26">
            <v>8.3073934122172739E-3</v>
          </cell>
          <cell r="H26">
            <v>1.25</v>
          </cell>
          <cell r="I26">
            <v>9.6007182617913911E-2</v>
          </cell>
          <cell r="J26">
            <v>1580.0385919630487</v>
          </cell>
          <cell r="K26">
            <v>18037.542591963051</v>
          </cell>
          <cell r="M26">
            <v>1580038.5919630488</v>
          </cell>
        </row>
        <row r="27">
          <cell r="A27">
            <v>20</v>
          </cell>
        </row>
        <row r="28">
          <cell r="A28">
            <v>21</v>
          </cell>
          <cell r="B28" t="str">
            <v>Total Jurisdictional Retail Sales</v>
          </cell>
          <cell r="D28">
            <v>22861084.670182306</v>
          </cell>
          <cell r="E28">
            <v>1996675.39</v>
          </cell>
          <cell r="I28">
            <v>7.1441301177437938E-2</v>
          </cell>
          <cell r="J28">
            <v>142645.08789056833</v>
          </cell>
          <cell r="K28">
            <v>2139320.4778905683</v>
          </cell>
          <cell r="M28">
            <v>142645087.89056835</v>
          </cell>
        </row>
        <row r="29">
          <cell r="A29">
            <v>22</v>
          </cell>
        </row>
        <row r="30">
          <cell r="A30">
            <v>23</v>
          </cell>
          <cell r="B30" t="str">
            <v>Firm Resale</v>
          </cell>
          <cell r="D30">
            <v>7170.0662345252713</v>
          </cell>
          <cell r="E30">
            <v>327.36</v>
          </cell>
          <cell r="I30">
            <v>1.084164557159349</v>
          </cell>
          <cell r="J30">
            <v>354.91210943168454</v>
          </cell>
          <cell r="K30">
            <v>682.27210943168461</v>
          </cell>
          <cell r="M30">
            <v>354912.10943168454</v>
          </cell>
        </row>
        <row r="31">
          <cell r="A31">
            <v>24</v>
          </cell>
        </row>
        <row r="32">
          <cell r="A32">
            <v>25</v>
          </cell>
          <cell r="B32" t="str">
            <v>Total Sales</v>
          </cell>
          <cell r="D32">
            <v>22868254.736416832</v>
          </cell>
          <cell r="E32">
            <v>1997002.75</v>
          </cell>
          <cell r="F32">
            <v>143000000</v>
          </cell>
          <cell r="G32">
            <v>1</v>
          </cell>
          <cell r="I32">
            <v>7.160731250870836E-2</v>
          </cell>
          <cell r="J32">
            <v>143000.00000000003</v>
          </cell>
          <cell r="K32">
            <v>2140002.75</v>
          </cell>
          <cell r="M32">
            <v>143000000.00000003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  <cell r="B35" t="str">
            <v>Average Increase Before Transportation, Special Contract &amp; Firm Resale</v>
          </cell>
          <cell r="I35">
            <v>7.160731250870836E-2</v>
          </cell>
        </row>
        <row r="36">
          <cell r="A36">
            <v>29</v>
          </cell>
          <cell r="B36" t="str">
            <v>Average Increase After Transportation, Special Contract, Firm Resale</v>
          </cell>
          <cell r="I36">
            <v>7.250779751622638E-2</v>
          </cell>
        </row>
        <row r="37">
          <cell r="A37">
            <v>30</v>
          </cell>
          <cell r="B37" t="str">
            <v>Adjustment to Average Increase for Unequal Allocation of Increase</v>
          </cell>
          <cell r="I37">
            <v>1.0592756741389493</v>
          </cell>
        </row>
        <row r="38">
          <cell r="A38">
            <v>31</v>
          </cell>
          <cell r="B38" t="str">
            <v>Average Increase After Firm Resale adjusted for Unequal Allocation of Increase</v>
          </cell>
          <cell r="I38">
            <v>7.6805746094331134E-2</v>
          </cell>
        </row>
      </sheetData>
      <sheetData sheetId="5"/>
      <sheetData sheetId="6">
        <row r="2">
          <cell r="A2" t="str">
            <v>TABLE A. PRESENT AND PROPOSED RATES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PUGET SOUND ENERGY</v>
          </cell>
        </row>
        <row r="2">
          <cell r="A2" t="str">
            <v>STATE OF WASHINGTON</v>
          </cell>
        </row>
        <row r="3">
          <cell r="A3" t="str">
            <v>12 MONTHS ENDED DECEMBER 2018</v>
          </cell>
        </row>
        <row r="4">
          <cell r="A4" t="str">
            <v>(Including Effects of Unbilled Revenue, Unbilled MWh and Weather Normalization)</v>
          </cell>
        </row>
        <row r="5">
          <cell r="A5" t="str">
            <v>Transportation &amp; Wholesale for Resale &amp; Special Contract</v>
          </cell>
        </row>
        <row r="9">
          <cell r="C9" t="str">
            <v>Units</v>
          </cell>
          <cell r="D9" t="str">
            <v>Present</v>
          </cell>
          <cell r="G9" t="str">
            <v>Proposed Effective May 2020</v>
          </cell>
        </row>
        <row r="10">
          <cell r="C10" t="str">
            <v>Actual</v>
          </cell>
          <cell r="D10" t="str">
            <v>Price</v>
          </cell>
          <cell r="F10" t="str">
            <v>Dollars</v>
          </cell>
          <cell r="G10" t="str">
            <v>Price</v>
          </cell>
          <cell r="I10" t="str">
            <v>Dollars</v>
          </cell>
        </row>
        <row r="12">
          <cell r="A12" t="str">
            <v>SCHEDULES 449 &amp; 459</v>
          </cell>
        </row>
        <row r="13">
          <cell r="A13" t="str">
            <v>Choice / Retail Wheeling Service</v>
          </cell>
        </row>
        <row r="14">
          <cell r="A14" t="str">
            <v>Customer Charges</v>
          </cell>
          <cell r="C14">
            <v>240</v>
          </cell>
          <cell r="D14">
            <v>2120</v>
          </cell>
          <cell r="F14">
            <v>508800</v>
          </cell>
          <cell r="G14">
            <v>2440</v>
          </cell>
          <cell r="I14">
            <v>585600</v>
          </cell>
        </row>
        <row r="15">
          <cell r="A15" t="str">
            <v>Energy Charge</v>
          </cell>
        </row>
        <row r="16">
          <cell r="A16" t="str">
            <v>All kWh</v>
          </cell>
          <cell r="C16">
            <v>2027109354</v>
          </cell>
          <cell r="F16">
            <v>0</v>
          </cell>
          <cell r="I16">
            <v>0</v>
          </cell>
        </row>
        <row r="17">
          <cell r="A17" t="str">
            <v>Temperature Adjustment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Unbilled</v>
          </cell>
          <cell r="C18">
            <v>1617652.1700000241</v>
          </cell>
          <cell r="D18">
            <v>1.7340999999999999E-2</v>
          </cell>
          <cell r="F18">
            <v>28051</v>
          </cell>
          <cell r="G18">
            <v>1.7340999999999999E-2</v>
          </cell>
          <cell r="I18">
            <v>28052</v>
          </cell>
        </row>
        <row r="19">
          <cell r="A19" t="str">
            <v>Subtotal</v>
          </cell>
          <cell r="C19">
            <v>2028727006.1700001</v>
          </cell>
          <cell r="F19">
            <v>28051</v>
          </cell>
          <cell r="I19">
            <v>28052</v>
          </cell>
        </row>
        <row r="21">
          <cell r="A21" t="str">
            <v>Total kVa</v>
          </cell>
          <cell r="C21">
            <v>3557525</v>
          </cell>
          <cell r="F21"/>
          <cell r="I21"/>
        </row>
        <row r="23">
          <cell r="A23" t="str">
            <v>OATT Charges</v>
          </cell>
          <cell r="F23">
            <v>9577505</v>
          </cell>
          <cell r="I23">
            <v>9577505</v>
          </cell>
        </row>
        <row r="25">
          <cell r="A25" t="str">
            <v xml:space="preserve">  Total</v>
          </cell>
          <cell r="F25">
            <v>10114356</v>
          </cell>
          <cell r="I25">
            <v>10191157</v>
          </cell>
        </row>
        <row r="29">
          <cell r="A29" t="str">
            <v>Special Contract</v>
          </cell>
        </row>
        <row r="30">
          <cell r="A30" t="str">
            <v>Customer Charges</v>
          </cell>
          <cell r="C30">
            <v>1180</v>
          </cell>
          <cell r="D30">
            <v>2120</v>
          </cell>
          <cell r="F30">
            <v>2501600</v>
          </cell>
          <cell r="G30">
            <v>260</v>
          </cell>
          <cell r="I30">
            <v>306800</v>
          </cell>
        </row>
        <row r="32">
          <cell r="A32" t="str">
            <v>Distribution Charges</v>
          </cell>
        </row>
        <row r="35">
          <cell r="A35" t="str">
            <v>Energy Charge</v>
          </cell>
        </row>
        <row r="36">
          <cell r="A36" t="str">
            <v>All kWh</v>
          </cell>
          <cell r="C36">
            <v>351393396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 t="str">
            <v>Temperature Adjustment</v>
          </cell>
          <cell r="C37">
            <v>-452620</v>
          </cell>
          <cell r="D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 t="str">
            <v>Unbilled</v>
          </cell>
          <cell r="C38">
            <v>-14720240</v>
          </cell>
          <cell r="D38">
            <v>1.332E-2</v>
          </cell>
          <cell r="F38">
            <v>-196073</v>
          </cell>
          <cell r="G38">
            <v>1.332E-2</v>
          </cell>
          <cell r="I38">
            <v>-196074</v>
          </cell>
        </row>
        <row r="39">
          <cell r="A39" t="str">
            <v>Subtotal</v>
          </cell>
          <cell r="C39">
            <v>336220536</v>
          </cell>
          <cell r="F39">
            <v>-196073</v>
          </cell>
          <cell r="I39">
            <v>-196074</v>
          </cell>
        </row>
        <row r="41">
          <cell r="A41" t="str">
            <v xml:space="preserve">  Total</v>
          </cell>
          <cell r="F41">
            <v>5493907</v>
          </cell>
          <cell r="I41">
            <v>4419379.78</v>
          </cell>
        </row>
        <row r="43">
          <cell r="A43" t="str">
            <v>SCHEDULE 005</v>
          </cell>
        </row>
        <row r="44">
          <cell r="A44" t="str">
            <v>Wholesale for Resale</v>
          </cell>
        </row>
        <row r="45">
          <cell r="A45" t="str">
            <v>Annual Customer Count</v>
          </cell>
          <cell r="C45">
            <v>96</v>
          </cell>
        </row>
        <row r="46">
          <cell r="A46" t="str">
            <v>Energy Charge</v>
          </cell>
        </row>
        <row r="47">
          <cell r="A47" t="str">
            <v>All kWh</v>
          </cell>
          <cell r="C47">
            <v>7130880</v>
          </cell>
          <cell r="D47">
            <v>3.5139999999999998E-2</v>
          </cell>
          <cell r="F47">
            <v>250579</v>
          </cell>
          <cell r="G47">
            <v>3.5139999999999998E-2</v>
          </cell>
          <cell r="I47">
            <v>250579</v>
          </cell>
        </row>
        <row r="48">
          <cell r="A48" t="str">
            <v>Temperature Adjustment</v>
          </cell>
          <cell r="C48">
            <v>85916.234525271488</v>
          </cell>
          <cell r="D48">
            <v>3.5139999999999998E-2</v>
          </cell>
          <cell r="F48">
            <v>3019</v>
          </cell>
          <cell r="G48">
            <v>3.5139999999999998E-2</v>
          </cell>
          <cell r="I48">
            <v>3019</v>
          </cell>
        </row>
        <row r="49">
          <cell r="A49" t="str">
            <v>Unbilled</v>
          </cell>
          <cell r="C49">
            <v>-46730</v>
          </cell>
          <cell r="D49">
            <v>3.2848000000000002E-2</v>
          </cell>
          <cell r="F49">
            <v>-1535</v>
          </cell>
          <cell r="G49">
            <v>3.2848000000000002E-2</v>
          </cell>
          <cell r="I49">
            <v>-1535</v>
          </cell>
        </row>
        <row r="50">
          <cell r="A50" t="str">
            <v>Subtotal</v>
          </cell>
          <cell r="C50">
            <v>7170066.2345252717</v>
          </cell>
          <cell r="F50">
            <v>252063</v>
          </cell>
          <cell r="I50">
            <v>252063</v>
          </cell>
        </row>
        <row r="52">
          <cell r="A52" t="str">
            <v>Demand Charge</v>
          </cell>
          <cell r="C52">
            <v>14252</v>
          </cell>
          <cell r="D52">
            <v>5.25</v>
          </cell>
          <cell r="F52">
            <v>74823</v>
          </cell>
          <cell r="G52">
            <v>5.25</v>
          </cell>
          <cell r="I52">
            <v>74823</v>
          </cell>
        </row>
        <row r="54">
          <cell r="A54" t="str">
            <v>Reactive Power Charge</v>
          </cell>
          <cell r="C54">
            <v>1895520</v>
          </cell>
          <cell r="D54">
            <v>2.5000000000000001E-4</v>
          </cell>
          <cell r="F54">
            <v>474</v>
          </cell>
          <cell r="G54">
            <v>2.5000000000000001E-4</v>
          </cell>
          <cell r="I54">
            <v>474</v>
          </cell>
        </row>
        <row r="56">
          <cell r="A56" t="str">
            <v>Revenue Deficiency</v>
          </cell>
          <cell r="I56">
            <v>354912.10943168454</v>
          </cell>
        </row>
        <row r="58">
          <cell r="A58" t="str">
            <v xml:space="preserve">  Total</v>
          </cell>
          <cell r="F58">
            <v>327360</v>
          </cell>
          <cell r="I58">
            <v>682272.10943168448</v>
          </cell>
        </row>
      </sheetData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YE 12-2018 Rental Rev"/>
      <sheetName val="Summary Book Cost Sch 62"/>
      <sheetName val="Summary Accum Deprec Sch 62"/>
      <sheetName val="Sch 62 Sub Book Cost 12-18"/>
      <sheetName val="Sch 62 Sub Accum Deprec 12-18"/>
      <sheetName val="Summary - SC"/>
      <sheetName val="SC Sub Direct Assign"/>
      <sheetName val="SC Feeder Direct Assign"/>
      <sheetName val="SC Sub Net Book 12-18"/>
      <sheetName val="Sch 62 Feeder Costs"/>
      <sheetName val="2019 GRC Dir Assign Dist Data"/>
    </sheetNames>
    <sheetDataSet>
      <sheetData sheetId="0">
        <row r="9">
          <cell r="C9">
            <v>3584294.5099956198</v>
          </cell>
          <cell r="D9">
            <v>0</v>
          </cell>
          <cell r="E9">
            <v>0</v>
          </cell>
          <cell r="F9">
            <v>0</v>
          </cell>
          <cell r="G9">
            <v>3561622.1547956197</v>
          </cell>
          <cell r="H9">
            <v>22672.355200000002</v>
          </cell>
          <cell r="I9">
            <v>0</v>
          </cell>
        </row>
        <row r="10">
          <cell r="C10">
            <v>598299.79449141794</v>
          </cell>
          <cell r="D10">
            <v>0</v>
          </cell>
          <cell r="E10">
            <v>0</v>
          </cell>
          <cell r="F10">
            <v>0</v>
          </cell>
          <cell r="G10">
            <v>242390.36241461791</v>
          </cell>
          <cell r="H10">
            <v>162866.1520768</v>
          </cell>
          <cell r="I10">
            <v>193043.28</v>
          </cell>
        </row>
        <row r="11">
          <cell r="C11">
            <v>31963716.521255195</v>
          </cell>
          <cell r="D11">
            <v>775891.62600000005</v>
          </cell>
          <cell r="E11">
            <v>0</v>
          </cell>
          <cell r="F11">
            <v>0</v>
          </cell>
          <cell r="G11">
            <v>10309974.6572004</v>
          </cell>
          <cell r="H11">
            <v>14591388.153054798</v>
          </cell>
          <cell r="I11">
            <v>6286462.084999999</v>
          </cell>
        </row>
        <row r="12">
          <cell r="C12">
            <v>67009.356344389787</v>
          </cell>
          <cell r="D12">
            <v>0</v>
          </cell>
          <cell r="E12">
            <v>0</v>
          </cell>
          <cell r="F12">
            <v>0</v>
          </cell>
          <cell r="G12">
            <v>67009.356344389787</v>
          </cell>
          <cell r="H12">
            <v>0</v>
          </cell>
          <cell r="I12">
            <v>0</v>
          </cell>
        </row>
        <row r="13">
          <cell r="C13">
            <v>27766610.698247954</v>
          </cell>
          <cell r="D13">
            <v>0</v>
          </cell>
          <cell r="E13">
            <v>0</v>
          </cell>
          <cell r="F13">
            <v>0</v>
          </cell>
          <cell r="G13">
            <v>21070405.608247954</v>
          </cell>
          <cell r="H13">
            <v>6656205.0899999999</v>
          </cell>
          <cell r="I13">
            <v>40000</v>
          </cell>
        </row>
        <row r="14">
          <cell r="C14">
            <v>102372.76999999999</v>
          </cell>
          <cell r="D14">
            <v>97133.84</v>
          </cell>
          <cell r="E14">
            <v>5238.93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2193563.2490000972</v>
          </cell>
          <cell r="D15">
            <v>727301.99999999988</v>
          </cell>
          <cell r="E15">
            <v>42010.700000000004</v>
          </cell>
          <cell r="F15">
            <v>19397.189999999999</v>
          </cell>
          <cell r="G15">
            <v>1404853.3590000975</v>
          </cell>
          <cell r="H15">
            <v>0</v>
          </cell>
          <cell r="I15">
            <v>0</v>
          </cell>
        </row>
        <row r="17">
          <cell r="C17">
            <v>66275866.899334669</v>
          </cell>
          <cell r="D17">
            <v>1600327.466</v>
          </cell>
          <cell r="E17">
            <v>47249.630000000005</v>
          </cell>
          <cell r="F17">
            <v>19397.189999999999</v>
          </cell>
          <cell r="G17">
            <v>36656255.498003073</v>
          </cell>
          <cell r="H17">
            <v>21433131.750331596</v>
          </cell>
          <cell r="I17">
            <v>6519505.3649999993</v>
          </cell>
        </row>
      </sheetData>
      <sheetData sheetId="1">
        <row r="8">
          <cell r="C8">
            <v>-12148.752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-12148.752</v>
          </cell>
          <cell r="I8">
            <v>0</v>
          </cell>
        </row>
        <row r="9">
          <cell r="C9">
            <v>-224950.76187036239</v>
          </cell>
          <cell r="D9">
            <v>-10967.308000000001</v>
          </cell>
          <cell r="E9">
            <v>0</v>
          </cell>
          <cell r="F9">
            <v>0</v>
          </cell>
          <cell r="G9">
            <v>-55355.910287562372</v>
          </cell>
          <cell r="H9">
            <v>-57917.228582800002</v>
          </cell>
          <cell r="I9">
            <v>-100710.315</v>
          </cell>
        </row>
        <row r="10">
          <cell r="C10">
            <v>-11302572.919115141</v>
          </cell>
          <cell r="D10">
            <v>-698898.21200000006</v>
          </cell>
          <cell r="E10">
            <v>0</v>
          </cell>
          <cell r="F10">
            <v>0</v>
          </cell>
          <cell r="G10">
            <v>-2831561.1025523427</v>
          </cell>
          <cell r="H10">
            <v>-4407970.1745627997</v>
          </cell>
          <cell r="I10">
            <v>-3364143.4299999997</v>
          </cell>
        </row>
        <row r="11">
          <cell r="C11">
            <v>-52160.692154439777</v>
          </cell>
          <cell r="D11">
            <v>0</v>
          </cell>
          <cell r="E11">
            <v>0</v>
          </cell>
          <cell r="F11">
            <v>0</v>
          </cell>
          <cell r="G11">
            <v>-52160.692154439777</v>
          </cell>
          <cell r="H11">
            <v>0</v>
          </cell>
          <cell r="I11">
            <v>0</v>
          </cell>
        </row>
        <row r="12">
          <cell r="C12">
            <v>-15897826.552200768</v>
          </cell>
          <cell r="D12">
            <v>0</v>
          </cell>
          <cell r="E12">
            <v>0</v>
          </cell>
          <cell r="F12">
            <v>0</v>
          </cell>
          <cell r="G12">
            <v>-13917717.100486483</v>
          </cell>
          <cell r="H12">
            <v>-1954966.5945714284</v>
          </cell>
          <cell r="I12">
            <v>-25142.857142857145</v>
          </cell>
        </row>
        <row r="13">
          <cell r="C13">
            <v>-51186</v>
          </cell>
          <cell r="D13">
            <v>-48567</v>
          </cell>
          <cell r="E13">
            <v>-2619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-1194485.6795000487</v>
          </cell>
          <cell r="D14">
            <v>-363651</v>
          </cell>
          <cell r="E14">
            <v>-21005</v>
          </cell>
          <cell r="F14">
            <v>-9699</v>
          </cell>
          <cell r="G14">
            <v>-800130.67950004875</v>
          </cell>
          <cell r="H14">
            <v>0</v>
          </cell>
          <cell r="I14">
            <v>0</v>
          </cell>
        </row>
        <row r="15">
          <cell r="C15"/>
          <cell r="D15"/>
          <cell r="E15"/>
          <cell r="F15"/>
          <cell r="G15"/>
          <cell r="H15"/>
          <cell r="I15"/>
        </row>
        <row r="16">
          <cell r="C16">
            <v>-28735331.356840756</v>
          </cell>
          <cell r="D16">
            <v>-1122083.52</v>
          </cell>
          <cell r="E16">
            <v>-23624</v>
          </cell>
          <cell r="F16">
            <v>-9699</v>
          </cell>
          <cell r="G16">
            <v>-17656925.484980874</v>
          </cell>
          <cell r="H16">
            <v>-6433002.7497170279</v>
          </cell>
          <cell r="I16">
            <v>-3489996.6021428569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COS - INPUTS"/>
      <sheetName val="ECOS - CLASSIFIERS"/>
      <sheetName val="ECOS - EXTERNAL (2019 GRC)"/>
      <sheetName val="Peak Credit"/>
      <sheetName val="ROR"/>
      <sheetName val="Revenue Sensitive Items"/>
      <sheetName val="Proposed Rev"/>
      <sheetName val="Prop RW &amp; Spec Cont Rev"/>
      <sheetName val="Customer Counts"/>
      <sheetName val="Customer Deposits (235)"/>
      <sheetName val="Customer Advances (252)"/>
      <sheetName val="Proforma Revenue"/>
      <sheetName val="Other Op Rev (450-451)"/>
      <sheetName val="Other Op Rev Equip Rental (454)"/>
      <sheetName val="Records &amp; Collec (903)"/>
      <sheetName val="Uncollectibles (904)"/>
      <sheetName val="Dist Plant (360-368)"/>
      <sheetName val="Dist Accum Depr (360-368)"/>
      <sheetName val="NCP Dist Plant (360-362)"/>
      <sheetName val="NCP Dist OH-UG Plant (364-367)"/>
      <sheetName val="Dist Transformer Plant (368)"/>
      <sheetName val="Distribution Service (369)"/>
      <sheetName val="Meter Costs (370)"/>
      <sheetName val="Load Research Data - Summary"/>
      <sheetName val="Load Research Data - Dem 4CP"/>
      <sheetName val="Load Research Data -Energy"/>
      <sheetName val="BPA Delivered M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2">
          <cell r="J22">
            <v>11476152247.161776</v>
          </cell>
        </row>
        <row r="23">
          <cell r="J23">
            <v>2915955626.4103169</v>
          </cell>
        </row>
        <row r="24">
          <cell r="J24">
            <v>3225522141.4879136</v>
          </cell>
        </row>
        <row r="25">
          <cell r="J25">
            <v>2092770306.5275679</v>
          </cell>
        </row>
        <row r="26">
          <cell r="J26">
            <v>17243818.472518876</v>
          </cell>
        </row>
        <row r="27">
          <cell r="J27">
            <v>1456029850.0547175</v>
          </cell>
        </row>
        <row r="28">
          <cell r="J28">
            <v>4597572.0317007378</v>
          </cell>
        </row>
        <row r="30">
          <cell r="J30">
            <v>126890757.18193617</v>
          </cell>
        </row>
        <row r="31">
          <cell r="J31">
            <v>79573505.048999339</v>
          </cell>
        </row>
        <row r="32">
          <cell r="J32">
            <v>550655414.21762562</v>
          </cell>
        </row>
        <row r="33">
          <cell r="J33">
            <v>7427003.1359829875</v>
          </cell>
        </row>
        <row r="34">
          <cell r="J34">
            <v>75887375.026475519</v>
          </cell>
        </row>
        <row r="41">
          <cell r="J41">
            <v>298207124.36292702</v>
          </cell>
        </row>
        <row r="42">
          <cell r="J42">
            <v>1690248699.3323834</v>
          </cell>
        </row>
        <row r="43">
          <cell r="J43">
            <v>77694726.097319439</v>
          </cell>
        </row>
        <row r="44">
          <cell r="J44">
            <v>350081232.79927498</v>
          </cell>
        </row>
      </sheetData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zoomScaleNormal="100" workbookViewId="0">
      <selection activeCell="A2" sqref="A2:B2"/>
    </sheetView>
  </sheetViews>
  <sheetFormatPr defaultRowHeight="15" x14ac:dyDescent="0.25"/>
  <cols>
    <col min="2" max="2" width="41.42578125" bestFit="1" customWidth="1"/>
    <col min="4" max="4" width="10.28515625" bestFit="1" customWidth="1"/>
    <col min="5" max="7" width="10.140625" bestFit="1" customWidth="1"/>
  </cols>
  <sheetData>
    <row r="1" spans="1:2" x14ac:dyDescent="0.25">
      <c r="A1" s="461" t="s">
        <v>33</v>
      </c>
      <c r="B1" s="461"/>
    </row>
    <row r="2" spans="1:2" x14ac:dyDescent="0.25">
      <c r="A2" s="462" t="s">
        <v>548</v>
      </c>
      <c r="B2" s="461"/>
    </row>
    <row r="3" spans="1:2" x14ac:dyDescent="0.25">
      <c r="A3" s="462" t="s">
        <v>370</v>
      </c>
      <c r="B3" s="461"/>
    </row>
    <row r="4" spans="1:2" x14ac:dyDescent="0.25">
      <c r="A4" s="462" t="s">
        <v>320</v>
      </c>
      <c r="B4" s="461"/>
    </row>
    <row r="5" spans="1:2" x14ac:dyDescent="0.25">
      <c r="A5" s="462" t="s">
        <v>371</v>
      </c>
      <c r="B5" s="461"/>
    </row>
    <row r="8" spans="1:2" x14ac:dyDescent="0.25">
      <c r="A8" s="23" t="s">
        <v>293</v>
      </c>
      <c r="B8" s="23" t="s">
        <v>34</v>
      </c>
    </row>
    <row r="9" spans="1:2" x14ac:dyDescent="0.25">
      <c r="A9" s="110">
        <v>2</v>
      </c>
      <c r="B9" s="21" t="s">
        <v>378</v>
      </c>
    </row>
    <row r="10" spans="1:2" x14ac:dyDescent="0.25">
      <c r="A10" s="110">
        <v>3</v>
      </c>
      <c r="B10" s="21" t="s">
        <v>379</v>
      </c>
    </row>
    <row r="11" spans="1:2" x14ac:dyDescent="0.25">
      <c r="A11" s="45" t="s">
        <v>545</v>
      </c>
      <c r="B11" s="341" t="s">
        <v>380</v>
      </c>
    </row>
    <row r="12" spans="1:2" x14ac:dyDescent="0.25">
      <c r="A12" s="110">
        <v>7</v>
      </c>
      <c r="B12" s="341" t="s">
        <v>381</v>
      </c>
    </row>
    <row r="13" spans="1:2" x14ac:dyDescent="0.25">
      <c r="A13" s="110">
        <f>+A12+1</f>
        <v>8</v>
      </c>
      <c r="B13" s="21" t="s">
        <v>382</v>
      </c>
    </row>
    <row r="14" spans="1:2" x14ac:dyDescent="0.25">
      <c r="A14" s="400">
        <f t="shared" ref="A14:A33" si="0">+A13+1</f>
        <v>9</v>
      </c>
      <c r="B14" s="21" t="s">
        <v>296</v>
      </c>
    </row>
    <row r="15" spans="1:2" x14ac:dyDescent="0.25">
      <c r="A15" s="400">
        <f t="shared" si="0"/>
        <v>10</v>
      </c>
      <c r="B15" s="341" t="s">
        <v>406</v>
      </c>
    </row>
    <row r="16" spans="1:2" x14ac:dyDescent="0.25">
      <c r="A16" s="400">
        <f t="shared" si="0"/>
        <v>11</v>
      </c>
      <c r="B16" s="21" t="s">
        <v>383</v>
      </c>
    </row>
    <row r="17" spans="1:2" x14ac:dyDescent="0.25">
      <c r="A17" s="400">
        <f t="shared" si="0"/>
        <v>12</v>
      </c>
      <c r="B17" s="22" t="s">
        <v>1</v>
      </c>
    </row>
    <row r="18" spans="1:2" x14ac:dyDescent="0.25">
      <c r="A18" s="400">
        <f t="shared" si="0"/>
        <v>13</v>
      </c>
      <c r="B18" s="22" t="s">
        <v>35</v>
      </c>
    </row>
    <row r="19" spans="1:2" x14ac:dyDescent="0.25">
      <c r="A19" s="400">
        <f t="shared" si="0"/>
        <v>14</v>
      </c>
      <c r="B19" s="22" t="s">
        <v>10</v>
      </c>
    </row>
    <row r="20" spans="1:2" x14ac:dyDescent="0.25">
      <c r="A20" s="400">
        <f t="shared" si="0"/>
        <v>15</v>
      </c>
      <c r="B20" s="21" t="s">
        <v>114</v>
      </c>
    </row>
    <row r="21" spans="1:2" x14ac:dyDescent="0.25">
      <c r="A21" s="400">
        <f t="shared" si="0"/>
        <v>16</v>
      </c>
      <c r="B21" s="21" t="s">
        <v>36</v>
      </c>
    </row>
    <row r="22" spans="1:2" x14ac:dyDescent="0.25">
      <c r="A22" s="400">
        <f t="shared" si="0"/>
        <v>17</v>
      </c>
      <c r="B22" s="21" t="s">
        <v>37</v>
      </c>
    </row>
    <row r="23" spans="1:2" x14ac:dyDescent="0.25">
      <c r="A23" s="400">
        <f t="shared" si="0"/>
        <v>18</v>
      </c>
      <c r="B23" s="21" t="s">
        <v>38</v>
      </c>
    </row>
    <row r="24" spans="1:2" x14ac:dyDescent="0.25">
      <c r="A24" s="400">
        <f t="shared" si="0"/>
        <v>19</v>
      </c>
      <c r="B24" s="341" t="s">
        <v>39</v>
      </c>
    </row>
    <row r="25" spans="1:2" x14ac:dyDescent="0.25">
      <c r="A25" s="400">
        <f t="shared" si="0"/>
        <v>20</v>
      </c>
      <c r="B25" s="21" t="s">
        <v>42</v>
      </c>
    </row>
    <row r="26" spans="1:2" x14ac:dyDescent="0.25">
      <c r="A26" s="400">
        <f t="shared" si="0"/>
        <v>21</v>
      </c>
      <c r="B26" s="21" t="s">
        <v>384</v>
      </c>
    </row>
    <row r="27" spans="1:2" x14ac:dyDescent="0.25">
      <c r="A27" s="400">
        <f t="shared" si="0"/>
        <v>22</v>
      </c>
      <c r="B27" s="21" t="s">
        <v>43</v>
      </c>
    </row>
    <row r="28" spans="1:2" x14ac:dyDescent="0.25">
      <c r="A28" s="400">
        <f t="shared" si="0"/>
        <v>23</v>
      </c>
      <c r="B28" s="21" t="s">
        <v>44</v>
      </c>
    </row>
    <row r="29" spans="1:2" x14ac:dyDescent="0.25">
      <c r="A29" s="400">
        <f t="shared" si="0"/>
        <v>24</v>
      </c>
      <c r="B29" s="21" t="s">
        <v>45</v>
      </c>
    </row>
    <row r="30" spans="1:2" x14ac:dyDescent="0.25">
      <c r="A30" s="400">
        <f t="shared" si="0"/>
        <v>25</v>
      </c>
      <c r="B30" s="21" t="s">
        <v>41</v>
      </c>
    </row>
    <row r="31" spans="1:2" x14ac:dyDescent="0.25">
      <c r="A31" s="400">
        <f t="shared" si="0"/>
        <v>26</v>
      </c>
      <c r="B31" s="21" t="s">
        <v>40</v>
      </c>
    </row>
    <row r="32" spans="1:2" x14ac:dyDescent="0.25">
      <c r="A32" s="400">
        <f t="shared" si="0"/>
        <v>27</v>
      </c>
      <c r="B32" s="21" t="s">
        <v>46</v>
      </c>
    </row>
    <row r="33" spans="1:2" x14ac:dyDescent="0.25">
      <c r="A33" s="400">
        <f t="shared" si="0"/>
        <v>28</v>
      </c>
      <c r="B33" s="21" t="s">
        <v>288</v>
      </c>
    </row>
    <row r="34" spans="1:2" x14ac:dyDescent="0.25">
      <c r="A34" s="401" t="s">
        <v>546</v>
      </c>
      <c r="B34" s="21" t="s">
        <v>47</v>
      </c>
    </row>
    <row r="35" spans="1:2" x14ac:dyDescent="0.25">
      <c r="A35" s="112">
        <v>31</v>
      </c>
      <c r="B35" s="341" t="s">
        <v>289</v>
      </c>
    </row>
  </sheetData>
  <mergeCells count="5">
    <mergeCell ref="A1:B1"/>
    <mergeCell ref="A2:B2"/>
    <mergeCell ref="A3:B3"/>
    <mergeCell ref="A4:B4"/>
    <mergeCell ref="A5:B5"/>
  </mergeCells>
  <hyperlinks>
    <hyperlink ref="B17" location="'Customer Counts'!A1" display="Customer Counts"/>
    <hyperlink ref="B13" location="'Revenue Sensitive Items'!A1" display="Revenue Sensitive Items"/>
    <hyperlink ref="B19" location="'Customer Advances (252)'!A1" display="Customer Advances"/>
    <hyperlink ref="B18" location="'Customer Deposits (235)'!A1" display="Customer Deposits"/>
    <hyperlink ref="B21" location="'Other Op Rev (450-451)'!A1" display="Other Op Rev (450-451)"/>
    <hyperlink ref="B22" location="'Other Op Rev Equip Rental (454)'!A1" display="Other Op Rev (454)"/>
    <hyperlink ref="B23" location="'Records &amp; Collec (903)'!A1" display="Records &amp; Collec (903)"/>
    <hyperlink ref="B31" location="'Meter Costs (370)'!A1" display="Meter Costs (370)"/>
    <hyperlink ref="B30" location="'Distribution Service (369)'!A1" display="Distribution Service (369)"/>
    <hyperlink ref="B25" location="'Dist Plant (360-368)'!A1" display="Dist Plant (360-368)"/>
    <hyperlink ref="B26" location="'Dist Accum Depr (360-368)'!A1" display="Dist Accum Depr (360-368)"/>
    <hyperlink ref="B27" location="'NCP Dist Plant (360-362)'!A1" display="NCP Dist Plant (360-362)"/>
    <hyperlink ref="B28" location="'NCP Dist OH-UG Plant (364-367)'!A1" display="NCP Dist OH-UG Plant (364-367)"/>
    <hyperlink ref="B29" location="'Dist Transformer Plant (368)'!A1" display="Dist Transformer Plant (368)"/>
    <hyperlink ref="B32" location="'Load Research Data - Summary'!A1" display="Load Research Data - Summary"/>
    <hyperlink ref="B33" location="'Load Research Data - Dem 4CP'!A1" display="Load Research Data - Demand 4CP"/>
    <hyperlink ref="B34" location="'Load Research Data -Energy'!A1" display="Load Research Data -Energy"/>
    <hyperlink ref="B20" location="'Proforma Revenue'!A1" display="Proforma Revenue"/>
    <hyperlink ref="B9" location="'ECOS - INPUTS'!A1" display="2017 ECOS - Inputs"/>
    <hyperlink ref="B10" location="'ECOS - CLASSIFIERS'!A1" display="2017 ECOS - Classifiers"/>
    <hyperlink ref="B12" location="ROR!A1" display="2019 GRC ROR"/>
    <hyperlink ref="B11" location="'ECOS - EXTERNAL (2019 GRC)'!A1" display="2019 GRC ECOS - External Allocation Factors"/>
    <hyperlink ref="B16" location="'Peak Credit'!A1" display="Peak Credit"/>
    <hyperlink ref="B35" location="'BPA Delivered MWh'!A1" display="BPA Res Exchange kWh"/>
    <hyperlink ref="B14" location="'Proposed Rev'!A1" display="Proposed Revenue"/>
    <hyperlink ref="B24" location="'Uncollectibles (904)'!A1" display="Uncollectibles (904)"/>
    <hyperlink ref="B15" location="'Prop RW &amp; Spec Cont Rev'!A1" display="Proposed Revenue - Spec Cont &amp; Retail Wheeling"/>
  </hyperlinks>
  <printOptions horizontalCentered="1"/>
  <pageMargins left="0.25" right="0.25" top="0.75" bottom="0.75" header="0.3" footer="0.3"/>
  <pageSetup scale="9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74"/>
  <sheetViews>
    <sheetView tabSelected="1" workbookViewId="0"/>
  </sheetViews>
  <sheetFormatPr defaultRowHeight="15" x14ac:dyDescent="0.25"/>
  <cols>
    <col min="1" max="1" width="5.7109375" customWidth="1"/>
    <col min="2" max="2" width="75.85546875" bestFit="1" customWidth="1"/>
    <col min="3" max="3" width="42.28515625" bestFit="1" customWidth="1"/>
    <col min="4" max="4" width="18.140625" customWidth="1"/>
    <col min="5" max="5" width="18.28515625" customWidth="1"/>
    <col min="6" max="6" width="13.140625" bestFit="1" customWidth="1"/>
    <col min="7" max="7" width="9.85546875" bestFit="1" customWidth="1"/>
  </cols>
  <sheetData>
    <row r="1" spans="1:6" ht="15.75" x14ac:dyDescent="0.25">
      <c r="A1" s="24" t="s">
        <v>48</v>
      </c>
      <c r="B1" s="25"/>
      <c r="C1" s="25"/>
      <c r="D1" s="25"/>
      <c r="E1" s="25"/>
      <c r="F1" s="25"/>
    </row>
    <row r="2" spans="1:6" x14ac:dyDescent="0.25">
      <c r="A2" s="25"/>
      <c r="B2" s="25"/>
      <c r="C2" s="25"/>
      <c r="D2" s="25"/>
      <c r="E2" s="25"/>
      <c r="F2" s="25"/>
    </row>
    <row r="3" spans="1:6" ht="15.75" x14ac:dyDescent="0.25">
      <c r="A3" s="25"/>
      <c r="B3" s="26" t="s">
        <v>49</v>
      </c>
      <c r="C3" s="26"/>
      <c r="D3" s="25"/>
      <c r="E3" s="26" t="s">
        <v>50</v>
      </c>
      <c r="F3" s="25"/>
    </row>
    <row r="4" spans="1:6" ht="15.75" x14ac:dyDescent="0.25">
      <c r="A4" s="25"/>
      <c r="B4" s="26"/>
      <c r="C4" s="26"/>
      <c r="D4" s="25"/>
      <c r="E4" s="27"/>
      <c r="F4" s="25"/>
    </row>
    <row r="5" spans="1:6" x14ac:dyDescent="0.25">
      <c r="A5" s="28">
        <v>1</v>
      </c>
      <c r="B5" s="29" t="s">
        <v>298</v>
      </c>
      <c r="C5" s="30"/>
      <c r="D5" s="25"/>
      <c r="E5" s="27"/>
      <c r="F5" s="25"/>
    </row>
    <row r="6" spans="1:6" x14ac:dyDescent="0.25">
      <c r="A6" s="28">
        <v>2</v>
      </c>
      <c r="B6" s="29" t="s">
        <v>299</v>
      </c>
      <c r="C6" s="30"/>
      <c r="D6" s="25"/>
      <c r="E6" s="27"/>
      <c r="F6" s="25"/>
    </row>
    <row r="7" spans="1:6" x14ac:dyDescent="0.25">
      <c r="A7" s="28">
        <v>3</v>
      </c>
      <c r="B7" s="29" t="s">
        <v>300</v>
      </c>
      <c r="C7" s="30"/>
      <c r="D7" s="25"/>
      <c r="E7" s="27"/>
      <c r="F7" s="25"/>
    </row>
    <row r="8" spans="1:6" x14ac:dyDescent="0.25">
      <c r="A8" s="28">
        <v>4</v>
      </c>
      <c r="B8" s="30" t="s">
        <v>51</v>
      </c>
      <c r="C8" s="30"/>
      <c r="D8" s="25"/>
      <c r="E8" s="27"/>
      <c r="F8" s="25"/>
    </row>
    <row r="9" spans="1:6" x14ac:dyDescent="0.25">
      <c r="A9" s="28">
        <v>5</v>
      </c>
      <c r="B9" s="30" t="s">
        <v>52</v>
      </c>
      <c r="C9" s="30"/>
      <c r="D9" s="25"/>
      <c r="E9" s="25"/>
      <c r="F9" s="25"/>
    </row>
    <row r="10" spans="1:6" x14ac:dyDescent="0.25">
      <c r="A10" s="28"/>
      <c r="B10" s="25"/>
      <c r="C10" s="25"/>
      <c r="D10" s="25"/>
      <c r="E10" s="31" t="s">
        <v>53</v>
      </c>
      <c r="F10" s="31" t="s">
        <v>14</v>
      </c>
    </row>
    <row r="11" spans="1:6" x14ac:dyDescent="0.25">
      <c r="A11" s="28"/>
      <c r="B11" s="31" t="s">
        <v>49</v>
      </c>
      <c r="C11" s="30">
        <v>2</v>
      </c>
      <c r="D11" s="25"/>
      <c r="E11" s="30" t="s">
        <v>54</v>
      </c>
      <c r="F11" s="30" t="s">
        <v>55</v>
      </c>
    </row>
    <row r="12" spans="1:6" x14ac:dyDescent="0.25">
      <c r="A12" s="28"/>
      <c r="B12" s="25"/>
      <c r="C12" s="25"/>
      <c r="D12" s="25"/>
      <c r="E12" s="30" t="s">
        <v>56</v>
      </c>
      <c r="F12" s="30" t="s">
        <v>57</v>
      </c>
    </row>
    <row r="13" spans="1:6" x14ac:dyDescent="0.25">
      <c r="A13" s="28"/>
      <c r="B13" s="25"/>
      <c r="C13" s="25"/>
      <c r="D13" s="25"/>
      <c r="E13" s="30" t="s">
        <v>58</v>
      </c>
      <c r="F13" s="30" t="s">
        <v>59</v>
      </c>
    </row>
    <row r="14" spans="1:6" x14ac:dyDescent="0.25">
      <c r="A14" s="28"/>
      <c r="B14" s="25"/>
      <c r="C14" s="25"/>
      <c r="D14" s="25"/>
      <c r="E14" s="30" t="s">
        <v>60</v>
      </c>
      <c r="F14" s="30" t="s">
        <v>60</v>
      </c>
    </row>
    <row r="15" spans="1:6" ht="15.75" x14ac:dyDescent="0.25">
      <c r="A15" s="28"/>
      <c r="B15" s="26" t="s">
        <v>61</v>
      </c>
      <c r="C15" s="25"/>
      <c r="D15" s="25"/>
      <c r="E15" s="30" t="s">
        <v>60</v>
      </c>
      <c r="F15" s="30" t="s">
        <v>60</v>
      </c>
    </row>
    <row r="16" spans="1:6" x14ac:dyDescent="0.25">
      <c r="A16" s="28"/>
      <c r="B16" s="25"/>
      <c r="C16" s="25"/>
      <c r="D16" s="25"/>
      <c r="E16" s="30" t="s">
        <v>60</v>
      </c>
      <c r="F16" s="30" t="s">
        <v>60</v>
      </c>
    </row>
    <row r="17" spans="1:6" x14ac:dyDescent="0.25">
      <c r="A17" s="28"/>
      <c r="B17" s="31" t="s">
        <v>62</v>
      </c>
      <c r="C17" s="31" t="s">
        <v>14</v>
      </c>
      <c r="D17" s="25"/>
      <c r="E17" s="30" t="s">
        <v>60</v>
      </c>
      <c r="F17" s="30" t="s">
        <v>60</v>
      </c>
    </row>
    <row r="18" spans="1:6" x14ac:dyDescent="0.25">
      <c r="A18" s="28">
        <v>1</v>
      </c>
      <c r="B18" s="30" t="s">
        <v>63</v>
      </c>
      <c r="C18" s="30" t="s">
        <v>64</v>
      </c>
      <c r="D18" s="25"/>
      <c r="E18" s="30" t="s">
        <v>60</v>
      </c>
      <c r="F18" s="30" t="s">
        <v>60</v>
      </c>
    </row>
    <row r="19" spans="1:6" x14ac:dyDescent="0.25">
      <c r="A19" s="28">
        <v>2</v>
      </c>
      <c r="B19" s="30" t="s">
        <v>65</v>
      </c>
      <c r="C19" s="30" t="s">
        <v>66</v>
      </c>
      <c r="D19" s="25"/>
      <c r="E19" s="30" t="s">
        <v>60</v>
      </c>
      <c r="F19" s="30" t="s">
        <v>60</v>
      </c>
    </row>
    <row r="20" spans="1:6" x14ac:dyDescent="0.25">
      <c r="A20" s="28">
        <v>3</v>
      </c>
      <c r="B20" s="30" t="s">
        <v>67</v>
      </c>
      <c r="C20" s="30" t="s">
        <v>68</v>
      </c>
      <c r="D20" s="25"/>
      <c r="E20" s="30" t="s">
        <v>60</v>
      </c>
      <c r="F20" s="30" t="s">
        <v>60</v>
      </c>
    </row>
    <row r="21" spans="1:6" x14ac:dyDescent="0.25">
      <c r="A21" s="28">
        <v>4</v>
      </c>
      <c r="B21" s="30" t="s">
        <v>69</v>
      </c>
      <c r="C21" s="30" t="s">
        <v>70</v>
      </c>
      <c r="D21" s="25"/>
      <c r="E21" s="25"/>
      <c r="F21" s="25"/>
    </row>
    <row r="22" spans="1:6" ht="15.75" x14ac:dyDescent="0.25">
      <c r="A22" s="28">
        <v>5</v>
      </c>
      <c r="B22" s="30" t="s">
        <v>71</v>
      </c>
      <c r="C22" s="30" t="s">
        <v>72</v>
      </c>
      <c r="D22" s="25"/>
      <c r="E22" s="26"/>
      <c r="F22" s="31" t="s">
        <v>73</v>
      </c>
    </row>
    <row r="23" spans="1:6" x14ac:dyDescent="0.25">
      <c r="A23" s="28">
        <v>6</v>
      </c>
      <c r="B23" s="30" t="s">
        <v>74</v>
      </c>
      <c r="C23" s="30" t="s">
        <v>75</v>
      </c>
      <c r="D23" s="25"/>
      <c r="E23" s="30" t="s">
        <v>76</v>
      </c>
      <c r="F23" s="30" t="s">
        <v>77</v>
      </c>
    </row>
    <row r="24" spans="1:6" x14ac:dyDescent="0.25">
      <c r="A24" s="28">
        <v>7</v>
      </c>
      <c r="B24" s="30" t="s">
        <v>78</v>
      </c>
      <c r="C24" s="30" t="s">
        <v>79</v>
      </c>
      <c r="D24" s="25"/>
      <c r="E24" s="30"/>
      <c r="F24" s="30" t="s">
        <v>80</v>
      </c>
    </row>
    <row r="25" spans="1:6" x14ac:dyDescent="0.25">
      <c r="A25" s="28">
        <v>8</v>
      </c>
      <c r="B25" s="30" t="s">
        <v>302</v>
      </c>
      <c r="C25" s="30" t="s">
        <v>301</v>
      </c>
      <c r="D25" s="25"/>
      <c r="E25" s="30"/>
      <c r="F25" s="32" t="s">
        <v>81</v>
      </c>
    </row>
    <row r="26" spans="1:6" x14ac:dyDescent="0.25">
      <c r="A26" s="28">
        <v>9</v>
      </c>
      <c r="B26" s="30" t="s">
        <v>82</v>
      </c>
      <c r="C26" s="29" t="s">
        <v>326</v>
      </c>
      <c r="D26" s="25"/>
      <c r="E26" s="30"/>
      <c r="F26" s="29" t="s">
        <v>83</v>
      </c>
    </row>
    <row r="27" spans="1:6" x14ac:dyDescent="0.25">
      <c r="A27" s="28">
        <v>10</v>
      </c>
      <c r="B27" s="29" t="s">
        <v>327</v>
      </c>
      <c r="C27" s="29" t="s">
        <v>328</v>
      </c>
      <c r="D27" s="25"/>
      <c r="E27" s="25" t="s">
        <v>84</v>
      </c>
      <c r="F27" s="25"/>
    </row>
    <row r="28" spans="1:6" ht="15.75" x14ac:dyDescent="0.25">
      <c r="A28" s="28">
        <v>11</v>
      </c>
      <c r="B28" s="30" t="s">
        <v>86</v>
      </c>
      <c r="C28" s="30" t="s">
        <v>87</v>
      </c>
      <c r="D28" s="25"/>
      <c r="E28" s="26"/>
      <c r="F28" s="33" t="s">
        <v>85</v>
      </c>
    </row>
    <row r="29" spans="1:6" x14ac:dyDescent="0.25">
      <c r="A29" s="28">
        <v>12</v>
      </c>
      <c r="B29" s="30" t="s">
        <v>89</v>
      </c>
      <c r="C29" s="30" t="s">
        <v>90</v>
      </c>
      <c r="D29" s="25"/>
      <c r="E29" s="30" t="s">
        <v>88</v>
      </c>
      <c r="F29" s="34">
        <f>+ROR!E13</f>
        <v>7.6200000000000004E-2</v>
      </c>
    </row>
    <row r="30" spans="1:6" x14ac:dyDescent="0.25">
      <c r="A30" s="28">
        <v>13</v>
      </c>
      <c r="B30" s="30" t="s">
        <v>60</v>
      </c>
      <c r="C30" s="30" t="s">
        <v>60</v>
      </c>
      <c r="D30" s="25"/>
      <c r="E30" s="30" t="s">
        <v>91</v>
      </c>
      <c r="F30" s="34">
        <f>+ROR!E11</f>
        <v>2.87E-2</v>
      </c>
    </row>
    <row r="31" spans="1:6" x14ac:dyDescent="0.25">
      <c r="A31" s="28">
        <v>14</v>
      </c>
      <c r="B31" s="30" t="s">
        <v>60</v>
      </c>
      <c r="C31" s="30" t="s">
        <v>60</v>
      </c>
      <c r="D31" s="25"/>
      <c r="E31" s="30" t="s">
        <v>92</v>
      </c>
      <c r="F31" s="34">
        <f>+ROR!E12</f>
        <v>4.7500000000000001E-2</v>
      </c>
    </row>
    <row r="32" spans="1:6" x14ac:dyDescent="0.25">
      <c r="A32" s="28">
        <v>15</v>
      </c>
      <c r="B32" s="30" t="s">
        <v>60</v>
      </c>
      <c r="C32" s="30" t="s">
        <v>60</v>
      </c>
      <c r="D32" s="25"/>
      <c r="E32" s="25"/>
      <c r="F32" s="25"/>
    </row>
    <row r="33" spans="1:7" ht="15.75" x14ac:dyDescent="0.25">
      <c r="A33" s="28">
        <v>16</v>
      </c>
      <c r="B33" s="30" t="s">
        <v>60</v>
      </c>
      <c r="C33" s="30" t="s">
        <v>60</v>
      </c>
      <c r="D33" s="25"/>
      <c r="E33" s="26" t="s">
        <v>93</v>
      </c>
      <c r="F33" s="25"/>
    </row>
    <row r="34" spans="1:7" x14ac:dyDescent="0.25">
      <c r="A34" s="28">
        <v>17</v>
      </c>
      <c r="B34" s="30" t="s">
        <v>60</v>
      </c>
      <c r="C34" s="30" t="s">
        <v>60</v>
      </c>
      <c r="D34" s="25"/>
      <c r="E34" s="30" t="s">
        <v>94</v>
      </c>
      <c r="F34" s="34">
        <v>0</v>
      </c>
    </row>
    <row r="35" spans="1:7" x14ac:dyDescent="0.25">
      <c r="A35" s="28">
        <v>18</v>
      </c>
      <c r="B35" s="30" t="s">
        <v>60</v>
      </c>
      <c r="C35" s="30" t="s">
        <v>60</v>
      </c>
      <c r="D35" s="25"/>
      <c r="E35" s="30" t="s">
        <v>95</v>
      </c>
      <c r="F35" s="34">
        <v>0</v>
      </c>
      <c r="G35" s="40">
        <f>+'Revenue Sensitive Items'!D18</f>
        <v>0.21</v>
      </c>
    </row>
    <row r="36" spans="1:7" x14ac:dyDescent="0.25">
      <c r="A36" s="28">
        <v>19</v>
      </c>
      <c r="B36" s="30" t="s">
        <v>60</v>
      </c>
      <c r="C36" s="30" t="s">
        <v>60</v>
      </c>
      <c r="D36" s="25"/>
      <c r="E36" s="30" t="s">
        <v>96</v>
      </c>
      <c r="F36" s="34">
        <v>0</v>
      </c>
    </row>
    <row r="37" spans="1:7" x14ac:dyDescent="0.25">
      <c r="A37" s="28">
        <v>20</v>
      </c>
      <c r="B37" s="30" t="s">
        <v>60</v>
      </c>
      <c r="C37" s="30" t="s">
        <v>60</v>
      </c>
      <c r="D37" s="25"/>
      <c r="E37" s="25"/>
      <c r="F37" s="25"/>
    </row>
    <row r="38" spans="1:7" ht="15.75" x14ac:dyDescent="0.25">
      <c r="A38" s="28"/>
      <c r="B38" s="35"/>
      <c r="C38" s="35"/>
      <c r="D38" s="25"/>
      <c r="E38" s="26" t="s">
        <v>97</v>
      </c>
      <c r="F38" s="25"/>
    </row>
    <row r="39" spans="1:7" ht="15.75" x14ac:dyDescent="0.25">
      <c r="A39" s="28"/>
      <c r="B39" s="26" t="s">
        <v>98</v>
      </c>
      <c r="C39" s="25"/>
      <c r="D39" s="25"/>
      <c r="E39" s="30" t="s">
        <v>99</v>
      </c>
      <c r="F39" s="34">
        <v>0</v>
      </c>
    </row>
    <row r="40" spans="1:7" x14ac:dyDescent="0.25">
      <c r="A40" s="28"/>
      <c r="B40" s="25"/>
      <c r="C40" s="25"/>
      <c r="D40" s="25"/>
      <c r="E40" s="30" t="s">
        <v>32</v>
      </c>
      <c r="F40" s="34">
        <v>0</v>
      </c>
    </row>
    <row r="41" spans="1:7" x14ac:dyDescent="0.25">
      <c r="A41" s="28"/>
      <c r="B41" s="31" t="s">
        <v>53</v>
      </c>
      <c r="C41" s="31" t="s">
        <v>14</v>
      </c>
      <c r="D41" s="25"/>
      <c r="E41" s="30" t="s">
        <v>32</v>
      </c>
      <c r="F41" s="34">
        <v>0</v>
      </c>
    </row>
    <row r="42" spans="1:7" x14ac:dyDescent="0.25">
      <c r="A42" s="28"/>
      <c r="B42" s="30" t="s">
        <v>100</v>
      </c>
      <c r="C42" s="30" t="s">
        <v>101</v>
      </c>
      <c r="D42" s="25"/>
      <c r="E42" s="25"/>
      <c r="F42" s="25"/>
    </row>
    <row r="43" spans="1:7" ht="15.75" x14ac:dyDescent="0.25">
      <c r="A43" s="28"/>
      <c r="B43" s="30" t="s">
        <v>102</v>
      </c>
      <c r="C43" s="30" t="s">
        <v>103</v>
      </c>
      <c r="D43" s="25"/>
      <c r="E43" s="24" t="s">
        <v>104</v>
      </c>
      <c r="F43" s="25"/>
    </row>
    <row r="44" spans="1:7" x14ac:dyDescent="0.25">
      <c r="A44" s="28"/>
      <c r="B44" s="30" t="s">
        <v>105</v>
      </c>
      <c r="C44" s="30" t="s">
        <v>106</v>
      </c>
      <c r="D44" s="25"/>
      <c r="E44" s="30" t="s">
        <v>99</v>
      </c>
      <c r="F44" s="36">
        <f>+G44</f>
        <v>0.75138099999999997</v>
      </c>
      <c r="G44" s="36">
        <f>ROUND('Revenue Sensitive Items'!E19,6)</f>
        <v>0.75138099999999997</v>
      </c>
    </row>
    <row r="45" spans="1:7" x14ac:dyDescent="0.25">
      <c r="A45" s="28"/>
      <c r="B45" s="30" t="s">
        <v>60</v>
      </c>
      <c r="C45" s="30" t="s">
        <v>60</v>
      </c>
      <c r="D45" s="25"/>
      <c r="E45" s="30" t="s">
        <v>32</v>
      </c>
      <c r="F45" s="36">
        <v>0</v>
      </c>
    </row>
    <row r="46" spans="1:7" x14ac:dyDescent="0.25">
      <c r="A46" s="28"/>
      <c r="B46" s="30" t="s">
        <v>60</v>
      </c>
      <c r="C46" s="30" t="s">
        <v>60</v>
      </c>
      <c r="D46" s="25"/>
      <c r="E46" s="30" t="s">
        <v>32</v>
      </c>
      <c r="F46" s="36">
        <v>0</v>
      </c>
    </row>
    <row r="47" spans="1:7" x14ac:dyDescent="0.25">
      <c r="A47" s="28"/>
      <c r="B47" s="30" t="s">
        <v>60</v>
      </c>
      <c r="C47" s="30" t="s">
        <v>60</v>
      </c>
      <c r="D47" s="25"/>
      <c r="E47" s="25"/>
      <c r="F47" s="25"/>
    </row>
    <row r="48" spans="1:7" x14ac:dyDescent="0.25">
      <c r="A48" s="28"/>
      <c r="B48" s="25"/>
      <c r="C48" s="25"/>
      <c r="D48" s="25"/>
      <c r="E48" s="25"/>
      <c r="F48" s="25"/>
    </row>
    <row r="49" spans="1:6" x14ac:dyDescent="0.25">
      <c r="A49" s="28"/>
      <c r="B49" s="150" t="s">
        <v>303</v>
      </c>
      <c r="C49" s="25"/>
      <c r="D49" s="25"/>
      <c r="E49" s="25"/>
      <c r="F49" s="25"/>
    </row>
    <row r="50" spans="1:6" x14ac:dyDescent="0.25">
      <c r="A50" s="28"/>
      <c r="B50" s="25"/>
      <c r="C50" s="25"/>
      <c r="D50" s="25"/>
      <c r="E50" s="25"/>
      <c r="F50" s="25"/>
    </row>
    <row r="51" spans="1:6" ht="15.75" x14ac:dyDescent="0.25">
      <c r="A51" s="28"/>
      <c r="B51" s="37"/>
      <c r="C51" s="38"/>
      <c r="D51" s="39">
        <v>1</v>
      </c>
      <c r="E51" s="39">
        <v>2</v>
      </c>
      <c r="F51" s="39">
        <v>3</v>
      </c>
    </row>
    <row r="52" spans="1:6" ht="128.25" x14ac:dyDescent="0.25">
      <c r="A52" s="28"/>
      <c r="B52" s="25"/>
      <c r="C52" s="38"/>
      <c r="D52" s="151" t="s">
        <v>298</v>
      </c>
      <c r="E52" s="151" t="s">
        <v>299</v>
      </c>
      <c r="F52" s="151" t="s">
        <v>300</v>
      </c>
    </row>
    <row r="53" spans="1:6" x14ac:dyDescent="0.25">
      <c r="A53" s="28"/>
      <c r="B53" s="31" t="s">
        <v>62</v>
      </c>
      <c r="C53" s="38"/>
      <c r="D53" s="38"/>
      <c r="E53" s="38"/>
      <c r="F53" s="38"/>
    </row>
    <row r="54" spans="1:6" x14ac:dyDescent="0.25">
      <c r="A54" s="28">
        <v>1</v>
      </c>
      <c r="B54" s="30" t="s">
        <v>63</v>
      </c>
      <c r="C54" s="32"/>
      <c r="D54" s="32"/>
      <c r="E54" s="32">
        <f>+'Proforma Revenue'!J9</f>
        <v>1105896512.391351</v>
      </c>
      <c r="F54" s="32">
        <f>+'Proposed Rev'!M8</f>
        <v>84939206.860889912</v>
      </c>
    </row>
    <row r="55" spans="1:6" x14ac:dyDescent="0.25">
      <c r="A55" s="28">
        <v>2</v>
      </c>
      <c r="B55" s="30" t="s">
        <v>65</v>
      </c>
      <c r="C55" s="32"/>
      <c r="D55" s="32"/>
      <c r="E55" s="32">
        <f>+'Proforma Revenue'!J13</f>
        <v>263390391</v>
      </c>
      <c r="F55" s="32">
        <f>+'Proposed Rev'!M11</f>
        <v>20229895.955667078</v>
      </c>
    </row>
    <row r="56" spans="1:6" x14ac:dyDescent="0.25">
      <c r="A56" s="28">
        <v>3</v>
      </c>
      <c r="B56" s="30" t="s">
        <v>67</v>
      </c>
      <c r="C56" s="32"/>
      <c r="D56" s="32"/>
      <c r="E56" s="32">
        <f>SUM('Proforma Revenue'!J10,'Proforma Revenue'!J14,'Proforma Revenue'!J17)</f>
        <v>270703257</v>
      </c>
      <c r="F56" s="32">
        <f>+'Proposed Rev'!M12</f>
        <v>15593673.353973208</v>
      </c>
    </row>
    <row r="57" spans="1:6" x14ac:dyDescent="0.25">
      <c r="A57" s="28">
        <v>4</v>
      </c>
      <c r="B57" s="30" t="s">
        <v>69</v>
      </c>
      <c r="C57" s="32"/>
      <c r="D57" s="32"/>
      <c r="E57" s="32">
        <f>SUM('Proforma Revenue'!J15:J16)</f>
        <v>160280839</v>
      </c>
      <c r="F57" s="32">
        <f>+'Proposed Rev'!M13</f>
        <v>9232867.1832238939</v>
      </c>
    </row>
    <row r="58" spans="1:6" x14ac:dyDescent="0.25">
      <c r="A58" s="28">
        <v>5</v>
      </c>
      <c r="B58" s="30" t="s">
        <v>71</v>
      </c>
      <c r="C58" s="32"/>
      <c r="D58" s="32"/>
      <c r="E58" s="32">
        <f>+'Proforma Revenue'!J20</f>
        <v>113255219</v>
      </c>
      <c r="F58" s="32">
        <f>+'Proposed Rev'!M17</f>
        <v>8698651.4407603759</v>
      </c>
    </row>
    <row r="59" spans="1:6" x14ac:dyDescent="0.25">
      <c r="A59" s="28">
        <v>6</v>
      </c>
      <c r="B59" s="30" t="s">
        <v>74</v>
      </c>
      <c r="C59" s="32"/>
      <c r="D59" s="32"/>
      <c r="E59" s="32">
        <f>+'Proforma Revenue'!J21</f>
        <v>268014</v>
      </c>
      <c r="F59" s="32">
        <f>+'Proposed Rev'!M18</f>
        <v>30877.638059208239</v>
      </c>
    </row>
    <row r="60" spans="1:6" x14ac:dyDescent="0.25">
      <c r="A60" s="28">
        <v>7</v>
      </c>
      <c r="B60" s="30" t="s">
        <v>78</v>
      </c>
      <c r="C60" s="32"/>
      <c r="D60" s="32"/>
      <c r="E60" s="32">
        <f>+'Proforma Revenue'!J22</f>
        <v>10687146</v>
      </c>
      <c r="F60" s="32">
        <f>+'Proposed Rev'!M19</f>
        <v>1026043.065707856</v>
      </c>
    </row>
    <row r="61" spans="1:6" x14ac:dyDescent="0.25">
      <c r="A61" s="28">
        <v>8</v>
      </c>
      <c r="B61" s="30" t="s">
        <v>302</v>
      </c>
      <c r="C61" s="32"/>
      <c r="D61" s="32"/>
      <c r="E61" s="32">
        <f>+'Proforma Revenue'!M33</f>
        <v>5493550</v>
      </c>
      <c r="F61" s="32">
        <f>+'Prop RW &amp; Spec Cont Rev'!J41</f>
        <v>-1074527.2199999997</v>
      </c>
    </row>
    <row r="62" spans="1:6" x14ac:dyDescent="0.25">
      <c r="A62" s="28">
        <v>9</v>
      </c>
      <c r="B62" s="30" t="s">
        <v>82</v>
      </c>
      <c r="C62" s="32"/>
      <c r="D62" s="32"/>
      <c r="E62" s="32">
        <f>SUM('Proforma Revenue'!J27:J28)</f>
        <v>40128244</v>
      </c>
      <c r="F62" s="32">
        <f>+'Proposed Rev'!M22</f>
        <v>2311560.0203237631</v>
      </c>
    </row>
    <row r="63" spans="1:6" x14ac:dyDescent="0.25">
      <c r="A63" s="28">
        <v>10</v>
      </c>
      <c r="B63" s="29" t="s">
        <v>327</v>
      </c>
      <c r="C63" s="32"/>
      <c r="D63" s="32"/>
      <c r="E63" s="32">
        <f>SUM('Proforma Revenue'!J33-'ECOS - INPUTS'!E61)</f>
        <v>10114356</v>
      </c>
      <c r="F63" s="32">
        <f>+'Prop RW &amp; Spec Cont Rev'!J25</f>
        <v>76801</v>
      </c>
    </row>
    <row r="64" spans="1:6" x14ac:dyDescent="0.25">
      <c r="A64" s="28">
        <v>11</v>
      </c>
      <c r="B64" s="30" t="s">
        <v>86</v>
      </c>
      <c r="C64" s="32"/>
      <c r="D64" s="32"/>
      <c r="E64" s="32">
        <f>+'Proforma Revenue'!J31</f>
        <v>16457494</v>
      </c>
      <c r="F64" s="32">
        <f>+'Proposed Rev'!M26</f>
        <v>1580038.5919630488</v>
      </c>
    </row>
    <row r="65" spans="1:6" x14ac:dyDescent="0.25">
      <c r="A65" s="28">
        <v>12</v>
      </c>
      <c r="B65" s="30" t="s">
        <v>89</v>
      </c>
      <c r="C65" s="32"/>
      <c r="D65" s="32"/>
      <c r="E65" s="32">
        <f>+'Proforma Revenue'!J37</f>
        <v>327360</v>
      </c>
      <c r="F65" s="32">
        <f>+'Proposed Rev'!M30</f>
        <v>354912.10943168454</v>
      </c>
    </row>
    <row r="66" spans="1:6" x14ac:dyDescent="0.25">
      <c r="A66" s="28">
        <v>13</v>
      </c>
      <c r="B66" s="30" t="s">
        <v>60</v>
      </c>
      <c r="C66" s="32"/>
      <c r="D66" s="32"/>
      <c r="E66" s="32"/>
      <c r="F66" s="32"/>
    </row>
    <row r="67" spans="1:6" x14ac:dyDescent="0.25">
      <c r="A67" s="28">
        <v>14</v>
      </c>
      <c r="B67" s="30" t="s">
        <v>60</v>
      </c>
      <c r="C67" s="32"/>
      <c r="D67" s="32"/>
      <c r="E67" s="32"/>
      <c r="F67" s="32"/>
    </row>
    <row r="68" spans="1:6" x14ac:dyDescent="0.25">
      <c r="A68" s="28">
        <v>15</v>
      </c>
      <c r="B68" s="30" t="s">
        <v>60</v>
      </c>
      <c r="C68" s="32"/>
      <c r="D68" s="32"/>
      <c r="E68" s="32"/>
      <c r="F68" s="32"/>
    </row>
    <row r="69" spans="1:6" x14ac:dyDescent="0.25">
      <c r="A69" s="28">
        <v>16</v>
      </c>
      <c r="B69" s="30" t="s">
        <v>60</v>
      </c>
      <c r="C69" s="32"/>
      <c r="D69" s="32"/>
      <c r="E69" s="32"/>
      <c r="F69" s="32"/>
    </row>
    <row r="70" spans="1:6" x14ac:dyDescent="0.25">
      <c r="A70" s="28">
        <v>17</v>
      </c>
      <c r="B70" s="30" t="s">
        <v>60</v>
      </c>
      <c r="C70" s="32"/>
      <c r="D70" s="32"/>
      <c r="E70" s="32"/>
      <c r="F70" s="32"/>
    </row>
    <row r="71" spans="1:6" x14ac:dyDescent="0.25">
      <c r="A71" s="28">
        <v>18</v>
      </c>
      <c r="B71" s="30" t="s">
        <v>60</v>
      </c>
      <c r="C71" s="32"/>
      <c r="D71" s="32"/>
      <c r="E71" s="32"/>
      <c r="F71" s="32"/>
    </row>
    <row r="72" spans="1:6" x14ac:dyDescent="0.25">
      <c r="A72" s="28">
        <v>19</v>
      </c>
      <c r="B72" s="30" t="s">
        <v>60</v>
      </c>
      <c r="C72" s="32"/>
      <c r="D72" s="32"/>
      <c r="E72" s="32"/>
      <c r="F72" s="32"/>
    </row>
    <row r="73" spans="1:6" x14ac:dyDescent="0.25">
      <c r="A73" s="28">
        <v>20</v>
      </c>
      <c r="B73" s="30" t="s">
        <v>60</v>
      </c>
      <c r="C73" s="32"/>
      <c r="D73" s="32"/>
      <c r="E73" s="32"/>
      <c r="F73" s="32"/>
    </row>
    <row r="74" spans="1:6" x14ac:dyDescent="0.25">
      <c r="A74" s="28"/>
      <c r="B74" s="30"/>
      <c r="C74" s="32"/>
      <c r="D74" s="32"/>
      <c r="E74" s="32">
        <f>SUM(E54:E66)</f>
        <v>1997002382.391351</v>
      </c>
      <c r="F74" s="32">
        <f>SUM(F54:F66)</f>
        <v>143000000.00000003</v>
      </c>
    </row>
  </sheetData>
  <printOptions horizontalCentered="1"/>
  <pageMargins left="0.25" right="0.25" top="0.75" bottom="0.75" header="0.3" footer="0.3"/>
  <pageSetup scale="42"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I22"/>
  <sheetViews>
    <sheetView workbookViewId="0"/>
  </sheetViews>
  <sheetFormatPr defaultRowHeight="15" x14ac:dyDescent="0.25"/>
  <cols>
    <col min="1" max="1" width="21.28515625" customWidth="1"/>
    <col min="2" max="2" width="49.7109375" bestFit="1" customWidth="1"/>
    <col min="3" max="3" width="5.7109375" bestFit="1" customWidth="1"/>
    <col min="4" max="4" width="7.28515625" bestFit="1" customWidth="1"/>
    <col min="5" max="5" width="8.28515625" bestFit="1" customWidth="1"/>
    <col min="6" max="6" width="7.28515625" bestFit="1" customWidth="1"/>
    <col min="7" max="9" width="2.140625" bestFit="1" customWidth="1"/>
  </cols>
  <sheetData>
    <row r="3" spans="1:9" ht="15.75" x14ac:dyDescent="0.25">
      <c r="A3" s="26" t="s">
        <v>115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31" t="s">
        <v>53</v>
      </c>
      <c r="B5" s="31" t="s">
        <v>14</v>
      </c>
      <c r="C5" s="31" t="s">
        <v>4</v>
      </c>
      <c r="D5" s="31" t="s">
        <v>100</v>
      </c>
      <c r="E5" s="31" t="s">
        <v>102</v>
      </c>
      <c r="F5" s="31" t="s">
        <v>105</v>
      </c>
      <c r="G5" s="31" t="s">
        <v>60</v>
      </c>
      <c r="H5" s="31" t="s">
        <v>60</v>
      </c>
      <c r="I5" s="31" t="s">
        <v>60</v>
      </c>
    </row>
    <row r="6" spans="1:9" x14ac:dyDescent="0.25">
      <c r="A6" s="32" t="s">
        <v>100</v>
      </c>
      <c r="B6" s="32" t="s">
        <v>101</v>
      </c>
      <c r="C6" s="48">
        <v>1</v>
      </c>
      <c r="D6" s="50">
        <v>1</v>
      </c>
      <c r="E6" s="50"/>
      <c r="F6" s="50"/>
      <c r="G6" s="48"/>
      <c r="H6" s="48"/>
      <c r="I6" s="48"/>
    </row>
    <row r="7" spans="1:9" x14ac:dyDescent="0.25">
      <c r="A7" s="32" t="s">
        <v>102</v>
      </c>
      <c r="B7" s="32" t="s">
        <v>103</v>
      </c>
      <c r="C7" s="48">
        <v>1</v>
      </c>
      <c r="D7" s="50"/>
      <c r="E7" s="50">
        <v>1</v>
      </c>
      <c r="F7" s="50"/>
      <c r="G7" s="48"/>
      <c r="H7" s="48"/>
      <c r="I7" s="48"/>
    </row>
    <row r="8" spans="1:9" x14ac:dyDescent="0.25">
      <c r="A8" s="32" t="s">
        <v>105</v>
      </c>
      <c r="B8" s="32" t="s">
        <v>106</v>
      </c>
      <c r="C8" s="48">
        <v>1</v>
      </c>
      <c r="D8" s="50"/>
      <c r="E8" s="50"/>
      <c r="F8" s="50">
        <v>1</v>
      </c>
      <c r="G8" s="48"/>
      <c r="H8" s="48"/>
      <c r="I8" s="48"/>
    </row>
    <row r="9" spans="1:9" x14ac:dyDescent="0.25">
      <c r="A9" s="32" t="s">
        <v>116</v>
      </c>
      <c r="B9" s="32" t="s">
        <v>117</v>
      </c>
      <c r="C9" s="48">
        <v>1</v>
      </c>
      <c r="D9" s="50"/>
      <c r="E9" s="50"/>
      <c r="F9" s="50"/>
      <c r="G9" s="48"/>
      <c r="H9" s="48"/>
      <c r="I9" s="48"/>
    </row>
    <row r="10" spans="1:9" x14ac:dyDescent="0.25">
      <c r="A10" s="32" t="s">
        <v>118</v>
      </c>
      <c r="B10" s="32" t="s">
        <v>119</v>
      </c>
      <c r="C10" s="48">
        <v>1</v>
      </c>
      <c r="D10" s="50"/>
      <c r="E10" s="50"/>
      <c r="F10" s="50"/>
      <c r="G10" s="48"/>
      <c r="H10" s="48"/>
      <c r="I10" s="48"/>
    </row>
    <row r="11" spans="1:9" x14ac:dyDescent="0.25">
      <c r="A11" s="32" t="s">
        <v>120</v>
      </c>
      <c r="B11" s="32" t="s">
        <v>121</v>
      </c>
      <c r="C11" s="48">
        <v>1</v>
      </c>
      <c r="D11" s="50">
        <v>1</v>
      </c>
      <c r="E11" s="50"/>
      <c r="F11" s="50">
        <v>0</v>
      </c>
      <c r="G11" s="48"/>
      <c r="H11" s="48"/>
      <c r="I11" s="48"/>
    </row>
    <row r="12" spans="1:9" x14ac:dyDescent="0.25">
      <c r="A12" s="32" t="s">
        <v>122</v>
      </c>
      <c r="B12" s="32" t="s">
        <v>123</v>
      </c>
      <c r="C12" s="50">
        <v>1</v>
      </c>
      <c r="D12" s="50">
        <f>ROUND('Peak Credit'!G9,2)</f>
        <v>1</v>
      </c>
      <c r="E12" s="50">
        <f>1-D12</f>
        <v>0</v>
      </c>
      <c r="F12" s="50"/>
      <c r="G12" s="48"/>
      <c r="H12" s="48"/>
      <c r="I12" s="48"/>
    </row>
    <row r="13" spans="1:9" x14ac:dyDescent="0.25">
      <c r="A13" s="32" t="s">
        <v>124</v>
      </c>
      <c r="B13" s="32" t="s">
        <v>125</v>
      </c>
      <c r="C13" s="50">
        <v>1</v>
      </c>
      <c r="D13" s="50">
        <f>+$D$12</f>
        <v>1</v>
      </c>
      <c r="E13" s="50">
        <f>+$E$12</f>
        <v>0</v>
      </c>
      <c r="F13" s="50"/>
      <c r="G13" s="48"/>
      <c r="H13" s="48"/>
      <c r="I13" s="48"/>
    </row>
    <row r="14" spans="1:9" x14ac:dyDescent="0.25">
      <c r="A14" s="32" t="s">
        <v>60</v>
      </c>
      <c r="B14" s="32" t="s">
        <v>60</v>
      </c>
      <c r="C14" s="48">
        <v>0</v>
      </c>
      <c r="D14" s="48"/>
      <c r="E14" s="48"/>
      <c r="F14" s="48"/>
      <c r="G14" s="48"/>
      <c r="H14" s="48"/>
      <c r="I14" s="48"/>
    </row>
    <row r="15" spans="1:9" x14ac:dyDescent="0.25">
      <c r="A15" s="32" t="s">
        <v>60</v>
      </c>
      <c r="B15" s="32" t="s">
        <v>60</v>
      </c>
      <c r="C15" s="48">
        <v>0</v>
      </c>
      <c r="D15" s="48"/>
      <c r="E15" s="48"/>
      <c r="F15" s="48"/>
      <c r="G15" s="48"/>
      <c r="H15" s="48"/>
      <c r="I15" s="48"/>
    </row>
    <row r="16" spans="1:9" x14ac:dyDescent="0.25">
      <c r="A16" s="32" t="s">
        <v>60</v>
      </c>
      <c r="B16" s="32" t="s">
        <v>60</v>
      </c>
      <c r="C16" s="48">
        <v>0</v>
      </c>
      <c r="D16" s="48"/>
      <c r="E16" s="48"/>
      <c r="F16" s="48"/>
      <c r="G16" s="48"/>
      <c r="H16" s="48"/>
      <c r="I16" s="48"/>
    </row>
    <row r="17" spans="1:9" x14ac:dyDescent="0.25">
      <c r="A17" s="32" t="s">
        <v>60</v>
      </c>
      <c r="B17" s="32" t="s">
        <v>60</v>
      </c>
      <c r="C17" s="48">
        <v>0</v>
      </c>
      <c r="D17" s="48"/>
      <c r="E17" s="48"/>
      <c r="F17" s="48"/>
      <c r="G17" s="48"/>
      <c r="H17" s="48"/>
      <c r="I17" s="48"/>
    </row>
    <row r="18" spans="1:9" x14ac:dyDescent="0.25">
      <c r="A18" s="32" t="s">
        <v>60</v>
      </c>
      <c r="B18" s="32" t="s">
        <v>60</v>
      </c>
      <c r="C18" s="48">
        <v>0</v>
      </c>
      <c r="D18" s="48"/>
      <c r="E18" s="48"/>
      <c r="F18" s="48"/>
      <c r="G18" s="48"/>
      <c r="H18" s="48"/>
      <c r="I18" s="48"/>
    </row>
    <row r="19" spans="1:9" x14ac:dyDescent="0.25">
      <c r="A19" s="32" t="s">
        <v>60</v>
      </c>
      <c r="B19" s="32" t="s">
        <v>60</v>
      </c>
      <c r="C19" s="48">
        <v>0</v>
      </c>
      <c r="D19" s="48"/>
      <c r="E19" s="48"/>
      <c r="F19" s="48"/>
      <c r="G19" s="48"/>
      <c r="H19" s="48"/>
      <c r="I19" s="48"/>
    </row>
    <row r="20" spans="1:9" x14ac:dyDescent="0.25">
      <c r="A20" s="32" t="s">
        <v>60</v>
      </c>
      <c r="B20" s="32" t="s">
        <v>60</v>
      </c>
      <c r="C20" s="48">
        <v>0</v>
      </c>
      <c r="D20" s="48"/>
      <c r="E20" s="48"/>
      <c r="F20" s="48"/>
      <c r="G20" s="48"/>
      <c r="H20" s="48"/>
      <c r="I20" s="48"/>
    </row>
    <row r="21" spans="1:9" x14ac:dyDescent="0.25">
      <c r="A21" s="32" t="s">
        <v>60</v>
      </c>
      <c r="B21" s="32" t="s">
        <v>60</v>
      </c>
      <c r="C21" s="48">
        <v>0</v>
      </c>
      <c r="D21" s="48"/>
      <c r="E21" s="48"/>
      <c r="F21" s="48"/>
      <c r="G21" s="48"/>
      <c r="H21" s="48"/>
      <c r="I21" s="48"/>
    </row>
    <row r="22" spans="1:9" x14ac:dyDescent="0.25">
      <c r="A22" s="32" t="s">
        <v>60</v>
      </c>
      <c r="B22" s="32" t="s">
        <v>60</v>
      </c>
      <c r="C22" s="48">
        <v>0</v>
      </c>
      <c r="D22" s="48"/>
      <c r="E22" s="48"/>
      <c r="F22" s="48"/>
      <c r="G22" s="48"/>
      <c r="H22" s="48"/>
      <c r="I22" s="48"/>
    </row>
  </sheetData>
  <printOptions horizontalCentered="1"/>
  <pageMargins left="0.25" right="0.25" top="0.75" bottom="0.75" header="0.3" footer="0.3"/>
  <pageSetup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P173"/>
  <sheetViews>
    <sheetView workbookViewId="0">
      <pane xSplit="4" ySplit="3" topLeftCell="E82" activePane="bottomRight" state="frozen"/>
      <selection sqref="A1:B38"/>
      <selection pane="topRight" sqref="A1:B38"/>
      <selection pane="bottomLeft" sqref="A1:B38"/>
      <selection pane="bottomRight" activeCell="E4" sqref="E4"/>
    </sheetView>
  </sheetViews>
  <sheetFormatPr defaultRowHeight="15" x14ac:dyDescent="0.25"/>
  <cols>
    <col min="1" max="1" width="20.7109375" bestFit="1" customWidth="1"/>
    <col min="2" max="2" width="57.85546875" bestFit="1" customWidth="1"/>
    <col min="3" max="3" width="9" bestFit="1" customWidth="1"/>
    <col min="4" max="5" width="15.140625" bestFit="1" customWidth="1"/>
    <col min="6" max="9" width="14.140625" bestFit="1" customWidth="1"/>
    <col min="10" max="10" width="10.42578125" bestFit="1" customWidth="1"/>
    <col min="11" max="13" width="12.42578125" bestFit="1" customWidth="1"/>
    <col min="14" max="14" width="14.140625" bestFit="1" customWidth="1"/>
    <col min="15" max="15" width="11.42578125" bestFit="1" customWidth="1"/>
    <col min="16" max="16" width="10.42578125" bestFit="1" customWidth="1"/>
  </cols>
  <sheetData>
    <row r="1" spans="1:16" ht="15.75" x14ac:dyDescent="0.25">
      <c r="A1" s="463" t="s">
        <v>126</v>
      </c>
      <c r="B1" s="463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75" x14ac:dyDescent="0.25">
      <c r="A2" s="5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9" x14ac:dyDescent="0.25">
      <c r="A3" s="31" t="s">
        <v>53</v>
      </c>
      <c r="B3" s="31" t="s">
        <v>14</v>
      </c>
      <c r="C3" s="31" t="s">
        <v>127</v>
      </c>
      <c r="D3" s="33" t="s">
        <v>4</v>
      </c>
      <c r="E3" s="33" t="s">
        <v>63</v>
      </c>
      <c r="F3" s="33" t="s">
        <v>65</v>
      </c>
      <c r="G3" s="33" t="s">
        <v>67</v>
      </c>
      <c r="H3" s="33" t="s">
        <v>69</v>
      </c>
      <c r="I3" s="33" t="s">
        <v>71</v>
      </c>
      <c r="J3" s="33" t="s">
        <v>74</v>
      </c>
      <c r="K3" s="33" t="s">
        <v>78</v>
      </c>
      <c r="L3" s="33" t="s">
        <v>330</v>
      </c>
      <c r="M3" s="33" t="s">
        <v>82</v>
      </c>
      <c r="N3" s="151" t="s">
        <v>327</v>
      </c>
      <c r="O3" s="33" t="s">
        <v>86</v>
      </c>
      <c r="P3" s="33" t="s">
        <v>89</v>
      </c>
    </row>
    <row r="4" spans="1:16" x14ac:dyDescent="0.25">
      <c r="A4" s="31"/>
      <c r="B4" s="31"/>
      <c r="C4" s="31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1"/>
      <c r="B5" s="31" t="s">
        <v>128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27"/>
      <c r="B6" s="25"/>
      <c r="C6" s="27"/>
      <c r="D6" s="27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5">
      <c r="A7" s="32" t="s">
        <v>80</v>
      </c>
      <c r="B7" s="32" t="s">
        <v>129</v>
      </c>
      <c r="C7" s="53" t="s">
        <v>105</v>
      </c>
      <c r="D7" s="54"/>
      <c r="E7" s="55">
        <f t="shared" ref="E7:P7" si="0">IF($D8=0,0,E8/$D8)</f>
        <v>0.87891799466163856</v>
      </c>
      <c r="F7" s="55">
        <f t="shared" si="0"/>
        <v>0.10575661141894484</v>
      </c>
      <c r="G7" s="55">
        <f t="shared" si="0"/>
        <v>7.1004208590952616E-3</v>
      </c>
      <c r="H7" s="55">
        <f t="shared" si="0"/>
        <v>7.3230700188121141E-4</v>
      </c>
      <c r="I7" s="55">
        <f t="shared" si="0"/>
        <v>4.2355523743010687E-4</v>
      </c>
      <c r="J7" s="55">
        <f t="shared" si="0"/>
        <v>1.7394465602879132E-6</v>
      </c>
      <c r="K7" s="55">
        <f t="shared" si="0"/>
        <v>1.3480710842231328E-4</v>
      </c>
      <c r="L7" s="55">
        <f t="shared" si="0"/>
        <v>8.0884265053387963E-5</v>
      </c>
      <c r="M7" s="55">
        <f t="shared" si="0"/>
        <v>2.1743082003598914E-5</v>
      </c>
      <c r="N7" s="55">
        <f t="shared" si="0"/>
        <v>1.3915572482303306E-5</v>
      </c>
      <c r="O7" s="55">
        <f t="shared" si="0"/>
        <v>6.809063560247036E-3</v>
      </c>
      <c r="P7" s="55">
        <f t="shared" si="0"/>
        <v>6.9577862411516528E-6</v>
      </c>
    </row>
    <row r="8" spans="1:16" x14ac:dyDescent="0.25">
      <c r="A8" s="56" t="str">
        <f>IF(A7="~","~","")</f>
        <v/>
      </c>
      <c r="B8" s="57" t="s">
        <v>298</v>
      </c>
      <c r="C8" s="38"/>
      <c r="D8" s="53">
        <f>SUM(E8:P8)</f>
        <v>1149791</v>
      </c>
      <c r="E8" s="53">
        <f>+'Customer Counts'!Q10</f>
        <v>1010572</v>
      </c>
      <c r="F8" s="53">
        <f>+'Customer Counts'!$Q$11</f>
        <v>121598</v>
      </c>
      <c r="G8" s="53">
        <f>+'Customer Counts'!Q12+'Customer Counts'!Q14</f>
        <v>8164</v>
      </c>
      <c r="H8" s="53">
        <f>+'Customer Counts'!Q13</f>
        <v>842</v>
      </c>
      <c r="I8" s="53">
        <f>+'Customer Counts'!Q15</f>
        <v>487</v>
      </c>
      <c r="J8" s="53">
        <f>+'Customer Counts'!Q16</f>
        <v>2</v>
      </c>
      <c r="K8" s="53">
        <f>+'Customer Counts'!Q18</f>
        <v>155</v>
      </c>
      <c r="L8" s="53">
        <f>+'Customer Counts'!P21</f>
        <v>93</v>
      </c>
      <c r="M8" s="53">
        <f>+'Customer Counts'!Q19+'Customer Counts'!Q20</f>
        <v>25</v>
      </c>
      <c r="N8" s="53">
        <f>+'Customer Counts'!Q21-'ECOS - EXTERNAL (2019 GRC)'!L8</f>
        <v>16</v>
      </c>
      <c r="O8" s="53">
        <f>+'Customer Counts'!Q22</f>
        <v>7829</v>
      </c>
      <c r="P8" s="53">
        <f>+'Customer Counts'!Q23</f>
        <v>8</v>
      </c>
    </row>
    <row r="9" spans="1:16" x14ac:dyDescent="0.25">
      <c r="A9" s="58" t="str">
        <f>IF(A8="~","~","")</f>
        <v/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5">
      <c r="A10" s="32" t="s">
        <v>130</v>
      </c>
      <c r="B10" s="32" t="s">
        <v>131</v>
      </c>
      <c r="C10" s="53" t="s">
        <v>105</v>
      </c>
      <c r="D10" s="54"/>
      <c r="E10" s="55">
        <f t="shared" ref="E10:P10" si="1">IF($D11=0,0,E11/$D11)</f>
        <v>0.88555314868171076</v>
      </c>
      <c r="F10" s="55">
        <f t="shared" si="1"/>
        <v>0.10655499239381129</v>
      </c>
      <c r="G10" s="55">
        <f t="shared" si="1"/>
        <v>7.1540235686695132E-3</v>
      </c>
      <c r="H10" s="55">
        <f t="shared" si="1"/>
        <v>7.3783535580839419E-4</v>
      </c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</row>
    <row r="11" spans="1:16" x14ac:dyDescent="0.25">
      <c r="A11" s="56" t="str">
        <f>IF(A10="~","~","")</f>
        <v/>
      </c>
      <c r="B11" s="57" t="s">
        <v>298</v>
      </c>
      <c r="C11" s="38"/>
      <c r="D11" s="53">
        <f>SUM(E11:P11)</f>
        <v>1141176</v>
      </c>
      <c r="E11" s="53">
        <f t="shared" ref="E11:F11" si="2">+E8</f>
        <v>1010572</v>
      </c>
      <c r="F11" s="53">
        <f t="shared" si="2"/>
        <v>121598</v>
      </c>
      <c r="G11" s="53">
        <f>+G8</f>
        <v>8164</v>
      </c>
      <c r="H11" s="53">
        <f t="shared" ref="H11" si="3">+H8</f>
        <v>842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</row>
    <row r="12" spans="1:16" x14ac:dyDescent="0.25">
      <c r="A12" s="58" t="str">
        <f>IF(A11="~","~","")</f>
        <v/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32" t="s">
        <v>132</v>
      </c>
      <c r="B13" s="32" t="s">
        <v>290</v>
      </c>
      <c r="C13" s="53" t="s">
        <v>105</v>
      </c>
      <c r="D13" s="54"/>
      <c r="E13" s="55">
        <f t="shared" ref="E13:P13" si="4">IF($D14=0,0,E14/$D14)</f>
        <v>0.85415776617976635</v>
      </c>
      <c r="F13" s="55">
        <f t="shared" si="4"/>
        <v>0.10079256282734517</v>
      </c>
      <c r="G13" s="55">
        <f t="shared" si="4"/>
        <v>9.1822218457507949E-3</v>
      </c>
      <c r="H13" s="55">
        <f t="shared" si="4"/>
        <v>9.4889651996162908E-3</v>
      </c>
      <c r="I13" s="55">
        <f t="shared" si="4"/>
        <v>7.1051849231838892E-3</v>
      </c>
      <c r="J13" s="55">
        <f t="shared" si="4"/>
        <v>1.1309268713111472E-6</v>
      </c>
      <c r="K13" s="55">
        <f t="shared" si="4"/>
        <v>5.8190104929613923E-4</v>
      </c>
      <c r="L13" s="55">
        <f t="shared" si="4"/>
        <v>2.5853474589819054E-3</v>
      </c>
      <c r="M13" s="55">
        <f t="shared" si="4"/>
        <v>4.1739886374340708E-3</v>
      </c>
      <c r="N13" s="55">
        <f t="shared" si="4"/>
        <v>7.4567161198464127E-3</v>
      </c>
      <c r="O13" s="55">
        <f t="shared" si="4"/>
        <v>4.4733610875329587E-3</v>
      </c>
      <c r="P13" s="55">
        <f t="shared" si="4"/>
        <v>8.5374437449295518E-7</v>
      </c>
    </row>
    <row r="14" spans="1:16" x14ac:dyDescent="0.25">
      <c r="A14" s="56" t="str">
        <f>IF(A13="~","~","")</f>
        <v/>
      </c>
      <c r="B14" s="57" t="s">
        <v>298</v>
      </c>
      <c r="C14" s="38"/>
      <c r="D14" s="53">
        <f>SUM(E14:P14)</f>
        <v>23055852.679125007</v>
      </c>
      <c r="E14" s="53">
        <f>+'Records &amp; Collec (903)'!$L$8</f>
        <v>19693335.621771198</v>
      </c>
      <c r="F14" s="53">
        <f>+'Records &amp; Collec (903)'!$L$9</f>
        <v>2323858.4796987218</v>
      </c>
      <c r="G14" s="53">
        <f>+'Records &amp; Collec (903)'!$L$10</f>
        <v>211703.95414267364</v>
      </c>
      <c r="H14" s="53">
        <f>+'Records &amp; Collec (903)'!$L$11</f>
        <v>218776.18371969723</v>
      </c>
      <c r="I14" s="53">
        <f>+'Records &amp; Collec (903)'!$L$12</f>
        <v>163816.09684686788</v>
      </c>
      <c r="J14" s="53">
        <f>+'Records &amp; Collec (903)'!$L$13</f>
        <v>26.074483335813575</v>
      </c>
      <c r="K14" s="53">
        <f>+'Records &amp; Collec (903)'!L14</f>
        <v>13416.224866400044</v>
      </c>
      <c r="L14" s="53">
        <f>+'Records &amp; Collec (903)'!$L$18</f>
        <v>59607.390138636991</v>
      </c>
      <c r="M14" s="53">
        <f>+'Records &amp; Collec (903)'!$L$16</f>
        <v>96234.867109021652</v>
      </c>
      <c r="N14" s="53">
        <f>+'Records &amp; Collec (903)'!L17</f>
        <v>171920.94832923554</v>
      </c>
      <c r="O14" s="53">
        <f>+'Records &amp; Collec (903)'!L19</f>
        <v>103137.15421469032</v>
      </c>
      <c r="P14" s="53">
        <f>+'Records &amp; Collec (903)'!L20</f>
        <v>19.683804523941305</v>
      </c>
    </row>
    <row r="15" spans="1:16" x14ac:dyDescent="0.25">
      <c r="A15" s="58" t="str">
        <f>IF(A14="~","~","")</f>
        <v/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32" t="s">
        <v>133</v>
      </c>
      <c r="B16" s="49" t="s">
        <v>134</v>
      </c>
      <c r="C16" s="53" t="s">
        <v>105</v>
      </c>
      <c r="D16" s="54"/>
      <c r="E16" s="55">
        <f t="shared" ref="E16:P16" si="5">IF($D17=0,0,E17/$D17)</f>
        <v>0.87912300645490304</v>
      </c>
      <c r="F16" s="55">
        <f t="shared" si="5"/>
        <v>0.11191483519060683</v>
      </c>
      <c r="G16" s="55">
        <f t="shared" si="5"/>
        <v>7.4509827331981915E-3</v>
      </c>
      <c r="H16" s="55">
        <f t="shared" si="5"/>
        <v>7.530293869078635E-4</v>
      </c>
      <c r="I16" s="55">
        <f t="shared" si="5"/>
        <v>4.5198819372725669E-4</v>
      </c>
      <c r="J16" s="55">
        <f t="shared" si="5"/>
        <v>1.7056158253858743E-6</v>
      </c>
      <c r="K16" s="55">
        <f t="shared" si="5"/>
        <v>1.35596458118177E-4</v>
      </c>
      <c r="L16" s="55">
        <f t="shared" si="5"/>
        <v>8.4427983356600775E-5</v>
      </c>
      <c r="M16" s="55">
        <f t="shared" si="5"/>
        <v>3.0701084856945739E-5</v>
      </c>
      <c r="N16" s="55">
        <f t="shared" si="5"/>
        <v>4.690443519811154E-5</v>
      </c>
      <c r="O16" s="55">
        <f t="shared" si="5"/>
        <v>0</v>
      </c>
      <c r="P16" s="55">
        <f t="shared" si="5"/>
        <v>6.8224633015434971E-6</v>
      </c>
    </row>
    <row r="17" spans="1:16" x14ac:dyDescent="0.25">
      <c r="A17" s="56" t="str">
        <f>IF(A16="~","~","")</f>
        <v/>
      </c>
      <c r="B17" s="57" t="s">
        <v>298</v>
      </c>
      <c r="C17" s="38"/>
      <c r="D17" s="53">
        <f>SUM(E17:P17)</f>
        <v>1172597</v>
      </c>
      <c r="E17" s="53">
        <f>+'Meter Costs (370)'!B7</f>
        <v>1030857</v>
      </c>
      <c r="F17" s="53">
        <f>+'Meter Costs (370)'!B8</f>
        <v>131231</v>
      </c>
      <c r="G17" s="53">
        <f>+'Meter Costs (370)'!B9+'Meter Costs (370)'!B11+'Meter Costs (370)'!E17</f>
        <v>8737</v>
      </c>
      <c r="H17" s="53">
        <f>+'Meter Costs (370)'!B10+'Meter Costs (370)'!E18</f>
        <v>883</v>
      </c>
      <c r="I17" s="53">
        <f>+'Meter Costs (370)'!B12+'Meter Costs (370)'!E19</f>
        <v>530</v>
      </c>
      <c r="J17" s="53">
        <f>+'Meter Costs (370)'!B13</f>
        <v>2</v>
      </c>
      <c r="K17" s="53">
        <f>+'Meter Costs (370)'!B14</f>
        <v>159</v>
      </c>
      <c r="L17" s="53">
        <f>+'Meter Costs (370)'!F23</f>
        <v>99</v>
      </c>
      <c r="M17" s="53">
        <f>+'Meter Costs (370)'!B15+'Meter Costs (370)'!B16</f>
        <v>36</v>
      </c>
      <c r="N17" s="53">
        <f>+'Meter Costs (370)'!B20+'Meter Costs (370)'!B21+'Meter Costs (370)'!B22</f>
        <v>55</v>
      </c>
      <c r="O17" s="53">
        <v>0</v>
      </c>
      <c r="P17" s="53">
        <f>+'Meter Costs (370)'!B26</f>
        <v>8</v>
      </c>
    </row>
    <row r="18" spans="1:16" x14ac:dyDescent="0.25">
      <c r="A18" s="58" t="str">
        <f>IF(A17="~","~","")</f>
        <v/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49" t="s">
        <v>409</v>
      </c>
      <c r="B19" s="49" t="s">
        <v>338</v>
      </c>
      <c r="C19" s="53" t="s">
        <v>105</v>
      </c>
      <c r="D19" s="54"/>
      <c r="E19" s="55">
        <f t="shared" ref="E19:P19" si="6">IF($D20=0,0,E20/$D20)</f>
        <v>0</v>
      </c>
      <c r="F19" s="55">
        <f t="shared" si="6"/>
        <v>0</v>
      </c>
      <c r="G19" s="55">
        <f t="shared" si="6"/>
        <v>0</v>
      </c>
      <c r="H19" s="55">
        <f t="shared" si="6"/>
        <v>0</v>
      </c>
      <c r="I19" s="55">
        <f t="shared" si="6"/>
        <v>0</v>
      </c>
      <c r="J19" s="55">
        <f t="shared" si="6"/>
        <v>0</v>
      </c>
      <c r="K19" s="55">
        <f t="shared" si="6"/>
        <v>0</v>
      </c>
      <c r="L19" s="55">
        <f t="shared" si="6"/>
        <v>1</v>
      </c>
      <c r="M19" s="55">
        <f t="shared" si="6"/>
        <v>0</v>
      </c>
      <c r="N19" s="55">
        <f t="shared" si="6"/>
        <v>0</v>
      </c>
      <c r="O19" s="55">
        <f t="shared" si="6"/>
        <v>0</v>
      </c>
      <c r="P19" s="55">
        <f t="shared" si="6"/>
        <v>0</v>
      </c>
    </row>
    <row r="20" spans="1:16" x14ac:dyDescent="0.25">
      <c r="A20" s="56" t="str">
        <f>IF(A19="~","~","")</f>
        <v/>
      </c>
      <c r="B20" s="57" t="s">
        <v>298</v>
      </c>
      <c r="C20" s="38"/>
      <c r="D20" s="53">
        <f>SUM(E20:P20)</f>
        <v>1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3">
        <v>0</v>
      </c>
      <c r="P20" s="53">
        <v>0</v>
      </c>
    </row>
    <row r="21" spans="1:16" x14ac:dyDescent="0.25">
      <c r="A21" s="58" t="str">
        <f>IF(A20="~","~","")</f>
        <v/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32" t="s">
        <v>135</v>
      </c>
      <c r="B22" s="49" t="s">
        <v>136</v>
      </c>
      <c r="C22" s="53" t="s">
        <v>100</v>
      </c>
      <c r="D22" s="54"/>
      <c r="E22" s="55">
        <f t="shared" ref="E22:P22" si="7">IF($D23=0,0,E23/$D23)</f>
        <v>0</v>
      </c>
      <c r="F22" s="55">
        <f t="shared" si="7"/>
        <v>0</v>
      </c>
      <c r="G22" s="55">
        <f t="shared" si="7"/>
        <v>0</v>
      </c>
      <c r="H22" s="55">
        <f t="shared" si="7"/>
        <v>0</v>
      </c>
      <c r="I22" s="55">
        <f t="shared" si="7"/>
        <v>0</v>
      </c>
      <c r="J22" s="55">
        <f t="shared" si="7"/>
        <v>0</v>
      </c>
      <c r="K22" s="55">
        <f t="shared" si="7"/>
        <v>0</v>
      </c>
      <c r="L22" s="55">
        <f t="shared" si="7"/>
        <v>0</v>
      </c>
      <c r="M22" s="55">
        <f t="shared" si="7"/>
        <v>0</v>
      </c>
      <c r="N22" s="55">
        <f t="shared" si="7"/>
        <v>1</v>
      </c>
      <c r="O22" s="55">
        <f t="shared" si="7"/>
        <v>0</v>
      </c>
      <c r="P22" s="55">
        <f t="shared" si="7"/>
        <v>0</v>
      </c>
    </row>
    <row r="23" spans="1:16" x14ac:dyDescent="0.25">
      <c r="A23" s="56" t="str">
        <f>IF(A22="~","~","")</f>
        <v/>
      </c>
      <c r="B23" s="57" t="s">
        <v>298</v>
      </c>
      <c r="C23" s="38"/>
      <c r="D23" s="53">
        <f>SUM(E23:P23)</f>
        <v>1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1</v>
      </c>
      <c r="O23" s="53">
        <v>0</v>
      </c>
      <c r="P23" s="53">
        <v>0</v>
      </c>
    </row>
    <row r="24" spans="1:16" x14ac:dyDescent="0.25">
      <c r="A24" s="5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32" t="s">
        <v>137</v>
      </c>
      <c r="B25" s="32" t="s">
        <v>138</v>
      </c>
      <c r="C25" s="53" t="s">
        <v>105</v>
      </c>
      <c r="D25" s="54"/>
      <c r="E25" s="55">
        <f t="shared" ref="E25:P25" si="8">IF($D26=0,0,E26/$D26)</f>
        <v>0</v>
      </c>
      <c r="F25" s="55">
        <f t="shared" si="8"/>
        <v>0</v>
      </c>
      <c r="G25" s="55">
        <f t="shared" si="8"/>
        <v>0</v>
      </c>
      <c r="H25" s="55">
        <f t="shared" si="8"/>
        <v>0</v>
      </c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1</v>
      </c>
      <c r="O25" s="55">
        <f t="shared" si="8"/>
        <v>0</v>
      </c>
      <c r="P25" s="55">
        <f t="shared" si="8"/>
        <v>0</v>
      </c>
    </row>
    <row r="26" spans="1:16" x14ac:dyDescent="0.25">
      <c r="A26" s="56" t="str">
        <f>IF(A25="~","~","")</f>
        <v/>
      </c>
      <c r="B26" s="57" t="s">
        <v>298</v>
      </c>
      <c r="C26" s="38"/>
      <c r="D26" s="53">
        <f>SUM(E26:P26)</f>
        <v>1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1</v>
      </c>
      <c r="O26" s="53">
        <v>0</v>
      </c>
      <c r="P26" s="53">
        <v>0</v>
      </c>
    </row>
    <row r="27" spans="1:16" x14ac:dyDescent="0.25">
      <c r="A27" s="58" t="str">
        <f>IF(A26="~","~","")</f>
        <v/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32" t="s">
        <v>139</v>
      </c>
      <c r="B28" s="32" t="s">
        <v>140</v>
      </c>
      <c r="C28" s="53" t="s">
        <v>105</v>
      </c>
      <c r="D28" s="54"/>
      <c r="E28" s="55">
        <f t="shared" ref="E28:P28" si="9">IF($D29=0,0,E29/$D29)</f>
        <v>0</v>
      </c>
      <c r="F28" s="55">
        <f t="shared" si="9"/>
        <v>0</v>
      </c>
      <c r="G28" s="55">
        <f t="shared" si="9"/>
        <v>0</v>
      </c>
      <c r="H28" s="55">
        <f t="shared" si="9"/>
        <v>0</v>
      </c>
      <c r="I28" s="55">
        <f t="shared" si="9"/>
        <v>0</v>
      </c>
      <c r="J28" s="55">
        <f t="shared" si="9"/>
        <v>0</v>
      </c>
      <c r="K28" s="55">
        <f t="shared" si="9"/>
        <v>0</v>
      </c>
      <c r="L28" s="55">
        <f t="shared" si="9"/>
        <v>0</v>
      </c>
      <c r="M28" s="55">
        <f t="shared" si="9"/>
        <v>0</v>
      </c>
      <c r="N28" s="55">
        <f t="shared" si="9"/>
        <v>0</v>
      </c>
      <c r="O28" s="55">
        <f t="shared" si="9"/>
        <v>0</v>
      </c>
      <c r="P28" s="55">
        <f t="shared" si="9"/>
        <v>1</v>
      </c>
    </row>
    <row r="29" spans="1:16" x14ac:dyDescent="0.25">
      <c r="A29" s="56" t="str">
        <f>IF(A28="~","~","")</f>
        <v/>
      </c>
      <c r="B29" s="57" t="s">
        <v>298</v>
      </c>
      <c r="C29" s="38"/>
      <c r="D29" s="53">
        <f>SUM(E29:P29)</f>
        <v>1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1</v>
      </c>
    </row>
    <row r="30" spans="1:16" x14ac:dyDescent="0.25">
      <c r="A30" s="58" t="str">
        <f>IF(A29="~","~","")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5">
      <c r="A31" s="32" t="s">
        <v>141</v>
      </c>
      <c r="B31" s="32" t="s">
        <v>35</v>
      </c>
      <c r="C31" s="53" t="s">
        <v>105</v>
      </c>
      <c r="D31" s="54"/>
      <c r="E31" s="55">
        <f t="shared" ref="E31:P31" si="10">IF($D32=0,0,E32/$D32)</f>
        <v>0.893896279793293</v>
      </c>
      <c r="F31" s="55">
        <f t="shared" si="10"/>
        <v>7.2180048419793794E-2</v>
      </c>
      <c r="G31" s="55">
        <f t="shared" si="10"/>
        <v>2.4703141651805479E-2</v>
      </c>
      <c r="H31" s="55">
        <f t="shared" si="10"/>
        <v>6.5614628541933694E-3</v>
      </c>
      <c r="I31" s="55">
        <f t="shared" si="10"/>
        <v>2.228861196584807E-3</v>
      </c>
      <c r="J31" s="55">
        <f t="shared" si="10"/>
        <v>0</v>
      </c>
      <c r="K31" s="55">
        <f t="shared" si="10"/>
        <v>0</v>
      </c>
      <c r="L31" s="55">
        <f t="shared" si="10"/>
        <v>0</v>
      </c>
      <c r="M31" s="55">
        <f t="shared" si="10"/>
        <v>0</v>
      </c>
      <c r="N31" s="55">
        <f t="shared" si="10"/>
        <v>0</v>
      </c>
      <c r="O31" s="55">
        <f t="shared" si="10"/>
        <v>4.3020608432964432E-4</v>
      </c>
      <c r="P31" s="55">
        <f t="shared" si="10"/>
        <v>0</v>
      </c>
    </row>
    <row r="32" spans="1:16" x14ac:dyDescent="0.25">
      <c r="A32" s="56" t="str">
        <f>IF(A31="~","~","")</f>
        <v/>
      </c>
      <c r="B32" s="57" t="s">
        <v>298</v>
      </c>
      <c r="C32" s="38"/>
      <c r="D32" s="53">
        <f>SUM(E32:P32)</f>
        <v>-34015464.989999995</v>
      </c>
      <c r="E32" s="53">
        <f>+'Customer Deposits (235)'!B11</f>
        <v>-30406297.609999999</v>
      </c>
      <c r="F32" s="53">
        <f>+'Customer Deposits (235)'!B12</f>
        <v>-2455237.91</v>
      </c>
      <c r="G32" s="53">
        <f>+'Customer Deposits (235)'!B13+'Customer Deposits (235)'!B15</f>
        <v>-840288.84999999986</v>
      </c>
      <c r="H32" s="53">
        <f>+'Customer Deposits (235)'!B14</f>
        <v>-223191.21</v>
      </c>
      <c r="I32" s="53">
        <f>+'Customer Deposits (235)'!B16</f>
        <v>-75815.75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f>+'Customer Deposits (235)'!B17</f>
        <v>-14633.660000000002</v>
      </c>
      <c r="P32" s="53">
        <v>0</v>
      </c>
    </row>
    <row r="33" spans="1:16" x14ac:dyDescent="0.25">
      <c r="A33" s="58" t="str">
        <f>IF(A32="~","~","")</f>
        <v/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49" t="s">
        <v>142</v>
      </c>
      <c r="B34" s="32" t="s">
        <v>10</v>
      </c>
      <c r="C34" s="53" t="s">
        <v>105</v>
      </c>
      <c r="D34" s="54"/>
      <c r="E34" s="55">
        <f t="shared" ref="E34:P34" si="11">IF($D35=0,0,E35/$D35)</f>
        <v>0.4286586223232956</v>
      </c>
      <c r="F34" s="55">
        <f t="shared" si="11"/>
        <v>0.53194365289525514</v>
      </c>
      <c r="G34" s="55">
        <f t="shared" si="11"/>
        <v>3.5714304365506537E-2</v>
      </c>
      <c r="H34" s="55">
        <f t="shared" si="11"/>
        <v>3.6834204159427362E-3</v>
      </c>
      <c r="I34" s="55">
        <f t="shared" si="11"/>
        <v>0</v>
      </c>
      <c r="J34" s="55">
        <f t="shared" si="11"/>
        <v>0</v>
      </c>
      <c r="K34" s="55">
        <f t="shared" si="11"/>
        <v>0</v>
      </c>
      <c r="L34" s="55">
        <f t="shared" si="11"/>
        <v>0</v>
      </c>
      <c r="M34" s="55">
        <f t="shared" si="11"/>
        <v>0</v>
      </c>
      <c r="N34" s="55">
        <f t="shared" si="11"/>
        <v>0</v>
      </c>
      <c r="O34" s="55">
        <f t="shared" si="11"/>
        <v>0</v>
      </c>
      <c r="P34" s="55">
        <f t="shared" si="11"/>
        <v>0</v>
      </c>
    </row>
    <row r="35" spans="1:16" x14ac:dyDescent="0.25">
      <c r="A35" s="56" t="str">
        <f>IF(A34="~","~","")</f>
        <v/>
      </c>
      <c r="B35" s="57" t="s">
        <v>298</v>
      </c>
      <c r="C35" s="38"/>
      <c r="D35" s="53">
        <f>SUM(E35:P35)</f>
        <v>-77716905.469999999</v>
      </c>
      <c r="E35" s="53">
        <f>+'Customer Advances (252)'!C16</f>
        <v>-33314021.629999995</v>
      </c>
      <c r="F35" s="53">
        <f>+'Customer Advances (252)'!C17</f>
        <v>-41341014.587427035</v>
      </c>
      <c r="G35" s="53">
        <f>+'Customer Advances (252)'!C18</f>
        <v>-2775605.2163008796</v>
      </c>
      <c r="H35" s="53">
        <f>+'Customer Advances (252)'!C19</f>
        <v>-286264.0362720897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</row>
    <row r="36" spans="1:16" x14ac:dyDescent="0.25">
      <c r="A36" s="58" t="str">
        <f>IF(A35="~","~","")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2" t="s">
        <v>143</v>
      </c>
      <c r="B37" s="32" t="s">
        <v>144</v>
      </c>
      <c r="C37" s="53" t="s">
        <v>105</v>
      </c>
      <c r="D37" s="54"/>
      <c r="E37" s="55">
        <f t="shared" ref="E37:P37" si="12">IF($D38=0,0,E38/$D38)</f>
        <v>0</v>
      </c>
      <c r="F37" s="55">
        <f t="shared" si="12"/>
        <v>0</v>
      </c>
      <c r="G37" s="55">
        <f t="shared" si="12"/>
        <v>0</v>
      </c>
      <c r="H37" s="55">
        <f t="shared" si="12"/>
        <v>0</v>
      </c>
      <c r="I37" s="55">
        <f t="shared" si="12"/>
        <v>0.35908484956782455</v>
      </c>
      <c r="J37" s="55">
        <f t="shared" si="12"/>
        <v>0</v>
      </c>
      <c r="K37" s="55">
        <f t="shared" si="12"/>
        <v>2.0579680622188106E-2</v>
      </c>
      <c r="L37" s="55">
        <f t="shared" si="12"/>
        <v>0.61188698089763194</v>
      </c>
      <c r="M37" s="55">
        <f t="shared" si="12"/>
        <v>0</v>
      </c>
      <c r="N37" s="55">
        <f t="shared" si="12"/>
        <v>0</v>
      </c>
      <c r="O37" s="55">
        <f t="shared" si="12"/>
        <v>0</v>
      </c>
      <c r="P37" s="55">
        <f t="shared" si="12"/>
        <v>8.4484889123555215E-3</v>
      </c>
    </row>
    <row r="38" spans="1:16" x14ac:dyDescent="0.25">
      <c r="A38" s="56" t="str">
        <f>IF(A37="~","~","")</f>
        <v/>
      </c>
      <c r="B38" s="57" t="s">
        <v>298</v>
      </c>
      <c r="C38" s="38"/>
      <c r="D38" s="53">
        <f>SUM(E38:P38)</f>
        <v>2295936.0190000972</v>
      </c>
      <c r="E38" s="53">
        <f>+E130</f>
        <v>0</v>
      </c>
      <c r="F38" s="53">
        <f t="shared" ref="F38:P38" si="13">+F130</f>
        <v>0</v>
      </c>
      <c r="G38" s="53">
        <f t="shared" si="13"/>
        <v>0</v>
      </c>
      <c r="H38" s="53">
        <f t="shared" si="13"/>
        <v>0</v>
      </c>
      <c r="I38" s="53">
        <f t="shared" si="13"/>
        <v>824435.83999999985</v>
      </c>
      <c r="J38" s="53">
        <f t="shared" si="13"/>
        <v>0</v>
      </c>
      <c r="K38" s="53">
        <f t="shared" si="13"/>
        <v>47249.630000000005</v>
      </c>
      <c r="L38" s="53">
        <f t="shared" si="13"/>
        <v>1404853.3590000975</v>
      </c>
      <c r="M38" s="53">
        <f t="shared" si="13"/>
        <v>0</v>
      </c>
      <c r="N38" s="53">
        <f t="shared" si="13"/>
        <v>0</v>
      </c>
      <c r="O38" s="53">
        <f t="shared" si="13"/>
        <v>0</v>
      </c>
      <c r="P38" s="53">
        <f t="shared" si="13"/>
        <v>19397.189999999999</v>
      </c>
    </row>
    <row r="39" spans="1:16" x14ac:dyDescent="0.25">
      <c r="A39" s="58" t="str">
        <f>IF(A38="~","~","")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25">
      <c r="A40" s="32" t="s">
        <v>145</v>
      </c>
      <c r="B40" s="32" t="s">
        <v>146</v>
      </c>
      <c r="C40" s="53" t="s">
        <v>105</v>
      </c>
      <c r="D40" s="54"/>
      <c r="E40" s="55">
        <f t="shared" ref="E40:P40" si="14">IF($D41=0,0,E41/$D41)</f>
        <v>0</v>
      </c>
      <c r="F40" s="55">
        <f t="shared" si="14"/>
        <v>0</v>
      </c>
      <c r="G40" s="55">
        <f t="shared" si="14"/>
        <v>0</v>
      </c>
      <c r="H40" s="55">
        <f t="shared" si="14"/>
        <v>0</v>
      </c>
      <c r="I40" s="55">
        <f t="shared" si="14"/>
        <v>0</v>
      </c>
      <c r="J40" s="55">
        <f t="shared" si="14"/>
        <v>0</v>
      </c>
      <c r="K40" s="55">
        <f t="shared" si="14"/>
        <v>0</v>
      </c>
      <c r="L40" s="55">
        <f t="shared" si="14"/>
        <v>0</v>
      </c>
      <c r="M40" s="55">
        <f t="shared" si="14"/>
        <v>0</v>
      </c>
      <c r="N40" s="55">
        <f t="shared" si="14"/>
        <v>0</v>
      </c>
      <c r="O40" s="55">
        <f t="shared" si="14"/>
        <v>1</v>
      </c>
      <c r="P40" s="55">
        <f t="shared" si="14"/>
        <v>0</v>
      </c>
    </row>
    <row r="41" spans="1:16" x14ac:dyDescent="0.25">
      <c r="A41" s="56" t="str">
        <f>IF(A40="~","~","")</f>
        <v/>
      </c>
      <c r="B41" s="57" t="s">
        <v>298</v>
      </c>
      <c r="C41" s="38"/>
      <c r="D41" s="53">
        <f>SUM(E41:P41)</f>
        <v>1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1</v>
      </c>
      <c r="P41" s="53">
        <v>0</v>
      </c>
    </row>
    <row r="42" spans="1:16" x14ac:dyDescent="0.25">
      <c r="A42" s="58" t="str">
        <f>IF(A41="~","~","")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25">
      <c r="A43" s="32" t="s">
        <v>147</v>
      </c>
      <c r="B43" s="32" t="s">
        <v>148</v>
      </c>
      <c r="C43" s="53" t="s">
        <v>105</v>
      </c>
      <c r="D43" s="54"/>
      <c r="E43" s="55">
        <f t="shared" ref="E43:P43" si="15">IF($D44=0,0,E44/$D44)</f>
        <v>0.78186295497184166</v>
      </c>
      <c r="F43" s="55">
        <f t="shared" si="15"/>
        <v>0.11470982668073583</v>
      </c>
      <c r="G43" s="55">
        <f t="shared" si="15"/>
        <v>4.2290701416988451E-2</v>
      </c>
      <c r="H43" s="55">
        <f t="shared" si="15"/>
        <v>1.1147434345394995E-2</v>
      </c>
      <c r="I43" s="55">
        <f t="shared" si="15"/>
        <v>9.3693768270235334E-3</v>
      </c>
      <c r="J43" s="55">
        <f t="shared" si="15"/>
        <v>0</v>
      </c>
      <c r="K43" s="55">
        <f t="shared" si="15"/>
        <v>6.6531897656732655E-5</v>
      </c>
      <c r="L43" s="55">
        <f t="shared" si="15"/>
        <v>0</v>
      </c>
      <c r="M43" s="55">
        <f t="shared" si="15"/>
        <v>1.2871713416445587E-3</v>
      </c>
      <c r="N43" s="55">
        <f t="shared" si="15"/>
        <v>9.261773785028606E-4</v>
      </c>
      <c r="O43" s="55">
        <f t="shared" si="15"/>
        <v>3.8323346339908901E-2</v>
      </c>
      <c r="P43" s="55">
        <f t="shared" si="15"/>
        <v>1.6478800302392702E-5</v>
      </c>
    </row>
    <row r="44" spans="1:16" x14ac:dyDescent="0.25">
      <c r="A44" s="56" t="str">
        <f>IF(A43="~","~","")</f>
        <v/>
      </c>
      <c r="B44" s="57" t="s">
        <v>298</v>
      </c>
      <c r="C44" s="38"/>
      <c r="D44" s="53">
        <f>SUM(E44:P44)</f>
        <v>2383668.6699999995</v>
      </c>
      <c r="E44" s="53">
        <f>+'Other Op Rev (450-451)'!C7</f>
        <v>1863702.2299999993</v>
      </c>
      <c r="F44" s="53">
        <f>+'Other Op Rev (450-451)'!D7</f>
        <v>273430.22000000003</v>
      </c>
      <c r="G44" s="53">
        <f>+'Other Op Rev (450-451)'!E7+'Other Op Rev (450-451)'!G7</f>
        <v>100807.01999999996</v>
      </c>
      <c r="H44" s="53">
        <f>+'Other Op Rev (450-451)'!F7</f>
        <v>26571.79</v>
      </c>
      <c r="I44" s="53">
        <f>+'Other Op Rev (450-451)'!H7</f>
        <v>22333.49</v>
      </c>
      <c r="J44" s="53">
        <v>0</v>
      </c>
      <c r="K44" s="53">
        <f>+'Other Op Rev (450-451)'!I7</f>
        <v>158.59</v>
      </c>
      <c r="L44" s="53">
        <v>0</v>
      </c>
      <c r="M44" s="53">
        <f>+'Other Op Rev (450-451)'!J7+'Other Op Rev (450-451)'!K7</f>
        <v>3068.19</v>
      </c>
      <c r="N44" s="53">
        <f>+'Other Op Rev (450-451)'!L7</f>
        <v>2207.6999999999998</v>
      </c>
      <c r="O44" s="53">
        <f>+'Other Op Rev (450-451)'!M7</f>
        <v>91350.16</v>
      </c>
      <c r="P44" s="53">
        <f>+'Other Op Rev (450-451)'!N7</f>
        <v>39.28</v>
      </c>
    </row>
    <row r="45" spans="1:16" x14ac:dyDescent="0.25">
      <c r="A45" s="5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5">
      <c r="A46" s="32" t="s">
        <v>149</v>
      </c>
      <c r="B46" s="32" t="s">
        <v>150</v>
      </c>
      <c r="C46" s="53" t="s">
        <v>105</v>
      </c>
      <c r="D46" s="54"/>
      <c r="E46" s="55">
        <f t="shared" ref="E46:P46" si="16">IF($D47=0,0,E47/$D47)</f>
        <v>0.94011627601407</v>
      </c>
      <c r="F46" s="55">
        <f t="shared" si="16"/>
        <v>5.8247017381308698E-2</v>
      </c>
      <c r="G46" s="55">
        <f t="shared" si="16"/>
        <v>1.2504370070590448E-3</v>
      </c>
      <c r="H46" s="55">
        <f t="shared" si="16"/>
        <v>8.5042634348523691E-5</v>
      </c>
      <c r="I46" s="55">
        <f t="shared" si="16"/>
        <v>0</v>
      </c>
      <c r="J46" s="55">
        <f t="shared" si="16"/>
        <v>0</v>
      </c>
      <c r="K46" s="55">
        <f t="shared" si="16"/>
        <v>0</v>
      </c>
      <c r="L46" s="55">
        <f t="shared" si="16"/>
        <v>0</v>
      </c>
      <c r="M46" s="55">
        <f t="shared" si="16"/>
        <v>0</v>
      </c>
      <c r="N46" s="55">
        <f t="shared" si="16"/>
        <v>0</v>
      </c>
      <c r="O46" s="55">
        <f t="shared" si="16"/>
        <v>3.0122696321364646E-4</v>
      </c>
      <c r="P46" s="55">
        <f t="shared" si="16"/>
        <v>0</v>
      </c>
    </row>
    <row r="47" spans="1:16" x14ac:dyDescent="0.25">
      <c r="A47" s="56" t="str">
        <f>IF(A46="~","~","")</f>
        <v/>
      </c>
      <c r="B47" s="57" t="s">
        <v>298</v>
      </c>
      <c r="C47" s="38"/>
      <c r="D47" s="53">
        <f>SUM(E47:P47)</f>
        <v>315841.58000000007</v>
      </c>
      <c r="E47" s="53">
        <f>+'Other Op Rev (450-451)'!C8</f>
        <v>296927.81000000006</v>
      </c>
      <c r="F47" s="53">
        <f>+'Other Op Rev (450-451)'!D8</f>
        <v>18396.830000000005</v>
      </c>
      <c r="G47" s="53">
        <f>+'Other Op Rev (450-451)'!E8+'Other Op Rev (450-451)'!G8</f>
        <v>394.94</v>
      </c>
      <c r="H47" s="53">
        <f>+'Other Op Rev (450-451)'!F8</f>
        <v>26.86</v>
      </c>
      <c r="I47" s="53">
        <f>+'Other Op Rev (450-451)'!H8</f>
        <v>0</v>
      </c>
      <c r="J47" s="53">
        <v>0</v>
      </c>
      <c r="K47" s="53">
        <f>+'Other Op Rev (450-451)'!I8</f>
        <v>0</v>
      </c>
      <c r="L47" s="53">
        <v>0</v>
      </c>
      <c r="M47" s="53">
        <f>+'Other Op Rev (450-451)'!J8+'Other Op Rev (450-451)'!J8</f>
        <v>0</v>
      </c>
      <c r="N47" s="53">
        <f>+'Other Op Rev (450-451)'!L8</f>
        <v>0</v>
      </c>
      <c r="O47" s="53">
        <f>+'Other Op Rev (450-451)'!M8</f>
        <v>95.14</v>
      </c>
      <c r="P47" s="53">
        <f>+'Other Op Rev (450-451)'!N8</f>
        <v>0</v>
      </c>
    </row>
    <row r="48" spans="1:16" x14ac:dyDescent="0.25">
      <c r="A48" s="5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32" t="s">
        <v>151</v>
      </c>
      <c r="B49" s="32" t="s">
        <v>152</v>
      </c>
      <c r="C49" s="53" t="s">
        <v>105</v>
      </c>
      <c r="D49" s="54"/>
      <c r="E49" s="55">
        <f t="shared" ref="E49:P49" si="17">IF($D50=0,0,E50/$D50)</f>
        <v>0.9767889548549169</v>
      </c>
      <c r="F49" s="55">
        <f t="shared" si="17"/>
        <v>2.2722889444232744E-2</v>
      </c>
      <c r="G49" s="55">
        <f t="shared" si="17"/>
        <v>4.8815570085043188E-4</v>
      </c>
      <c r="H49" s="55">
        <f t="shared" si="17"/>
        <v>0</v>
      </c>
      <c r="I49" s="55">
        <f t="shared" si="17"/>
        <v>0</v>
      </c>
      <c r="J49" s="55">
        <f t="shared" si="17"/>
        <v>0</v>
      </c>
      <c r="K49" s="55">
        <f t="shared" si="17"/>
        <v>0</v>
      </c>
      <c r="L49" s="55">
        <f t="shared" si="17"/>
        <v>0</v>
      </c>
      <c r="M49" s="55">
        <f t="shared" si="17"/>
        <v>0</v>
      </c>
      <c r="N49" s="55">
        <f t="shared" si="17"/>
        <v>0</v>
      </c>
      <c r="O49" s="55">
        <f t="shared" si="17"/>
        <v>0</v>
      </c>
      <c r="P49" s="55">
        <f t="shared" si="17"/>
        <v>0</v>
      </c>
    </row>
    <row r="50" spans="1:16" x14ac:dyDescent="0.25">
      <c r="A50" s="56" t="str">
        <f>IF(A49="~","~","")</f>
        <v/>
      </c>
      <c r="B50" s="57" t="s">
        <v>298</v>
      </c>
      <c r="C50" s="38"/>
      <c r="D50" s="53">
        <f>SUM(E50:P50)</f>
        <v>1550570.85</v>
      </c>
      <c r="E50" s="53">
        <f>+'Other Op Rev (450-451)'!C9</f>
        <v>1514580.4800000002</v>
      </c>
      <c r="F50" s="53">
        <f>+'Other Op Rev (450-451)'!D9</f>
        <v>35233.449999999997</v>
      </c>
      <c r="G50" s="53">
        <f>+'Other Op Rev (450-451)'!E9+'Other Op Rev (450-451)'!G9</f>
        <v>756.92</v>
      </c>
      <c r="H50" s="53">
        <f>+'Other Op Rev (450-451)'!F9</f>
        <v>0</v>
      </c>
      <c r="I50" s="53">
        <f>+'Other Op Rev (450-451)'!H9</f>
        <v>0</v>
      </c>
      <c r="J50" s="53">
        <v>0</v>
      </c>
      <c r="K50" s="53">
        <f>+'Other Op Rev (450-451)'!I9</f>
        <v>0</v>
      </c>
      <c r="L50" s="53">
        <v>0</v>
      </c>
      <c r="M50" s="53">
        <f>+'Other Op Rev (450-451)'!J9+'Other Op Rev (450-451)'!K9</f>
        <v>0</v>
      </c>
      <c r="N50" s="53">
        <f>+'Other Op Rev (450-451)'!L9</f>
        <v>0</v>
      </c>
      <c r="O50" s="53">
        <f>+'Other Op Rev (450-451)'!M9</f>
        <v>0</v>
      </c>
      <c r="P50" s="53">
        <f>+'Other Op Rev (450-451)'!N9</f>
        <v>0</v>
      </c>
    </row>
    <row r="51" spans="1:16" x14ac:dyDescent="0.25">
      <c r="A51" s="58" t="str">
        <f>IF(A50="~","~","")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5">
      <c r="A52" s="32" t="s">
        <v>153</v>
      </c>
      <c r="B52" s="32" t="s">
        <v>154</v>
      </c>
      <c r="C52" s="53" t="s">
        <v>105</v>
      </c>
      <c r="D52" s="54"/>
      <c r="E52" s="55">
        <f t="shared" ref="E52:P52" si="18">IF($D53=0,0,E53/$D53)</f>
        <v>0.91515009949966963</v>
      </c>
      <c r="F52" s="55">
        <f t="shared" si="18"/>
        <v>8.2103481906014422E-2</v>
      </c>
      <c r="G52" s="55">
        <f t="shared" si="18"/>
        <v>2.4823827627927226E-3</v>
      </c>
      <c r="H52" s="55">
        <f t="shared" si="18"/>
        <v>1.7960198329893611E-4</v>
      </c>
      <c r="I52" s="55">
        <f t="shared" si="18"/>
        <v>8.3427508831894302E-5</v>
      </c>
      <c r="J52" s="55">
        <f t="shared" si="18"/>
        <v>0</v>
      </c>
      <c r="K52" s="55">
        <f t="shared" si="18"/>
        <v>0</v>
      </c>
      <c r="L52" s="55">
        <f t="shared" si="18"/>
        <v>0</v>
      </c>
      <c r="M52" s="55">
        <f t="shared" si="18"/>
        <v>1.0063393922484885E-6</v>
      </c>
      <c r="N52" s="55">
        <f t="shared" si="18"/>
        <v>0</v>
      </c>
      <c r="O52" s="55">
        <f t="shared" si="18"/>
        <v>0</v>
      </c>
      <c r="P52" s="55">
        <f t="shared" si="18"/>
        <v>0</v>
      </c>
    </row>
    <row r="53" spans="1:16" x14ac:dyDescent="0.25">
      <c r="A53" s="56" t="str">
        <f>IF(A52="~","~","")</f>
        <v/>
      </c>
      <c r="B53" s="57" t="s">
        <v>298</v>
      </c>
      <c r="C53" s="38"/>
      <c r="D53" s="53">
        <f>SUM(E53:P53)</f>
        <v>1520361.83</v>
      </c>
      <c r="E53" s="53">
        <f>+'Other Op Rev (450-451)'!C10</f>
        <v>1391359.2799999998</v>
      </c>
      <c r="F53" s="53">
        <f>+'Other Op Rev (450-451)'!D10</f>
        <v>124826.99999999997</v>
      </c>
      <c r="G53" s="53">
        <f>+'Other Op Rev (450-451)'!E10+'Other Op Rev (450-451)'!G10</f>
        <v>3774.12</v>
      </c>
      <c r="H53" s="53">
        <f>+'Other Op Rev (450-451)'!F10</f>
        <v>273.05999999999995</v>
      </c>
      <c r="I53" s="53">
        <f>+'Other Op Rev (450-451)'!H10</f>
        <v>126.83999999999999</v>
      </c>
      <c r="J53" s="53">
        <v>0</v>
      </c>
      <c r="K53" s="53">
        <f>+'Other Op Rev (450-451)'!I10</f>
        <v>0</v>
      </c>
      <c r="L53" s="53">
        <v>0</v>
      </c>
      <c r="M53" s="53">
        <f>+'Other Op Rev (450-451)'!K10+'Other Op Rev (450-451)'!L10</f>
        <v>1.53</v>
      </c>
      <c r="N53" s="53">
        <f>+'Other Op Rev (450-451)'!L10</f>
        <v>0</v>
      </c>
      <c r="O53" s="53">
        <f>+'Other Op Rev (450-451)'!M10</f>
        <v>0</v>
      </c>
      <c r="P53" s="53">
        <f>+'Other Op Rev (450-451)'!N10</f>
        <v>0</v>
      </c>
    </row>
    <row r="54" spans="1:16" x14ac:dyDescent="0.25">
      <c r="A54" s="58" t="str">
        <f>IF(A53="~","~","")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A55" s="32" t="s">
        <v>155</v>
      </c>
      <c r="B55" s="32" t="s">
        <v>156</v>
      </c>
      <c r="C55" s="53" t="s">
        <v>105</v>
      </c>
      <c r="D55" s="54"/>
      <c r="E55" s="55">
        <f t="shared" ref="E55:P55" si="19">IF($D56=0,0,E56/$D56)</f>
        <v>0.656151494115645</v>
      </c>
      <c r="F55" s="55">
        <f t="shared" si="19"/>
        <v>0.24904718558474845</v>
      </c>
      <c r="G55" s="55">
        <f t="shared" si="19"/>
        <v>9.2392948498051158E-2</v>
      </c>
      <c r="H55" s="55">
        <f t="shared" si="19"/>
        <v>0</v>
      </c>
      <c r="I55" s="55">
        <f t="shared" si="19"/>
        <v>0</v>
      </c>
      <c r="J55" s="55">
        <f t="shared" si="19"/>
        <v>0</v>
      </c>
      <c r="K55" s="55">
        <f t="shared" si="19"/>
        <v>0</v>
      </c>
      <c r="L55" s="55">
        <f t="shared" si="19"/>
        <v>0</v>
      </c>
      <c r="M55" s="55">
        <f t="shared" si="19"/>
        <v>0</v>
      </c>
      <c r="N55" s="55">
        <f t="shared" si="19"/>
        <v>0</v>
      </c>
      <c r="O55" s="55">
        <f t="shared" si="19"/>
        <v>2.4083718015552955E-3</v>
      </c>
      <c r="P55" s="55">
        <f t="shared" si="19"/>
        <v>0</v>
      </c>
    </row>
    <row r="56" spans="1:16" x14ac:dyDescent="0.25">
      <c r="A56" s="56" t="str">
        <f>IF(A55="~","~","")</f>
        <v/>
      </c>
      <c r="B56" s="57" t="s">
        <v>298</v>
      </c>
      <c r="C56" s="38"/>
      <c r="D56" s="53">
        <f>SUM(E56:P56)</f>
        <v>29617.52</v>
      </c>
      <c r="E56" s="53">
        <f>+'Other Op Rev (450-451)'!C11</f>
        <v>19433.579999999998</v>
      </c>
      <c r="F56" s="53">
        <f>+'Other Op Rev (450-451)'!D11</f>
        <v>7376.1599999999989</v>
      </c>
      <c r="G56" s="53">
        <f>+'Other Op Rev (450-451)'!E11+'Other Op Rev (450-451)'!G11</f>
        <v>2736.4500000000003</v>
      </c>
      <c r="H56" s="53">
        <f>+'Other Op Rev (450-451)'!F11</f>
        <v>0</v>
      </c>
      <c r="I56" s="53">
        <f>+'Other Op Rev (450-451)'!H11</f>
        <v>0</v>
      </c>
      <c r="J56" s="53">
        <v>0</v>
      </c>
      <c r="K56" s="53">
        <f>+'Other Op Rev (450-451)'!I11</f>
        <v>0</v>
      </c>
      <c r="L56" s="53">
        <f>+'Other Op Rev (450-451)'!I11</f>
        <v>0</v>
      </c>
      <c r="M56" s="53">
        <f>+'Other Op Rev (450-451)'!K11+'Other Op Rev (450-451)'!J11</f>
        <v>0</v>
      </c>
      <c r="N56" s="53">
        <f>+'Other Op Rev (450-451)'!L11</f>
        <v>0</v>
      </c>
      <c r="O56" s="53">
        <f>+'Other Op Rev (450-451)'!M11</f>
        <v>71.33</v>
      </c>
      <c r="P56" s="53">
        <f>+'Other Op Rev (450-451)'!N11</f>
        <v>0</v>
      </c>
    </row>
    <row r="57" spans="1:16" x14ac:dyDescent="0.25">
      <c r="A57" s="58" t="str">
        <f>IF(A56="~","~","")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5">
      <c r="A58" s="32" t="s">
        <v>157</v>
      </c>
      <c r="B58" s="32" t="s">
        <v>158</v>
      </c>
      <c r="C58" s="53" t="s">
        <v>105</v>
      </c>
      <c r="D58" s="54"/>
      <c r="E58" s="55">
        <f t="shared" ref="E58:P58" si="20">IF($D59=0,0,E59/$D59)</f>
        <v>0.8853825160025196</v>
      </c>
      <c r="F58" s="55">
        <f t="shared" si="20"/>
        <v>6.3687275902134882E-2</v>
      </c>
      <c r="G58" s="55">
        <f t="shared" si="20"/>
        <v>1.0297212766650366E-2</v>
      </c>
      <c r="H58" s="55">
        <f t="shared" si="20"/>
        <v>1.6076706083042191E-2</v>
      </c>
      <c r="I58" s="55">
        <f t="shared" si="20"/>
        <v>2.2008554317511406E-2</v>
      </c>
      <c r="J58" s="55">
        <f t="shared" si="20"/>
        <v>0</v>
      </c>
      <c r="K58" s="55">
        <f t="shared" si="20"/>
        <v>0</v>
      </c>
      <c r="L58" s="55">
        <f t="shared" si="20"/>
        <v>0</v>
      </c>
      <c r="M58" s="55">
        <f t="shared" si="20"/>
        <v>0</v>
      </c>
      <c r="N58" s="55">
        <f t="shared" si="20"/>
        <v>0</v>
      </c>
      <c r="O58" s="55">
        <f t="shared" si="20"/>
        <v>2.5477349281414732E-3</v>
      </c>
      <c r="P58" s="55">
        <f t="shared" si="20"/>
        <v>0</v>
      </c>
    </row>
    <row r="59" spans="1:16" x14ac:dyDescent="0.25">
      <c r="A59" s="56" t="str">
        <f>IF(A58="~","~","")</f>
        <v/>
      </c>
      <c r="B59" s="57" t="s">
        <v>298</v>
      </c>
      <c r="C59" s="38"/>
      <c r="D59" s="53">
        <f>SUM(E59:P59)</f>
        <v>19454508.18</v>
      </c>
      <c r="E59" s="53">
        <f>+'Uncollectibles (904)'!B9</f>
        <v>17224681.399999999</v>
      </c>
      <c r="F59" s="53">
        <f>+'Uncollectibles (904)'!B10</f>
        <v>1239004.6299999999</v>
      </c>
      <c r="G59" s="53">
        <f>+'Uncollectibles (904)'!B11+'Uncollectibles (904)'!B13</f>
        <v>200327.21</v>
      </c>
      <c r="H59" s="53">
        <f>+'Uncollectibles (904)'!B12</f>
        <v>312764.41000000003</v>
      </c>
      <c r="I59" s="53">
        <f>+'Uncollectibles (904)'!B14</f>
        <v>428165.6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f>+'Uncollectibles (904)'!B15</f>
        <v>49564.93</v>
      </c>
      <c r="P59" s="53">
        <v>0</v>
      </c>
    </row>
    <row r="60" spans="1:16" x14ac:dyDescent="0.25">
      <c r="A60" s="58" t="str">
        <f>IF(A59="~","~","")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25">
      <c r="A61" s="32" t="s">
        <v>159</v>
      </c>
      <c r="B61" s="32" t="s">
        <v>160</v>
      </c>
      <c r="C61" s="53" t="s">
        <v>105</v>
      </c>
      <c r="D61" s="54"/>
      <c r="E61" s="55">
        <f t="shared" ref="E61:P61" si="21">IF($D62=0,0,E62/$D62)</f>
        <v>0.64922596597539906</v>
      </c>
      <c r="F61" s="55">
        <f t="shared" si="21"/>
        <v>0.18222827816849618</v>
      </c>
      <c r="G61" s="55">
        <f t="shared" si="21"/>
        <v>5.3855034276632484E-2</v>
      </c>
      <c r="H61" s="55">
        <f t="shared" si="21"/>
        <v>6.0528439085588354E-3</v>
      </c>
      <c r="I61" s="55">
        <f t="shared" si="21"/>
        <v>7.2499760370043104E-2</v>
      </c>
      <c r="J61" s="55">
        <f t="shared" si="21"/>
        <v>2.3506706645110047E-4</v>
      </c>
      <c r="K61" s="55">
        <f t="shared" si="21"/>
        <v>2.3430594920694079E-2</v>
      </c>
      <c r="L61" s="55">
        <f t="shared" si="21"/>
        <v>4.7388718767973573E-3</v>
      </c>
      <c r="M61" s="55">
        <f t="shared" si="21"/>
        <v>2.9428281467111998E-3</v>
      </c>
      <c r="N61" s="55">
        <f t="shared" si="21"/>
        <v>4.7379279512920367E-3</v>
      </c>
      <c r="O61" s="55">
        <f t="shared" si="21"/>
        <v>0</v>
      </c>
      <c r="P61" s="55">
        <f t="shared" si="21"/>
        <v>5.2827338924457138E-5</v>
      </c>
    </row>
    <row r="62" spans="1:16" x14ac:dyDescent="0.25">
      <c r="A62" s="56" t="str">
        <f>IF(A61="~","~","")</f>
        <v/>
      </c>
      <c r="B62" s="57" t="s">
        <v>298</v>
      </c>
      <c r="C62" s="38"/>
      <c r="D62" s="53">
        <f>SUM(E62:P62)</f>
        <v>176621934.4411512</v>
      </c>
      <c r="E62" s="53">
        <f>+'Meter Costs (370)'!K7</f>
        <v>114667546</v>
      </c>
      <c r="F62" s="53">
        <f>+'Meter Costs (370)'!K8</f>
        <v>32185511</v>
      </c>
      <c r="G62" s="53">
        <f>+'Meter Costs (370)'!K9+'Meter Costs (370)'!K11</f>
        <v>9511980.333333334</v>
      </c>
      <c r="H62" s="53">
        <f>+'Meter Costs (370)'!K10</f>
        <v>1069065</v>
      </c>
      <c r="I62" s="53">
        <f>+'Meter Costs (370)'!K12</f>
        <v>12805047.923076924</v>
      </c>
      <c r="J62" s="53">
        <f>+'Meter Costs (370)'!K13</f>
        <v>41518</v>
      </c>
      <c r="K62" s="53">
        <f>+'Meter Costs (370)'!K14</f>
        <v>4138357</v>
      </c>
      <c r="L62" s="53">
        <f>+'Meter Costs (370)'!K25</f>
        <v>836988.717948718</v>
      </c>
      <c r="M62" s="53">
        <f>+'Meter Costs (370)'!K15+'Meter Costs (370)'!K16</f>
        <v>519768</v>
      </c>
      <c r="N62" s="53">
        <f>+'Meter Costs (370)'!K20+'Meter Costs (370)'!K21+'Meter Costs (370)'!K22</f>
        <v>836822</v>
      </c>
      <c r="O62" s="53">
        <v>0</v>
      </c>
      <c r="P62" s="53">
        <f>+'Meter Costs (370)'!K26</f>
        <v>9330.4667922159442</v>
      </c>
    </row>
    <row r="63" spans="1:16" x14ac:dyDescent="0.25">
      <c r="A63" s="58" t="str">
        <f>IF(A62="~","~","")</f>
        <v/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25">
      <c r="A64" s="32" t="s">
        <v>161</v>
      </c>
      <c r="B64" s="32" t="s">
        <v>162</v>
      </c>
      <c r="C64" s="53" t="s">
        <v>105</v>
      </c>
      <c r="D64" s="54"/>
      <c r="E64" s="55">
        <f t="shared" ref="E64:P64" si="22">IF($D65=0,0,E65/$D65)</f>
        <v>0.86298384468324196</v>
      </c>
      <c r="F64" s="55">
        <f t="shared" si="22"/>
        <v>0.13185482105590879</v>
      </c>
      <c r="G64" s="55">
        <f t="shared" si="22"/>
        <v>5.051880895279884E-3</v>
      </c>
      <c r="H64" s="55">
        <f t="shared" si="22"/>
        <v>1.094533655693764E-4</v>
      </c>
      <c r="I64" s="55">
        <f t="shared" si="22"/>
        <v>0</v>
      </c>
      <c r="J64" s="55">
        <f t="shared" si="22"/>
        <v>0</v>
      </c>
      <c r="K64" s="55">
        <f t="shared" si="22"/>
        <v>0</v>
      </c>
      <c r="L64" s="55">
        <f t="shared" si="22"/>
        <v>0</v>
      </c>
      <c r="M64" s="55">
        <f t="shared" si="22"/>
        <v>0</v>
      </c>
      <c r="N64" s="55">
        <f t="shared" si="22"/>
        <v>0</v>
      </c>
      <c r="O64" s="55">
        <f t="shared" si="22"/>
        <v>0</v>
      </c>
      <c r="P64" s="55">
        <f t="shared" si="22"/>
        <v>0</v>
      </c>
    </row>
    <row r="65" spans="1:16" x14ac:dyDescent="0.25">
      <c r="A65" s="56" t="str">
        <f>IF(A64="~","~","")</f>
        <v/>
      </c>
      <c r="B65" s="57" t="s">
        <v>298</v>
      </c>
      <c r="C65" s="38"/>
      <c r="D65" s="53">
        <f>SUM(E65:P65)</f>
        <v>411134</v>
      </c>
      <c r="E65" s="53">
        <f>+'Distribution Service (369)'!B11</f>
        <v>354802</v>
      </c>
      <c r="F65" s="53">
        <f>+'Distribution Service (369)'!B12</f>
        <v>54210</v>
      </c>
      <c r="G65" s="53">
        <f>+'Distribution Service (369)'!B13+'Distribution Service (369)'!B15</f>
        <v>2077</v>
      </c>
      <c r="H65" s="53">
        <f>+'Distribution Service (369)'!B14</f>
        <v>45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</row>
    <row r="66" spans="1:16" x14ac:dyDescent="0.25">
      <c r="A66" s="58" t="str">
        <f>IF(A91="~","~","")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25">
      <c r="A67" s="32" t="s">
        <v>163</v>
      </c>
      <c r="B67" s="32" t="s">
        <v>164</v>
      </c>
      <c r="C67" s="53" t="s">
        <v>105</v>
      </c>
      <c r="D67" s="54"/>
      <c r="E67" s="55">
        <f t="shared" ref="E67:P67" si="23">IF($D68=0,0,E68/$D68)</f>
        <v>0</v>
      </c>
      <c r="F67" s="55">
        <f t="shared" si="23"/>
        <v>0</v>
      </c>
      <c r="G67" s="55">
        <f t="shared" si="23"/>
        <v>0</v>
      </c>
      <c r="H67" s="55">
        <f t="shared" si="23"/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3"/>
        <v>0</v>
      </c>
      <c r="N67" s="55">
        <f t="shared" si="23"/>
        <v>0</v>
      </c>
      <c r="O67" s="55">
        <f t="shared" si="23"/>
        <v>0</v>
      </c>
      <c r="P67" s="55">
        <f t="shared" si="23"/>
        <v>0</v>
      </c>
    </row>
    <row r="68" spans="1:16" x14ac:dyDescent="0.25">
      <c r="A68" s="56" t="str">
        <f>IF(A67="~","~","")</f>
        <v/>
      </c>
      <c r="B68" s="57" t="s">
        <v>298</v>
      </c>
      <c r="C68" s="38"/>
      <c r="D68" s="53">
        <f>SUM(E68:P68)</f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</row>
    <row r="69" spans="1:16" x14ac:dyDescent="0.25">
      <c r="A69" s="58" t="str">
        <f>IF(A145="~","~","")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25">
      <c r="A70" s="32" t="s">
        <v>165</v>
      </c>
      <c r="B70" s="32" t="s">
        <v>114</v>
      </c>
      <c r="C70" s="53" t="s">
        <v>105</v>
      </c>
      <c r="D70" s="54"/>
      <c r="E70" s="55">
        <f t="shared" ref="E70:P70" si="24">IF($D71=0,0,E71/$D71)</f>
        <v>0.55377826393330232</v>
      </c>
      <c r="F70" s="55">
        <f t="shared" si="24"/>
        <v>0.13189287770633396</v>
      </c>
      <c r="G70" s="55">
        <f t="shared" si="24"/>
        <v>0.1355547992265492</v>
      </c>
      <c r="H70" s="55">
        <f t="shared" si="24"/>
        <v>8.0260714966232771E-2</v>
      </c>
      <c r="I70" s="55">
        <f t="shared" si="24"/>
        <v>5.6712610860473911E-2</v>
      </c>
      <c r="J70" s="55">
        <f t="shared" si="24"/>
        <v>1.3420815236036984E-4</v>
      </c>
      <c r="K70" s="55">
        <f t="shared" si="24"/>
        <v>5.3515940162286941E-3</v>
      </c>
      <c r="L70" s="55">
        <f t="shared" si="24"/>
        <v>2.7508980702474861E-3</v>
      </c>
      <c r="M70" s="55">
        <f t="shared" si="24"/>
        <v>2.0094239422963341E-2</v>
      </c>
      <c r="N70" s="55">
        <f t="shared" si="24"/>
        <v>5.064769120549751E-3</v>
      </c>
      <c r="O70" s="55">
        <f t="shared" si="24"/>
        <v>8.2410988314859396E-3</v>
      </c>
      <c r="P70" s="55">
        <f t="shared" si="24"/>
        <v>1.6392569327233156E-4</v>
      </c>
    </row>
    <row r="71" spans="1:16" x14ac:dyDescent="0.25">
      <c r="A71" s="56" t="str">
        <f>IF(A70="~","~","")</f>
        <v/>
      </c>
      <c r="B71" s="57" t="s">
        <v>298</v>
      </c>
      <c r="C71" s="38"/>
      <c r="D71" s="53">
        <f>SUM(E71:P71)</f>
        <v>1997002382.391351</v>
      </c>
      <c r="E71" s="53">
        <f>+'Proforma Revenue'!J9</f>
        <v>1105896512.391351</v>
      </c>
      <c r="F71" s="53">
        <f>+'Proforma Revenue'!J13</f>
        <v>263390391</v>
      </c>
      <c r="G71" s="53">
        <f>+'Proforma Revenue'!J10+'Proforma Revenue'!J14+'Proforma Revenue'!J17</f>
        <v>270703257</v>
      </c>
      <c r="H71" s="53">
        <f>+'Proforma Revenue'!J15+'Proforma Revenue'!J16</f>
        <v>160280839</v>
      </c>
      <c r="I71" s="53">
        <f>+'Proforma Revenue'!J20</f>
        <v>113255219</v>
      </c>
      <c r="J71" s="53">
        <f>+'Proforma Revenue'!J21</f>
        <v>268014</v>
      </c>
      <c r="K71" s="53">
        <f>+'Proforma Revenue'!J22</f>
        <v>10687146</v>
      </c>
      <c r="L71" s="53">
        <f>+'Proforma Revenue'!M33</f>
        <v>5493550</v>
      </c>
      <c r="M71" s="53">
        <f>+'Proforma Revenue'!J27+'Proforma Revenue'!J28</f>
        <v>40128244</v>
      </c>
      <c r="N71" s="53">
        <f>+'Proforma Revenue'!J33-'Proforma Revenue'!M33</f>
        <v>10114356</v>
      </c>
      <c r="O71" s="53">
        <f>+'Proforma Revenue'!J31</f>
        <v>16457494</v>
      </c>
      <c r="P71" s="53">
        <f>+'Proforma Revenue'!J37</f>
        <v>327360</v>
      </c>
    </row>
    <row r="72" spans="1:16" x14ac:dyDescent="0.25">
      <c r="A72" s="58" t="str">
        <f>IF(A71="~","~","")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5">
      <c r="A73" s="32" t="s">
        <v>166</v>
      </c>
      <c r="B73" s="49" t="s">
        <v>408</v>
      </c>
      <c r="C73" s="53" t="s">
        <v>105</v>
      </c>
      <c r="D73" s="54"/>
      <c r="E73" s="55">
        <f t="shared" ref="E73:P73" si="25">IF($D74=0,0,E74/$D74)</f>
        <v>0.55823273388425976</v>
      </c>
      <c r="F73" s="55">
        <f t="shared" si="25"/>
        <v>0.1329537948617226</v>
      </c>
      <c r="G73" s="55">
        <f t="shared" si="25"/>
        <v>0.13664517206923532</v>
      </c>
      <c r="H73" s="55">
        <f t="shared" si="25"/>
        <v>8.0906314417031208E-2</v>
      </c>
      <c r="I73" s="55">
        <f t="shared" si="25"/>
        <v>5.7168794566789902E-2</v>
      </c>
      <c r="J73" s="55">
        <f t="shared" si="25"/>
        <v>1.3528769307331989E-4</v>
      </c>
      <c r="K73" s="55">
        <f t="shared" si="25"/>
        <v>5.3946410556081339E-3</v>
      </c>
      <c r="L73" s="55">
        <f t="shared" si="25"/>
        <v>0</v>
      </c>
      <c r="M73" s="55">
        <f t="shared" si="25"/>
        <v>2.025587304336076E-2</v>
      </c>
      <c r="N73" s="55">
        <f t="shared" si="25"/>
        <v>0</v>
      </c>
      <c r="O73" s="55">
        <f t="shared" si="25"/>
        <v>8.3073884089189514E-3</v>
      </c>
      <c r="P73" s="55">
        <f t="shared" si="25"/>
        <v>0</v>
      </c>
    </row>
    <row r="74" spans="1:16" x14ac:dyDescent="0.25">
      <c r="A74" s="56" t="str">
        <f>IF(A73="~","~","")</f>
        <v/>
      </c>
      <c r="B74" s="57" t="s">
        <v>298</v>
      </c>
      <c r="C74" s="38"/>
      <c r="D74" s="53">
        <f>SUM(E74:P74)</f>
        <v>1981067116.391351</v>
      </c>
      <c r="E74" s="53">
        <f>+E71</f>
        <v>1105896512.391351</v>
      </c>
      <c r="F74" s="53">
        <f t="shared" ref="F74:O74" si="26">+F71</f>
        <v>263390391</v>
      </c>
      <c r="G74" s="53">
        <f t="shared" si="26"/>
        <v>270703257</v>
      </c>
      <c r="H74" s="53">
        <f t="shared" si="26"/>
        <v>160280839</v>
      </c>
      <c r="I74" s="53">
        <f t="shared" si="26"/>
        <v>113255219</v>
      </c>
      <c r="J74" s="53">
        <f t="shared" si="26"/>
        <v>268014</v>
      </c>
      <c r="K74" s="53">
        <f t="shared" si="26"/>
        <v>10687146</v>
      </c>
      <c r="L74" s="53">
        <v>0</v>
      </c>
      <c r="M74" s="53">
        <f t="shared" si="26"/>
        <v>40128244</v>
      </c>
      <c r="N74" s="53">
        <v>0</v>
      </c>
      <c r="O74" s="53">
        <f t="shared" si="26"/>
        <v>16457494</v>
      </c>
      <c r="P74" s="53">
        <v>0</v>
      </c>
    </row>
    <row r="75" spans="1:16" x14ac:dyDescent="0.25">
      <c r="A75" s="58" t="str">
        <f>IF(A74="~","~","")</f>
        <v/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5">
      <c r="A76" s="32" t="s">
        <v>167</v>
      </c>
      <c r="B76" s="32" t="s">
        <v>168</v>
      </c>
      <c r="C76" s="53" t="s">
        <v>105</v>
      </c>
      <c r="D76" s="54"/>
      <c r="E76" s="55">
        <f t="shared" ref="E76:P76" si="27">IF($D77=0,0,E77/$D77)</f>
        <v>1</v>
      </c>
      <c r="F76" s="55">
        <f t="shared" si="27"/>
        <v>0</v>
      </c>
      <c r="G76" s="55">
        <f t="shared" si="27"/>
        <v>0</v>
      </c>
      <c r="H76" s="55">
        <f t="shared" si="27"/>
        <v>0</v>
      </c>
      <c r="I76" s="55">
        <f t="shared" si="27"/>
        <v>0</v>
      </c>
      <c r="J76" s="55">
        <f t="shared" si="27"/>
        <v>0</v>
      </c>
      <c r="K76" s="55">
        <f t="shared" si="27"/>
        <v>0</v>
      </c>
      <c r="L76" s="55">
        <f t="shared" si="27"/>
        <v>0</v>
      </c>
      <c r="M76" s="55">
        <f t="shared" si="27"/>
        <v>0</v>
      </c>
      <c r="N76" s="55">
        <f t="shared" si="27"/>
        <v>0</v>
      </c>
      <c r="O76" s="55">
        <f t="shared" si="27"/>
        <v>0</v>
      </c>
      <c r="P76" s="55">
        <f t="shared" si="27"/>
        <v>0</v>
      </c>
    </row>
    <row r="77" spans="1:16" x14ac:dyDescent="0.25">
      <c r="A77" s="56" t="str">
        <f>IF(A76="~","~","")</f>
        <v/>
      </c>
      <c r="B77" s="57" t="s">
        <v>298</v>
      </c>
      <c r="C77" s="38"/>
      <c r="D77" s="53">
        <f>SUM(E77:P77)</f>
        <v>1</v>
      </c>
      <c r="E77" s="53">
        <v>1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</row>
    <row r="78" spans="1:16" x14ac:dyDescent="0.25">
      <c r="A78" s="58" t="str">
        <f>IF(A77="~","~","")</f>
        <v/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25">
      <c r="A79" s="32" t="s">
        <v>169</v>
      </c>
      <c r="B79" s="32" t="s">
        <v>170</v>
      </c>
      <c r="C79" s="53" t="s">
        <v>105</v>
      </c>
      <c r="D79" s="54"/>
      <c r="E79" s="55">
        <f t="shared" ref="E79:P79" si="28">IF($D80=0,0,E80/$D80)</f>
        <v>0</v>
      </c>
      <c r="F79" s="55">
        <f t="shared" si="28"/>
        <v>0</v>
      </c>
      <c r="G79" s="55">
        <f t="shared" si="28"/>
        <v>0</v>
      </c>
      <c r="H79" s="55">
        <f t="shared" si="28"/>
        <v>0</v>
      </c>
      <c r="I79" s="55">
        <f t="shared" si="28"/>
        <v>0</v>
      </c>
      <c r="J79" s="55">
        <f t="shared" si="28"/>
        <v>0</v>
      </c>
      <c r="K79" s="55">
        <f t="shared" si="28"/>
        <v>0</v>
      </c>
      <c r="L79" s="55">
        <f t="shared" si="28"/>
        <v>0</v>
      </c>
      <c r="M79" s="55">
        <f t="shared" si="28"/>
        <v>0</v>
      </c>
      <c r="N79" s="55">
        <f t="shared" si="28"/>
        <v>0</v>
      </c>
      <c r="O79" s="55">
        <f t="shared" si="28"/>
        <v>0</v>
      </c>
      <c r="P79" s="55">
        <f t="shared" si="28"/>
        <v>0</v>
      </c>
    </row>
    <row r="80" spans="1:16" x14ac:dyDescent="0.25">
      <c r="A80" s="56" t="str">
        <f>IF(A79="~","~","")</f>
        <v/>
      </c>
      <c r="B80" s="57" t="s">
        <v>298</v>
      </c>
      <c r="C80" s="38"/>
      <c r="D80" s="53">
        <f>SUM(E80:P80)</f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</row>
    <row r="81" spans="1:16" x14ac:dyDescent="0.25">
      <c r="A81" s="5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x14ac:dyDescent="0.25">
      <c r="A82" s="27"/>
      <c r="B82" s="31" t="s">
        <v>171</v>
      </c>
      <c r="C82" s="27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25">
      <c r="A83" s="27"/>
      <c r="B83" s="25"/>
      <c r="C83" s="27"/>
      <c r="D83" s="27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25">
      <c r="A84" s="32" t="s">
        <v>172</v>
      </c>
      <c r="B84" s="32" t="s">
        <v>173</v>
      </c>
      <c r="C84" s="53" t="s">
        <v>100</v>
      </c>
      <c r="D84" s="54"/>
      <c r="E84" s="55">
        <f t="shared" ref="E84:P84" si="29">IF($D85=0,0,E85/$D85)</f>
        <v>0</v>
      </c>
      <c r="F84" s="55">
        <f t="shared" si="29"/>
        <v>0</v>
      </c>
      <c r="G84" s="55">
        <f t="shared" si="29"/>
        <v>0</v>
      </c>
      <c r="H84" s="55">
        <f t="shared" si="29"/>
        <v>0</v>
      </c>
      <c r="I84" s="55">
        <f t="shared" si="29"/>
        <v>0</v>
      </c>
      <c r="J84" s="55">
        <f t="shared" si="29"/>
        <v>0</v>
      </c>
      <c r="K84" s="55">
        <f t="shared" si="29"/>
        <v>0</v>
      </c>
      <c r="L84" s="55">
        <f t="shared" si="29"/>
        <v>0</v>
      </c>
      <c r="M84" s="55">
        <f t="shared" si="29"/>
        <v>0</v>
      </c>
      <c r="N84" s="55">
        <f t="shared" si="29"/>
        <v>0</v>
      </c>
      <c r="O84" s="55">
        <f t="shared" si="29"/>
        <v>0</v>
      </c>
      <c r="P84" s="55">
        <f t="shared" si="29"/>
        <v>0</v>
      </c>
    </row>
    <row r="85" spans="1:16" x14ac:dyDescent="0.25">
      <c r="A85" s="56" t="str">
        <f>IF(A84="~","~","")</f>
        <v/>
      </c>
      <c r="B85" s="57" t="s">
        <v>298</v>
      </c>
      <c r="C85" s="38"/>
      <c r="D85" s="53">
        <f>SUM(E85:P85)</f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</row>
    <row r="86" spans="1:16" x14ac:dyDescent="0.25">
      <c r="A86" s="58" t="str">
        <f>IF(A85="~","~","")</f>
        <v/>
      </c>
      <c r="B86" s="38"/>
      <c r="C86" s="38"/>
      <c r="D86" s="38"/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</row>
    <row r="87" spans="1:16" x14ac:dyDescent="0.25">
      <c r="A87" s="32" t="s">
        <v>174</v>
      </c>
      <c r="B87" s="32" t="s">
        <v>175</v>
      </c>
      <c r="C87" s="53" t="s">
        <v>100</v>
      </c>
      <c r="D87" s="54"/>
      <c r="E87" s="55">
        <f t="shared" ref="E87:P87" si="30">IF($D88=0,0,E88/$D88)</f>
        <v>0</v>
      </c>
      <c r="F87" s="55">
        <f t="shared" si="30"/>
        <v>0</v>
      </c>
      <c r="G87" s="55">
        <f t="shared" si="30"/>
        <v>0</v>
      </c>
      <c r="H87" s="55">
        <f t="shared" si="30"/>
        <v>0</v>
      </c>
      <c r="I87" s="55">
        <f t="shared" si="30"/>
        <v>0</v>
      </c>
      <c r="J87" s="55">
        <f t="shared" si="30"/>
        <v>0</v>
      </c>
      <c r="K87" s="55">
        <f t="shared" si="30"/>
        <v>0</v>
      </c>
      <c r="L87" s="55">
        <f t="shared" si="30"/>
        <v>0</v>
      </c>
      <c r="M87" s="55">
        <f t="shared" si="30"/>
        <v>0</v>
      </c>
      <c r="N87" s="55">
        <f t="shared" si="30"/>
        <v>0</v>
      </c>
      <c r="O87" s="55">
        <f t="shared" si="30"/>
        <v>0</v>
      </c>
      <c r="P87" s="55">
        <f t="shared" si="30"/>
        <v>0</v>
      </c>
    </row>
    <row r="88" spans="1:16" x14ac:dyDescent="0.25">
      <c r="A88" s="56" t="str">
        <f>IF(A87="~","~","")</f>
        <v/>
      </c>
      <c r="B88" s="57" t="s">
        <v>298</v>
      </c>
      <c r="C88" s="38"/>
      <c r="D88" s="53">
        <f>SUM(E88:P88)</f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</row>
    <row r="89" spans="1:16" x14ac:dyDescent="0.25">
      <c r="A89" s="58" t="str">
        <f>IF(A88="~","~","")</f>
        <v/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25">
      <c r="A90" s="32" t="s">
        <v>176</v>
      </c>
      <c r="B90" s="32" t="s">
        <v>177</v>
      </c>
      <c r="C90" s="53" t="s">
        <v>100</v>
      </c>
      <c r="D90" s="54"/>
      <c r="E90" s="55">
        <f t="shared" ref="E90:P90" si="31">IF($D91=0,0,E91/$D91)</f>
        <v>0</v>
      </c>
      <c r="F90" s="55">
        <f t="shared" si="31"/>
        <v>0</v>
      </c>
      <c r="G90" s="55">
        <f t="shared" si="31"/>
        <v>0</v>
      </c>
      <c r="H90" s="55">
        <f t="shared" si="31"/>
        <v>0</v>
      </c>
      <c r="I90" s="55">
        <f t="shared" si="31"/>
        <v>0</v>
      </c>
      <c r="J90" s="55">
        <f t="shared" si="31"/>
        <v>0</v>
      </c>
      <c r="K90" s="55">
        <f t="shared" si="31"/>
        <v>0</v>
      </c>
      <c r="L90" s="55">
        <f t="shared" si="31"/>
        <v>0</v>
      </c>
      <c r="M90" s="55">
        <f t="shared" si="31"/>
        <v>0</v>
      </c>
      <c r="N90" s="55">
        <f t="shared" si="31"/>
        <v>0</v>
      </c>
      <c r="O90" s="55">
        <f t="shared" si="31"/>
        <v>0</v>
      </c>
      <c r="P90" s="55">
        <f t="shared" si="31"/>
        <v>0</v>
      </c>
    </row>
    <row r="91" spans="1:16" x14ac:dyDescent="0.25">
      <c r="A91" s="56" t="str">
        <f>IF(A90="~","~","")</f>
        <v/>
      </c>
      <c r="B91" s="57" t="s">
        <v>298</v>
      </c>
      <c r="C91" s="38"/>
      <c r="D91" s="53">
        <f>SUM(E91:P91)</f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</row>
    <row r="92" spans="1:16" x14ac:dyDescent="0.25">
      <c r="A92" s="5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5">
      <c r="A93" s="32" t="s">
        <v>178</v>
      </c>
      <c r="B93" s="49" t="s">
        <v>179</v>
      </c>
      <c r="C93" s="53" t="s">
        <v>100</v>
      </c>
      <c r="D93" s="54"/>
      <c r="E93" s="55">
        <f t="shared" ref="E93:P93" si="32">IF($D94=0,0,E94/$D94)</f>
        <v>0.51839579170083305</v>
      </c>
      <c r="F93" s="55">
        <f t="shared" si="32"/>
        <v>0.11608532526977637</v>
      </c>
      <c r="G93" s="55">
        <f t="shared" si="32"/>
        <v>0.13598044658893979</v>
      </c>
      <c r="H93" s="55">
        <f t="shared" si="32"/>
        <v>7.6424823051727597E-2</v>
      </c>
      <c r="I93" s="55">
        <f t="shared" si="32"/>
        <v>5.4539519606154552E-2</v>
      </c>
      <c r="J93" s="55">
        <f t="shared" si="32"/>
        <v>2.7839481457139206E-4</v>
      </c>
      <c r="K93" s="55">
        <f t="shared" si="32"/>
        <v>0</v>
      </c>
      <c r="L93" s="55">
        <f t="shared" si="32"/>
        <v>1.3653864292705677E-2</v>
      </c>
      <c r="M93" s="55">
        <f t="shared" si="32"/>
        <v>2.1263893999383224E-2</v>
      </c>
      <c r="N93" s="55">
        <f t="shared" si="32"/>
        <v>5.9482041405229856E-2</v>
      </c>
      <c r="O93" s="55">
        <f t="shared" si="32"/>
        <v>3.5693255381757374E-3</v>
      </c>
      <c r="P93" s="55">
        <f t="shared" si="32"/>
        <v>3.2657373250287951E-4</v>
      </c>
    </row>
    <row r="94" spans="1:16" x14ac:dyDescent="0.25">
      <c r="A94" s="56" t="str">
        <f>IF(A93="~","~","")</f>
        <v/>
      </c>
      <c r="B94" s="57" t="s">
        <v>298</v>
      </c>
      <c r="C94" s="38"/>
      <c r="D94" s="459">
        <f>SUM(E94:P94)</f>
        <v>1</v>
      </c>
      <c r="E94" s="459">
        <f>+'Load Research Data - Summary'!E9</f>
        <v>0.51839579170083305</v>
      </c>
      <c r="F94" s="459">
        <f>+'Load Research Data - Summary'!E10</f>
        <v>0.11608532526977637</v>
      </c>
      <c r="G94" s="459">
        <f>+'Load Research Data - Summary'!E11</f>
        <v>0.13598044658893979</v>
      </c>
      <c r="H94" s="459">
        <f>+'Load Research Data - Summary'!E12</f>
        <v>7.6424823051727597E-2</v>
      </c>
      <c r="I94" s="459">
        <f>+'Load Research Data - Summary'!E13</f>
        <v>5.4539519606154552E-2</v>
      </c>
      <c r="J94" s="459">
        <f>+'Load Research Data - Summary'!E14</f>
        <v>2.7839481457139206E-4</v>
      </c>
      <c r="K94" s="459">
        <f>+'Load Research Data - Summary'!E15</f>
        <v>0</v>
      </c>
      <c r="L94" s="459">
        <f>+'Load Research Data - Summary'!E16</f>
        <v>1.3653864292705677E-2</v>
      </c>
      <c r="M94" s="459">
        <f>+'Load Research Data - Summary'!E17</f>
        <v>2.1263893999383224E-2</v>
      </c>
      <c r="N94" s="459">
        <f>+'Load Research Data - Summary'!E19</f>
        <v>5.9482041405229856E-2</v>
      </c>
      <c r="O94" s="459">
        <f>+'Load Research Data - Summary'!E18</f>
        <v>3.5693255381757374E-3</v>
      </c>
      <c r="P94" s="459">
        <f>+'Load Research Data - Summary'!E20</f>
        <v>3.2657373250287951E-4</v>
      </c>
    </row>
    <row r="95" spans="1:16" x14ac:dyDescent="0.25">
      <c r="A95" s="58" t="str">
        <f>IF(A94="~","~","")</f>
        <v/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x14ac:dyDescent="0.25">
      <c r="A96" s="32" t="s">
        <v>81</v>
      </c>
      <c r="B96" s="49" t="s">
        <v>180</v>
      </c>
      <c r="C96" s="53" t="s">
        <v>100</v>
      </c>
      <c r="D96" s="54"/>
      <c r="E96" s="55">
        <f t="shared" ref="E96:P96" si="33">IF($D97=0,0,E97/$D97)</f>
        <v>0.55930075928897516</v>
      </c>
      <c r="F96" s="55">
        <f t="shared" si="33"/>
        <v>0.1252452500678532</v>
      </c>
      <c r="G96" s="55">
        <f t="shared" si="33"/>
        <v>0.14671023230361949</v>
      </c>
      <c r="H96" s="55">
        <f t="shared" si="33"/>
        <v>8.245526342163037E-2</v>
      </c>
      <c r="I96" s="55">
        <f t="shared" si="33"/>
        <v>5.8843060100653911E-2</v>
      </c>
      <c r="J96" s="55">
        <f t="shared" si="33"/>
        <v>3.0036206632971937E-4</v>
      </c>
      <c r="K96" s="55">
        <f t="shared" si="33"/>
        <v>0</v>
      </c>
      <c r="L96" s="55">
        <f t="shared" si="33"/>
        <v>0</v>
      </c>
      <c r="M96" s="55">
        <f t="shared" si="33"/>
        <v>2.2941760426478806E-2</v>
      </c>
      <c r="N96" s="55">
        <f t="shared" si="33"/>
        <v>0</v>
      </c>
      <c r="O96" s="55">
        <f t="shared" si="33"/>
        <v>3.8509696946060525E-3</v>
      </c>
      <c r="P96" s="55">
        <f t="shared" si="33"/>
        <v>3.5234262985318454E-4</v>
      </c>
    </row>
    <row r="97" spans="1:16" x14ac:dyDescent="0.25">
      <c r="A97" s="56" t="str">
        <f>IF(A96="~","~","")</f>
        <v/>
      </c>
      <c r="B97" s="57" t="s">
        <v>298</v>
      </c>
      <c r="C97" s="38"/>
      <c r="D97" s="460">
        <f>SUM(E97:P97)</f>
        <v>1.0000000000000002</v>
      </c>
      <c r="E97" s="460">
        <f>+'Load Research Data - Summary'!F9</f>
        <v>0.55930075928897527</v>
      </c>
      <c r="F97" s="460">
        <f>+'Load Research Data - Summary'!F10</f>
        <v>0.12524525006785323</v>
      </c>
      <c r="G97" s="460">
        <f>+'Load Research Data - Summary'!F11</f>
        <v>0.14671023230361951</v>
      </c>
      <c r="H97" s="460">
        <f>+'Load Research Data - Summary'!F12</f>
        <v>8.2455263421630384E-2</v>
      </c>
      <c r="I97" s="460">
        <f>+'Load Research Data - Summary'!F13</f>
        <v>5.8843060100653925E-2</v>
      </c>
      <c r="J97" s="460">
        <f>+'Load Research Data - Summary'!F14</f>
        <v>3.0036206632971942E-4</v>
      </c>
      <c r="K97" s="460">
        <f>+'Load Research Data - Summary'!F15</f>
        <v>0</v>
      </c>
      <c r="L97" s="460">
        <f>+'Load Research Data - Summary'!F16</f>
        <v>0</v>
      </c>
      <c r="M97" s="460">
        <f>+'Load Research Data - Summary'!F17</f>
        <v>2.2941760426478809E-2</v>
      </c>
      <c r="N97" s="460">
        <f>+'Load Research Data - Summary'!F19</f>
        <v>0</v>
      </c>
      <c r="O97" s="460">
        <f>+'Load Research Data - Summary'!F18</f>
        <v>3.8509696946060533E-3</v>
      </c>
      <c r="P97" s="460">
        <f>+'Load Research Data - Summary'!F20</f>
        <v>3.5234262985318459E-4</v>
      </c>
    </row>
    <row r="98" spans="1:16" x14ac:dyDescent="0.25">
      <c r="A98" s="58" t="str">
        <f>IF(A97="~","~","")</f>
        <v/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x14ac:dyDescent="0.25">
      <c r="A99" s="32" t="s">
        <v>181</v>
      </c>
      <c r="B99" s="32" t="s">
        <v>182</v>
      </c>
      <c r="C99" s="53" t="s">
        <v>100</v>
      </c>
      <c r="D99" s="54"/>
      <c r="E99" s="55">
        <f t="shared" ref="E99:P99" si="34">IF($D100=0,0,E100/$D100)</f>
        <v>0</v>
      </c>
      <c r="F99" s="55">
        <f t="shared" si="34"/>
        <v>0</v>
      </c>
      <c r="G99" s="55">
        <f t="shared" si="34"/>
        <v>0</v>
      </c>
      <c r="H99" s="55">
        <f t="shared" si="34"/>
        <v>0</v>
      </c>
      <c r="I99" s="55">
        <f t="shared" si="34"/>
        <v>0</v>
      </c>
      <c r="J99" s="55">
        <f t="shared" si="34"/>
        <v>0</v>
      </c>
      <c r="K99" s="55">
        <f t="shared" si="34"/>
        <v>0</v>
      </c>
      <c r="L99" s="55">
        <f t="shared" si="34"/>
        <v>0</v>
      </c>
      <c r="M99" s="55">
        <f t="shared" si="34"/>
        <v>1</v>
      </c>
      <c r="N99" s="55">
        <f t="shared" si="34"/>
        <v>0</v>
      </c>
      <c r="O99" s="55">
        <f t="shared" si="34"/>
        <v>0</v>
      </c>
      <c r="P99" s="55">
        <f t="shared" si="34"/>
        <v>0</v>
      </c>
    </row>
    <row r="100" spans="1:16" x14ac:dyDescent="0.25">
      <c r="A100" s="56" t="str">
        <f>IF(A99="~","~","")</f>
        <v/>
      </c>
      <c r="B100" s="57" t="s">
        <v>298</v>
      </c>
      <c r="C100" s="38"/>
      <c r="D100" s="53">
        <f>SUM(E100:P100)</f>
        <v>-12148.752</v>
      </c>
      <c r="E100" s="53">
        <v>0</v>
      </c>
      <c r="F100" s="53">
        <v>0</v>
      </c>
      <c r="G100" s="53">
        <v>0</v>
      </c>
      <c r="H100" s="53">
        <v>0</v>
      </c>
      <c r="I100" s="53">
        <f>+'Dist Accum Depr (360-368)'!$D$8</f>
        <v>0</v>
      </c>
      <c r="J100" s="53">
        <v>0</v>
      </c>
      <c r="K100" s="53">
        <f>+'Dist Accum Depr (360-368)'!$E$8</f>
        <v>0</v>
      </c>
      <c r="L100" s="53">
        <f>+'Dist Accum Depr (360-368)'!$G$8</f>
        <v>0</v>
      </c>
      <c r="M100" s="53">
        <f>+'Dist Accum Depr (360-368)'!$H$8</f>
        <v>-12148.752</v>
      </c>
      <c r="N100" s="53">
        <f>+'Dist Accum Depr (360-368)'!$I$8</f>
        <v>0</v>
      </c>
      <c r="O100" s="53">
        <v>0</v>
      </c>
      <c r="P100" s="53">
        <f>+'Dist Accum Depr (360-368)'!$F$8</f>
        <v>0</v>
      </c>
    </row>
    <row r="101" spans="1:16" x14ac:dyDescent="0.25">
      <c r="A101" s="58" t="str">
        <f>IF(A100="~","~","")</f>
        <v/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25">
      <c r="A102" s="32" t="s">
        <v>183</v>
      </c>
      <c r="B102" s="32" t="s">
        <v>184</v>
      </c>
      <c r="C102" s="53" t="s">
        <v>100</v>
      </c>
      <c r="D102" s="54"/>
      <c r="E102" s="55">
        <f t="shared" ref="E102:P102" si="35">IF($D103=0,0,E103/$D103)</f>
        <v>0</v>
      </c>
      <c r="F102" s="55">
        <f t="shared" si="35"/>
        <v>0</v>
      </c>
      <c r="G102" s="55">
        <f t="shared" si="35"/>
        <v>0</v>
      </c>
      <c r="H102" s="55">
        <f t="shared" si="35"/>
        <v>0</v>
      </c>
      <c r="I102" s="55">
        <f t="shared" si="35"/>
        <v>4.8754260304841229E-2</v>
      </c>
      <c r="J102" s="55">
        <f t="shared" si="35"/>
        <v>0</v>
      </c>
      <c r="K102" s="55">
        <f t="shared" si="35"/>
        <v>0</v>
      </c>
      <c r="L102" s="55">
        <f t="shared" si="35"/>
        <v>0.24608011916609382</v>
      </c>
      <c r="M102" s="55">
        <f t="shared" si="35"/>
        <v>0.25746624773014687</v>
      </c>
      <c r="N102" s="55">
        <f t="shared" si="35"/>
        <v>0.44769937279891803</v>
      </c>
      <c r="O102" s="55">
        <f t="shared" si="35"/>
        <v>0</v>
      </c>
      <c r="P102" s="55">
        <f t="shared" si="35"/>
        <v>0</v>
      </c>
    </row>
    <row r="103" spans="1:16" x14ac:dyDescent="0.25">
      <c r="A103" s="56" t="str">
        <f>IF(A102="~","~","")</f>
        <v/>
      </c>
      <c r="B103" s="57" t="s">
        <v>298</v>
      </c>
      <c r="C103" s="38"/>
      <c r="D103" s="53">
        <f>SUM(E103:P103)</f>
        <v>-224950.76187036239</v>
      </c>
      <c r="E103" s="53">
        <v>0</v>
      </c>
      <c r="F103" s="53">
        <v>0</v>
      </c>
      <c r="G103" s="53">
        <v>0</v>
      </c>
      <c r="H103" s="53">
        <v>0</v>
      </c>
      <c r="I103" s="53">
        <f>+'Dist Accum Depr (360-368)'!$D$9</f>
        <v>-10967.308000000001</v>
      </c>
      <c r="J103" s="53">
        <v>0</v>
      </c>
      <c r="K103" s="53">
        <f>+'Dist Accum Depr (360-368)'!$E$9</f>
        <v>0</v>
      </c>
      <c r="L103" s="53">
        <f>+'Dist Accum Depr (360-368)'!$G$9</f>
        <v>-55355.910287562372</v>
      </c>
      <c r="M103" s="53">
        <f>+'Dist Accum Depr (360-368)'!$H$9</f>
        <v>-57917.228582800002</v>
      </c>
      <c r="N103" s="53">
        <f>+'Dist Accum Depr (360-368)'!$I$9</f>
        <v>-100710.315</v>
      </c>
      <c r="O103" s="53">
        <v>0</v>
      </c>
      <c r="P103" s="53">
        <f>+'Dist Accum Depr (360-368)'!$F$9</f>
        <v>0</v>
      </c>
    </row>
    <row r="104" spans="1:16" x14ac:dyDescent="0.25">
      <c r="A104" s="58" t="str">
        <f>IF(A103="~","~","")</f>
        <v/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5">
      <c r="A105" s="32" t="s">
        <v>185</v>
      </c>
      <c r="B105" s="32" t="s">
        <v>186</v>
      </c>
      <c r="C105" s="53" t="s">
        <v>100</v>
      </c>
      <c r="D105" s="54"/>
      <c r="E105" s="55">
        <f t="shared" ref="E105:P105" si="36">IF($D106=0,0,E106/$D106)</f>
        <v>0</v>
      </c>
      <c r="F105" s="55">
        <f t="shared" si="36"/>
        <v>0</v>
      </c>
      <c r="G105" s="55">
        <f t="shared" si="36"/>
        <v>0</v>
      </c>
      <c r="H105" s="55">
        <f t="shared" si="36"/>
        <v>0</v>
      </c>
      <c r="I105" s="55">
        <f t="shared" si="36"/>
        <v>6.1835319887032905E-2</v>
      </c>
      <c r="J105" s="55">
        <f t="shared" si="36"/>
        <v>0</v>
      </c>
      <c r="K105" s="55">
        <f t="shared" si="36"/>
        <v>0</v>
      </c>
      <c r="L105" s="55">
        <f t="shared" si="36"/>
        <v>0.25052358633878391</v>
      </c>
      <c r="M105" s="55">
        <f t="shared" si="36"/>
        <v>0.38999705696283993</v>
      </c>
      <c r="N105" s="55">
        <f t="shared" si="36"/>
        <v>0.29764403681134338</v>
      </c>
      <c r="O105" s="55">
        <f t="shared" si="36"/>
        <v>0</v>
      </c>
      <c r="P105" s="55">
        <f t="shared" si="36"/>
        <v>0</v>
      </c>
    </row>
    <row r="106" spans="1:16" x14ac:dyDescent="0.25">
      <c r="A106" s="56" t="str">
        <f>IF(A105="~","~","")</f>
        <v/>
      </c>
      <c r="B106" s="57" t="s">
        <v>298</v>
      </c>
      <c r="C106" s="38"/>
      <c r="D106" s="53">
        <f>SUM(E106:P106)</f>
        <v>-11302572.919115141</v>
      </c>
      <c r="E106" s="53">
        <v>0</v>
      </c>
      <c r="F106" s="53">
        <v>0</v>
      </c>
      <c r="G106" s="53">
        <v>0</v>
      </c>
      <c r="H106" s="53">
        <v>0</v>
      </c>
      <c r="I106" s="53">
        <f>+'Dist Accum Depr (360-368)'!$D$10</f>
        <v>-698898.21200000006</v>
      </c>
      <c r="J106" s="53">
        <v>0</v>
      </c>
      <c r="K106" s="53">
        <f>+'Dist Accum Depr (360-368)'!$E$10</f>
        <v>0</v>
      </c>
      <c r="L106" s="53">
        <f>+'Dist Accum Depr (360-368)'!$G$10</f>
        <v>-2831561.1025523427</v>
      </c>
      <c r="M106" s="53">
        <f>+'Dist Accum Depr (360-368)'!$H$10</f>
        <v>-4407970.1745627997</v>
      </c>
      <c r="N106" s="53">
        <f>+'Dist Accum Depr (360-368)'!$I$10</f>
        <v>-3364143.4299999997</v>
      </c>
      <c r="O106" s="53">
        <v>0</v>
      </c>
      <c r="P106" s="53">
        <f>+'Dist Accum Depr (360-368)'!$F$10</f>
        <v>0</v>
      </c>
    </row>
    <row r="107" spans="1:16" x14ac:dyDescent="0.25">
      <c r="A107" s="58" t="str">
        <f>IF(A106="~","~","")</f>
        <v/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x14ac:dyDescent="0.25">
      <c r="A108" s="32" t="s">
        <v>187</v>
      </c>
      <c r="B108" s="32" t="s">
        <v>188</v>
      </c>
      <c r="C108" s="53" t="s">
        <v>100</v>
      </c>
      <c r="D108" s="54"/>
      <c r="E108" s="55">
        <f t="shared" ref="E108:P108" si="37">IF($D109=0,0,E109/$D109)</f>
        <v>0</v>
      </c>
      <c r="F108" s="55">
        <f t="shared" si="37"/>
        <v>0</v>
      </c>
      <c r="G108" s="55">
        <f t="shared" si="37"/>
        <v>0</v>
      </c>
      <c r="H108" s="55">
        <f t="shared" si="37"/>
        <v>0</v>
      </c>
      <c r="I108" s="55">
        <f t="shared" si="37"/>
        <v>0</v>
      </c>
      <c r="J108" s="55">
        <f t="shared" si="37"/>
        <v>0</v>
      </c>
      <c r="K108" s="55">
        <f t="shared" si="37"/>
        <v>0</v>
      </c>
      <c r="L108" s="55">
        <f t="shared" si="37"/>
        <v>1</v>
      </c>
      <c r="M108" s="55">
        <f t="shared" si="37"/>
        <v>0</v>
      </c>
      <c r="N108" s="55">
        <f t="shared" si="37"/>
        <v>0</v>
      </c>
      <c r="O108" s="55">
        <f t="shared" si="37"/>
        <v>0</v>
      </c>
      <c r="P108" s="55">
        <f t="shared" si="37"/>
        <v>0</v>
      </c>
    </row>
    <row r="109" spans="1:16" x14ac:dyDescent="0.25">
      <c r="A109" s="56" t="str">
        <f>IF(A108="~","~","")</f>
        <v/>
      </c>
      <c r="B109" s="57" t="s">
        <v>298</v>
      </c>
      <c r="C109" s="38"/>
      <c r="D109" s="53">
        <f>SUM(E109:P109)</f>
        <v>-52160.692154439777</v>
      </c>
      <c r="E109" s="53">
        <v>0</v>
      </c>
      <c r="F109" s="53">
        <v>0</v>
      </c>
      <c r="G109" s="53">
        <v>0</v>
      </c>
      <c r="H109" s="53">
        <v>0</v>
      </c>
      <c r="I109" s="53">
        <f>+'Dist Accum Depr (360-368)'!$D$11</f>
        <v>0</v>
      </c>
      <c r="J109" s="53">
        <v>0</v>
      </c>
      <c r="K109" s="53">
        <f>+'Dist Accum Depr (360-368)'!$E$11</f>
        <v>0</v>
      </c>
      <c r="L109" s="53">
        <f>+'Dist Accum Depr (360-368)'!$G$11</f>
        <v>-52160.692154439777</v>
      </c>
      <c r="M109" s="53">
        <f>+'Dist Accum Depr (360-368)'!$H$11</f>
        <v>0</v>
      </c>
      <c r="N109" s="53">
        <f>+'Dist Accum Depr (360-368)'!$I$11</f>
        <v>0</v>
      </c>
      <c r="O109" s="53">
        <v>0</v>
      </c>
      <c r="P109" s="53">
        <f>+'Dist Accum Depr (360-368)'!$F$11</f>
        <v>0</v>
      </c>
    </row>
    <row r="110" spans="1:16" x14ac:dyDescent="0.25">
      <c r="A110" s="58" t="str">
        <f>IF(A109="~","~","")</f>
        <v/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x14ac:dyDescent="0.25">
      <c r="A111" s="32" t="s">
        <v>189</v>
      </c>
      <c r="B111" s="49" t="s">
        <v>361</v>
      </c>
      <c r="C111" s="53" t="s">
        <v>100</v>
      </c>
      <c r="D111" s="54"/>
      <c r="E111" s="55">
        <f t="shared" ref="E111:P111" si="38">IF($D112=0,0,E112/$D112)</f>
        <v>0</v>
      </c>
      <c r="F111" s="55">
        <f t="shared" si="38"/>
        <v>0</v>
      </c>
      <c r="G111" s="55">
        <f t="shared" si="38"/>
        <v>0</v>
      </c>
      <c r="H111" s="55">
        <f t="shared" si="38"/>
        <v>0</v>
      </c>
      <c r="I111" s="55">
        <f t="shared" si="38"/>
        <v>0</v>
      </c>
      <c r="J111" s="55">
        <f t="shared" si="38"/>
        <v>0</v>
      </c>
      <c r="K111" s="55">
        <f t="shared" si="38"/>
        <v>0</v>
      </c>
      <c r="L111" s="55">
        <f t="shared" si="38"/>
        <v>0.87544778871422679</v>
      </c>
      <c r="M111" s="55">
        <f t="shared" si="38"/>
        <v>0.1229706833290868</v>
      </c>
      <c r="N111" s="55">
        <f t="shared" si="38"/>
        <v>1.5815279566864168E-3</v>
      </c>
      <c r="O111" s="55">
        <f t="shared" si="38"/>
        <v>0</v>
      </c>
      <c r="P111" s="55">
        <f t="shared" si="38"/>
        <v>0</v>
      </c>
    </row>
    <row r="112" spans="1:16" x14ac:dyDescent="0.25">
      <c r="A112" s="56" t="str">
        <f>IF(A111="~","~","")</f>
        <v/>
      </c>
      <c r="B112" s="57" t="s">
        <v>298</v>
      </c>
      <c r="C112" s="38"/>
      <c r="D112" s="53">
        <f>SUM(E112:P112)</f>
        <v>-15897826.552200768</v>
      </c>
      <c r="E112" s="53">
        <v>0</v>
      </c>
      <c r="F112" s="53">
        <v>0</v>
      </c>
      <c r="G112" s="53">
        <v>0</v>
      </c>
      <c r="H112" s="53">
        <v>0</v>
      </c>
      <c r="I112" s="53">
        <f>+'Dist Accum Depr (360-368)'!$D$12</f>
        <v>0</v>
      </c>
      <c r="J112" s="53">
        <v>0</v>
      </c>
      <c r="K112" s="53">
        <f>+'Dist Accum Depr (360-368)'!$E$12</f>
        <v>0</v>
      </c>
      <c r="L112" s="53">
        <f>+'Dist Accum Depr (360-368)'!$G$12</f>
        <v>-13917717.100486483</v>
      </c>
      <c r="M112" s="53">
        <f>+'Dist Accum Depr (360-368)'!$H$12</f>
        <v>-1954966.5945714284</v>
      </c>
      <c r="N112" s="53">
        <f>+'Dist Accum Depr (360-368)'!$I$12</f>
        <v>-25142.857142857145</v>
      </c>
      <c r="O112" s="53">
        <v>0</v>
      </c>
      <c r="P112" s="53">
        <f>+'Dist Accum Depr (360-368)'!$F$12</f>
        <v>0</v>
      </c>
    </row>
    <row r="113" spans="1:16" x14ac:dyDescent="0.25">
      <c r="A113" s="58" t="str">
        <f>IF(A112="~","~","")</f>
        <v/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25">
      <c r="A114" s="32" t="s">
        <v>191</v>
      </c>
      <c r="B114" s="32" t="s">
        <v>192</v>
      </c>
      <c r="C114" s="53" t="s">
        <v>100</v>
      </c>
      <c r="D114" s="54"/>
      <c r="E114" s="55">
        <f t="shared" ref="E114:P114" si="39">IF($D115=0,0,E115/$D115)</f>
        <v>0</v>
      </c>
      <c r="F114" s="55">
        <f t="shared" si="39"/>
        <v>0</v>
      </c>
      <c r="G114" s="55">
        <f t="shared" si="39"/>
        <v>0</v>
      </c>
      <c r="H114" s="55">
        <f t="shared" si="39"/>
        <v>0</v>
      </c>
      <c r="I114" s="55">
        <f t="shared" si="39"/>
        <v>0</v>
      </c>
      <c r="J114" s="55">
        <f t="shared" si="39"/>
        <v>0</v>
      </c>
      <c r="K114" s="55">
        <f t="shared" si="39"/>
        <v>0</v>
      </c>
      <c r="L114" s="55">
        <f t="shared" si="39"/>
        <v>0.99367452782220511</v>
      </c>
      <c r="M114" s="55">
        <f t="shared" si="39"/>
        <v>6.3254721777948174E-3</v>
      </c>
      <c r="N114" s="55">
        <f t="shared" si="39"/>
        <v>0</v>
      </c>
      <c r="O114" s="55">
        <f t="shared" si="39"/>
        <v>0</v>
      </c>
      <c r="P114" s="55">
        <f t="shared" si="39"/>
        <v>0</v>
      </c>
    </row>
    <row r="115" spans="1:16" x14ac:dyDescent="0.25">
      <c r="A115" s="56" t="str">
        <f>IF(A114="~","~","")</f>
        <v/>
      </c>
      <c r="B115" s="57" t="s">
        <v>298</v>
      </c>
      <c r="C115" s="38"/>
      <c r="D115" s="53">
        <f>SUM(E115:P115)</f>
        <v>3584294.5099956198</v>
      </c>
      <c r="E115" s="53">
        <v>0</v>
      </c>
      <c r="F115" s="53">
        <v>0</v>
      </c>
      <c r="G115" s="53">
        <v>0</v>
      </c>
      <c r="H115" s="53">
        <v>0</v>
      </c>
      <c r="I115" s="53">
        <f>+'Dist Plant (360-368)'!$D$9</f>
        <v>0</v>
      </c>
      <c r="J115" s="53">
        <v>0</v>
      </c>
      <c r="K115" s="53">
        <f>+'Dist Plant (360-368)'!$E$9</f>
        <v>0</v>
      </c>
      <c r="L115" s="53">
        <f>+'Dist Plant (360-368)'!$G$9</f>
        <v>3561622.1547956197</v>
      </c>
      <c r="M115" s="53">
        <f>+'Dist Plant (360-368)'!$H$9</f>
        <v>22672.355200000002</v>
      </c>
      <c r="N115" s="53">
        <f>+'Dist Plant (360-368)'!$I$9</f>
        <v>0</v>
      </c>
      <c r="O115" s="53">
        <v>0</v>
      </c>
      <c r="P115" s="53">
        <f>+'Dist Plant (360-368)'!$F$9</f>
        <v>0</v>
      </c>
    </row>
    <row r="116" spans="1:16" x14ac:dyDescent="0.25">
      <c r="A116" s="58" t="str">
        <f>IF(A115="~","~","")</f>
        <v/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x14ac:dyDescent="0.25">
      <c r="A117" s="32" t="s">
        <v>193</v>
      </c>
      <c r="B117" s="32" t="s">
        <v>194</v>
      </c>
      <c r="C117" s="53" t="s">
        <v>100</v>
      </c>
      <c r="D117" s="54"/>
      <c r="E117" s="55">
        <f t="shared" ref="E117:P117" si="40">IF($D118=0,0,E118/$D118)</f>
        <v>0</v>
      </c>
      <c r="F117" s="55">
        <f t="shared" si="40"/>
        <v>0</v>
      </c>
      <c r="G117" s="55">
        <f t="shared" si="40"/>
        <v>0</v>
      </c>
      <c r="H117" s="55">
        <f t="shared" si="40"/>
        <v>0</v>
      </c>
      <c r="I117" s="55">
        <f t="shared" si="40"/>
        <v>0</v>
      </c>
      <c r="J117" s="55">
        <f t="shared" si="40"/>
        <v>0</v>
      </c>
      <c r="K117" s="55">
        <f t="shared" si="40"/>
        <v>0</v>
      </c>
      <c r="L117" s="55">
        <f t="shared" si="40"/>
        <v>0.40513194997945928</v>
      </c>
      <c r="M117" s="55">
        <f t="shared" si="40"/>
        <v>0.27221495574011295</v>
      </c>
      <c r="N117" s="55">
        <f t="shared" si="40"/>
        <v>0.32265309428042771</v>
      </c>
      <c r="O117" s="55">
        <f t="shared" si="40"/>
        <v>0</v>
      </c>
      <c r="P117" s="55">
        <f t="shared" si="40"/>
        <v>0</v>
      </c>
    </row>
    <row r="118" spans="1:16" x14ac:dyDescent="0.25">
      <c r="A118" s="56" t="str">
        <f>IF(A117="~","~","")</f>
        <v/>
      </c>
      <c r="B118" s="57" t="s">
        <v>298</v>
      </c>
      <c r="C118" s="38"/>
      <c r="D118" s="53">
        <f>SUM(E118:P118)</f>
        <v>598299.79449141794</v>
      </c>
      <c r="E118" s="53">
        <v>0</v>
      </c>
      <c r="F118" s="53">
        <v>0</v>
      </c>
      <c r="G118" s="53">
        <v>0</v>
      </c>
      <c r="H118" s="53">
        <v>0</v>
      </c>
      <c r="I118" s="53">
        <f>+'Dist Plant (360-368)'!$D$10</f>
        <v>0</v>
      </c>
      <c r="J118" s="53">
        <v>0</v>
      </c>
      <c r="K118" s="53">
        <f>+'Dist Plant (360-368)'!$E$10</f>
        <v>0</v>
      </c>
      <c r="L118" s="53">
        <f>+'Dist Plant (360-368)'!$G$10</f>
        <v>242390.36241461791</v>
      </c>
      <c r="M118" s="53">
        <f>+'Dist Plant (360-368)'!$H$10</f>
        <v>162866.1520768</v>
      </c>
      <c r="N118" s="53">
        <f>+'Dist Plant (360-368)'!$I$10</f>
        <v>193043.28</v>
      </c>
      <c r="O118" s="53">
        <v>0</v>
      </c>
      <c r="P118" s="53">
        <f>+'Dist Plant (360-368)'!$F$10</f>
        <v>0</v>
      </c>
    </row>
    <row r="119" spans="1:16" x14ac:dyDescent="0.25">
      <c r="A119" s="58" t="str">
        <f>IF(A118="~","~","")</f>
        <v/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x14ac:dyDescent="0.25">
      <c r="A120" s="32" t="s">
        <v>195</v>
      </c>
      <c r="B120" s="32" t="s">
        <v>196</v>
      </c>
      <c r="C120" s="53" t="s">
        <v>100</v>
      </c>
      <c r="D120" s="54"/>
      <c r="E120" s="55">
        <f t="shared" ref="E120:P120" si="41">IF($D121=0,0,E121/$D121)</f>
        <v>0</v>
      </c>
      <c r="F120" s="55">
        <f t="shared" si="41"/>
        <v>0</v>
      </c>
      <c r="G120" s="55">
        <f t="shared" si="41"/>
        <v>0</v>
      </c>
      <c r="H120" s="55">
        <f t="shared" si="41"/>
        <v>0</v>
      </c>
      <c r="I120" s="55">
        <f t="shared" si="41"/>
        <v>2.4274136753904964E-2</v>
      </c>
      <c r="J120" s="55">
        <f t="shared" si="41"/>
        <v>0</v>
      </c>
      <c r="K120" s="55">
        <f t="shared" si="41"/>
        <v>0</v>
      </c>
      <c r="L120" s="55">
        <f t="shared" si="41"/>
        <v>0.32255243692780483</v>
      </c>
      <c r="M120" s="55">
        <f t="shared" si="41"/>
        <v>0.45649848456614339</v>
      </c>
      <c r="N120" s="55">
        <f t="shared" si="41"/>
        <v>0.19667494175214684</v>
      </c>
      <c r="O120" s="55">
        <f t="shared" si="41"/>
        <v>0</v>
      </c>
      <c r="P120" s="55">
        <f t="shared" si="41"/>
        <v>0</v>
      </c>
    </row>
    <row r="121" spans="1:16" x14ac:dyDescent="0.25">
      <c r="A121" s="56" t="str">
        <f>IF(A120="~","~","")</f>
        <v/>
      </c>
      <c r="B121" s="57" t="s">
        <v>298</v>
      </c>
      <c r="C121" s="38"/>
      <c r="D121" s="53">
        <f>SUM(E121:P121)</f>
        <v>31963716.521255195</v>
      </c>
      <c r="E121" s="53">
        <v>0</v>
      </c>
      <c r="F121" s="53">
        <v>0</v>
      </c>
      <c r="G121" s="53">
        <v>0</v>
      </c>
      <c r="H121" s="53">
        <v>0</v>
      </c>
      <c r="I121" s="53">
        <f>+'Dist Plant (360-368)'!$D$11</f>
        <v>775891.62600000005</v>
      </c>
      <c r="J121" s="53">
        <v>0</v>
      </c>
      <c r="K121" s="53">
        <f>+'Dist Plant (360-368)'!$E$11</f>
        <v>0</v>
      </c>
      <c r="L121" s="53">
        <f>+'Dist Plant (360-368)'!$G$11</f>
        <v>10309974.6572004</v>
      </c>
      <c r="M121" s="53">
        <f>+'Dist Plant (360-368)'!$H$11</f>
        <v>14591388.153054798</v>
      </c>
      <c r="N121" s="53">
        <f>+'Dist Plant (360-368)'!$I$11</f>
        <v>6286462.084999999</v>
      </c>
      <c r="O121" s="53">
        <v>0</v>
      </c>
      <c r="P121" s="53">
        <f>+'Dist Plant (360-368)'!$F$11</f>
        <v>0</v>
      </c>
    </row>
    <row r="122" spans="1:16" x14ac:dyDescent="0.25">
      <c r="A122" s="58" t="str">
        <f>IF(A121="~","~","")</f>
        <v/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x14ac:dyDescent="0.25">
      <c r="A123" s="32" t="s">
        <v>197</v>
      </c>
      <c r="B123" s="32" t="s">
        <v>198</v>
      </c>
      <c r="C123" s="53" t="s">
        <v>100</v>
      </c>
      <c r="D123" s="54"/>
      <c r="E123" s="55">
        <f t="shared" ref="E123:P123" si="42">IF($D124=0,0,E124/$D124)</f>
        <v>0</v>
      </c>
      <c r="F123" s="55">
        <f t="shared" si="42"/>
        <v>0</v>
      </c>
      <c r="G123" s="55">
        <f t="shared" si="42"/>
        <v>0</v>
      </c>
      <c r="H123" s="55">
        <f t="shared" si="42"/>
        <v>0</v>
      </c>
      <c r="I123" s="55">
        <f t="shared" si="42"/>
        <v>0</v>
      </c>
      <c r="J123" s="55">
        <f t="shared" si="42"/>
        <v>0</v>
      </c>
      <c r="K123" s="55">
        <f t="shared" si="42"/>
        <v>0</v>
      </c>
      <c r="L123" s="55">
        <f t="shared" si="42"/>
        <v>1</v>
      </c>
      <c r="M123" s="55">
        <f t="shared" si="42"/>
        <v>0</v>
      </c>
      <c r="N123" s="55">
        <f t="shared" si="42"/>
        <v>0</v>
      </c>
      <c r="O123" s="55">
        <f t="shared" si="42"/>
        <v>0</v>
      </c>
      <c r="P123" s="55">
        <f t="shared" si="42"/>
        <v>0</v>
      </c>
    </row>
    <row r="124" spans="1:16" x14ac:dyDescent="0.25">
      <c r="A124" s="56" t="str">
        <f>IF(A123="~","~","")</f>
        <v/>
      </c>
      <c r="B124" s="57" t="s">
        <v>298</v>
      </c>
      <c r="C124" s="38"/>
      <c r="D124" s="53">
        <f>SUM(E124:P124)</f>
        <v>67009.356344389787</v>
      </c>
      <c r="E124" s="53">
        <v>0</v>
      </c>
      <c r="F124" s="53">
        <v>0</v>
      </c>
      <c r="G124" s="53">
        <v>0</v>
      </c>
      <c r="H124" s="53">
        <v>0</v>
      </c>
      <c r="I124" s="53">
        <f>+'Dist Plant (360-368)'!$D$12</f>
        <v>0</v>
      </c>
      <c r="J124" s="53">
        <v>0</v>
      </c>
      <c r="K124" s="53">
        <f>+'Dist Plant (360-368)'!$E$12</f>
        <v>0</v>
      </c>
      <c r="L124" s="53">
        <f>+'Dist Plant (360-368)'!$G$12</f>
        <v>67009.356344389787</v>
      </c>
      <c r="M124" s="53">
        <f>+'Dist Plant (360-368)'!$H$12</f>
        <v>0</v>
      </c>
      <c r="N124" s="53">
        <f>+'Dist Plant (360-368)'!$I$12</f>
        <v>0</v>
      </c>
      <c r="O124" s="53">
        <v>0</v>
      </c>
      <c r="P124" s="53">
        <f>+'Dist Plant (360-368)'!$F$12</f>
        <v>0</v>
      </c>
    </row>
    <row r="125" spans="1:16" x14ac:dyDescent="0.25">
      <c r="A125" s="58" t="str">
        <f>IF(A124="~","~","")</f>
        <v/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x14ac:dyDescent="0.25">
      <c r="A126" s="32" t="s">
        <v>199</v>
      </c>
      <c r="B126" s="32" t="s">
        <v>190</v>
      </c>
      <c r="C126" s="53" t="s">
        <v>100</v>
      </c>
      <c r="D126" s="54"/>
      <c r="E126" s="55">
        <f t="shared" ref="E126:P126" si="43">IF($D127=0,0,E127/$D127)</f>
        <v>0</v>
      </c>
      <c r="F126" s="55">
        <f t="shared" si="43"/>
        <v>0</v>
      </c>
      <c r="G126" s="55">
        <f t="shared" si="43"/>
        <v>0</v>
      </c>
      <c r="H126" s="55">
        <f t="shared" si="43"/>
        <v>0</v>
      </c>
      <c r="I126" s="55">
        <f t="shared" si="43"/>
        <v>0</v>
      </c>
      <c r="J126" s="55">
        <f t="shared" si="43"/>
        <v>0</v>
      </c>
      <c r="K126" s="55">
        <f t="shared" si="43"/>
        <v>0</v>
      </c>
      <c r="L126" s="55">
        <f t="shared" si="43"/>
        <v>0.75883966672163827</v>
      </c>
      <c r="M126" s="55">
        <f t="shared" si="43"/>
        <v>0.23971975414413829</v>
      </c>
      <c r="N126" s="55">
        <f t="shared" si="43"/>
        <v>1.4405791342233915E-3</v>
      </c>
      <c r="O126" s="55">
        <f t="shared" si="43"/>
        <v>0</v>
      </c>
      <c r="P126" s="55">
        <f t="shared" si="43"/>
        <v>0</v>
      </c>
    </row>
    <row r="127" spans="1:16" x14ac:dyDescent="0.25">
      <c r="A127" s="56" t="str">
        <f>IF(A126="~","~","")</f>
        <v/>
      </c>
      <c r="B127" s="57" t="s">
        <v>298</v>
      </c>
      <c r="C127" s="38"/>
      <c r="D127" s="53">
        <f>SUM(E127:P127)</f>
        <v>27766610.698247954</v>
      </c>
      <c r="E127" s="53">
        <v>0</v>
      </c>
      <c r="F127" s="53">
        <v>0</v>
      </c>
      <c r="G127" s="53">
        <v>0</v>
      </c>
      <c r="H127" s="53">
        <v>0</v>
      </c>
      <c r="I127" s="53">
        <f>+'Dist Plant (360-368)'!$D$13</f>
        <v>0</v>
      </c>
      <c r="J127" s="53">
        <v>0</v>
      </c>
      <c r="K127" s="53">
        <f>+'Dist Plant (360-368)'!$E$13</f>
        <v>0</v>
      </c>
      <c r="L127" s="53">
        <f>+'Dist Plant (360-368)'!$G$13</f>
        <v>21070405.608247954</v>
      </c>
      <c r="M127" s="53">
        <f>+'Dist Plant (360-368)'!$H$13</f>
        <v>6656205.0899999999</v>
      </c>
      <c r="N127" s="53">
        <f>+'Dist Plant (360-368)'!$I$13</f>
        <v>40000</v>
      </c>
      <c r="O127" s="53">
        <v>0</v>
      </c>
      <c r="P127" s="53">
        <f>+'Dist Plant (360-368)'!$F$13</f>
        <v>0</v>
      </c>
    </row>
    <row r="128" spans="1:16" x14ac:dyDescent="0.25">
      <c r="A128" s="58" t="str">
        <f>IF(A127="~","~","")</f>
        <v/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25">
      <c r="A129" s="32" t="s">
        <v>200</v>
      </c>
      <c r="B129" s="32" t="s">
        <v>201</v>
      </c>
      <c r="C129" s="53" t="s">
        <v>100</v>
      </c>
      <c r="D129" s="54"/>
      <c r="E129" s="55">
        <f t="shared" ref="E129:P129" si="44">IF($D130=0,0,E130/$D130)</f>
        <v>0</v>
      </c>
      <c r="F129" s="55">
        <f t="shared" si="44"/>
        <v>0</v>
      </c>
      <c r="G129" s="55">
        <f t="shared" si="44"/>
        <v>0</v>
      </c>
      <c r="H129" s="55">
        <f t="shared" si="44"/>
        <v>0</v>
      </c>
      <c r="I129" s="55">
        <f t="shared" si="44"/>
        <v>0.35908484956782455</v>
      </c>
      <c r="J129" s="55">
        <f t="shared" si="44"/>
        <v>0</v>
      </c>
      <c r="K129" s="55">
        <f t="shared" si="44"/>
        <v>2.0579680622188106E-2</v>
      </c>
      <c r="L129" s="55">
        <f t="shared" si="44"/>
        <v>0.61188698089763194</v>
      </c>
      <c r="M129" s="55">
        <f t="shared" si="44"/>
        <v>0</v>
      </c>
      <c r="N129" s="55">
        <f t="shared" si="44"/>
        <v>0</v>
      </c>
      <c r="O129" s="55">
        <f t="shared" si="44"/>
        <v>0</v>
      </c>
      <c r="P129" s="55">
        <f t="shared" si="44"/>
        <v>8.4484889123555215E-3</v>
      </c>
    </row>
    <row r="130" spans="1:16" x14ac:dyDescent="0.25">
      <c r="A130" s="56" t="str">
        <f>IF(A129="~","~","")</f>
        <v/>
      </c>
      <c r="B130" s="57" t="s">
        <v>298</v>
      </c>
      <c r="C130" s="38"/>
      <c r="D130" s="53">
        <f>SUM(E130:P130)</f>
        <v>2295936.0190000972</v>
      </c>
      <c r="E130" s="53">
        <v>0</v>
      </c>
      <c r="F130" s="53">
        <v>0</v>
      </c>
      <c r="G130" s="53">
        <v>0</v>
      </c>
      <c r="H130" s="53">
        <v>0</v>
      </c>
      <c r="I130" s="53">
        <f>SUM('Dist Plant (360-368)'!D14:D15)</f>
        <v>824435.83999999985</v>
      </c>
      <c r="J130" s="53">
        <v>0</v>
      </c>
      <c r="K130" s="53">
        <f>SUM('Dist Plant (360-368)'!E14:E15)</f>
        <v>47249.630000000005</v>
      </c>
      <c r="L130" s="53">
        <f>SUM('Dist Plant (360-368)'!G14:G15)</f>
        <v>1404853.3590000975</v>
      </c>
      <c r="M130" s="53">
        <f>SUM('Dist Plant (360-368)'!H14:H15)</f>
        <v>0</v>
      </c>
      <c r="N130" s="53">
        <f>SUM('Dist Plant (360-368)'!I14:I15)</f>
        <v>0</v>
      </c>
      <c r="O130" s="53">
        <v>0</v>
      </c>
      <c r="P130" s="53">
        <f>SUM('Dist Plant (360-368)'!F14:F15)</f>
        <v>19397.189999999999</v>
      </c>
    </row>
    <row r="131" spans="1:16" x14ac:dyDescent="0.25">
      <c r="A131" s="58" t="str">
        <f>IF(A130="~","~","")</f>
        <v/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x14ac:dyDescent="0.25">
      <c r="A132" s="32" t="s">
        <v>202</v>
      </c>
      <c r="B132" s="32" t="s">
        <v>203</v>
      </c>
      <c r="C132" s="53" t="s">
        <v>100</v>
      </c>
      <c r="D132" s="54"/>
      <c r="E132" s="55">
        <f t="shared" ref="E132:P132" si="45">IF($D133=0,0,E133/$D133)</f>
        <v>0.45386350191334318</v>
      </c>
      <c r="F132" s="55">
        <f t="shared" si="45"/>
        <v>0.14631471615253269</v>
      </c>
      <c r="G132" s="55">
        <f t="shared" si="45"/>
        <v>0.19036027100202718</v>
      </c>
      <c r="H132" s="55">
        <f t="shared" si="45"/>
        <v>0.11187630426084208</v>
      </c>
      <c r="I132" s="55">
        <f t="shared" si="45"/>
        <v>9.2148778025191558E-2</v>
      </c>
      <c r="J132" s="55">
        <f t="shared" si="45"/>
        <v>2.0171016944910678E-5</v>
      </c>
      <c r="K132" s="55">
        <f t="shared" si="45"/>
        <v>4.7108493210432298E-3</v>
      </c>
      <c r="L132" s="55">
        <f t="shared" si="45"/>
        <v>0</v>
      </c>
      <c r="M132" s="55">
        <f t="shared" si="45"/>
        <v>0</v>
      </c>
      <c r="N132" s="55">
        <f t="shared" si="45"/>
        <v>0</v>
      </c>
      <c r="O132" s="55">
        <f t="shared" si="45"/>
        <v>6.441821404797231E-4</v>
      </c>
      <c r="P132" s="55">
        <f t="shared" si="45"/>
        <v>6.1226167595410694E-5</v>
      </c>
    </row>
    <row r="133" spans="1:16" x14ac:dyDescent="0.25">
      <c r="A133" s="56" t="str">
        <f>IF(A132="~","~","")</f>
        <v/>
      </c>
      <c r="B133" s="57" t="s">
        <v>298</v>
      </c>
      <c r="C133" s="38"/>
      <c r="D133" s="53">
        <f>SUM(E133:P133)</f>
        <v>29448193</v>
      </c>
      <c r="E133" s="53">
        <f>+'NCP Dist Plant (360-362)'!$B$10</f>
        <v>13365460</v>
      </c>
      <c r="F133" s="53">
        <f>+'NCP Dist Plant (360-362)'!$B$11</f>
        <v>4308704</v>
      </c>
      <c r="G133" s="53">
        <f>+'NCP Dist Plant (360-362)'!$B$12+'NCP Dist Plant (360-362)'!$B$14</f>
        <v>5605766</v>
      </c>
      <c r="H133" s="53">
        <f>+'NCP Dist Plant (360-362)'!$B$13</f>
        <v>3294555</v>
      </c>
      <c r="I133" s="53">
        <f>+'NCP Dist Plant (360-362)'!$B$15</f>
        <v>2713615</v>
      </c>
      <c r="J133" s="53">
        <f>+'NCP Dist Plant (360-362)'!$B$16</f>
        <v>594</v>
      </c>
      <c r="K133" s="53">
        <f>+'NCP Dist Plant (360-362)'!$B$18</f>
        <v>138726</v>
      </c>
      <c r="L133" s="53">
        <v>0</v>
      </c>
      <c r="M133" s="53">
        <v>0</v>
      </c>
      <c r="N133" s="53">
        <v>0</v>
      </c>
      <c r="O133" s="53">
        <f>+'NCP Dist Plant (360-362)'!$B$19</f>
        <v>18970</v>
      </c>
      <c r="P133" s="53">
        <f>+'NCP Dist Plant (360-362)'!$B$20</f>
        <v>1803</v>
      </c>
    </row>
    <row r="134" spans="1:16" x14ac:dyDescent="0.25">
      <c r="A134" s="58" t="str">
        <f>IF(A133="~","~","")</f>
        <v/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x14ac:dyDescent="0.25">
      <c r="A135" s="32" t="s">
        <v>204</v>
      </c>
      <c r="B135" s="32" t="s">
        <v>205</v>
      </c>
      <c r="C135" s="53" t="s">
        <v>100</v>
      </c>
      <c r="D135" s="54"/>
      <c r="E135" s="55">
        <f t="shared" ref="E135:P135" si="46">IF($D136=0,0,E136/$D136)</f>
        <v>0.50907264722268186</v>
      </c>
      <c r="F135" s="55">
        <f t="shared" si="46"/>
        <v>0.14013969146770699</v>
      </c>
      <c r="G135" s="55">
        <f t="shared" si="46"/>
        <v>0.17405056842692465</v>
      </c>
      <c r="H135" s="55">
        <f t="shared" si="46"/>
        <v>0.10122515458047397</v>
      </c>
      <c r="I135" s="55">
        <f t="shared" si="46"/>
        <v>6.6454320991222671E-2</v>
      </c>
      <c r="J135" s="55">
        <f t="shared" si="46"/>
        <v>1.4451838165425855E-7</v>
      </c>
      <c r="K135" s="55">
        <f t="shared" si="46"/>
        <v>8.1701299292510268E-3</v>
      </c>
      <c r="L135" s="55">
        <f t="shared" si="46"/>
        <v>0</v>
      </c>
      <c r="M135" s="55">
        <f t="shared" si="46"/>
        <v>0</v>
      </c>
      <c r="N135" s="55">
        <f t="shared" si="46"/>
        <v>0</v>
      </c>
      <c r="O135" s="55">
        <f t="shared" si="46"/>
        <v>7.7353463780441896E-4</v>
      </c>
      <c r="P135" s="55">
        <f t="shared" si="46"/>
        <v>1.1380822555272861E-4</v>
      </c>
    </row>
    <row r="136" spans="1:16" x14ac:dyDescent="0.25">
      <c r="A136" s="56" t="str">
        <f>IF(A135="~","~","")</f>
        <v/>
      </c>
      <c r="B136" s="57" t="s">
        <v>298</v>
      </c>
      <c r="C136" s="38"/>
      <c r="D136" s="53">
        <f>SUM(E136:P136)</f>
        <v>13839070</v>
      </c>
      <c r="E136" s="53">
        <f>+'NCP Dist Plant (360-362)'!$C$10</f>
        <v>7045092</v>
      </c>
      <c r="F136" s="53">
        <f>+'NCP Dist Plant (360-362)'!$C$11</f>
        <v>1939403</v>
      </c>
      <c r="G136" s="53">
        <f>+'NCP Dist Plant (360-362)'!$C$12+'NCP Dist Plant (360-362)'!$C$14</f>
        <v>2408698</v>
      </c>
      <c r="H136" s="53">
        <f>+'NCP Dist Plant (360-362)'!$C$13</f>
        <v>1400862</v>
      </c>
      <c r="I136" s="53">
        <f>+'NCP Dist Plant (360-362)'!$C$15</f>
        <v>919666</v>
      </c>
      <c r="J136" s="53">
        <f>+'NCP Dist Plant (360-362)'!$C$16</f>
        <v>2</v>
      </c>
      <c r="K136" s="53">
        <f>+'NCP Dist Plant (360-362)'!$C$18</f>
        <v>113067</v>
      </c>
      <c r="L136" s="53">
        <v>0</v>
      </c>
      <c r="M136" s="53">
        <v>0</v>
      </c>
      <c r="N136" s="53">
        <v>0</v>
      </c>
      <c r="O136" s="53">
        <f>++'NCP Dist Plant (360-362)'!$C$19</f>
        <v>10705</v>
      </c>
      <c r="P136" s="53">
        <f>+'NCP Dist Plant (360-362)'!$C$20</f>
        <v>1575</v>
      </c>
    </row>
    <row r="137" spans="1:16" x14ac:dyDescent="0.25">
      <c r="A137" s="58" t="str">
        <f>IF(A136="~","~","")</f>
        <v/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x14ac:dyDescent="0.25">
      <c r="A138" s="32" t="s">
        <v>206</v>
      </c>
      <c r="B138" s="32" t="s">
        <v>207</v>
      </c>
      <c r="C138" s="53" t="s">
        <v>100</v>
      </c>
      <c r="D138" s="54"/>
      <c r="E138" s="55">
        <f t="shared" ref="E138:P138" si="47">IF($D139=0,0,E139/$D139)</f>
        <v>0.55819575126506471</v>
      </c>
      <c r="F138" s="55">
        <f t="shared" si="47"/>
        <v>0.13495719173795892</v>
      </c>
      <c r="G138" s="55">
        <f t="shared" si="47"/>
        <v>0.14828956361989737</v>
      </c>
      <c r="H138" s="55">
        <f t="shared" si="47"/>
        <v>7.8903642153771686E-2</v>
      </c>
      <c r="I138" s="55">
        <f t="shared" si="47"/>
        <v>7.0246777035593982E-2</v>
      </c>
      <c r="J138" s="55">
        <f t="shared" si="47"/>
        <v>2.5829713162170485E-4</v>
      </c>
      <c r="K138" s="55">
        <f t="shared" si="47"/>
        <v>8.0670643143086491E-3</v>
      </c>
      <c r="L138" s="55">
        <f t="shared" si="47"/>
        <v>0</v>
      </c>
      <c r="M138" s="55">
        <f t="shared" si="47"/>
        <v>0</v>
      </c>
      <c r="N138" s="55">
        <f t="shared" si="47"/>
        <v>0</v>
      </c>
      <c r="O138" s="55">
        <f t="shared" si="47"/>
        <v>8.0672304033179495E-4</v>
      </c>
      <c r="P138" s="55">
        <f t="shared" si="47"/>
        <v>2.74989701451172E-4</v>
      </c>
    </row>
    <row r="139" spans="1:16" x14ac:dyDescent="0.25">
      <c r="A139" s="56" t="str">
        <f>IF(A138="~","~","")</f>
        <v/>
      </c>
      <c r="B139" s="57" t="s">
        <v>298</v>
      </c>
      <c r="C139" s="38"/>
      <c r="D139" s="53">
        <f>SUM(E139:P139)</f>
        <v>800775443</v>
      </c>
      <c r="E139" s="53">
        <f>+'NCP Dist Plant (360-362)'!$D$10</f>
        <v>446989450</v>
      </c>
      <c r="F139" s="53">
        <f>+'NCP Dist Plant (360-362)'!$D$11</f>
        <v>108070405</v>
      </c>
      <c r="G139" s="53">
        <f>+'NCP Dist Plant (360-362)'!$D$12+'NCP Dist Plant (360-362)'!$D$14</f>
        <v>118746641</v>
      </c>
      <c r="H139" s="53">
        <f>+'NCP Dist Plant (360-362)'!$D$13</f>
        <v>63184099</v>
      </c>
      <c r="I139" s="53">
        <f>+'NCP Dist Plant (360-362)'!$D$15</f>
        <v>56251894</v>
      </c>
      <c r="J139" s="53">
        <f>+'NCP Dist Plant (360-362)'!$D$16</f>
        <v>206838</v>
      </c>
      <c r="K139" s="53">
        <f>+'NCP Dist Plant (360-362)'!$D$18</f>
        <v>6459907</v>
      </c>
      <c r="L139" s="53">
        <v>0</v>
      </c>
      <c r="M139" s="53">
        <v>0</v>
      </c>
      <c r="N139" s="53">
        <v>0</v>
      </c>
      <c r="O139" s="53">
        <f>++'NCP Dist Plant (360-362)'!$D$19</f>
        <v>646004</v>
      </c>
      <c r="P139" s="53">
        <f>+'NCP Dist Plant (360-362)'!$D$20</f>
        <v>220205</v>
      </c>
    </row>
    <row r="140" spans="1:16" x14ac:dyDescent="0.25">
      <c r="A140" s="58" t="str">
        <f>IF(A139="~","~","")</f>
        <v/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25">
      <c r="A141" s="32" t="s">
        <v>208</v>
      </c>
      <c r="B141" s="32" t="s">
        <v>209</v>
      </c>
      <c r="C141" s="53" t="s">
        <v>100</v>
      </c>
      <c r="D141" s="54"/>
      <c r="E141" s="55">
        <f t="shared" ref="E141:P141" si="48">IF($D142=0,0,E142/$D142)</f>
        <v>0.68921305112937814</v>
      </c>
      <c r="F141" s="55">
        <f t="shared" si="48"/>
        <v>0.1259311043077887</v>
      </c>
      <c r="G141" s="55">
        <f t="shared" si="48"/>
        <v>9.7902554460059923E-2</v>
      </c>
      <c r="H141" s="55">
        <f t="shared" si="48"/>
        <v>3.8728716180925514E-2</v>
      </c>
      <c r="I141" s="55">
        <f t="shared" si="48"/>
        <v>3.6251797925254514E-2</v>
      </c>
      <c r="J141" s="55">
        <f t="shared" si="48"/>
        <v>9.0800247490940042E-4</v>
      </c>
      <c r="K141" s="55">
        <f t="shared" si="48"/>
        <v>9.7690620254079971E-3</v>
      </c>
      <c r="L141" s="55">
        <f t="shared" si="48"/>
        <v>0</v>
      </c>
      <c r="M141" s="55">
        <f t="shared" si="48"/>
        <v>0</v>
      </c>
      <c r="N141" s="55">
        <f t="shared" si="48"/>
        <v>0</v>
      </c>
      <c r="O141" s="55">
        <f t="shared" si="48"/>
        <v>6.0566979244509791E-4</v>
      </c>
      <c r="P141" s="55">
        <f t="shared" si="48"/>
        <v>6.9004170383048463E-4</v>
      </c>
    </row>
    <row r="142" spans="1:16" x14ac:dyDescent="0.25">
      <c r="A142" s="56" t="str">
        <f>IF(A141="~","~","")</f>
        <v/>
      </c>
      <c r="B142" s="57" t="s">
        <v>298</v>
      </c>
      <c r="C142" s="38"/>
      <c r="D142" s="53">
        <f>SUM(E142:P142)</f>
        <v>9955.9200000000019</v>
      </c>
      <c r="E142" s="53">
        <f>+'NCP Dist OH-UG Plant (364-367)'!B9</f>
        <v>6861.75</v>
      </c>
      <c r="F142" s="53">
        <f>+'NCP Dist OH-UG Plant (364-367)'!B10</f>
        <v>1253.76</v>
      </c>
      <c r="G142" s="53">
        <f>+'NCP Dist OH-UG Plant (364-367)'!B11+'NCP Dist OH-UG Plant (364-367)'!B13</f>
        <v>974.70999999999992</v>
      </c>
      <c r="H142" s="53">
        <f>+'NCP Dist OH-UG Plant (364-367)'!B12</f>
        <v>385.58</v>
      </c>
      <c r="I142" s="53">
        <f>+'NCP Dist OH-UG Plant (364-367)'!B14</f>
        <v>360.91999999999996</v>
      </c>
      <c r="J142" s="53">
        <f>+'NCP Dist OH-UG Plant (364-367)'!B15</f>
        <v>9.0399999999999991</v>
      </c>
      <c r="K142" s="53">
        <f>+'NCP Dist OH-UG Plant (364-367)'!B16</f>
        <v>97.26</v>
      </c>
      <c r="L142" s="53">
        <v>0</v>
      </c>
      <c r="M142" s="53">
        <v>0</v>
      </c>
      <c r="N142" s="53">
        <v>0</v>
      </c>
      <c r="O142" s="53">
        <f>+'NCP Dist OH-UG Plant (364-367)'!B18</f>
        <v>6.03</v>
      </c>
      <c r="P142" s="53">
        <f>+'NCP Dist OH-UG Plant (364-367)'!B19</f>
        <v>6.87</v>
      </c>
    </row>
    <row r="143" spans="1:16" x14ac:dyDescent="0.25">
      <c r="A143" s="58" t="str">
        <f>IF(A142="~","~","")</f>
        <v/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x14ac:dyDescent="0.25">
      <c r="A144" s="32" t="s">
        <v>210</v>
      </c>
      <c r="B144" s="32" t="s">
        <v>164</v>
      </c>
      <c r="C144" s="53" t="s">
        <v>100</v>
      </c>
      <c r="D144" s="54"/>
      <c r="E144" s="55">
        <f t="shared" ref="E144:P144" si="49">IF($D145=0,0,E145/$D145)</f>
        <v>0.74665324496272123</v>
      </c>
      <c r="F144" s="55">
        <f t="shared" si="49"/>
        <v>0.12228655259406904</v>
      </c>
      <c r="G144" s="55">
        <f t="shared" si="49"/>
        <v>1.787760126859388E-2</v>
      </c>
      <c r="H144" s="55">
        <f t="shared" si="49"/>
        <v>2.0159471823135439E-4</v>
      </c>
      <c r="I144" s="55">
        <f t="shared" si="49"/>
        <v>0</v>
      </c>
      <c r="J144" s="55">
        <f t="shared" si="49"/>
        <v>0</v>
      </c>
      <c r="K144" s="55">
        <f t="shared" si="49"/>
        <v>0</v>
      </c>
      <c r="L144" s="55">
        <f t="shared" si="49"/>
        <v>0</v>
      </c>
      <c r="M144" s="55">
        <f t="shared" si="49"/>
        <v>0</v>
      </c>
      <c r="N144" s="55">
        <f t="shared" si="49"/>
        <v>0</v>
      </c>
      <c r="O144" s="55">
        <f t="shared" si="49"/>
        <v>0.11298100645638461</v>
      </c>
      <c r="P144" s="55">
        <f t="shared" si="49"/>
        <v>0</v>
      </c>
    </row>
    <row r="145" spans="1:16" x14ac:dyDescent="0.25">
      <c r="A145" s="56" t="str">
        <f>IF(A144="~","~","")</f>
        <v/>
      </c>
      <c r="B145" s="57" t="s">
        <v>298</v>
      </c>
      <c r="C145" s="38"/>
      <c r="D145" s="53">
        <f>SUM(E145:P145)</f>
        <v>448977328.08714169</v>
      </c>
      <c r="E145" s="53">
        <f>+'Dist Transformer Plant (368)'!B10</f>
        <v>335230378.93095666</v>
      </c>
      <c r="F145" s="53">
        <f>+'Dist Transformer Plant (368)'!B11</f>
        <v>54903889.644672841</v>
      </c>
      <c r="G145" s="53">
        <f>+'Dist Transformer Plant (368)'!B12+'Dist Transformer Plant (368)'!B14</f>
        <v>8026637.6501805745</v>
      </c>
      <c r="H145" s="53">
        <f>+'Dist Transformer Plant (368)'!B13</f>
        <v>90511.45794799368</v>
      </c>
      <c r="I145" s="53">
        <f t="shared" ref="I145:P145" si="50">+I68</f>
        <v>0</v>
      </c>
      <c r="J145" s="53">
        <f t="shared" si="50"/>
        <v>0</v>
      </c>
      <c r="K145" s="53">
        <f t="shared" si="50"/>
        <v>0</v>
      </c>
      <c r="L145" s="53">
        <f t="shared" si="50"/>
        <v>0</v>
      </c>
      <c r="M145" s="53">
        <f t="shared" si="50"/>
        <v>0</v>
      </c>
      <c r="N145" s="53">
        <f t="shared" si="50"/>
        <v>0</v>
      </c>
      <c r="O145" s="53">
        <f>+'Dist Transformer Plant (368)'!B18</f>
        <v>50725910.403383665</v>
      </c>
      <c r="P145" s="53">
        <f t="shared" si="50"/>
        <v>0</v>
      </c>
    </row>
    <row r="146" spans="1:16" x14ac:dyDescent="0.25">
      <c r="A146" s="5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25">
      <c r="A147" s="32" t="s">
        <v>211</v>
      </c>
      <c r="B147" s="32" t="s">
        <v>212</v>
      </c>
      <c r="C147" s="53" t="s">
        <v>100</v>
      </c>
      <c r="D147" s="54"/>
      <c r="E147" s="55">
        <f t="shared" ref="E147:P147" si="51">IF($D148=0,0,E148/$D148)</f>
        <v>0.67299453361154526</v>
      </c>
      <c r="F147" s="55">
        <f t="shared" si="51"/>
        <v>0.11991939258824369</v>
      </c>
      <c r="G147" s="55">
        <f t="shared" si="51"/>
        <v>0.11190625421483145</v>
      </c>
      <c r="H147" s="55">
        <f t="shared" si="51"/>
        <v>4.8586593464135255E-2</v>
      </c>
      <c r="I147" s="55">
        <f t="shared" si="51"/>
        <v>3.4655831739961764E-2</v>
      </c>
      <c r="J147" s="55">
        <f t="shared" si="51"/>
        <v>4.1156589417897069E-4</v>
      </c>
      <c r="K147" s="55">
        <f t="shared" si="51"/>
        <v>1.0790960227858746E-2</v>
      </c>
      <c r="L147" s="55">
        <f t="shared" si="51"/>
        <v>0</v>
      </c>
      <c r="M147" s="55">
        <f t="shared" si="51"/>
        <v>0</v>
      </c>
      <c r="N147" s="55">
        <f t="shared" si="51"/>
        <v>0</v>
      </c>
      <c r="O147" s="55">
        <f t="shared" si="51"/>
        <v>4.6115214648969005E-4</v>
      </c>
      <c r="P147" s="55">
        <f t="shared" si="51"/>
        <v>2.7371611275517083E-4</v>
      </c>
    </row>
    <row r="148" spans="1:16" x14ac:dyDescent="0.25">
      <c r="A148" s="56" t="str">
        <f>IF(A147="~","~","")</f>
        <v/>
      </c>
      <c r="B148" s="57" t="s">
        <v>298</v>
      </c>
      <c r="C148" s="38"/>
      <c r="D148" s="53">
        <f>SUM(E148:P148)</f>
        <v>10083.44</v>
      </c>
      <c r="E148" s="53">
        <f>+'NCP Dist OH-UG Plant (364-367)'!$C$9</f>
        <v>6786.1</v>
      </c>
      <c r="F148" s="53">
        <f>+'NCP Dist OH-UG Plant (364-367)'!C10</f>
        <v>1209.2</v>
      </c>
      <c r="G148" s="53">
        <f>+'NCP Dist OH-UG Plant (364-367)'!C11+'NCP Dist OH-UG Plant (364-367)'!C13</f>
        <v>1128.4000000000001</v>
      </c>
      <c r="H148" s="53">
        <f>+'NCP Dist OH-UG Plant (364-367)'!C12</f>
        <v>489.92</v>
      </c>
      <c r="I148" s="53">
        <f>+'NCP Dist OH-UG Plant (364-367)'!C14</f>
        <v>349.45000000000005</v>
      </c>
      <c r="J148" s="53">
        <f>+'NCP Dist OH-UG Plant (364-367)'!C15</f>
        <v>4.1500000000000004</v>
      </c>
      <c r="K148" s="53">
        <f>+'NCP Dist OH-UG Plant (364-367)'!C16</f>
        <v>108.81</v>
      </c>
      <c r="L148" s="53">
        <v>0</v>
      </c>
      <c r="M148" s="53">
        <v>0</v>
      </c>
      <c r="N148" s="53">
        <v>0</v>
      </c>
      <c r="O148" s="53">
        <f>+'NCP Dist OH-UG Plant (364-367)'!C18</f>
        <v>4.6500000000000004</v>
      </c>
      <c r="P148" s="53">
        <f>+'NCP Dist OH-UG Plant (364-367)'!C19</f>
        <v>2.76</v>
      </c>
    </row>
    <row r="149" spans="1:16" x14ac:dyDescent="0.25">
      <c r="A149" s="58" t="str">
        <f>IF(A148="~","~","")</f>
        <v/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x14ac:dyDescent="0.25">
      <c r="A150" s="32" t="s">
        <v>213</v>
      </c>
      <c r="B150" s="32" t="s">
        <v>170</v>
      </c>
      <c r="C150" s="53" t="s">
        <v>100</v>
      </c>
      <c r="D150" s="54"/>
      <c r="E150" s="55">
        <f t="shared" ref="E150:P150" si="52">IF($D151=0,0,E151/$D151)</f>
        <v>0.79887754674390821</v>
      </c>
      <c r="F150" s="55">
        <f t="shared" si="52"/>
        <v>0.12350228902203479</v>
      </c>
      <c r="G150" s="55">
        <f t="shared" si="52"/>
        <v>5.8863543514252464E-2</v>
      </c>
      <c r="H150" s="55">
        <f t="shared" si="52"/>
        <v>1.6265272745806532E-2</v>
      </c>
      <c r="I150" s="55">
        <f t="shared" si="52"/>
        <v>0</v>
      </c>
      <c r="J150" s="55">
        <f t="shared" si="52"/>
        <v>0</v>
      </c>
      <c r="K150" s="55">
        <f t="shared" si="52"/>
        <v>0</v>
      </c>
      <c r="L150" s="55">
        <f t="shared" si="52"/>
        <v>0</v>
      </c>
      <c r="M150" s="55">
        <f t="shared" si="52"/>
        <v>0</v>
      </c>
      <c r="N150" s="55">
        <f t="shared" si="52"/>
        <v>0</v>
      </c>
      <c r="O150" s="55">
        <f t="shared" si="52"/>
        <v>2.4913479739980173E-3</v>
      </c>
      <c r="P150" s="55">
        <f t="shared" si="52"/>
        <v>0</v>
      </c>
    </row>
    <row r="151" spans="1:16" x14ac:dyDescent="0.25">
      <c r="A151" s="56" t="str">
        <f>IF(A150="~","~","")</f>
        <v/>
      </c>
      <c r="B151" s="57" t="s">
        <v>298</v>
      </c>
      <c r="C151" s="38"/>
      <c r="D151" s="53">
        <f>SUM(E151:P151)</f>
        <v>784299006.1578418</v>
      </c>
      <c r="E151" s="53">
        <f>+'Dist Transformer Plant (368)'!E10</f>
        <v>626558865.95306206</v>
      </c>
      <c r="F151" s="53">
        <f>+'Dist Transformer Plant (368)'!E11</f>
        <v>96862722.538200423</v>
      </c>
      <c r="G151" s="53">
        <f>+'Dist Transformer Plant (368)'!E12+'Dist Transformer Plant (368)'!E14</f>
        <v>46166618.677157082</v>
      </c>
      <c r="H151" s="53">
        <f>+'Dist Transformer Plant (368)'!E13</f>
        <v>12756837.249422293</v>
      </c>
      <c r="I151" s="53">
        <f t="shared" ref="I151:P151" si="53">+I80</f>
        <v>0</v>
      </c>
      <c r="J151" s="53">
        <f t="shared" si="53"/>
        <v>0</v>
      </c>
      <c r="K151" s="53">
        <f t="shared" si="53"/>
        <v>0</v>
      </c>
      <c r="L151" s="53">
        <f t="shared" si="53"/>
        <v>0</v>
      </c>
      <c r="M151" s="53">
        <f t="shared" si="53"/>
        <v>0</v>
      </c>
      <c r="N151" s="53">
        <f t="shared" si="53"/>
        <v>0</v>
      </c>
      <c r="O151" s="53">
        <f>+'Dist Transformer Plant (368)'!E18</f>
        <v>1953961.7399999977</v>
      </c>
      <c r="P151" s="53">
        <f t="shared" si="53"/>
        <v>0</v>
      </c>
    </row>
    <row r="152" spans="1:16" x14ac:dyDescent="0.25">
      <c r="A152" s="58" t="str">
        <f>IF(A151="~","~","")</f>
        <v/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x14ac:dyDescent="0.25">
      <c r="A153" s="32" t="s">
        <v>214</v>
      </c>
      <c r="B153" s="32" t="s">
        <v>215</v>
      </c>
      <c r="C153" s="53" t="s">
        <v>100</v>
      </c>
      <c r="D153" s="54"/>
      <c r="E153" s="55">
        <f t="shared" ref="E153:P153" si="54">IF($D154=0,0,E154/$D154)</f>
        <v>0</v>
      </c>
      <c r="F153" s="55">
        <f t="shared" si="54"/>
        <v>0</v>
      </c>
      <c r="G153" s="55">
        <f t="shared" si="54"/>
        <v>0</v>
      </c>
      <c r="H153" s="55">
        <f t="shared" si="54"/>
        <v>0</v>
      </c>
      <c r="I153" s="55">
        <f t="shared" si="54"/>
        <v>0.10144294625330887</v>
      </c>
      <c r="J153" s="55">
        <f t="shared" si="54"/>
        <v>0</v>
      </c>
      <c r="K153" s="55">
        <f t="shared" si="54"/>
        <v>2.799036703816662E-3</v>
      </c>
      <c r="L153" s="55">
        <f t="shared" si="54"/>
        <v>1.7590802956872518E-2</v>
      </c>
      <c r="M153" s="55">
        <f t="shared" si="54"/>
        <v>0.64840571020737992</v>
      </c>
      <c r="N153" s="55">
        <f t="shared" si="54"/>
        <v>0.22898862239199153</v>
      </c>
      <c r="O153" s="55">
        <f t="shared" si="54"/>
        <v>0</v>
      </c>
      <c r="P153" s="55">
        <f t="shared" si="54"/>
        <v>7.7288148663056267E-4</v>
      </c>
    </row>
    <row r="154" spans="1:16" x14ac:dyDescent="0.25">
      <c r="A154" s="56" t="str">
        <f>IF(A153="~","~","")</f>
        <v/>
      </c>
      <c r="B154" s="57" t="s">
        <v>298</v>
      </c>
      <c r="C154" s="38"/>
      <c r="D154" s="53">
        <f>SUM(E154:P154)</f>
        <v>4428880.83</v>
      </c>
      <c r="E154" s="53">
        <v>0</v>
      </c>
      <c r="F154" s="53">
        <v>0</v>
      </c>
      <c r="G154" s="53">
        <v>0</v>
      </c>
      <c r="H154" s="53">
        <v>0</v>
      </c>
      <c r="I154" s="53">
        <f>+'Other Op Rev Equip Rental (454)'!B8</f>
        <v>449278.71999999997</v>
      </c>
      <c r="J154" s="53">
        <v>0</v>
      </c>
      <c r="K154" s="53">
        <f>+'Other Op Rev Equip Rental (454)'!B9</f>
        <v>12396.600000000002</v>
      </c>
      <c r="L154" s="53">
        <f>+'Other Op Rev Equip Rental (454)'!B10</f>
        <v>77907.570000000007</v>
      </c>
      <c r="M154" s="53">
        <f>+'Other Op Rev Equip Rental (454)'!B11</f>
        <v>2871711.62</v>
      </c>
      <c r="N154" s="53">
        <f>+'Other Op Rev Equip Rental (454)'!B12</f>
        <v>1014163.3200000001</v>
      </c>
      <c r="O154" s="53">
        <v>0</v>
      </c>
      <c r="P154" s="53">
        <f>+'Other Op Rev Equip Rental (454)'!B13</f>
        <v>3423.0000000000005</v>
      </c>
    </row>
    <row r="155" spans="1:16" x14ac:dyDescent="0.25">
      <c r="A155" s="58" t="str">
        <f>IF(A154="~","~","")</f>
        <v/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x14ac:dyDescent="0.25">
      <c r="A156" s="5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x14ac:dyDescent="0.25">
      <c r="A157" s="5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x14ac:dyDescent="0.25">
      <c r="A158" s="5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x14ac:dyDescent="0.25">
      <c r="A159" s="5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25">
      <c r="A160" s="5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x14ac:dyDescent="0.25">
      <c r="A161" s="5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x14ac:dyDescent="0.25">
      <c r="A162" s="5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x14ac:dyDescent="0.25">
      <c r="A163" s="27"/>
      <c r="B163" s="31" t="s">
        <v>216</v>
      </c>
      <c r="C163" s="27"/>
      <c r="D163" s="27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</row>
    <row r="164" spans="1:16" x14ac:dyDescent="0.25">
      <c r="A164" s="27"/>
      <c r="B164" s="25"/>
      <c r="C164" s="27"/>
      <c r="D164" s="27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</row>
    <row r="165" spans="1:16" x14ac:dyDescent="0.25">
      <c r="A165" s="32" t="s">
        <v>217</v>
      </c>
      <c r="B165" s="49" t="s">
        <v>369</v>
      </c>
      <c r="C165" s="53" t="s">
        <v>102</v>
      </c>
      <c r="D165" s="54"/>
      <c r="E165" s="55">
        <f t="shared" ref="E165:P165" si="55">IF($D166=0,0,E166/$D166)</f>
        <v>0.95739981183891798</v>
      </c>
      <c r="F165" s="55">
        <f t="shared" si="55"/>
        <v>2.2868341466137396E-2</v>
      </c>
      <c r="G165" s="55">
        <f t="shared" si="55"/>
        <v>1.4828277473490617E-2</v>
      </c>
      <c r="H165" s="55">
        <f t="shared" si="55"/>
        <v>1.53118061956057E-3</v>
      </c>
      <c r="I165" s="55">
        <f t="shared" si="55"/>
        <v>2.7939624691731232E-3</v>
      </c>
      <c r="J165" s="55">
        <f t="shared" si="55"/>
        <v>4.053721618877991E-4</v>
      </c>
      <c r="K165" s="55">
        <f t="shared" si="55"/>
        <v>0</v>
      </c>
      <c r="L165" s="55">
        <f t="shared" si="55"/>
        <v>0</v>
      </c>
      <c r="M165" s="55">
        <f t="shared" si="55"/>
        <v>0</v>
      </c>
      <c r="N165" s="55">
        <f t="shared" si="55"/>
        <v>0</v>
      </c>
      <c r="O165" s="55">
        <f t="shared" si="55"/>
        <v>1.730539708326799E-4</v>
      </c>
      <c r="P165" s="55">
        <f t="shared" si="55"/>
        <v>0</v>
      </c>
    </row>
    <row r="166" spans="1:16" x14ac:dyDescent="0.25">
      <c r="A166" s="56" t="str">
        <f>IF(A165="~","~","")</f>
        <v/>
      </c>
      <c r="B166" s="57" t="s">
        <v>298</v>
      </c>
      <c r="C166" s="38"/>
      <c r="D166" s="53">
        <f>SUM(E166:P166)</f>
        <v>10961926.885423223</v>
      </c>
      <c r="E166" s="53">
        <f>+'BPA Delivered MWh'!D7</f>
        <v>10494946.737496169</v>
      </c>
      <c r="F166" s="53">
        <f>+'BPA Delivered MWh'!D10</f>
        <v>250681.08714269023</v>
      </c>
      <c r="G166" s="53">
        <f>+'BPA Delivered MWh'!D11+'BPA Delivered MWh'!D13</f>
        <v>162546.49350117234</v>
      </c>
      <c r="H166" s="53">
        <f>+'BPA Delivered MWh'!D12</f>
        <v>16784.689999999999</v>
      </c>
      <c r="I166" s="53">
        <f>+'BPA Delivered MWh'!D16</f>
        <v>30627.212307692309</v>
      </c>
      <c r="J166" s="53">
        <f>+'BPA Delivered MWh'!D17</f>
        <v>4443.66</v>
      </c>
      <c r="K166" s="53">
        <v>0</v>
      </c>
      <c r="L166" s="53">
        <v>0</v>
      </c>
      <c r="M166" s="53">
        <v>0</v>
      </c>
      <c r="N166" s="53">
        <v>0</v>
      </c>
      <c r="O166" s="53">
        <f>+'[1]BPA Res Exch Load'!$D$32</f>
        <v>1897.0049755</v>
      </c>
      <c r="P166" s="53">
        <v>0</v>
      </c>
    </row>
    <row r="167" spans="1:16" x14ac:dyDescent="0.25">
      <c r="A167" s="5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25">
      <c r="A168" s="32" t="s">
        <v>77</v>
      </c>
      <c r="B168" s="32" t="s">
        <v>218</v>
      </c>
      <c r="C168" s="53" t="s">
        <v>102</v>
      </c>
      <c r="D168" s="54"/>
      <c r="E168" s="55">
        <f t="shared" ref="E168:P168" si="56">IF($D169=0,0,E169/$D169)</f>
        <v>0.46946948808579064</v>
      </c>
      <c r="F168" s="55">
        <f t="shared" si="56"/>
        <v>0.11928668823213764</v>
      </c>
      <c r="G168" s="55">
        <f t="shared" si="56"/>
        <v>0.13265593226868866</v>
      </c>
      <c r="H168" s="55">
        <f t="shared" si="56"/>
        <v>8.5611604249118026E-2</v>
      </c>
      <c r="I168" s="55">
        <f t="shared" si="56"/>
        <v>5.9563656321470794E-2</v>
      </c>
      <c r="J168" s="55">
        <f t="shared" si="56"/>
        <v>1.8807869934750154E-4</v>
      </c>
      <c r="K168" s="55">
        <f t="shared" si="56"/>
        <v>5.1908808400267454E-3</v>
      </c>
      <c r="L168" s="55">
        <f t="shared" si="56"/>
        <v>1.4321216171680274E-2</v>
      </c>
      <c r="M168" s="55">
        <f t="shared" si="56"/>
        <v>2.5781572231941885E-2</v>
      </c>
      <c r="N168" s="55">
        <f t="shared" si="56"/>
        <v>8.4522636161368028E-2</v>
      </c>
      <c r="O168" s="55">
        <f t="shared" si="56"/>
        <v>3.1044209190118507E-3</v>
      </c>
      <c r="P168" s="55">
        <f t="shared" si="56"/>
        <v>3.038258194181609E-4</v>
      </c>
    </row>
    <row r="169" spans="1:16" x14ac:dyDescent="0.25">
      <c r="A169" s="56" t="str">
        <f>IF(A168="~","~","")</f>
        <v/>
      </c>
      <c r="B169" s="57" t="s">
        <v>298</v>
      </c>
      <c r="C169" s="38"/>
      <c r="D169" s="53">
        <f>SUM(E169:P169)</f>
        <v>24444937399.34943</v>
      </c>
      <c r="E169" s="53">
        <f>+'Load Research Data - Summary'!C9</f>
        <v>11476152247.161776</v>
      </c>
      <c r="F169" s="53">
        <f>+'Load Research Data - Summary'!C10</f>
        <v>2915955626.4103169</v>
      </c>
      <c r="G169" s="53">
        <f>+'Load Research Data - Summary'!C11</f>
        <v>3242765959.9604325</v>
      </c>
      <c r="H169" s="53">
        <f>+'Load Research Data - Summary'!C12</f>
        <v>2092770306.5275679</v>
      </c>
      <c r="I169" s="53">
        <f>+'Load Research Data - Summary'!C13</f>
        <v>1456029850.0547175</v>
      </c>
      <c r="J169" s="53">
        <f>+'Load Research Data - Summary'!C14</f>
        <v>4597572.0317007378</v>
      </c>
      <c r="K169" s="53">
        <f>+'Load Research Data - Summary'!C15</f>
        <v>126890757.18193617</v>
      </c>
      <c r="L169" s="53">
        <f>+'Load Research Data - Summary'!C16</f>
        <v>350081232.79927498</v>
      </c>
      <c r="M169" s="53">
        <f>+'Load Research Data - Summary'!C17</f>
        <v>630228919.26662493</v>
      </c>
      <c r="N169" s="53">
        <f>+'Load Research Data - Summary'!C19</f>
        <v>2066150549.7926297</v>
      </c>
      <c r="O169" s="53">
        <f>+'Load Research Data - Summary'!C18</f>
        <v>75887375.026475519</v>
      </c>
      <c r="P169" s="53">
        <f>+'Load Research Data - Summary'!C20</f>
        <v>7427003.1359829875</v>
      </c>
    </row>
    <row r="170" spans="1:16" x14ac:dyDescent="0.25">
      <c r="A170" s="5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x14ac:dyDescent="0.25">
      <c r="A171" s="32" t="s">
        <v>83</v>
      </c>
      <c r="B171" s="32" t="s">
        <v>219</v>
      </c>
      <c r="C171" s="53" t="s">
        <v>102</v>
      </c>
      <c r="D171" s="54"/>
      <c r="E171" s="55">
        <f t="shared" ref="E171:P171" si="57">IF($D172=0,0,E172/$D172)</f>
        <v>0.52096353035067644</v>
      </c>
      <c r="F171" s="55">
        <f t="shared" si="57"/>
        <v>0.13237072014762916</v>
      </c>
      <c r="G171" s="55">
        <f t="shared" si="57"/>
        <v>0.14720637773168196</v>
      </c>
      <c r="H171" s="55">
        <f t="shared" si="57"/>
        <v>9.5001964388482726E-2</v>
      </c>
      <c r="I171" s="55">
        <f t="shared" si="57"/>
        <v>6.6096931675690307E-2</v>
      </c>
      <c r="J171" s="55">
        <f t="shared" si="57"/>
        <v>2.0870822424551828E-4</v>
      </c>
      <c r="K171" s="55">
        <f t="shared" si="57"/>
        <v>5.760245717088738E-3</v>
      </c>
      <c r="L171" s="55">
        <f t="shared" si="57"/>
        <v>0</v>
      </c>
      <c r="M171" s="55">
        <f t="shared" si="57"/>
        <v>2.8609439439201616E-2</v>
      </c>
      <c r="N171" s="55">
        <f t="shared" si="57"/>
        <v>0</v>
      </c>
      <c r="O171" s="55">
        <f t="shared" si="57"/>
        <v>3.4449311887279929E-3</v>
      </c>
      <c r="P171" s="55">
        <f t="shared" si="57"/>
        <v>3.3715113657577629E-4</v>
      </c>
    </row>
    <row r="172" spans="1:16" x14ac:dyDescent="0.25">
      <c r="A172" s="56" t="str">
        <f>IF(A171="~","~","")</f>
        <v/>
      </c>
      <c r="B172" s="57" t="s">
        <v>298</v>
      </c>
      <c r="C172" s="38"/>
      <c r="D172" s="53">
        <f>SUM(E172:P172)</f>
        <v>22028705616.757526</v>
      </c>
      <c r="E172" s="53">
        <f>+'Load Research Data - Summary'!D9</f>
        <v>11476152247.161776</v>
      </c>
      <c r="F172" s="53">
        <f>+'Load Research Data - Summary'!D10</f>
        <v>2915955626.4103169</v>
      </c>
      <c r="G172" s="53">
        <f>+'Load Research Data - Summary'!D11</f>
        <v>3242765959.9604325</v>
      </c>
      <c r="H172" s="53">
        <f>+'Load Research Data - Summary'!D12</f>
        <v>2092770306.5275679</v>
      </c>
      <c r="I172" s="53">
        <f>+'Load Research Data - Summary'!D13</f>
        <v>1456029850.0547175</v>
      </c>
      <c r="J172" s="53">
        <f>+'Load Research Data - Summary'!D14</f>
        <v>4597572.0317007378</v>
      </c>
      <c r="K172" s="53">
        <f>+'Load Research Data - Summary'!D15</f>
        <v>126890757.18193617</v>
      </c>
      <c r="L172" s="53">
        <f>+'Load Research Data - Summary'!D16</f>
        <v>0</v>
      </c>
      <c r="M172" s="53">
        <f>+'Load Research Data - Summary'!D17</f>
        <v>630228919.26662493</v>
      </c>
      <c r="N172" s="53">
        <f>+'Load Research Data - Summary'!D19</f>
        <v>0</v>
      </c>
      <c r="O172" s="53">
        <f>+'Load Research Data - Summary'!D18</f>
        <v>75887375.026475519</v>
      </c>
      <c r="P172" s="53">
        <f>+'Load Research Data - Summary'!D20</f>
        <v>7427003.1359829875</v>
      </c>
    </row>
    <row r="173" spans="1:16" x14ac:dyDescent="0.25">
      <c r="A173" s="5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</sheetData>
  <mergeCells count="1">
    <mergeCell ref="A1:B1"/>
  </mergeCells>
  <printOptions horizontalCentered="1"/>
  <pageMargins left="0.25" right="0.25" top="0.75" bottom="0.75" header="0.3" footer="0.3"/>
  <pageSetup scale="51" fitToHeight="3" orientation="landscape" r:id="rId1"/>
  <headerFooter>
    <oddHeader>&amp;CPuget Sound Energy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G10" sqref="G10"/>
    </sheetView>
  </sheetViews>
  <sheetFormatPr defaultColWidth="8.85546875" defaultRowHeight="15" x14ac:dyDescent="0.25"/>
  <cols>
    <col min="1" max="16384" width="8.85546875" style="1"/>
  </cols>
  <sheetData>
    <row r="1" spans="1:9" x14ac:dyDescent="0.25">
      <c r="A1" s="464" t="str">
        <f>'[2]BDJ-3 (C)'!A1</f>
        <v>PUGET SOUND ENERGY</v>
      </c>
      <c r="B1" s="465"/>
      <c r="C1" s="465"/>
      <c r="D1" s="465"/>
      <c r="E1" s="465"/>
      <c r="F1" s="465"/>
      <c r="G1" s="465"/>
      <c r="H1" s="465"/>
      <c r="I1" s="465"/>
    </row>
    <row r="2" spans="1:9" x14ac:dyDescent="0.25">
      <c r="A2" s="464" t="str">
        <f>'[2]BDJ-3 (C)'!A2</f>
        <v>PEAK CREDIT METHOD FOR 2019 GRC WITH UPDATED DATA</v>
      </c>
      <c r="B2" s="465"/>
      <c r="C2" s="465"/>
      <c r="D2" s="465"/>
      <c r="E2" s="465"/>
      <c r="F2" s="465"/>
      <c r="G2" s="465"/>
      <c r="H2" s="465"/>
      <c r="I2" s="465"/>
    </row>
    <row r="3" spans="1:9" x14ac:dyDescent="0.25">
      <c r="A3" s="465" t="str">
        <f>'[2]BDJ-3 (C)'!A3</f>
        <v>COMPANY PROPOSAL</v>
      </c>
      <c r="B3" s="465"/>
      <c r="C3" s="465"/>
      <c r="D3" s="465"/>
      <c r="E3" s="465"/>
      <c r="F3" s="465"/>
      <c r="G3" s="465"/>
      <c r="H3" s="465"/>
      <c r="I3" s="465"/>
    </row>
    <row r="4" spans="1:9" x14ac:dyDescent="0.25">
      <c r="A4" s="402"/>
      <c r="B4" s="402"/>
      <c r="C4" s="402"/>
      <c r="D4" s="402"/>
      <c r="E4" s="402"/>
      <c r="F4" s="402"/>
      <c r="G4" s="402"/>
      <c r="H4" s="402"/>
      <c r="I4" s="402"/>
    </row>
    <row r="5" spans="1:9" ht="15.75" thickBot="1" x14ac:dyDescent="0.3">
      <c r="A5" s="402"/>
      <c r="B5" s="402"/>
      <c r="C5" s="402"/>
      <c r="D5" s="402"/>
      <c r="E5" s="402"/>
      <c r="F5" s="402"/>
      <c r="G5" s="402"/>
      <c r="H5" s="402"/>
      <c r="I5" s="402"/>
    </row>
    <row r="6" spans="1:9" ht="15.75" thickTop="1" x14ac:dyDescent="0.25">
      <c r="A6" s="403"/>
      <c r="B6" s="404"/>
      <c r="C6" s="405"/>
      <c r="D6" s="406"/>
      <c r="E6" s="407"/>
      <c r="F6" s="407"/>
      <c r="G6" s="408" t="str">
        <f>'[2]BDJ-3 (C)'!G6</f>
        <v>Peak</v>
      </c>
      <c r="H6" s="404"/>
      <c r="I6" s="404"/>
    </row>
    <row r="7" spans="1:9" ht="15.75" thickBot="1" x14ac:dyDescent="0.3">
      <c r="A7" s="403"/>
      <c r="B7" s="404"/>
      <c r="C7" s="409"/>
      <c r="D7" s="410"/>
      <c r="E7" s="411" t="str">
        <f>'[2]BDJ-3 (C)'!E7</f>
        <v>Peaker</v>
      </c>
      <c r="F7" s="411" t="str">
        <f>'[2]BDJ-3 (C)'!F7</f>
        <v>CCCT</v>
      </c>
      <c r="G7" s="412" t="str">
        <f>'[2]BDJ-3 (C)'!G7</f>
        <v>Credit</v>
      </c>
      <c r="H7" s="404"/>
      <c r="I7" s="404"/>
    </row>
    <row r="8" spans="1:9" x14ac:dyDescent="0.25">
      <c r="A8" s="403"/>
      <c r="B8" s="404"/>
      <c r="C8" s="413" t="str">
        <f>'[2]BDJ-3 (C)'!C8</f>
        <v xml:space="preserve">Levelized Cost ($/MWh) </v>
      </c>
      <c r="D8" s="414"/>
      <c r="E8" s="415"/>
      <c r="F8" s="415">
        <f>'[2]BDJ-3 (C)'!F8</f>
        <v>121.59029405350826</v>
      </c>
      <c r="G8" s="416"/>
      <c r="H8" s="404"/>
      <c r="I8" s="404"/>
    </row>
    <row r="9" spans="1:9" ht="15.75" thickBot="1" x14ac:dyDescent="0.3">
      <c r="A9" s="403"/>
      <c r="B9" s="404"/>
      <c r="C9" s="417" t="str">
        <f>'[2]BDJ-3 (C)'!C9</f>
        <v>Levelized Cost ($/kW-yr)</v>
      </c>
      <c r="D9" s="418"/>
      <c r="E9" s="419">
        <f>'[2]BDJ-3 (C)'!E9</f>
        <v>97.420991386162811</v>
      </c>
      <c r="F9" s="419">
        <f>'[2]BDJ-3 (C)'!F9</f>
        <v>852.10478072698584</v>
      </c>
      <c r="G9" s="420">
        <v>1</v>
      </c>
      <c r="H9" s="404"/>
      <c r="I9" s="404"/>
    </row>
    <row r="10" spans="1:9" ht="15.75" thickTop="1" x14ac:dyDescent="0.25">
      <c r="A10" s="403"/>
      <c r="B10" s="403"/>
      <c r="C10" s="403"/>
      <c r="D10" s="403"/>
      <c r="E10" s="404"/>
      <c r="F10" s="404"/>
      <c r="G10" s="403"/>
      <c r="H10" s="403"/>
      <c r="I10" s="404"/>
    </row>
    <row r="11" spans="1:9" x14ac:dyDescent="0.25">
      <c r="A11" s="403"/>
      <c r="B11" s="403"/>
      <c r="C11" s="403"/>
      <c r="D11" s="403"/>
      <c r="E11" s="403"/>
      <c r="F11" s="403"/>
      <c r="G11" s="403"/>
      <c r="H11" s="403"/>
      <c r="I11" s="404"/>
    </row>
    <row r="12" spans="1:9" ht="15.75" thickBot="1" x14ac:dyDescent="0.3">
      <c r="A12" s="404"/>
      <c r="B12" s="410" t="str">
        <f>'[2]BDJ-3 (C)'!B12</f>
        <v>Assumptions</v>
      </c>
      <c r="C12" s="421"/>
      <c r="D12" s="421"/>
      <c r="E12" s="421"/>
      <c r="F12" s="421"/>
      <c r="G12" s="421"/>
      <c r="H12" s="421"/>
      <c r="I12" s="404"/>
    </row>
    <row r="13" spans="1:9" x14ac:dyDescent="0.25">
      <c r="A13" s="404"/>
      <c r="B13" s="422"/>
      <c r="C13" s="414"/>
      <c r="D13" s="414"/>
      <c r="E13" s="414"/>
      <c r="F13" s="414"/>
      <c r="G13" s="414"/>
      <c r="H13" s="414"/>
      <c r="I13" s="404"/>
    </row>
    <row r="14" spans="1:9" x14ac:dyDescent="0.25">
      <c r="A14" s="404"/>
      <c r="B14" s="422"/>
      <c r="C14" s="414"/>
      <c r="D14" s="414"/>
      <c r="E14" s="466" t="str">
        <f>'[2]BDJ-3 (C)'!E14</f>
        <v>Plant Assumptions</v>
      </c>
      <c r="F14" s="466"/>
      <c r="G14" s="414"/>
      <c r="H14" s="414"/>
      <c r="I14" s="404"/>
    </row>
    <row r="15" spans="1:9" x14ac:dyDescent="0.25">
      <c r="A15" s="404"/>
      <c r="B15" s="404"/>
      <c r="C15" s="414"/>
      <c r="D15" s="414"/>
      <c r="E15" s="423" t="str">
        <f>'[2]BDJ-3 (C)'!E15</f>
        <v>Peaker</v>
      </c>
      <c r="F15" s="423" t="str">
        <f>'[2]BDJ-3 (C)'!F15</f>
        <v>CCCT</v>
      </c>
      <c r="G15" s="423" t="str">
        <f>'[2]BDJ-3 (C)'!G15</f>
        <v>Notes</v>
      </c>
      <c r="H15" s="414"/>
      <c r="I15" s="404"/>
    </row>
    <row r="16" spans="1:9" x14ac:dyDescent="0.25">
      <c r="A16" s="403">
        <f>'[2]BDJ-3 (C)'!A16</f>
        <v>1</v>
      </c>
      <c r="B16" s="414" t="str">
        <f>'[2]BDJ-3 (C)'!B16</f>
        <v>Capital Costs ($/kW-yr)</v>
      </c>
      <c r="C16" s="414"/>
      <c r="D16" s="414"/>
      <c r="E16" s="424">
        <f>'[2]BDJ-3 (C)'!E16</f>
        <v>671.35418410041837</v>
      </c>
      <c r="F16" s="424">
        <f>'[2]BDJ-3 (C)'!F16</f>
        <v>1341.9466238664293</v>
      </c>
      <c r="G16" s="414" t="str">
        <f>'[2]BDJ-3 (C)'!G16</f>
        <v>2019 Dollars</v>
      </c>
      <c r="H16" s="414"/>
      <c r="I16" s="404"/>
    </row>
    <row r="17" spans="1:9" x14ac:dyDescent="0.25">
      <c r="A17" s="403">
        <f>'[2]BDJ-3 (C)'!A17</f>
        <v>2</v>
      </c>
      <c r="B17" s="414" t="str">
        <f>'[2]BDJ-3 (C)'!B17</f>
        <v>Fixed Charge Rate</v>
      </c>
      <c r="C17" s="414"/>
      <c r="D17" s="414"/>
      <c r="E17" s="425">
        <f>'[2]BDJ-3 (C)'!E17</f>
        <v>9.7199999999999995E-2</v>
      </c>
      <c r="F17" s="425">
        <f>'[2]BDJ-3 (C)'!F17</f>
        <v>9.7199999999999995E-2</v>
      </c>
      <c r="G17" s="404"/>
      <c r="H17" s="414"/>
      <c r="I17" s="404"/>
    </row>
    <row r="18" spans="1:9" x14ac:dyDescent="0.25">
      <c r="A18" s="403">
        <f>'[2]BDJ-3 (C)'!A18</f>
        <v>3</v>
      </c>
      <c r="B18" s="414" t="str">
        <f>'[2]BDJ-3 (C)'!B18</f>
        <v>Fixed O&amp;M ($/kW-yr)</v>
      </c>
      <c r="C18" s="414"/>
      <c r="D18" s="414"/>
      <c r="E18" s="426">
        <f>'[2]BDJ-3 (C)'!E18</f>
        <v>12.63762523552567</v>
      </c>
      <c r="F18" s="426">
        <f>'[2]BDJ-3 (C)'!F18</f>
        <v>56.702377644525825</v>
      </c>
      <c r="G18" s="414" t="str">
        <f>'[2]BDJ-3 (C)'!G18</f>
        <v>2019 Dollars</v>
      </c>
      <c r="H18" s="422"/>
      <c r="I18" s="404"/>
    </row>
    <row r="19" spans="1:9" x14ac:dyDescent="0.25">
      <c r="A19" s="403">
        <f>'[2]BDJ-3 (C)'!A19</f>
        <v>4</v>
      </c>
      <c r="B19" s="414" t="str">
        <f>'[2]BDJ-3 (C)'!B19</f>
        <v>Variable O&amp;M ($/MWh)</v>
      </c>
      <c r="C19" s="414"/>
      <c r="D19" s="414"/>
      <c r="E19" s="426">
        <f>'[2]BDJ-3 (C)'!E19</f>
        <v>24.359299999999998</v>
      </c>
      <c r="F19" s="426">
        <f>'[2]BDJ-3 (C)'!F19</f>
        <v>2.6477499999999998</v>
      </c>
      <c r="G19" s="414" t="str">
        <f>'[2]BDJ-3 (C)'!G19</f>
        <v>2019 Dollars</v>
      </c>
      <c r="H19" s="414"/>
      <c r="I19" s="404"/>
    </row>
    <row r="20" spans="1:9" x14ac:dyDescent="0.25">
      <c r="A20" s="403">
        <f>'[2]BDJ-3 (C)'!A20</f>
        <v>5</v>
      </c>
      <c r="B20" s="414" t="str">
        <f>'[2]BDJ-3 (C)'!B20</f>
        <v>Heat Rate (Btu/kWh)</v>
      </c>
      <c r="C20" s="414"/>
      <c r="D20" s="414"/>
      <c r="E20" s="427">
        <f>'[2]BDJ-3 (C)'!E20</f>
        <v>9822.6</v>
      </c>
      <c r="F20" s="427">
        <f>'[2]BDJ-3 (C)'!F20</f>
        <v>6650.4000000000005</v>
      </c>
      <c r="G20" s="404"/>
      <c r="H20" s="414"/>
      <c r="I20" s="404"/>
    </row>
    <row r="21" spans="1:9" x14ac:dyDescent="0.25">
      <c r="A21" s="403">
        <f>'[2]BDJ-3 (C)'!A21</f>
        <v>6</v>
      </c>
      <c r="B21" s="414" t="str">
        <f>'[2]BDJ-3 (C)'!B21</f>
        <v>Weighted Cost of Capital</v>
      </c>
      <c r="C21" s="414"/>
      <c r="D21" s="414"/>
      <c r="E21" s="425">
        <f>'[2]BDJ-3 (C)'!E21</f>
        <v>7.6200000000000004E-2</v>
      </c>
      <c r="F21" s="425">
        <f>'[2]BDJ-3 (C)'!F21</f>
        <v>7.6200000000000004E-2</v>
      </c>
      <c r="G21" s="404"/>
      <c r="H21" s="414"/>
      <c r="I21" s="404"/>
    </row>
    <row r="22" spans="1:9" x14ac:dyDescent="0.25">
      <c r="A22" s="403">
        <f>'[2]BDJ-3 (C)'!A22</f>
        <v>7</v>
      </c>
      <c r="B22" s="414" t="str">
        <f>'[2]BDJ-3 (C)'!B22</f>
        <v>Capacity Factor</v>
      </c>
      <c r="C22" s="414"/>
      <c r="D22" s="414"/>
      <c r="E22" s="428">
        <f>'[2]BDJ-3 (C)'!E22</f>
        <v>0</v>
      </c>
      <c r="F22" s="428">
        <f>'[2]BDJ-3 (C)'!F22</f>
        <v>0.8</v>
      </c>
      <c r="G22" s="404"/>
      <c r="H22" s="414"/>
      <c r="I22" s="404"/>
    </row>
    <row r="23" spans="1:9" x14ac:dyDescent="0.25">
      <c r="A23" s="403">
        <f>'[2]BDJ-3 (C)'!A23</f>
        <v>8</v>
      </c>
      <c r="B23" s="414" t="str">
        <f>'[2]BDJ-3 (C)'!B23</f>
        <v>Reserve Margin</v>
      </c>
      <c r="C23" s="414"/>
      <c r="D23" s="414"/>
      <c r="E23" s="429">
        <f>'[2]BDJ-3 (C)'!E23</f>
        <v>0.03</v>
      </c>
      <c r="F23" s="429">
        <f>'[2]BDJ-3 (C)'!F23</f>
        <v>0.03</v>
      </c>
      <c r="G23" s="428"/>
      <c r="H23" s="428"/>
      <c r="I23" s="404"/>
    </row>
    <row r="24" spans="1:9" x14ac:dyDescent="0.25">
      <c r="A24" s="430">
        <f>'[2]BDJ-3 (C)'!A24</f>
        <v>9</v>
      </c>
      <c r="B24" s="431" t="str">
        <f>'[2]BDJ-3 (C)'!B24</f>
        <v>Planning Margin</v>
      </c>
      <c r="C24" s="414"/>
      <c r="D24" s="414"/>
      <c r="E24" s="429">
        <f>'[2]BDJ-3 (C)'!E24</f>
        <v>0.13500000000000001</v>
      </c>
      <c r="F24" s="429">
        <f>'[2]BDJ-3 (C)'!F24</f>
        <v>0.13500000000000001</v>
      </c>
      <c r="G24" s="428"/>
      <c r="H24" s="428"/>
      <c r="I24" s="404"/>
    </row>
    <row r="25" spans="1:9" x14ac:dyDescent="0.25">
      <c r="A25" s="403">
        <f>'[2]BDJ-3 (C)'!A25</f>
        <v>10</v>
      </c>
      <c r="B25" s="403" t="str">
        <f>'[2]BDJ-3 (C)'!B25</f>
        <v>CO2 Emissions (tons/GWh)</v>
      </c>
      <c r="C25" s="414"/>
      <c r="D25" s="414"/>
      <c r="E25" s="432">
        <f>'[2]BDJ-3 (C)'!E25</f>
        <v>574.62210000000005</v>
      </c>
      <c r="F25" s="432">
        <f>'[2]BDJ-3 (C)'!F25</f>
        <v>389.04840000000007</v>
      </c>
      <c r="G25" s="404"/>
      <c r="H25" s="414"/>
      <c r="I25" s="404"/>
    </row>
    <row r="26" spans="1:9" x14ac:dyDescent="0.25">
      <c r="A26" s="403"/>
      <c r="B26" s="403"/>
      <c r="C26" s="414"/>
      <c r="D26" s="414"/>
      <c r="E26" s="433"/>
      <c r="F26" s="433"/>
      <c r="G26" s="404"/>
      <c r="H26" s="414"/>
      <c r="I26" s="404"/>
    </row>
    <row r="27" spans="1:9" x14ac:dyDescent="0.25">
      <c r="A27" s="404"/>
      <c r="B27" s="422"/>
      <c r="C27" s="414"/>
      <c r="D27" s="414"/>
      <c r="E27" s="414"/>
      <c r="F27" s="414"/>
      <c r="G27" s="414"/>
      <c r="H27" s="414"/>
      <c r="I27" s="404"/>
    </row>
    <row r="28" spans="1:9" x14ac:dyDescent="0.25">
      <c r="A28" s="404"/>
      <c r="B28" s="404"/>
      <c r="C28" s="404"/>
      <c r="D28" s="434"/>
      <c r="E28" s="467" t="str">
        <f>'[2]BDJ-3 (C)'!E28</f>
        <v>Weighted Cost of Capital</v>
      </c>
      <c r="F28" s="467"/>
      <c r="G28" s="467"/>
      <c r="H28" s="434"/>
      <c r="I28" s="404"/>
    </row>
    <row r="29" spans="1:9" x14ac:dyDescent="0.25">
      <c r="A29" s="404"/>
      <c r="B29" s="404"/>
      <c r="C29" s="404"/>
      <c r="D29" s="434"/>
      <c r="E29" s="435" t="str">
        <f>'[2]BDJ-3 (C)'!E29</f>
        <v>Pro Forma</v>
      </c>
      <c r="F29" s="435"/>
      <c r="G29" s="435" t="str">
        <f>'[2]BDJ-3 (C)'!G29</f>
        <v>Cost of</v>
      </c>
      <c r="H29" s="434"/>
      <c r="I29" s="404"/>
    </row>
    <row r="30" spans="1:9" x14ac:dyDescent="0.25">
      <c r="A30" s="404"/>
      <c r="B30" s="404"/>
      <c r="C30" s="404"/>
      <c r="D30" s="434"/>
      <c r="E30" s="436" t="str">
        <f>'[2]BDJ-3 (C)'!E30</f>
        <v>Capital %</v>
      </c>
      <c r="F30" s="436" t="str">
        <f>'[2]BDJ-3 (C)'!F30</f>
        <v>Cost %</v>
      </c>
      <c r="G30" s="436" t="str">
        <f>'[2]BDJ-3 (C)'!G30</f>
        <v>Capital</v>
      </c>
      <c r="H30" s="434"/>
      <c r="I30" s="404"/>
    </row>
    <row r="31" spans="1:9" x14ac:dyDescent="0.25">
      <c r="A31" s="403">
        <f>'[2]BDJ-3 (C)'!A31</f>
        <v>11</v>
      </c>
      <c r="B31" s="437" t="str">
        <f>'[2]BDJ-3 (C)'!B31</f>
        <v>Other</v>
      </c>
      <c r="C31" s="438"/>
      <c r="D31" s="404"/>
      <c r="E31" s="439"/>
      <c r="F31" s="439"/>
      <c r="G31" s="439"/>
      <c r="H31" s="434"/>
      <c r="I31" s="440"/>
    </row>
    <row r="32" spans="1:9" x14ac:dyDescent="0.25">
      <c r="A32" s="403">
        <f>'[2]BDJ-3 (C)'!A32</f>
        <v>12</v>
      </c>
      <c r="B32" s="437" t="str">
        <f>'[2]BDJ-3 (C)'!B32</f>
        <v>Debt</v>
      </c>
      <c r="C32" s="438"/>
      <c r="D32" s="404"/>
      <c r="E32" s="439">
        <f>'[2]BDJ-3 (C)'!E32</f>
        <v>0.51500000000000001</v>
      </c>
      <c r="F32" s="439">
        <f>'[2]BDJ-3 (C)'!F32</f>
        <v>5.57E-2</v>
      </c>
      <c r="G32" s="439">
        <f>'[2]BDJ-3 (C)'!G32</f>
        <v>2.87E-2</v>
      </c>
      <c r="H32" s="434"/>
      <c r="I32" s="440"/>
    </row>
    <row r="33" spans="1:9" x14ac:dyDescent="0.25">
      <c r="A33" s="403">
        <f>'[2]BDJ-3 (C)'!A33</f>
        <v>13</v>
      </c>
      <c r="B33" s="438" t="str">
        <f>'[2]BDJ-3 (C)'!B33</f>
        <v>Common Equity</v>
      </c>
      <c r="C33" s="438"/>
      <c r="D33" s="404"/>
      <c r="E33" s="441">
        <f>'[2]BDJ-3 (C)'!E33</f>
        <v>0.48499999999999999</v>
      </c>
      <c r="F33" s="441">
        <f>'[2]BDJ-3 (C)'!F33</f>
        <v>9.8000000000000004E-2</v>
      </c>
      <c r="G33" s="441">
        <f>'[2]BDJ-3 (C)'!G33</f>
        <v>4.7500000000000001E-2</v>
      </c>
      <c r="H33" s="434"/>
      <c r="I33" s="440"/>
    </row>
    <row r="34" spans="1:9" x14ac:dyDescent="0.25">
      <c r="A34" s="403">
        <f>'[2]BDJ-3 (C)'!A34</f>
        <v>14</v>
      </c>
      <c r="B34" s="438" t="str">
        <f>'[2]BDJ-3 (C)'!B34</f>
        <v>TOTAL</v>
      </c>
      <c r="C34" s="438"/>
      <c r="D34" s="404"/>
      <c r="E34" s="442">
        <f>'[2]BDJ-3 (C)'!E34</f>
        <v>1</v>
      </c>
      <c r="F34" s="443"/>
      <c r="G34" s="442">
        <f>'[2]BDJ-3 (C)'!G34</f>
        <v>7.6200000000000004E-2</v>
      </c>
      <c r="H34" s="404"/>
      <c r="I34" s="440"/>
    </row>
    <row r="35" spans="1:9" ht="15.75" thickBot="1" x14ac:dyDescent="0.3">
      <c r="A35" s="403"/>
      <c r="B35" s="444"/>
      <c r="C35" s="444"/>
      <c r="D35" s="444"/>
      <c r="E35" s="444"/>
      <c r="F35" s="444"/>
      <c r="G35" s="444"/>
      <c r="H35" s="444"/>
      <c r="I35" s="402"/>
    </row>
  </sheetData>
  <mergeCells count="5">
    <mergeCell ref="A1:I1"/>
    <mergeCell ref="A2:I2"/>
    <mergeCell ref="A3:I3"/>
    <mergeCell ref="E14:F14"/>
    <mergeCell ref="E28:G28"/>
  </mergeCells>
  <printOptions horizontalCentered="1"/>
  <pageMargins left="0.25" right="0.25" top="0.75" bottom="0.75" header="0.3" footer="0.3"/>
  <pageSetup scale="9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C11" sqref="C11"/>
    </sheetView>
  </sheetViews>
  <sheetFormatPr defaultColWidth="11.42578125" defaultRowHeight="15" x14ac:dyDescent="0.25"/>
  <cols>
    <col min="1" max="1" width="7.42578125" customWidth="1"/>
    <col min="2" max="2" width="42.42578125" bestFit="1" customWidth="1"/>
    <col min="3" max="3" width="12.140625" bestFit="1" customWidth="1"/>
    <col min="4" max="4" width="6" bestFit="1" customWidth="1"/>
    <col min="5" max="5" width="11.28515625" bestFit="1" customWidth="1"/>
  </cols>
  <sheetData>
    <row r="1" spans="1:5" x14ac:dyDescent="0.25">
      <c r="A1" s="154" t="str">
        <f>'[3]COC, Def, ConvF'!D2</f>
        <v xml:space="preserve">PUGET SOUND ENERGY </v>
      </c>
      <c r="B1" s="154"/>
      <c r="C1" s="154"/>
      <c r="D1" s="154"/>
      <c r="E1" s="154"/>
    </row>
    <row r="2" spans="1:5" x14ac:dyDescent="0.25">
      <c r="A2" s="154" t="str">
        <f>'[3]COC, Def, ConvF'!D3</f>
        <v>ELECTRIC RESULTS OF OPERATIONS</v>
      </c>
      <c r="B2" s="154"/>
      <c r="C2" s="154"/>
      <c r="D2" s="154"/>
      <c r="E2" s="154"/>
    </row>
    <row r="3" spans="1:5" x14ac:dyDescent="0.25">
      <c r="A3" s="154" t="str">
        <f>'[3]COC, Def, ConvF'!D4</f>
        <v>2019 GENERAL RATE CASE</v>
      </c>
      <c r="B3" s="154"/>
      <c r="C3" s="154"/>
      <c r="D3" s="154"/>
      <c r="E3" s="154"/>
    </row>
    <row r="4" spans="1:5" x14ac:dyDescent="0.25">
      <c r="A4" s="154" t="str">
        <f>'[3]COC, Def, ConvF'!D5</f>
        <v>12 MONTHS ENDED DECEMBER 31, 2018</v>
      </c>
      <c r="B4" s="154"/>
      <c r="C4" s="154"/>
      <c r="D4" s="154"/>
      <c r="E4" s="154"/>
    </row>
    <row r="5" spans="1:5" x14ac:dyDescent="0.25">
      <c r="A5" s="155" t="str">
        <f>'[3]COC, Def, ConvF'!D6</f>
        <v>COST OF CAPITAL - GRC</v>
      </c>
      <c r="B5" s="155"/>
      <c r="C5" s="154"/>
      <c r="D5" s="154"/>
      <c r="E5" s="154"/>
    </row>
    <row r="6" spans="1:5" x14ac:dyDescent="0.25">
      <c r="A6" s="156"/>
      <c r="B6" s="157"/>
      <c r="C6" s="157"/>
      <c r="D6" s="157"/>
      <c r="E6" s="157"/>
    </row>
    <row r="7" spans="1:5" x14ac:dyDescent="0.25">
      <c r="A7" s="156"/>
      <c r="B7" s="156"/>
      <c r="C7" s="156"/>
      <c r="D7" s="156"/>
      <c r="E7" s="156"/>
    </row>
    <row r="8" spans="1:5" x14ac:dyDescent="0.25">
      <c r="A8" s="149" t="str">
        <f>'[3]COC, Def, ConvF'!D9</f>
        <v>LINE</v>
      </c>
      <c r="B8" s="149"/>
      <c r="C8" s="158" t="str">
        <f>'[3]COC, Def, ConvF'!F9</f>
        <v>CAPITAL</v>
      </c>
      <c r="D8" s="156"/>
      <c r="E8" s="158" t="str">
        <f>'[3]COC, Def, ConvF'!H9</f>
        <v>WEIGHTED</v>
      </c>
    </row>
    <row r="9" spans="1:5" x14ac:dyDescent="0.25">
      <c r="A9" s="3" t="str">
        <f>'[3]COC, Def, ConvF'!D10</f>
        <v>NO.</v>
      </c>
      <c r="B9" s="3" t="str">
        <f>'[3]COC, Def, ConvF'!E10</f>
        <v>DESCRIPTION</v>
      </c>
      <c r="C9" s="3" t="str">
        <f>'[3]COC, Def, ConvF'!F10</f>
        <v>STRUCTURE</v>
      </c>
      <c r="D9" s="3" t="str">
        <f>'[3]COC, Def, ConvF'!G10</f>
        <v>COST</v>
      </c>
      <c r="E9" s="3" t="str">
        <f>'[3]COC, Def, ConvF'!H10</f>
        <v>COST</v>
      </c>
    </row>
    <row r="10" spans="1:5" x14ac:dyDescent="0.25">
      <c r="A10" s="156"/>
      <c r="B10" s="156"/>
      <c r="C10" s="156"/>
      <c r="D10" s="156"/>
      <c r="E10" s="156"/>
    </row>
    <row r="11" spans="1:5" x14ac:dyDescent="0.25">
      <c r="A11" s="4">
        <f>'[3]COC, Def, ConvF'!D12</f>
        <v>1</v>
      </c>
      <c r="B11" s="2" t="str">
        <f>'[3]COC, Def, ConvF'!E12</f>
        <v>SHORT AND LONG TERM DEBT</v>
      </c>
      <c r="C11" s="159">
        <f>'[3]COC, Def, ConvF'!F12</f>
        <v>0.51500000000000001</v>
      </c>
      <c r="D11" s="159">
        <f>'[3]COC, Def, ConvF'!G12</f>
        <v>5.5728155339805824E-2</v>
      </c>
      <c r="E11" s="159">
        <f>'[3]COC, Def, ConvF'!H12</f>
        <v>2.87E-2</v>
      </c>
    </row>
    <row r="12" spans="1:5" x14ac:dyDescent="0.25">
      <c r="A12" s="4">
        <f>'[3]COC, Def, ConvF'!D13</f>
        <v>2</v>
      </c>
      <c r="B12" s="2" t="str">
        <f>'[3]COC, Def, ConvF'!E13</f>
        <v>EQUITY</v>
      </c>
      <c r="C12" s="159">
        <f>'[3]COC, Def, ConvF'!F13</f>
        <v>0.48499999999999999</v>
      </c>
      <c r="D12" s="159">
        <f>'[3]COC, Def, ConvF'!G13</f>
        <v>9.8000000000000004E-2</v>
      </c>
      <c r="E12" s="159">
        <f>'[3]COC, Def, ConvF'!H13</f>
        <v>4.7500000000000001E-2</v>
      </c>
    </row>
    <row r="13" spans="1:5" x14ac:dyDescent="0.25">
      <c r="A13" s="4">
        <f>'[3]COC, Def, ConvF'!D14</f>
        <v>3</v>
      </c>
      <c r="B13" s="2" t="str">
        <f>'[3]COC, Def, ConvF'!E14</f>
        <v>TOTAL</v>
      </c>
      <c r="C13" s="160">
        <f>'[3]COC, Def, ConvF'!F14</f>
        <v>1</v>
      </c>
      <c r="D13" s="161"/>
      <c r="E13" s="162">
        <f>'[3]COC, Def, ConvF'!H14</f>
        <v>7.6200000000000004E-2</v>
      </c>
    </row>
    <row r="14" spans="1:5" x14ac:dyDescent="0.25">
      <c r="A14" s="4">
        <f>'[3]COC, Def, ConvF'!D15</f>
        <v>4</v>
      </c>
      <c r="B14" s="2"/>
      <c r="C14" s="156"/>
      <c r="D14" s="156"/>
      <c r="E14" s="156"/>
    </row>
    <row r="15" spans="1:5" x14ac:dyDescent="0.25">
      <c r="A15" s="4">
        <f>'[3]COC, Def, ConvF'!D16</f>
        <v>5</v>
      </c>
      <c r="B15" s="2" t="str">
        <f>'[3]COC, Def, ConvF'!E16</f>
        <v>AFTER TAX SHORT TERM DEBT ( (LINE 1)* 79%)</v>
      </c>
      <c r="C15" s="163">
        <f>'[3]COC, Def, ConvF'!F16</f>
        <v>0.51500000000000001</v>
      </c>
      <c r="D15" s="163">
        <f>'[3]COC, Def, ConvF'!G16</f>
        <v>4.40252427184466E-2</v>
      </c>
      <c r="E15" s="163">
        <f>'[3]COC, Def, ConvF'!H16</f>
        <v>2.2700000000000001E-2</v>
      </c>
    </row>
    <row r="16" spans="1:5" x14ac:dyDescent="0.25">
      <c r="A16" s="4">
        <f>'[3]COC, Def, ConvF'!D17</f>
        <v>6</v>
      </c>
      <c r="B16" s="2" t="str">
        <f>'[3]COC, Def, ConvF'!E17</f>
        <v>EQUITY</v>
      </c>
      <c r="C16" s="163">
        <f>'[3]COC, Def, ConvF'!F17</f>
        <v>0.48499999999999999</v>
      </c>
      <c r="D16" s="163">
        <f>'[3]COC, Def, ConvF'!G17</f>
        <v>9.8000000000000004E-2</v>
      </c>
      <c r="E16" s="163">
        <f>'[3]COC, Def, ConvF'!H17</f>
        <v>4.7500000000000001E-2</v>
      </c>
    </row>
    <row r="17" spans="1:5" x14ac:dyDescent="0.25">
      <c r="A17" s="4">
        <f>'[3]COC, Def, ConvF'!D18</f>
        <v>7</v>
      </c>
      <c r="B17" s="2" t="str">
        <f>'[3]COC, Def, ConvF'!E18</f>
        <v>TOTAL AFTER TAX COST OF CAPITAL</v>
      </c>
      <c r="C17" s="164">
        <f>'[3]COC, Def, ConvF'!F18</f>
        <v>1</v>
      </c>
      <c r="D17" s="165"/>
      <c r="E17" s="166">
        <f>'[3]COC, Def, ConvF'!H18</f>
        <v>7.0199999999999999E-2</v>
      </c>
    </row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G21" sqref="G21"/>
    </sheetView>
  </sheetViews>
  <sheetFormatPr defaultRowHeight="15" x14ac:dyDescent="0.25"/>
  <cols>
    <col min="1" max="1" width="5.42578125" bestFit="1" customWidth="1"/>
    <col min="2" max="2" width="63.7109375" bestFit="1" customWidth="1"/>
    <col min="4" max="4" width="8" bestFit="1" customWidth="1"/>
    <col min="5" max="5" width="8.42578125" bestFit="1" customWidth="1"/>
  </cols>
  <sheetData>
    <row r="1" spans="1:5" x14ac:dyDescent="0.25">
      <c r="A1" s="154"/>
      <c r="B1" s="154" t="str">
        <f>'[3]COC, Def, ConvF'!J2</f>
        <v xml:space="preserve">PUGET SOUND ENERGY </v>
      </c>
      <c r="C1" s="157"/>
      <c r="D1" s="157"/>
      <c r="E1" s="157"/>
    </row>
    <row r="2" spans="1:5" x14ac:dyDescent="0.25">
      <c r="A2" s="154"/>
      <c r="B2" s="154" t="str">
        <f>'[3]COC, Def, ConvF'!J3</f>
        <v>ELECTRIC RESULTS OF OPERATIONS</v>
      </c>
      <c r="C2" s="157"/>
      <c r="D2" s="157"/>
      <c r="E2" s="157"/>
    </row>
    <row r="3" spans="1:5" x14ac:dyDescent="0.25">
      <c r="A3" s="154"/>
      <c r="B3" s="154" t="str">
        <f>'[3]COC, Def, ConvF'!J4</f>
        <v>2019 GENERAL RATE CASE</v>
      </c>
      <c r="C3" s="157"/>
      <c r="D3" s="157"/>
      <c r="E3" s="157"/>
    </row>
    <row r="4" spans="1:5" x14ac:dyDescent="0.25">
      <c r="A4" s="154"/>
      <c r="B4" s="154" t="str">
        <f>'[3]COC, Def, ConvF'!J5</f>
        <v>12 MONTHS ENDED DECEMBER 31, 2018</v>
      </c>
      <c r="C4" s="157"/>
      <c r="D4" s="157"/>
      <c r="E4" s="157"/>
    </row>
    <row r="5" spans="1:5" x14ac:dyDescent="0.25">
      <c r="A5" s="154"/>
      <c r="B5" s="155" t="str">
        <f>'[3]COC, Def, ConvF'!J6</f>
        <v>CONVERSION FACTOR</v>
      </c>
      <c r="C5" s="154"/>
      <c r="D5" s="154"/>
      <c r="E5" s="154"/>
    </row>
    <row r="6" spans="1:5" x14ac:dyDescent="0.25">
      <c r="A6" s="157"/>
      <c r="B6" s="157"/>
      <c r="C6" s="157"/>
      <c r="D6" s="157"/>
      <c r="E6" s="157"/>
    </row>
    <row r="7" spans="1:5" x14ac:dyDescent="0.25">
      <c r="A7" s="157"/>
      <c r="B7" s="157"/>
      <c r="C7" s="157"/>
      <c r="D7" s="157"/>
      <c r="E7" s="156"/>
    </row>
    <row r="8" spans="1:5" x14ac:dyDescent="0.25">
      <c r="A8" s="149" t="str">
        <f>'[3]COC, Def, ConvF'!I9</f>
        <v>LINE</v>
      </c>
      <c r="B8" s="149"/>
      <c r="C8" s="149"/>
      <c r="D8" s="156"/>
      <c r="E8" s="156"/>
    </row>
    <row r="9" spans="1:5" x14ac:dyDescent="0.25">
      <c r="A9" s="3" t="str">
        <f>'[3]COC, Def, ConvF'!I10</f>
        <v>NO.</v>
      </c>
      <c r="B9" s="3" t="str">
        <f>'[3]COC, Def, ConvF'!J10</f>
        <v>DESCRIPTION</v>
      </c>
      <c r="C9" s="3"/>
      <c r="D9" s="3"/>
      <c r="E9" s="3"/>
    </row>
    <row r="10" spans="1:5" x14ac:dyDescent="0.25">
      <c r="A10" s="156"/>
      <c r="B10" s="156"/>
      <c r="C10" s="156"/>
      <c r="D10" s="156"/>
      <c r="E10" s="156"/>
    </row>
    <row r="11" spans="1:5" x14ac:dyDescent="0.25">
      <c r="A11" s="4">
        <f>'[3]COC, Def, ConvF'!I12</f>
        <v>1</v>
      </c>
      <c r="B11" s="5" t="str">
        <f>'[3]COC, Def, ConvF'!J12</f>
        <v>BAD DEBTS</v>
      </c>
      <c r="C11" s="2"/>
      <c r="D11" s="2"/>
      <c r="E11" s="6">
        <f>'[3]COC, Def, ConvF'!M12</f>
        <v>8.4790000000000004E-3</v>
      </c>
    </row>
    <row r="12" spans="1:5" x14ac:dyDescent="0.25">
      <c r="A12" s="4">
        <f>'[3]COC, Def, ConvF'!I13</f>
        <v>2</v>
      </c>
      <c r="B12" s="5" t="str">
        <f>'[3]COC, Def, ConvF'!J13</f>
        <v>ANNUAL FILING FEE</v>
      </c>
      <c r="C12" s="2"/>
      <c r="D12" s="2"/>
      <c r="E12" s="6">
        <f>'[3]COC, Def, ConvF'!M13</f>
        <v>2E-3</v>
      </c>
    </row>
    <row r="13" spans="1:5" x14ac:dyDescent="0.25">
      <c r="A13" s="4">
        <f>'[3]COC, Def, ConvF'!I14</f>
        <v>3</v>
      </c>
      <c r="B13" s="5" t="str">
        <f>'[3]COC, Def, ConvF'!J14</f>
        <v>STATE UTILITY TAX ( 3.8406% - ( LINE 1 * 3.8406% )  )</v>
      </c>
      <c r="C13" s="156"/>
      <c r="D13" s="7">
        <f>'[3]COC, Def, ConvF'!L14</f>
        <v>3.8733999999999998E-2</v>
      </c>
      <c r="E13" s="8">
        <f>'[3]COC, Def, ConvF'!M14</f>
        <v>3.8406000000000003E-2</v>
      </c>
    </row>
    <row r="14" spans="1:5" x14ac:dyDescent="0.25">
      <c r="A14" s="4">
        <f>'[3]COC, Def, ConvF'!I15</f>
        <v>4</v>
      </c>
      <c r="B14" s="5">
        <f>'[3]COC, Def, ConvF'!J15</f>
        <v>0</v>
      </c>
      <c r="C14" s="2"/>
      <c r="D14" s="2"/>
      <c r="E14" s="9"/>
    </row>
    <row r="15" spans="1:5" x14ac:dyDescent="0.25">
      <c r="A15" s="4">
        <f>'[3]COC, Def, ConvF'!I16</f>
        <v>5</v>
      </c>
      <c r="B15" s="5" t="str">
        <f>'[3]COC, Def, ConvF'!J16</f>
        <v>SUM OF TAXES OTHER</v>
      </c>
      <c r="C15" s="2"/>
      <c r="D15" s="2"/>
      <c r="E15" s="6">
        <f>'[3]COC, Def, ConvF'!M16</f>
        <v>4.8884999999999998E-2</v>
      </c>
    </row>
    <row r="16" spans="1:5" x14ac:dyDescent="0.25">
      <c r="A16" s="4">
        <f>'[3]COC, Def, ConvF'!I17</f>
        <v>6</v>
      </c>
      <c r="B16" s="2"/>
      <c r="C16" s="2"/>
      <c r="D16" s="2"/>
      <c r="E16" s="6"/>
    </row>
    <row r="17" spans="1:5" x14ac:dyDescent="0.25">
      <c r="A17" s="4">
        <f>'[3]COC, Def, ConvF'!I18</f>
        <v>7</v>
      </c>
      <c r="B17" s="2" t="str">
        <f>'[3]COC, Def, ConvF'!J18</f>
        <v>CONVERSION FACTOR EXCLUDING FEDERAL INCOME TAX ( 1 - LINE 6 )</v>
      </c>
      <c r="C17" s="2"/>
      <c r="D17" s="2"/>
      <c r="E17" s="6">
        <f>'[3]COC, Def, ConvF'!M18</f>
        <v>0.95111500000000004</v>
      </c>
    </row>
    <row r="18" spans="1:5" x14ac:dyDescent="0.25">
      <c r="A18" s="4">
        <f>'[3]COC, Def, ConvF'!I19</f>
        <v>8</v>
      </c>
      <c r="B18" s="5" t="str">
        <f>'[3]COC, Def, ConvF'!J19</f>
        <v>FEDERAL INCOME TAX ( LINE 7  * 21% )</v>
      </c>
      <c r="C18" s="2"/>
      <c r="D18" s="10">
        <f>'[3]COC, Def, ConvF'!L19</f>
        <v>0.21</v>
      </c>
      <c r="E18" s="6">
        <f>'[3]COC, Def, ConvF'!M19</f>
        <v>0.19973399999999999</v>
      </c>
    </row>
    <row r="19" spans="1:5" ht="15.75" thickBot="1" x14ac:dyDescent="0.3">
      <c r="A19" s="4">
        <f>'[3]COC, Def, ConvF'!I20</f>
        <v>9</v>
      </c>
      <c r="B19" s="5" t="str">
        <f>'[3]COC, Def, ConvF'!J20</f>
        <v xml:space="preserve">CONVERSION FACTOR INCL FEDERAL INCOME TAX ( LINE 7 - LINE 8 ) </v>
      </c>
      <c r="C19" s="2"/>
      <c r="D19" s="2"/>
      <c r="E19" s="167">
        <f>'[3]COC, Def, ConvF'!M20</f>
        <v>0.75138099999999997</v>
      </c>
    </row>
    <row r="20" spans="1:5" ht="15.75" thickTop="1" x14ac:dyDescent="0.25"/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90" zoomScaleNormal="90" workbookViewId="0">
      <selection activeCell="M8" sqref="M8"/>
    </sheetView>
  </sheetViews>
  <sheetFormatPr defaultColWidth="8.85546875" defaultRowHeight="12" x14ac:dyDescent="0.2"/>
  <cols>
    <col min="1" max="1" width="7.7109375" style="113" bestFit="1" customWidth="1"/>
    <col min="2" max="2" width="30" style="113" bestFit="1" customWidth="1"/>
    <col min="3" max="3" width="13.140625" style="113" bestFit="1" customWidth="1"/>
    <col min="4" max="5" width="11.28515625" style="113" bestFit="1" customWidth="1"/>
    <col min="6" max="6" width="12.28515625" style="113" bestFit="1" customWidth="1"/>
    <col min="7" max="7" width="10.28515625" style="113" bestFit="1" customWidth="1"/>
    <col min="8" max="8" width="9" style="113" bestFit="1" customWidth="1"/>
    <col min="9" max="9" width="12" style="113" bestFit="1" customWidth="1"/>
    <col min="10" max="10" width="8.85546875" style="113" bestFit="1" customWidth="1"/>
    <col min="11" max="11" width="11.28515625" style="113" bestFit="1" customWidth="1"/>
    <col min="12" max="12" width="3.85546875" style="113" customWidth="1"/>
    <col min="13" max="13" width="11.7109375" style="113" bestFit="1" customWidth="1"/>
    <col min="14" max="14" width="11.140625" style="113" bestFit="1" customWidth="1"/>
    <col min="15" max="15" width="12.28515625" style="113" bestFit="1" customWidth="1"/>
    <col min="16" max="16384" width="8.85546875" style="113"/>
  </cols>
  <sheetData>
    <row r="1" spans="1:13" x14ac:dyDescent="0.2">
      <c r="A1" s="468" t="s">
        <v>33</v>
      </c>
      <c r="B1" s="469" t="s">
        <v>294</v>
      </c>
      <c r="C1" s="469"/>
      <c r="D1" s="469"/>
      <c r="E1" s="469"/>
      <c r="F1" s="469"/>
      <c r="G1" s="469"/>
      <c r="H1" s="469"/>
      <c r="I1" s="469"/>
      <c r="J1" s="469"/>
      <c r="K1" s="469"/>
    </row>
    <row r="2" spans="1:13" x14ac:dyDescent="0.2">
      <c r="A2" s="468" t="s">
        <v>320</v>
      </c>
      <c r="B2" s="469" t="s">
        <v>294</v>
      </c>
      <c r="C2" s="469"/>
      <c r="D2" s="469"/>
      <c r="E2" s="469"/>
      <c r="F2" s="469"/>
      <c r="G2" s="469"/>
      <c r="H2" s="469"/>
      <c r="I2" s="469"/>
      <c r="J2" s="469"/>
      <c r="K2" s="469"/>
    </row>
    <row r="3" spans="1:13" x14ac:dyDescent="0.2">
      <c r="A3" s="469" t="s">
        <v>295</v>
      </c>
      <c r="B3" s="469" t="s">
        <v>295</v>
      </c>
      <c r="C3" s="469"/>
      <c r="D3" s="469"/>
      <c r="E3" s="469"/>
      <c r="F3" s="469"/>
      <c r="G3" s="469"/>
      <c r="H3" s="469"/>
      <c r="I3" s="469"/>
      <c r="J3" s="469"/>
      <c r="K3" s="469"/>
    </row>
    <row r="4" spans="1:13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3" ht="72" x14ac:dyDescent="0.2">
      <c r="A5" s="115" t="str">
        <f>'[4]Exhibit No.__(JAP-Rate Spread)'!A5</f>
        <v>Line No.</v>
      </c>
      <c r="B5" s="115" t="str">
        <f>'[4]Exhibit No.__(JAP-Rate Spread)'!B5</f>
        <v>Voltage Level</v>
      </c>
      <c r="C5" s="115" t="str">
        <f>'[4]Exhibit No.__(JAP-Rate Spread)'!C5</f>
        <v>Schedule</v>
      </c>
      <c r="D5" s="116" t="str">
        <f>'[4]Exhibit No.__(JAP-Rate Spread)'!D5</f>
        <v>MWh</v>
      </c>
      <c r="E5" s="116" t="str">
        <f>'[4]Exhibit No.__(JAP-Rate Spread)'!E5</f>
        <v>Proforma
Revenue
($000)</v>
      </c>
      <c r="F5" s="116" t="str">
        <f>'[4]Exhibit No.__(JAP-Rate Spread)'!F5</f>
        <v>Proposed
Increase
($)</v>
      </c>
      <c r="G5" s="116" t="str">
        <f>'[4]Exhibit No.__(JAP-Rate Spread)'!G5</f>
        <v>Percent of Total w/o Schedule 449, MSSC &amp; Firm Resale</v>
      </c>
      <c r="H5" s="116" t="str">
        <f>'[4]Exhibit No.__(JAP-Rate Spread)'!H5</f>
        <v>Percent of Uniform Increase</v>
      </c>
      <c r="I5" s="116" t="str">
        <f>'[4]Exhibit No.__(JAP-Rate Spread)'!I5</f>
        <v>Proposed Revenue Increase (%)</v>
      </c>
      <c r="J5" s="116" t="str">
        <f>'[4]Exhibit No.__(JAP-Rate Spread)'!J5</f>
        <v>Proposed
Revenue
Increase
($000)</v>
      </c>
      <c r="K5" s="116" t="str">
        <f>'[4]Exhibit No.__(JAP-Rate Spread)'!K5</f>
        <v>Proposed
Revenue
($000)</v>
      </c>
      <c r="L5" s="124"/>
      <c r="M5" s="116" t="str">
        <f>'[4]Exhibit No.__(JAP-Rate Spread)'!M5</f>
        <v>Proposed
Revenue
Increase
($)</v>
      </c>
    </row>
    <row r="6" spans="1:13" x14ac:dyDescent="0.2">
      <c r="A6" s="117">
        <f>'[4]Exhibit No.__(JAP-Rate Spread)'!A6</f>
        <v>0</v>
      </c>
      <c r="B6" s="118"/>
      <c r="C6" s="119"/>
      <c r="D6" s="119" t="str">
        <f>'[4]Exhibit No.__(JAP-Rate Spread)'!D6</f>
        <v>A</v>
      </c>
      <c r="E6" s="119" t="str">
        <f>'[4]Exhibit No.__(JAP-Rate Spread)'!E6</f>
        <v>B</v>
      </c>
      <c r="F6" s="117" t="str">
        <f>'[4]Exhibit No.__(JAP-Rate Spread)'!F6</f>
        <v>C</v>
      </c>
      <c r="G6" s="119" t="str">
        <f>'[4]Exhibit No.__(JAP-Rate Spread)'!G6</f>
        <v>D</v>
      </c>
      <c r="H6" s="117" t="str">
        <f>'[4]Exhibit No.__(JAP-Rate Spread)'!H6</f>
        <v>E</v>
      </c>
      <c r="I6" s="117" t="str">
        <f>'[4]Exhibit No.__(JAP-Rate Spread)'!I6</f>
        <v>F</v>
      </c>
      <c r="J6" s="120" t="str">
        <f>'[4]Exhibit No.__(JAP-Rate Spread)'!J6</f>
        <v>G  = B * F</v>
      </c>
      <c r="K6" s="120" t="str">
        <f>'[4]Exhibit No.__(JAP-Rate Spread)'!K6</f>
        <v>H = B + G</v>
      </c>
      <c r="L6" s="124"/>
      <c r="M6" s="124"/>
    </row>
    <row r="7" spans="1:13" x14ac:dyDescent="0.2">
      <c r="A7" s="117">
        <f>'[4]Exhibit No.__(JAP-Rate Spread)'!A7</f>
        <v>0</v>
      </c>
      <c r="B7" s="118"/>
      <c r="C7" s="119"/>
      <c r="D7" s="119"/>
      <c r="E7" s="119"/>
      <c r="F7" s="117"/>
      <c r="G7" s="119"/>
      <c r="H7" s="117"/>
      <c r="I7" s="117"/>
      <c r="J7" s="117"/>
      <c r="K7" s="117"/>
      <c r="L7" s="124"/>
      <c r="M7" s="124"/>
    </row>
    <row r="8" spans="1:13" x14ac:dyDescent="0.2">
      <c r="A8" s="121">
        <f>'[4]Exhibit No.__(JAP-Rate Spread)'!A8</f>
        <v>1</v>
      </c>
      <c r="B8" s="122" t="str">
        <f>'[4]Exhibit No.__(JAP-Rate Spread)'!B8</f>
        <v>Residential</v>
      </c>
      <c r="C8" s="333">
        <f>'[4]Exhibit No.__(JAP-Rate Spread)'!C8</f>
        <v>7</v>
      </c>
      <c r="D8" s="123">
        <f>'[4]Exhibit No.__(JAP-Rate Spread)'!D8</f>
        <v>10623030.235689331</v>
      </c>
      <c r="E8" s="126">
        <f>'[4]Exhibit No.__(JAP-Rate Spread)'!E8</f>
        <v>1105896.514</v>
      </c>
      <c r="F8" s="124"/>
      <c r="G8" s="141">
        <f>'[4]Exhibit No.__(JAP-Rate Spread)'!G8</f>
        <v>0.55823273170692511</v>
      </c>
      <c r="H8" s="125">
        <f>'[4]Exhibit No.__(JAP-Rate Spread)'!H8</f>
        <v>1</v>
      </c>
      <c r="I8" s="135">
        <f>'[4]Exhibit No.__(JAP-Rate Spread)'!I8</f>
        <v>7.6805746094331134E-2</v>
      </c>
      <c r="J8" s="126">
        <f>'[4]Exhibit No.__(JAP-Rate Spread)'!J8</f>
        <v>84939.206860889914</v>
      </c>
      <c r="K8" s="126">
        <f>'[4]Exhibit No.__(JAP-Rate Spread)'!K8</f>
        <v>1190835.7208608899</v>
      </c>
      <c r="L8" s="124"/>
      <c r="M8" s="142">
        <f>'[4]Exhibit No.__(JAP-Rate Spread)'!M8</f>
        <v>84939206.860889912</v>
      </c>
    </row>
    <row r="9" spans="1:13" x14ac:dyDescent="0.2">
      <c r="A9" s="121">
        <f>'[4]Exhibit No.__(JAP-Rate Spread)'!A9</f>
        <v>2</v>
      </c>
      <c r="B9" s="118"/>
      <c r="C9" s="119"/>
      <c r="D9" s="119"/>
      <c r="E9" s="119"/>
      <c r="F9" s="117"/>
      <c r="G9" s="119"/>
      <c r="H9" s="117"/>
      <c r="I9" s="117"/>
      <c r="J9" s="117"/>
      <c r="K9" s="117"/>
      <c r="L9" s="124"/>
      <c r="M9" s="124"/>
    </row>
    <row r="10" spans="1:13" x14ac:dyDescent="0.2">
      <c r="A10" s="121">
        <f>'[4]Exhibit No.__(JAP-Rate Spread)'!A10</f>
        <v>3</v>
      </c>
      <c r="B10" s="124" t="str">
        <f>'[4]Exhibit No.__(JAP-Rate Spread)'!B10</f>
        <v>Secondary Voltage</v>
      </c>
      <c r="C10" s="333"/>
      <c r="D10" s="127"/>
      <c r="E10" s="128"/>
      <c r="F10" s="124"/>
      <c r="G10" s="141"/>
      <c r="H10" s="124"/>
      <c r="I10" s="124"/>
      <c r="J10" s="128"/>
      <c r="K10" s="128"/>
      <c r="L10" s="124"/>
      <c r="M10" s="142"/>
    </row>
    <row r="11" spans="1:13" x14ac:dyDescent="0.2">
      <c r="A11" s="121">
        <f>'[4]Exhibit No.__(JAP-Rate Spread)'!A11</f>
        <v>4</v>
      </c>
      <c r="B11" s="129" t="str">
        <f>'[4]Exhibit No.__(JAP-Rate Spread)'!B11</f>
        <v>Demand &lt;= 50 kW</v>
      </c>
      <c r="C11" s="332" t="str">
        <f>'[4]Exhibit No.__(JAP-Rate Spread)'!C11</f>
        <v>8 / 24</v>
      </c>
      <c r="D11" s="131">
        <f>'[4]Exhibit No.__(JAP-Rate Spread)'!D11</f>
        <v>2700129.1967702867</v>
      </c>
      <c r="E11" s="128">
        <f>'[4]Exhibit No.__(JAP-Rate Spread)'!E11</f>
        <v>263390.397</v>
      </c>
      <c r="F11" s="124"/>
      <c r="G11" s="141">
        <f>'[4]Exhibit No.__(JAP-Rate Spread)'!G11</f>
        <v>0.13295379717842343</v>
      </c>
      <c r="H11" s="125">
        <f>'[4]Exhibit No.__(JAP-Rate Spread)'!H11</f>
        <v>1</v>
      </c>
      <c r="I11" s="135">
        <f>'[4]Exhibit No.__(JAP-Rate Spread)'!I11</f>
        <v>7.6805746094331134E-2</v>
      </c>
      <c r="J11" s="128">
        <f>'[4]Exhibit No.__(JAP-Rate Spread)'!J11</f>
        <v>20229.895955667078</v>
      </c>
      <c r="K11" s="128">
        <f>'[4]Exhibit No.__(JAP-Rate Spread)'!K11</f>
        <v>283620.29295566707</v>
      </c>
      <c r="L11" s="124"/>
      <c r="M11" s="142">
        <f>'[4]Exhibit No.__(JAP-Rate Spread)'!M11</f>
        <v>20229895.955667078</v>
      </c>
    </row>
    <row r="12" spans="1:13" x14ac:dyDescent="0.2">
      <c r="A12" s="121">
        <f>'[4]Exhibit No.__(JAP-Rate Spread)'!A12</f>
        <v>5</v>
      </c>
      <c r="B12" s="129" t="str">
        <f>'[4]Exhibit No.__(JAP-Rate Spread)'!B12</f>
        <v>Demand &gt; 50 kW but &lt;= 350 kW</v>
      </c>
      <c r="C12" s="332" t="str">
        <f>'[4]Exhibit No.__(JAP-Rate Spread)'!C12</f>
        <v>7A / 11/ 25 / 29</v>
      </c>
      <c r="D12" s="131">
        <f>'[4]Exhibit No.__(JAP-Rate Spread)'!D12</f>
        <v>3006173.6873569316</v>
      </c>
      <c r="E12" s="128">
        <f>'[4]Exhibit No.__(JAP-Rate Spread)'!E12</f>
        <v>270703.24200000003</v>
      </c>
      <c r="F12" s="124"/>
      <c r="G12" s="141">
        <f>'[4]Exhibit No.__(JAP-Rate Spread)'!G12</f>
        <v>0.13664516376582128</v>
      </c>
      <c r="H12" s="125">
        <f>'[4]Exhibit No.__(JAP-Rate Spread)'!H12</f>
        <v>0.75</v>
      </c>
      <c r="I12" s="135">
        <f>'[4]Exhibit No.__(JAP-Rate Spread)'!I12</f>
        <v>5.7604309570748351E-2</v>
      </c>
      <c r="J12" s="128">
        <f>'[4]Exhibit No.__(JAP-Rate Spread)'!J12</f>
        <v>15593.673353973209</v>
      </c>
      <c r="K12" s="128">
        <f>'[4]Exhibit No.__(JAP-Rate Spread)'!K12</f>
        <v>286296.91535397322</v>
      </c>
      <c r="L12" s="124"/>
      <c r="M12" s="142">
        <f>'[4]Exhibit No.__(JAP-Rate Spread)'!M12</f>
        <v>15593673.353973208</v>
      </c>
    </row>
    <row r="13" spans="1:13" x14ac:dyDescent="0.2">
      <c r="A13" s="121">
        <f>'[4]Exhibit No.__(JAP-Rate Spread)'!A13</f>
        <v>6</v>
      </c>
      <c r="B13" s="129" t="str">
        <f>'[4]Exhibit No.__(JAP-Rate Spread)'!B13</f>
        <v>Demand &gt; 350 kW</v>
      </c>
      <c r="C13" s="332" t="str">
        <f>'[4]Exhibit No.__(JAP-Rate Spread)'!C13</f>
        <v>12 / 26 / 26P</v>
      </c>
      <c r="D13" s="131">
        <f>'[4]Exhibit No.__(JAP-Rate Spread)'!D13</f>
        <v>1941301.3639308119</v>
      </c>
      <c r="E13" s="128">
        <f>'[4]Exhibit No.__(JAP-Rate Spread)'!E13</f>
        <v>160280.84099999999</v>
      </c>
      <c r="F13" s="124"/>
      <c r="G13" s="141">
        <f>'[4]Exhibit No.__(JAP-Rate Spread)'!G13</f>
        <v>8.0906314993333381E-2</v>
      </c>
      <c r="H13" s="125">
        <f>'[4]Exhibit No.__(JAP-Rate Spread)'!H13</f>
        <v>0.75</v>
      </c>
      <c r="I13" s="135">
        <f>'[4]Exhibit No.__(JAP-Rate Spread)'!I13</f>
        <v>5.7604309570748351E-2</v>
      </c>
      <c r="J13" s="128">
        <f>'[4]Exhibit No.__(JAP-Rate Spread)'!J13</f>
        <v>9232.8671832238942</v>
      </c>
      <c r="K13" s="128">
        <f>'[4]Exhibit No.__(JAP-Rate Spread)'!K13</f>
        <v>169513.70818322388</v>
      </c>
      <c r="L13" s="124"/>
      <c r="M13" s="142">
        <f>'[4]Exhibit No.__(JAP-Rate Spread)'!M13</f>
        <v>9232867.1832238939</v>
      </c>
    </row>
    <row r="14" spans="1:13" x14ac:dyDescent="0.2">
      <c r="A14" s="121">
        <f>'[4]Exhibit No.__(JAP-Rate Spread)'!A14</f>
        <v>7</v>
      </c>
      <c r="B14" s="130" t="str">
        <f>'[4]Exhibit No.__(JAP-Rate Spread)'!B14</f>
        <v>Total Secondary Voltage</v>
      </c>
      <c r="C14" s="333"/>
      <c r="D14" s="136">
        <f>'[4]Exhibit No.__(JAP-Rate Spread)'!D14</f>
        <v>7647604.2480580304</v>
      </c>
      <c r="E14" s="126">
        <f>'[4]Exhibit No.__(JAP-Rate Spread)'!E14</f>
        <v>694374.48</v>
      </c>
      <c r="F14" s="124"/>
      <c r="G14" s="141"/>
      <c r="H14" s="124"/>
      <c r="I14" s="124">
        <f>'[4]Exhibit No.__(JAP-Rate Spread)'!I14</f>
        <v>0</v>
      </c>
      <c r="J14" s="126">
        <f>'[4]Exhibit No.__(JAP-Rate Spread)'!J14</f>
        <v>45056.436492864173</v>
      </c>
      <c r="K14" s="126">
        <f>'[4]Exhibit No.__(JAP-Rate Spread)'!K14</f>
        <v>739430.91649286414</v>
      </c>
      <c r="L14" s="124"/>
      <c r="M14" s="142">
        <f>'[4]Exhibit No.__(JAP-Rate Spread)'!M14</f>
        <v>45056436.492864177</v>
      </c>
    </row>
    <row r="15" spans="1:13" x14ac:dyDescent="0.2">
      <c r="A15" s="121">
        <f>'[4]Exhibit No.__(JAP-Rate Spread)'!A15</f>
        <v>8</v>
      </c>
      <c r="B15" s="346" t="s">
        <v>405</v>
      </c>
      <c r="C15" s="119"/>
      <c r="D15" s="119"/>
      <c r="E15" s="119"/>
      <c r="F15" s="117"/>
      <c r="G15" s="119"/>
      <c r="H15" s="117"/>
      <c r="I15" s="117"/>
      <c r="J15" s="117"/>
      <c r="K15" s="117"/>
      <c r="L15" s="124"/>
      <c r="M15" s="124"/>
    </row>
    <row r="16" spans="1:13" x14ac:dyDescent="0.2">
      <c r="A16" s="121">
        <f>'[4]Exhibit No.__(JAP-Rate Spread)'!A16</f>
        <v>9</v>
      </c>
      <c r="B16" s="124" t="str">
        <f>'[4]Exhibit No.__(JAP-Rate Spread)'!B16</f>
        <v>Primary Voltage</v>
      </c>
      <c r="C16" s="333"/>
      <c r="D16" s="119"/>
      <c r="E16" s="119"/>
      <c r="F16" s="117"/>
      <c r="G16" s="119"/>
      <c r="H16" s="117"/>
      <c r="I16" s="117"/>
      <c r="J16" s="117"/>
      <c r="K16" s="117"/>
      <c r="L16" s="124"/>
      <c r="M16" s="124"/>
    </row>
    <row r="17" spans="1:15" x14ac:dyDescent="0.2">
      <c r="A17" s="121">
        <f>'[4]Exhibit No.__(JAP-Rate Spread)'!A17</f>
        <v>10</v>
      </c>
      <c r="B17" s="129" t="str">
        <f>'[4]Exhibit No.__(JAP-Rate Spread)'!B17</f>
        <v>General Service</v>
      </c>
      <c r="C17" s="332" t="str">
        <f>'[4]Exhibit No.__(JAP-Rate Spread)'!C17</f>
        <v>10 / 31</v>
      </c>
      <c r="D17" s="131">
        <f>'[4]Exhibit No.__(JAP-Rate Spread)'!D17</f>
        <v>1407978.352242965</v>
      </c>
      <c r="E17" s="128">
        <f>'[4]Exhibit No.__(JAP-Rate Spread)'!E17</f>
        <v>113255.217</v>
      </c>
      <c r="F17" s="124"/>
      <c r="G17" s="141">
        <f>'[4]Exhibit No.__(JAP-Rate Spread)'!G17</f>
        <v>5.7168793251093107E-2</v>
      </c>
      <c r="H17" s="125">
        <f>'[4]Exhibit No.__(JAP-Rate Spread)'!H17</f>
        <v>1</v>
      </c>
      <c r="I17" s="135">
        <f>'[4]Exhibit No.__(JAP-Rate Spread)'!I17</f>
        <v>7.6805746094331134E-2</v>
      </c>
      <c r="J17" s="128">
        <f>'[4]Exhibit No.__(JAP-Rate Spread)'!J17</f>
        <v>8698.6514407603754</v>
      </c>
      <c r="K17" s="128">
        <f>'[4]Exhibit No.__(JAP-Rate Spread)'!K17</f>
        <v>121953.86844076039</v>
      </c>
      <c r="L17" s="124"/>
      <c r="M17" s="142">
        <f>'[4]Exhibit No.__(JAP-Rate Spread)'!M17</f>
        <v>8698651.4407603759</v>
      </c>
      <c r="N17" s="132"/>
    </row>
    <row r="18" spans="1:15" x14ac:dyDescent="0.2">
      <c r="A18" s="121">
        <f>'[4]Exhibit No.__(JAP-Rate Spread)'!A18</f>
        <v>11</v>
      </c>
      <c r="B18" s="129" t="str">
        <f>'[4]Exhibit No.__(JAP-Rate Spread)'!B18</f>
        <v>Irrigation</v>
      </c>
      <c r="C18" s="332">
        <f>'[4]Exhibit No.__(JAP-Rate Spread)'!C18</f>
        <v>35</v>
      </c>
      <c r="D18" s="131">
        <f>'[4]Exhibit No.__(JAP-Rate Spread)'!D18</f>
        <v>4443.66</v>
      </c>
      <c r="E18" s="128">
        <f>'[4]Exhibit No.__(JAP-Rate Spread)'!E18</f>
        <v>268.01499999999999</v>
      </c>
      <c r="F18" s="124"/>
      <c r="G18" s="141">
        <f>'[4]Exhibit No.__(JAP-Rate Spread)'!G18</f>
        <v>1.3528819712730513E-4</v>
      </c>
      <c r="H18" s="125">
        <f>'[4]Exhibit No.__(JAP-Rate Spread)'!H18</f>
        <v>1.5</v>
      </c>
      <c r="I18" s="135">
        <f>'[4]Exhibit No.__(JAP-Rate Spread)'!I18</f>
        <v>0.1152086191414967</v>
      </c>
      <c r="J18" s="128">
        <f>'[4]Exhibit No.__(JAP-Rate Spread)'!J18</f>
        <v>30.877638059208238</v>
      </c>
      <c r="K18" s="128">
        <f>'[4]Exhibit No.__(JAP-Rate Spread)'!K18</f>
        <v>298.89263805920825</v>
      </c>
      <c r="L18" s="124"/>
      <c r="M18" s="142">
        <f>'[4]Exhibit No.__(JAP-Rate Spread)'!M18</f>
        <v>30877.638059208239</v>
      </c>
      <c r="N18" s="132"/>
    </row>
    <row r="19" spans="1:15" x14ac:dyDescent="0.2">
      <c r="A19" s="121">
        <f>'[4]Exhibit No.__(JAP-Rate Spread)'!A19</f>
        <v>12</v>
      </c>
      <c r="B19" s="133" t="str">
        <f>'[4]Exhibit No.__(JAP-Rate Spread)'!B19</f>
        <v>Interruptible Total Electric Schools</v>
      </c>
      <c r="C19" s="333">
        <f>'[4]Exhibit No.__(JAP-Rate Spread)'!C19</f>
        <v>43</v>
      </c>
      <c r="D19" s="131">
        <f>'[4]Exhibit No.__(JAP-Rate Spread)'!D19</f>
        <v>122500.71332397975</v>
      </c>
      <c r="E19" s="128">
        <f>'[4]Exhibit No.__(JAP-Rate Spread)'!E19</f>
        <v>10687.148999999999</v>
      </c>
      <c r="F19" s="124"/>
      <c r="G19" s="141">
        <f>'[4]Exhibit No.__(JAP-Rate Spread)'!G19</f>
        <v>5.3946425410550964E-3</v>
      </c>
      <c r="H19" s="125">
        <f>'[4]Exhibit No.__(JAP-Rate Spread)'!H19</f>
        <v>1.25</v>
      </c>
      <c r="I19" s="135">
        <f>'[4]Exhibit No.__(JAP-Rate Spread)'!I19</f>
        <v>9.6007182617913911E-2</v>
      </c>
      <c r="J19" s="128">
        <f>'[4]Exhibit No.__(JAP-Rate Spread)'!J19</f>
        <v>1026.0430657078559</v>
      </c>
      <c r="K19" s="128">
        <f>'[4]Exhibit No.__(JAP-Rate Spread)'!K19</f>
        <v>11713.192065707855</v>
      </c>
      <c r="L19" s="124"/>
      <c r="M19" s="142">
        <f>'[4]Exhibit No.__(JAP-Rate Spread)'!M19</f>
        <v>1026043.065707856</v>
      </c>
    </row>
    <row r="20" spans="1:15" x14ac:dyDescent="0.2">
      <c r="A20" s="121">
        <f>'[4]Exhibit No.__(JAP-Rate Spread)'!A20</f>
        <v>13</v>
      </c>
      <c r="B20" s="122" t="str">
        <f>'[4]Exhibit No.__(JAP-Rate Spread)'!B20</f>
        <v>Total Primary Voltage</v>
      </c>
      <c r="C20" s="333"/>
      <c r="D20" s="136">
        <f>'[4]Exhibit No.__(JAP-Rate Spread)'!D20</f>
        <v>1534922.7255669446</v>
      </c>
      <c r="E20" s="126">
        <f>'[4]Exhibit No.__(JAP-Rate Spread)'!E20</f>
        <v>124210.38100000001</v>
      </c>
      <c r="F20" s="124"/>
      <c r="G20" s="141"/>
      <c r="H20" s="124"/>
      <c r="I20" s="124">
        <f>'[4]Exhibit No.__(JAP-Rate Spread)'!I20</f>
        <v>0</v>
      </c>
      <c r="J20" s="126">
        <f>'[4]Exhibit No.__(JAP-Rate Spread)'!J20</f>
        <v>9755.5721445274394</v>
      </c>
      <c r="K20" s="126">
        <f>'[4]Exhibit No.__(JAP-Rate Spread)'!K20</f>
        <v>133965.95314452745</v>
      </c>
      <c r="L20" s="124"/>
      <c r="M20" s="142">
        <f>'[4]Exhibit No.__(JAP-Rate Spread)'!M20</f>
        <v>9755572.144527439</v>
      </c>
    </row>
    <row r="21" spans="1:15" x14ac:dyDescent="0.2">
      <c r="A21" s="121">
        <f>'[4]Exhibit No.__(JAP-Rate Spread)'!A21</f>
        <v>14</v>
      </c>
      <c r="B21" s="346" t="s">
        <v>405</v>
      </c>
      <c r="C21" s="119"/>
      <c r="D21" s="119"/>
      <c r="E21" s="119"/>
      <c r="F21" s="117"/>
      <c r="G21" s="119"/>
      <c r="H21" s="117"/>
      <c r="I21" s="117"/>
      <c r="J21" s="117"/>
      <c r="K21" s="117"/>
      <c r="L21" s="124"/>
      <c r="M21" s="124"/>
    </row>
    <row r="22" spans="1:15" x14ac:dyDescent="0.2">
      <c r="A22" s="121">
        <f>'[4]Exhibit No.__(JAP-Rate Spread)'!A22</f>
        <v>15</v>
      </c>
      <c r="B22" s="130" t="str">
        <f>'[4]Exhibit No.__(JAP-Rate Spread)'!B22</f>
        <v>Total High Voltage</v>
      </c>
      <c r="C22" s="333" t="str">
        <f>'[4]Exhibit No.__(JAP-Rate Spread)'!C22</f>
        <v>46 / 49</v>
      </c>
      <c r="D22" s="136">
        <f>'[4]Exhibit No.__(JAP-Rate Spread)'!D22</f>
        <v>620610.81340199988</v>
      </c>
      <c r="E22" s="126">
        <f>'[4]Exhibit No.__(JAP-Rate Spread)'!E22</f>
        <v>40128.248</v>
      </c>
      <c r="F22" s="124"/>
      <c r="G22" s="141">
        <f>'[4]Exhibit No.__(JAP-Rate Spread)'!G22</f>
        <v>2.0255874954004022E-2</v>
      </c>
      <c r="H22" s="125">
        <f>'[4]Exhibit No.__(JAP-Rate Spread)'!H22</f>
        <v>0.75</v>
      </c>
      <c r="I22" s="135">
        <f>'[4]Exhibit No.__(JAP-Rate Spread)'!I22</f>
        <v>5.7604309570748351E-2</v>
      </c>
      <c r="J22" s="126">
        <f>'[4]Exhibit No.__(JAP-Rate Spread)'!J22</f>
        <v>2311.5600203237632</v>
      </c>
      <c r="K22" s="126">
        <f>'[4]Exhibit No.__(JAP-Rate Spread)'!K22</f>
        <v>42439.808020323762</v>
      </c>
      <c r="L22" s="124"/>
      <c r="M22" s="142">
        <f>'[4]Exhibit No.__(JAP-Rate Spread)'!M22</f>
        <v>2311560.0203237631</v>
      </c>
    </row>
    <row r="23" spans="1:15" x14ac:dyDescent="0.2">
      <c r="A23" s="121">
        <f>'[4]Exhibit No.__(JAP-Rate Spread)'!A23</f>
        <v>16</v>
      </c>
      <c r="B23" s="346" t="s">
        <v>405</v>
      </c>
      <c r="C23" s="119"/>
      <c r="D23" s="119"/>
      <c r="E23" s="119"/>
      <c r="F23" s="117"/>
      <c r="G23" s="119"/>
      <c r="H23" s="117"/>
      <c r="I23" s="117"/>
      <c r="J23" s="117"/>
      <c r="K23" s="117"/>
      <c r="L23" s="124"/>
      <c r="M23" s="124"/>
    </row>
    <row r="24" spans="1:15" x14ac:dyDescent="0.2">
      <c r="A24" s="121">
        <f>'[4]Exhibit No.__(JAP-Rate Spread)'!A24</f>
        <v>17</v>
      </c>
      <c r="B24" s="130" t="str">
        <f>'[4]Exhibit No.__(JAP-Rate Spread)'!B24</f>
        <v>Choice / Retail Wheeling / Special Contract</v>
      </c>
      <c r="C24" s="332" t="str">
        <f>'[4]Exhibit No.__(JAP-Rate Spread)'!C24</f>
        <v>449 / 459 / SC</v>
      </c>
      <c r="D24" s="136">
        <f>'[4]Exhibit No.__(JAP-Rate Spread)'!D24</f>
        <v>2364947.5421700003</v>
      </c>
      <c r="E24" s="126">
        <f>'[4]Exhibit No.__(JAP-Rate Spread)'!E24</f>
        <v>15608.262999999999</v>
      </c>
      <c r="F24" s="124"/>
      <c r="G24" s="141"/>
      <c r="H24" s="125"/>
      <c r="I24" s="135">
        <f>'[4]Exhibit No.__(JAP-Rate Spread)'!I24</f>
        <v>-6.3922950298825679E-2</v>
      </c>
      <c r="J24" s="126">
        <f>'[4]Exhibit No.__(JAP-Rate Spread)'!J24</f>
        <v>-997.72621999999967</v>
      </c>
      <c r="K24" s="126">
        <f>'[4]Exhibit No.__(JAP-Rate Spread)'!K24</f>
        <v>14610.536779999999</v>
      </c>
      <c r="L24" s="124"/>
      <c r="M24" s="142">
        <f>'[4]Exhibit No.__(JAP-Rate Spread)'!M24</f>
        <v>-997726.21999999962</v>
      </c>
    </row>
    <row r="25" spans="1:15" x14ac:dyDescent="0.2">
      <c r="A25" s="121">
        <f>'[4]Exhibit No.__(JAP-Rate Spread)'!A25</f>
        <v>18</v>
      </c>
      <c r="B25" s="346" t="s">
        <v>405</v>
      </c>
      <c r="C25" s="119"/>
      <c r="D25" s="119"/>
      <c r="E25" s="119"/>
      <c r="F25" s="117"/>
      <c r="G25" s="119"/>
      <c r="H25" s="117"/>
      <c r="I25" s="117"/>
      <c r="J25" s="117"/>
      <c r="K25" s="117"/>
      <c r="L25" s="124"/>
      <c r="M25" s="124"/>
    </row>
    <row r="26" spans="1:15" x14ac:dyDescent="0.2">
      <c r="A26" s="121">
        <f>'[4]Exhibit No.__(JAP-Rate Spread)'!A26</f>
        <v>19</v>
      </c>
      <c r="B26" s="124" t="str">
        <f>'[4]Exhibit No.__(JAP-Rate Spread)'!B26</f>
        <v>Lighting</v>
      </c>
      <c r="C26" s="333" t="str">
        <f>'[4]Exhibit No.__(JAP-Rate Spread)'!C26</f>
        <v>50-59</v>
      </c>
      <c r="D26" s="136">
        <f>'[4]Exhibit No.__(JAP-Rate Spread)'!D26</f>
        <v>69969.105296000009</v>
      </c>
      <c r="E26" s="126">
        <f>'[4]Exhibit No.__(JAP-Rate Spread)'!E26</f>
        <v>16457.504000000001</v>
      </c>
      <c r="F26" s="124"/>
      <c r="G26" s="141">
        <f>'[4]Exhibit No.__(JAP-Rate Spread)'!G26</f>
        <v>8.3073934122172739E-3</v>
      </c>
      <c r="H26" s="125">
        <f>'[4]Exhibit No.__(JAP-Rate Spread)'!H26</f>
        <v>1.25</v>
      </c>
      <c r="I26" s="135">
        <f>'[4]Exhibit No.__(JAP-Rate Spread)'!I26</f>
        <v>9.6007182617913911E-2</v>
      </c>
      <c r="J26" s="126">
        <f>'[4]Exhibit No.__(JAP-Rate Spread)'!J26</f>
        <v>1580.0385919630487</v>
      </c>
      <c r="K26" s="126">
        <f>'[4]Exhibit No.__(JAP-Rate Spread)'!K26</f>
        <v>18037.542591963051</v>
      </c>
      <c r="L26" s="124"/>
      <c r="M26" s="142">
        <f>'[4]Exhibit No.__(JAP-Rate Spread)'!M26</f>
        <v>1580038.5919630488</v>
      </c>
    </row>
    <row r="27" spans="1:15" x14ac:dyDescent="0.2">
      <c r="A27" s="121">
        <f>'[4]Exhibit No.__(JAP-Rate Spread)'!A27</f>
        <v>20</v>
      </c>
      <c r="B27" s="346" t="s">
        <v>405</v>
      </c>
      <c r="C27" s="119"/>
      <c r="D27" s="119"/>
      <c r="E27" s="119"/>
      <c r="F27" s="117"/>
      <c r="G27" s="119"/>
      <c r="H27" s="117"/>
      <c r="I27" s="117"/>
      <c r="J27" s="117"/>
      <c r="K27" s="117"/>
      <c r="L27" s="124"/>
      <c r="M27" s="124"/>
    </row>
    <row r="28" spans="1:15" ht="12.75" thickBot="1" x14ac:dyDescent="0.25">
      <c r="A28" s="121">
        <f>'[4]Exhibit No.__(JAP-Rate Spread)'!A28</f>
        <v>21</v>
      </c>
      <c r="B28" s="130" t="str">
        <f>'[4]Exhibit No.__(JAP-Rate Spread)'!B28</f>
        <v>Total Jurisdictional Retail Sales</v>
      </c>
      <c r="C28" s="333"/>
      <c r="D28" s="138">
        <f>'[4]Exhibit No.__(JAP-Rate Spread)'!D28</f>
        <v>22861084.670182306</v>
      </c>
      <c r="E28" s="139">
        <f>'[4]Exhibit No.__(JAP-Rate Spread)'!E28</f>
        <v>1996675.39</v>
      </c>
      <c r="F28" s="124"/>
      <c r="G28" s="124"/>
      <c r="H28" s="124"/>
      <c r="I28" s="135">
        <f>'[4]Exhibit No.__(JAP-Rate Spread)'!I28</f>
        <v>7.1441301177437938E-2</v>
      </c>
      <c r="J28" s="139">
        <f>'[4]Exhibit No.__(JAP-Rate Spread)'!J28</f>
        <v>142645.08789056833</v>
      </c>
      <c r="K28" s="139">
        <f>'[4]Exhibit No.__(JAP-Rate Spread)'!K28</f>
        <v>2139320.4778905683</v>
      </c>
      <c r="L28" s="124"/>
      <c r="M28" s="142">
        <f>'[4]Exhibit No.__(JAP-Rate Spread)'!M28</f>
        <v>142645087.89056835</v>
      </c>
      <c r="N28" s="134"/>
      <c r="O28" s="134"/>
    </row>
    <row r="29" spans="1:15" ht="12.75" thickTop="1" x14ac:dyDescent="0.2">
      <c r="A29" s="121">
        <f>'[4]Exhibit No.__(JAP-Rate Spread)'!A29</f>
        <v>22</v>
      </c>
      <c r="B29" s="346" t="s">
        <v>405</v>
      </c>
      <c r="C29" s="119"/>
      <c r="D29" s="119"/>
      <c r="E29" s="119"/>
      <c r="F29" s="117"/>
      <c r="G29" s="119"/>
      <c r="H29" s="117"/>
      <c r="I29" s="117"/>
      <c r="J29" s="117"/>
      <c r="K29" s="117"/>
      <c r="L29" s="124"/>
      <c r="M29" s="124"/>
    </row>
    <row r="30" spans="1:15" x14ac:dyDescent="0.2">
      <c r="A30" s="121">
        <f>'[4]Exhibit No.__(JAP-Rate Spread)'!A30</f>
        <v>23</v>
      </c>
      <c r="B30" s="130" t="str">
        <f>'[4]Exhibit No.__(JAP-Rate Spread)'!B30</f>
        <v>Firm Resale</v>
      </c>
      <c r="C30" s="332"/>
      <c r="D30" s="136">
        <f>'[4]Exhibit No.__(JAP-Rate Spread)'!D30</f>
        <v>7170.0662345252713</v>
      </c>
      <c r="E30" s="126">
        <f>'[4]Exhibit No.__(JAP-Rate Spread)'!E30</f>
        <v>327.36</v>
      </c>
      <c r="F30" s="124"/>
      <c r="G30" s="141"/>
      <c r="H30" s="135"/>
      <c r="I30" s="135">
        <f>'[4]Exhibit No.__(JAP-Rate Spread)'!I30</f>
        <v>1.084164557159349</v>
      </c>
      <c r="J30" s="126">
        <f>'[4]Exhibit No.__(JAP-Rate Spread)'!J30</f>
        <v>354.91210943168454</v>
      </c>
      <c r="K30" s="126">
        <f>'[4]Exhibit No.__(JAP-Rate Spread)'!K30</f>
        <v>682.27210943168461</v>
      </c>
      <c r="L30" s="124"/>
      <c r="M30" s="142">
        <f>'[4]Exhibit No.__(JAP-Rate Spread)'!M30</f>
        <v>354912.10943168454</v>
      </c>
    </row>
    <row r="31" spans="1:15" x14ac:dyDescent="0.2">
      <c r="A31" s="121">
        <f>'[4]Exhibit No.__(JAP-Rate Spread)'!A31</f>
        <v>24</v>
      </c>
      <c r="B31" s="346" t="s">
        <v>405</v>
      </c>
      <c r="C31" s="119"/>
      <c r="D31" s="119"/>
      <c r="E31" s="119"/>
      <c r="F31" s="117"/>
      <c r="G31" s="119"/>
      <c r="H31" s="117"/>
      <c r="I31" s="117"/>
      <c r="J31" s="117"/>
      <c r="K31" s="117"/>
      <c r="L31" s="124"/>
      <c r="M31" s="124"/>
    </row>
    <row r="32" spans="1:15" ht="12.75" thickBot="1" x14ac:dyDescent="0.25">
      <c r="A32" s="121">
        <f>'[4]Exhibit No.__(JAP-Rate Spread)'!A32</f>
        <v>25</v>
      </c>
      <c r="B32" s="124" t="str">
        <f>'[4]Exhibit No.__(JAP-Rate Spread)'!B32</f>
        <v>Total Sales</v>
      </c>
      <c r="C32" s="333"/>
      <c r="D32" s="138">
        <f>'[4]Exhibit No.__(JAP-Rate Spread)'!D32</f>
        <v>22868254.736416832</v>
      </c>
      <c r="E32" s="139">
        <f>'[4]Exhibit No.__(JAP-Rate Spread)'!E32</f>
        <v>1997002.75</v>
      </c>
      <c r="F32" s="342">
        <f>'[4]Exhibit No.__(JAP-Rate Spread)'!F32</f>
        <v>143000000</v>
      </c>
      <c r="G32" s="140">
        <f>'[4]Exhibit No.__(JAP-Rate Spread)'!G32</f>
        <v>1</v>
      </c>
      <c r="H32" s="124"/>
      <c r="I32" s="140">
        <f>'[4]Exhibit No.__(JAP-Rate Spread)'!I32</f>
        <v>7.160731250870836E-2</v>
      </c>
      <c r="J32" s="139">
        <f>'[4]Exhibit No.__(JAP-Rate Spread)'!J32</f>
        <v>143000.00000000003</v>
      </c>
      <c r="K32" s="139">
        <f>'[4]Exhibit No.__(JAP-Rate Spread)'!K32</f>
        <v>2140002.75</v>
      </c>
      <c r="L32" s="124"/>
      <c r="M32" s="142">
        <f>'[4]Exhibit No.__(JAP-Rate Spread)'!M32</f>
        <v>143000000.00000003</v>
      </c>
    </row>
    <row r="33" spans="1:13" ht="12.75" thickTop="1" x14ac:dyDescent="0.2">
      <c r="A33" s="121">
        <f>'[4]Exhibit No.__(JAP-Rate Spread)'!A33</f>
        <v>26</v>
      </c>
      <c r="B33" s="346" t="s">
        <v>405</v>
      </c>
      <c r="C33" s="119"/>
      <c r="D33" s="119"/>
      <c r="E33" s="119"/>
      <c r="F33" s="117"/>
      <c r="G33" s="119"/>
      <c r="H33" s="117"/>
      <c r="I33" s="117"/>
      <c r="J33" s="117"/>
      <c r="K33" s="117"/>
      <c r="L33" s="124"/>
      <c r="M33" s="124"/>
    </row>
    <row r="34" spans="1:13" ht="12.75" thickBot="1" x14ac:dyDescent="0.25">
      <c r="A34" s="121">
        <f>'[4]Exhibit No.__(JAP-Rate Spread)'!A34</f>
        <v>27</v>
      </c>
      <c r="B34" s="118">
        <f>'[4]Exhibit No.__(JAP-Rate Spread)'!B34</f>
        <v>0</v>
      </c>
      <c r="C34" s="119"/>
      <c r="D34" s="119"/>
      <c r="E34" s="119"/>
      <c r="F34" s="117"/>
      <c r="G34" s="119"/>
      <c r="H34" s="117"/>
      <c r="I34" s="117"/>
      <c r="J34" s="117"/>
      <c r="K34" s="117"/>
      <c r="L34" s="124"/>
      <c r="M34" s="124"/>
    </row>
    <row r="35" spans="1:13" x14ac:dyDescent="0.2">
      <c r="A35" s="121">
        <f>'[4]Exhibit No.__(JAP-Rate Spread)'!A35</f>
        <v>28</v>
      </c>
      <c r="B35" s="474" t="str">
        <f>'[4]Exhibit No.__(JAP-Rate Spread)'!B35</f>
        <v>Average Increase Before Transportation, Special Contract &amp; Firm Resale</v>
      </c>
      <c r="C35" s="475"/>
      <c r="D35" s="475"/>
      <c r="E35" s="475"/>
      <c r="F35" s="143"/>
      <c r="G35" s="343"/>
      <c r="H35" s="143"/>
      <c r="I35" s="144">
        <f>'[4]Exhibit No.__(JAP-Rate Spread)'!I35</f>
        <v>7.160731250870836E-2</v>
      </c>
      <c r="J35" s="124"/>
      <c r="K35" s="124"/>
      <c r="L35" s="124"/>
      <c r="M35" s="124"/>
    </row>
    <row r="36" spans="1:13" x14ac:dyDescent="0.2">
      <c r="A36" s="121">
        <f>'[4]Exhibit No.__(JAP-Rate Spread)'!A36</f>
        <v>29</v>
      </c>
      <c r="B36" s="476" t="str">
        <f>'[4]Exhibit No.__(JAP-Rate Spread)'!B36</f>
        <v>Average Increase After Transportation, Special Contract, Firm Resale</v>
      </c>
      <c r="C36" s="477"/>
      <c r="D36" s="477"/>
      <c r="E36" s="477"/>
      <c r="F36" s="137"/>
      <c r="G36" s="137"/>
      <c r="H36" s="137"/>
      <c r="I36" s="145">
        <f>'[4]Exhibit No.__(JAP-Rate Spread)'!I36</f>
        <v>7.250779751622638E-2</v>
      </c>
      <c r="J36" s="124"/>
      <c r="K36" s="142"/>
      <c r="L36" s="124"/>
      <c r="M36" s="124"/>
    </row>
    <row r="37" spans="1:13" x14ac:dyDescent="0.2">
      <c r="A37" s="121">
        <f>'[4]Exhibit No.__(JAP-Rate Spread)'!A37</f>
        <v>30</v>
      </c>
      <c r="B37" s="470" t="str">
        <f>'[4]Exhibit No.__(JAP-Rate Spread)'!B37</f>
        <v>Adjustment to Average Increase for Unequal Allocation of Increase</v>
      </c>
      <c r="C37" s="471"/>
      <c r="D37" s="471"/>
      <c r="E37" s="471"/>
      <c r="F37" s="137"/>
      <c r="G37" s="137"/>
      <c r="H37" s="137"/>
      <c r="I37" s="344">
        <f>'[4]Exhibit No.__(JAP-Rate Spread)'!I37</f>
        <v>1.0592756741389493</v>
      </c>
      <c r="J37" s="124"/>
      <c r="K37" s="142"/>
      <c r="L37" s="124"/>
      <c r="M37" s="124"/>
    </row>
    <row r="38" spans="1:13" ht="12.75" thickBot="1" x14ac:dyDescent="0.25">
      <c r="A38" s="121">
        <f>'[4]Exhibit No.__(JAP-Rate Spread)'!A38</f>
        <v>31</v>
      </c>
      <c r="B38" s="472" t="str">
        <f>'[4]Exhibit No.__(JAP-Rate Spread)'!B38</f>
        <v>Average Increase After Firm Resale adjusted for Unequal Allocation of Increase</v>
      </c>
      <c r="C38" s="473"/>
      <c r="D38" s="473"/>
      <c r="E38" s="473"/>
      <c r="F38" s="345"/>
      <c r="G38" s="345"/>
      <c r="H38" s="345"/>
      <c r="I38" s="146">
        <f>'[4]Exhibit No.__(JAP-Rate Spread)'!I38</f>
        <v>7.6805746094331134E-2</v>
      </c>
      <c r="J38" s="124"/>
      <c r="K38" s="142"/>
      <c r="L38" s="124"/>
      <c r="M38" s="124"/>
    </row>
  </sheetData>
  <mergeCells count="7">
    <mergeCell ref="A1:K1"/>
    <mergeCell ref="A2:K2"/>
    <mergeCell ref="A3:K3"/>
    <mergeCell ref="B37:E37"/>
    <mergeCell ref="B38:E38"/>
    <mergeCell ref="B35:E35"/>
    <mergeCell ref="B36:E36"/>
  </mergeCells>
  <printOptions horizontalCentered="1"/>
  <pageMargins left="0.25" right="0.25" top="0.75" bottom="0.75" header="0.3" footer="0.3"/>
  <pageSetup scale="59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70" zoomScaleNormal="70" workbookViewId="0">
      <selection sqref="A1:J1048576"/>
    </sheetView>
  </sheetViews>
  <sheetFormatPr defaultRowHeight="15" x14ac:dyDescent="0.25"/>
  <cols>
    <col min="1" max="1" width="33" bestFit="1" customWidth="1"/>
    <col min="3" max="3" width="16.28515625" bestFit="1" customWidth="1"/>
    <col min="4" max="4" width="13.42578125" bestFit="1" customWidth="1"/>
    <col min="6" max="6" width="14.42578125" bestFit="1" customWidth="1"/>
    <col min="7" max="7" width="13.42578125" bestFit="1" customWidth="1"/>
    <col min="9" max="9" width="14.42578125" bestFit="1" customWidth="1"/>
    <col min="10" max="10" width="13.140625" bestFit="1" customWidth="1"/>
  </cols>
  <sheetData>
    <row r="1" spans="1:9" ht="18" x14ac:dyDescent="0.25">
      <c r="A1" s="478" t="str">
        <f>'[4]Exhibit No.__(JAP-TRANSP RD)'!A1</f>
        <v>PUGET SOUND ENERGY</v>
      </c>
      <c r="B1" s="478"/>
      <c r="C1" s="478"/>
      <c r="D1" s="478"/>
      <c r="E1" s="478"/>
      <c r="F1" s="478"/>
      <c r="G1" s="478"/>
      <c r="H1" s="478"/>
      <c r="I1" s="478"/>
    </row>
    <row r="2" spans="1:9" ht="18" x14ac:dyDescent="0.25">
      <c r="A2" s="478" t="str">
        <f>'[4]Exhibit No.__(JAP-TRANSP RD)'!A2</f>
        <v>STATE OF WASHINGTON</v>
      </c>
      <c r="B2" s="478"/>
      <c r="C2" s="478"/>
      <c r="D2" s="478"/>
      <c r="E2" s="478"/>
      <c r="F2" s="478"/>
      <c r="G2" s="478"/>
      <c r="H2" s="478"/>
      <c r="I2" s="478"/>
    </row>
    <row r="3" spans="1:9" x14ac:dyDescent="0.25">
      <c r="A3" s="479" t="str">
        <f>'[4]Exhibit No.__(JAP-TRANSP RD)'!A3</f>
        <v>12 MONTHS ENDED DECEMBER 2018</v>
      </c>
      <c r="B3" s="479"/>
      <c r="C3" s="479"/>
      <c r="D3" s="479"/>
      <c r="E3" s="479"/>
      <c r="F3" s="479"/>
      <c r="G3" s="479"/>
      <c r="H3" s="479"/>
      <c r="I3" s="479"/>
    </row>
    <row r="4" spans="1:9" x14ac:dyDescent="0.25">
      <c r="A4" s="480" t="str">
        <f>'[4]Exhibit No.__(JAP-TRANSP RD)'!A4</f>
        <v>(Including Effects of Unbilled Revenue, Unbilled MWh and Weather Normalization)</v>
      </c>
      <c r="B4" s="480"/>
      <c r="C4" s="480"/>
      <c r="D4" s="480"/>
      <c r="E4" s="480"/>
      <c r="F4" s="480"/>
      <c r="G4" s="480"/>
      <c r="H4" s="480"/>
      <c r="I4" s="480"/>
    </row>
    <row r="5" spans="1:9" x14ac:dyDescent="0.25">
      <c r="A5" s="347" t="str">
        <f>'[4]Exhibit No.__(JAP-TRANSP RD)'!A5</f>
        <v>Transportation &amp; Wholesale for Resale &amp; Special Contract</v>
      </c>
      <c r="B5" s="348"/>
      <c r="C5" s="348"/>
      <c r="D5" s="349"/>
      <c r="E5" s="349"/>
      <c r="F5" s="348"/>
      <c r="G5" s="349"/>
      <c r="H5" s="348"/>
      <c r="I5" s="348"/>
    </row>
    <row r="6" spans="1:9" x14ac:dyDescent="0.25">
      <c r="A6" s="347"/>
      <c r="B6" s="348"/>
      <c r="C6" s="348"/>
      <c r="D6" s="349"/>
      <c r="E6" s="349"/>
      <c r="F6" s="348"/>
      <c r="G6" s="349"/>
      <c r="H6" s="348"/>
      <c r="I6" s="348"/>
    </row>
    <row r="7" spans="1:9" x14ac:dyDescent="0.25">
      <c r="A7" s="348"/>
      <c r="B7" s="348"/>
      <c r="C7" s="348"/>
      <c r="D7" s="349"/>
      <c r="E7" s="349"/>
      <c r="F7" s="348"/>
      <c r="G7" s="349"/>
      <c r="H7" s="348"/>
      <c r="I7" s="348"/>
    </row>
    <row r="8" spans="1:9" x14ac:dyDescent="0.25">
      <c r="A8" s="350"/>
      <c r="B8" s="350"/>
      <c r="C8" s="351"/>
      <c r="D8" s="352"/>
      <c r="E8" s="352"/>
      <c r="F8" s="1"/>
      <c r="G8" s="352"/>
      <c r="H8" s="353"/>
      <c r="I8" s="353"/>
    </row>
    <row r="9" spans="1:9" x14ac:dyDescent="0.25">
      <c r="A9" s="350"/>
      <c r="B9" s="350"/>
      <c r="C9" s="351" t="str">
        <f>'[4]Exhibit No.__(JAP-TRANSP RD)'!C9</f>
        <v>Units</v>
      </c>
      <c r="D9" s="481" t="str">
        <f>'[4]Exhibit No.__(JAP-TRANSP RD)'!D9</f>
        <v>Present</v>
      </c>
      <c r="E9" s="482"/>
      <c r="F9" s="483"/>
      <c r="G9" s="484" t="str">
        <f>'[4]Exhibit No.__(JAP-TRANSP RD)'!G9</f>
        <v>Proposed Effective May 2020</v>
      </c>
      <c r="H9" s="482"/>
      <c r="I9" s="483"/>
    </row>
    <row r="10" spans="1:9" x14ac:dyDescent="0.25">
      <c r="A10" s="350"/>
      <c r="B10" s="350"/>
      <c r="C10" s="354" t="str">
        <f>'[4]Exhibit No.__(JAP-TRANSP RD)'!C10</f>
        <v>Actual</v>
      </c>
      <c r="D10" s="355" t="str">
        <f>'[4]Exhibit No.__(JAP-TRANSP RD)'!D10</f>
        <v>Price</v>
      </c>
      <c r="E10" s="356"/>
      <c r="F10" s="353" t="str">
        <f>'[4]Exhibit No.__(JAP-TRANSP RD)'!F10</f>
        <v>Dollars</v>
      </c>
      <c r="G10" s="355" t="str">
        <f>'[4]Exhibit No.__(JAP-TRANSP RD)'!G10</f>
        <v>Price</v>
      </c>
      <c r="H10" s="355"/>
      <c r="I10" s="355" t="str">
        <f>'[4]Exhibit No.__(JAP-TRANSP RD)'!I10</f>
        <v>Dollars</v>
      </c>
    </row>
    <row r="11" spans="1:9" ht="15.75" x14ac:dyDescent="0.25">
      <c r="A11" s="1"/>
      <c r="B11" s="1"/>
      <c r="C11" s="357"/>
      <c r="D11" s="358"/>
      <c r="E11" s="357"/>
      <c r="F11" s="359"/>
      <c r="G11" s="360"/>
      <c r="H11" s="357"/>
      <c r="I11" s="361"/>
    </row>
    <row r="12" spans="1:9" ht="15.75" x14ac:dyDescent="0.25">
      <c r="A12" s="362" t="str">
        <f>'[4]Exhibit No.__(JAP-TRANSP RD)'!A12</f>
        <v>SCHEDULES 449 &amp; 459</v>
      </c>
      <c r="B12" s="360"/>
      <c r="C12" s="360"/>
      <c r="D12" s="361"/>
      <c r="E12" s="360"/>
      <c r="F12" s="360"/>
      <c r="G12" s="361"/>
      <c r="H12" s="360"/>
      <c r="I12" s="360"/>
    </row>
    <row r="13" spans="1:9" ht="15.75" x14ac:dyDescent="0.25">
      <c r="A13" s="363" t="str">
        <f>'[4]Exhibit No.__(JAP-TRANSP RD)'!A13</f>
        <v>Choice / Retail Wheeling Service</v>
      </c>
      <c r="B13" s="360"/>
      <c r="C13" s="360"/>
      <c r="D13" s="361"/>
      <c r="E13" s="360"/>
      <c r="F13" s="360"/>
      <c r="G13" s="361"/>
      <c r="H13" s="360"/>
      <c r="I13" s="360"/>
    </row>
    <row r="14" spans="1:9" ht="15.75" x14ac:dyDescent="0.25">
      <c r="A14" s="363" t="str">
        <f>'[4]Exhibit No.__(JAP-TRANSP RD)'!A14</f>
        <v>Customer Charges</v>
      </c>
      <c r="B14" s="360"/>
      <c r="C14" s="364">
        <f>'[4]Exhibit No.__(JAP-TRANSP RD)'!C14</f>
        <v>240</v>
      </c>
      <c r="D14" s="365">
        <f>'[4]Exhibit No.__(JAP-TRANSP RD)'!D14</f>
        <v>2120</v>
      </c>
      <c r="E14" s="366"/>
      <c r="F14" s="361">
        <f>'[4]Exhibit No.__(JAP-TRANSP RD)'!F14</f>
        <v>508800</v>
      </c>
      <c r="G14" s="365">
        <f>'[4]Exhibit No.__(JAP-TRANSP RD)'!G14</f>
        <v>2440</v>
      </c>
      <c r="H14" s="366"/>
      <c r="I14" s="361">
        <f>'[4]Exhibit No.__(JAP-TRANSP RD)'!I14</f>
        <v>585600</v>
      </c>
    </row>
    <row r="15" spans="1:9" ht="15.75" x14ac:dyDescent="0.25">
      <c r="A15" s="360" t="str">
        <f>'[4]Exhibit No.__(JAP-TRANSP RD)'!A15</f>
        <v>Energy Charge</v>
      </c>
      <c r="B15" s="360"/>
      <c r="C15" s="364"/>
      <c r="D15" s="367"/>
      <c r="E15" s="366"/>
      <c r="F15" s="361"/>
      <c r="G15" s="367"/>
      <c r="H15" s="366"/>
      <c r="I15" s="361"/>
    </row>
    <row r="16" spans="1:9" ht="15.75" x14ac:dyDescent="0.25">
      <c r="A16" s="368" t="str">
        <f>'[4]Exhibit No.__(JAP-TRANSP RD)'!A16</f>
        <v>All kWh</v>
      </c>
      <c r="B16" s="360"/>
      <c r="C16" s="364">
        <f>'[4]Exhibit No.__(JAP-TRANSP RD)'!C16</f>
        <v>2027109354</v>
      </c>
      <c r="D16" s="367"/>
      <c r="E16" s="366"/>
      <c r="F16" s="361">
        <f>'[4]Exhibit No.__(JAP-TRANSP RD)'!F16</f>
        <v>0</v>
      </c>
      <c r="G16" s="367"/>
      <c r="H16" s="366"/>
      <c r="I16" s="361">
        <f>'[4]Exhibit No.__(JAP-TRANSP RD)'!I16</f>
        <v>0</v>
      </c>
    </row>
    <row r="17" spans="1:10" ht="15.75" x14ac:dyDescent="0.25">
      <c r="A17" s="368" t="str">
        <f>'[4]Exhibit No.__(JAP-TRANSP RD)'!A17</f>
        <v>Temperature Adjustment</v>
      </c>
      <c r="B17" s="369"/>
      <c r="C17" s="364">
        <f>'[4]Exhibit No.__(JAP-TRANSP RD)'!C17</f>
        <v>0</v>
      </c>
      <c r="D17" s="367"/>
      <c r="E17" s="367"/>
      <c r="F17" s="361">
        <f>'[4]Exhibit No.__(JAP-TRANSP RD)'!F17</f>
        <v>0</v>
      </c>
      <c r="G17" s="367"/>
      <c r="H17" s="366"/>
      <c r="I17" s="361">
        <f>'[4]Exhibit No.__(JAP-TRANSP RD)'!I17</f>
        <v>0</v>
      </c>
    </row>
    <row r="18" spans="1:10" ht="15.75" x14ac:dyDescent="0.25">
      <c r="A18" s="370" t="str">
        <f>'[4]Exhibit No.__(JAP-TRANSP RD)'!A18</f>
        <v>Unbilled</v>
      </c>
      <c r="B18" s="371"/>
      <c r="C18" s="372">
        <f>'[4]Exhibit No.__(JAP-TRANSP RD)'!C18</f>
        <v>1617652.1700000241</v>
      </c>
      <c r="D18" s="367">
        <f>'[4]Exhibit No.__(JAP-TRANSP RD)'!D18</f>
        <v>1.7340999999999999E-2</v>
      </c>
      <c r="E18" s="358"/>
      <c r="F18" s="373">
        <f>'[4]Exhibit No.__(JAP-TRANSP RD)'!F18</f>
        <v>28051</v>
      </c>
      <c r="G18" s="367">
        <f>'[4]Exhibit No.__(JAP-TRANSP RD)'!G18</f>
        <v>1.7340999999999999E-2</v>
      </c>
      <c r="H18" s="358"/>
      <c r="I18" s="373">
        <f>'[4]Exhibit No.__(JAP-TRANSP RD)'!I18</f>
        <v>28052</v>
      </c>
    </row>
    <row r="19" spans="1:10" ht="15.75" x14ac:dyDescent="0.25">
      <c r="A19" s="374" t="str">
        <f>'[4]Exhibit No.__(JAP-TRANSP RD)'!A19</f>
        <v>Subtotal</v>
      </c>
      <c r="B19" s="371"/>
      <c r="C19" s="375">
        <f>'[4]Exhibit No.__(JAP-TRANSP RD)'!C19</f>
        <v>2028727006.1700001</v>
      </c>
      <c r="D19" s="367"/>
      <c r="E19" s="358"/>
      <c r="F19" s="361">
        <f>'[4]Exhibit No.__(JAP-TRANSP RD)'!F19</f>
        <v>28051</v>
      </c>
      <c r="G19" s="367"/>
      <c r="H19" s="358"/>
      <c r="I19" s="361">
        <f>'[4]Exhibit No.__(JAP-TRANSP RD)'!I19</f>
        <v>28052</v>
      </c>
    </row>
    <row r="20" spans="1:10" ht="15.75" x14ac:dyDescent="0.25">
      <c r="A20" s="374"/>
      <c r="B20" s="371"/>
      <c r="C20" s="375"/>
      <c r="D20" s="367"/>
      <c r="E20" s="358"/>
      <c r="F20" s="361"/>
      <c r="G20" s="367"/>
      <c r="H20" s="358"/>
      <c r="I20" s="361"/>
    </row>
    <row r="21" spans="1:10" ht="15.75" x14ac:dyDescent="0.25">
      <c r="A21" s="360" t="str">
        <f>'[4]Exhibit No.__(JAP-TRANSP RD)'!A21</f>
        <v>Total kVa</v>
      </c>
      <c r="B21" s="360"/>
      <c r="C21" s="375">
        <f>'[4]Exhibit No.__(JAP-TRANSP RD)'!C21</f>
        <v>3557525</v>
      </c>
      <c r="D21" s="376"/>
      <c r="E21" s="377"/>
      <c r="F21" s="361">
        <f>'[4]Exhibit No.__(JAP-TRANSP RD)'!F21</f>
        <v>0</v>
      </c>
      <c r="G21" s="367"/>
      <c r="H21" s="358"/>
      <c r="I21" s="361">
        <f>'[4]Exhibit No.__(JAP-TRANSP RD)'!I21</f>
        <v>0</v>
      </c>
    </row>
    <row r="22" spans="1:10" ht="15.75" x14ac:dyDescent="0.25">
      <c r="A22" s="360"/>
      <c r="B22" s="360"/>
      <c r="C22" s="375"/>
      <c r="D22" s="376"/>
      <c r="E22" s="377"/>
      <c r="F22" s="378"/>
      <c r="G22" s="379"/>
      <c r="H22" s="377"/>
      <c r="I22" s="378"/>
    </row>
    <row r="23" spans="1:10" ht="15.75" x14ac:dyDescent="0.25">
      <c r="A23" s="363" t="str">
        <f>'[4]Exhibit No.__(JAP-TRANSP RD)'!A23</f>
        <v>OATT Charges</v>
      </c>
      <c r="B23" s="360"/>
      <c r="C23" s="364"/>
      <c r="D23" s="380"/>
      <c r="E23" s="366"/>
      <c r="F23" s="361">
        <f>'[4]Exhibit No.__(JAP-TRANSP RD)'!F23</f>
        <v>9577505</v>
      </c>
      <c r="G23" s="367"/>
      <c r="H23" s="358"/>
      <c r="I23" s="361">
        <f>'[4]Exhibit No.__(JAP-TRANSP RD)'!I23</f>
        <v>9577505</v>
      </c>
    </row>
    <row r="24" spans="1:10" ht="15.75" x14ac:dyDescent="0.25">
      <c r="A24" s="370"/>
      <c r="B24" s="371"/>
      <c r="C24" s="375"/>
      <c r="D24" s="367"/>
      <c r="E24" s="358"/>
      <c r="F24" s="361"/>
      <c r="G24" s="367"/>
      <c r="H24" s="358"/>
      <c r="I24" s="361"/>
    </row>
    <row r="25" spans="1:10" ht="16.5" thickBot="1" x14ac:dyDescent="0.3">
      <c r="A25" s="360" t="str">
        <f>'[4]Exhibit No.__(JAP-TRANSP RD)'!A25</f>
        <v xml:space="preserve">  Total</v>
      </c>
      <c r="B25" s="360"/>
      <c r="C25" s="375"/>
      <c r="D25" s="376"/>
      <c r="E25" s="377"/>
      <c r="F25" s="381">
        <f>'[4]Exhibit No.__(JAP-TRANSP RD)'!F25</f>
        <v>10114356</v>
      </c>
      <c r="G25" s="376"/>
      <c r="H25" s="377"/>
      <c r="I25" s="381">
        <f>'[4]Exhibit No.__(JAP-TRANSP RD)'!I25</f>
        <v>10191157</v>
      </c>
      <c r="J25" s="385">
        <f>+I25-F25</f>
        <v>76801</v>
      </c>
    </row>
    <row r="26" spans="1:10" ht="16.5" thickTop="1" x14ac:dyDescent="0.25">
      <c r="A26" s="358"/>
      <c r="B26" s="360"/>
      <c r="C26" s="364"/>
      <c r="D26" s="382"/>
      <c r="E26" s="366"/>
      <c r="F26" s="383"/>
      <c r="G26" s="382"/>
      <c r="H26" s="366"/>
      <c r="I26" s="383"/>
    </row>
    <row r="27" spans="1:10" ht="15.75" x14ac:dyDescent="0.25">
      <c r="A27" s="368"/>
      <c r="B27" s="360"/>
      <c r="C27" s="364"/>
      <c r="D27" s="384"/>
      <c r="E27" s="366"/>
      <c r="F27" s="383"/>
      <c r="G27" s="384"/>
      <c r="H27" s="366"/>
      <c r="I27" s="383"/>
    </row>
    <row r="28" spans="1:10" ht="15.75" x14ac:dyDescent="0.25">
      <c r="A28" s="368"/>
      <c r="B28" s="360"/>
      <c r="C28" s="364"/>
      <c r="D28" s="384"/>
      <c r="E28" s="366"/>
      <c r="F28" s="383"/>
      <c r="G28" s="384"/>
      <c r="H28" s="366"/>
      <c r="I28" s="383"/>
    </row>
    <row r="29" spans="1:10" ht="15.75" x14ac:dyDescent="0.25">
      <c r="A29" s="362" t="str">
        <f>'[4]Exhibit No.__(JAP-TRANSP RD)'!A29</f>
        <v>Special Contract</v>
      </c>
      <c r="B29" s="360"/>
      <c r="C29" s="364"/>
      <c r="D29" s="384"/>
      <c r="E29" s="366"/>
      <c r="F29" s="383"/>
      <c r="G29" s="384"/>
      <c r="H29" s="366"/>
      <c r="I29" s="383"/>
    </row>
    <row r="30" spans="1:10" ht="15.75" x14ac:dyDescent="0.25">
      <c r="A30" s="374" t="str">
        <f>'[4]Exhibit No.__(JAP-TRANSP RD)'!A30</f>
        <v>Customer Charges</v>
      </c>
      <c r="B30" s="360"/>
      <c r="C30" s="364">
        <f>'[4]Exhibit No.__(JAP-TRANSP RD)'!C30</f>
        <v>1180</v>
      </c>
      <c r="D30" s="365">
        <f>'[4]Exhibit No.__(JAP-TRANSP RD)'!D30</f>
        <v>2120</v>
      </c>
      <c r="E30" s="366"/>
      <c r="F30" s="361">
        <f>'[4]Exhibit No.__(JAP-TRANSP RD)'!F30</f>
        <v>2501600</v>
      </c>
      <c r="G30" s="365">
        <f>'[4]Exhibit No.__(JAP-TRANSP RD)'!G30</f>
        <v>260</v>
      </c>
      <c r="H30" s="366"/>
      <c r="I30" s="361">
        <f>'[4]Exhibit No.__(JAP-TRANSP RD)'!I30</f>
        <v>306800</v>
      </c>
    </row>
    <row r="31" spans="1:10" ht="15.75" x14ac:dyDescent="0.25">
      <c r="A31" s="374"/>
      <c r="B31" s="360"/>
      <c r="C31" s="364"/>
      <c r="D31" s="384"/>
      <c r="E31" s="366"/>
      <c r="F31" s="383"/>
      <c r="G31" s="384"/>
      <c r="H31" s="366"/>
      <c r="I31" s="383"/>
    </row>
    <row r="32" spans="1:10" ht="15.75" x14ac:dyDescent="0.25">
      <c r="A32" s="374" t="str">
        <f>'[4]Exhibit No.__(JAP-TRANSP RD)'!A32</f>
        <v>Distribution Charges</v>
      </c>
      <c r="B32" s="360"/>
      <c r="C32" s="364"/>
      <c r="D32" s="384"/>
      <c r="E32" s="366"/>
      <c r="F32" s="383"/>
      <c r="G32" s="384"/>
      <c r="H32" s="366"/>
      <c r="I32" s="383"/>
    </row>
    <row r="33" spans="1:10" ht="15.75" x14ac:dyDescent="0.25">
      <c r="A33" s="374"/>
      <c r="B33" s="360"/>
      <c r="C33" s="375"/>
      <c r="D33" s="384"/>
      <c r="E33" s="366"/>
      <c r="F33" s="361"/>
      <c r="G33" s="384"/>
      <c r="H33" s="366"/>
      <c r="I33" s="361"/>
    </row>
    <row r="34" spans="1:10" ht="15.75" x14ac:dyDescent="0.25">
      <c r="A34" s="374"/>
      <c r="B34" s="360"/>
      <c r="C34" s="364"/>
      <c r="D34" s="384"/>
      <c r="E34" s="366"/>
      <c r="F34" s="383"/>
      <c r="G34" s="384"/>
      <c r="H34" s="366"/>
      <c r="I34" s="383"/>
    </row>
    <row r="35" spans="1:10" ht="15.75" x14ac:dyDescent="0.25">
      <c r="A35" s="360" t="str">
        <f>'[4]Exhibit No.__(JAP-TRANSP RD)'!A35</f>
        <v>Energy Charge</v>
      </c>
      <c r="B35" s="360"/>
      <c r="C35" s="364"/>
      <c r="D35" s="367"/>
      <c r="E35" s="366"/>
      <c r="F35" s="361"/>
      <c r="G35" s="367"/>
      <c r="H35" s="366"/>
      <c r="I35" s="361"/>
    </row>
    <row r="36" spans="1:10" ht="15.75" x14ac:dyDescent="0.25">
      <c r="A36" s="368" t="str">
        <f>'[4]Exhibit No.__(JAP-TRANSP RD)'!A36</f>
        <v>All kWh</v>
      </c>
      <c r="B36" s="360"/>
      <c r="C36" s="364">
        <f>'[4]Exhibit No.__(JAP-TRANSP RD)'!C36</f>
        <v>351393396</v>
      </c>
      <c r="D36" s="367">
        <f>'[4]Exhibit No.__(JAP-TRANSP RD)'!D36</f>
        <v>0</v>
      </c>
      <c r="E36" s="366"/>
      <c r="F36" s="361">
        <f>'[4]Exhibit No.__(JAP-TRANSP RD)'!F36</f>
        <v>0</v>
      </c>
      <c r="G36" s="367">
        <f>'[4]Exhibit No.__(JAP-TRANSP RD)'!G36</f>
        <v>0</v>
      </c>
      <c r="H36" s="366"/>
      <c r="I36" s="361">
        <f>'[4]Exhibit No.__(JAP-TRANSP RD)'!I36</f>
        <v>0</v>
      </c>
    </row>
    <row r="37" spans="1:10" ht="15.75" x14ac:dyDescent="0.25">
      <c r="A37" s="368" t="str">
        <f>'[4]Exhibit No.__(JAP-TRANSP RD)'!A37</f>
        <v>Temperature Adjustment</v>
      </c>
      <c r="B37" s="369"/>
      <c r="C37" s="364">
        <f>'[4]Exhibit No.__(JAP-TRANSP RD)'!C37</f>
        <v>-452620</v>
      </c>
      <c r="D37" s="367">
        <f>'[4]Exhibit No.__(JAP-TRANSP RD)'!D37</f>
        <v>0</v>
      </c>
      <c r="E37" s="367"/>
      <c r="F37" s="361">
        <f>'[4]Exhibit No.__(JAP-TRANSP RD)'!F37</f>
        <v>0</v>
      </c>
      <c r="G37" s="367">
        <f>'[4]Exhibit No.__(JAP-TRANSP RD)'!G37</f>
        <v>0</v>
      </c>
      <c r="H37" s="366"/>
      <c r="I37" s="361">
        <f>'[4]Exhibit No.__(JAP-TRANSP RD)'!I37</f>
        <v>0</v>
      </c>
    </row>
    <row r="38" spans="1:10" ht="15.75" x14ac:dyDescent="0.25">
      <c r="A38" s="370" t="str">
        <f>'[4]Exhibit No.__(JAP-TRANSP RD)'!A38</f>
        <v>Unbilled</v>
      </c>
      <c r="B38" s="371"/>
      <c r="C38" s="372">
        <f>'[4]Exhibit No.__(JAP-TRANSP RD)'!C38</f>
        <v>-14720240</v>
      </c>
      <c r="D38" s="367">
        <f>'[4]Exhibit No.__(JAP-TRANSP RD)'!D38</f>
        <v>1.332E-2</v>
      </c>
      <c r="E38" s="358"/>
      <c r="F38" s="373">
        <f>'[4]Exhibit No.__(JAP-TRANSP RD)'!F38</f>
        <v>-196073</v>
      </c>
      <c r="G38" s="367">
        <f>'[4]Exhibit No.__(JAP-TRANSP RD)'!G38</f>
        <v>1.332E-2</v>
      </c>
      <c r="H38" s="358"/>
      <c r="I38" s="373">
        <f>'[4]Exhibit No.__(JAP-TRANSP RD)'!I38</f>
        <v>-196074</v>
      </c>
    </row>
    <row r="39" spans="1:10" ht="15.75" x14ac:dyDescent="0.25">
      <c r="A39" s="374" t="str">
        <f>'[4]Exhibit No.__(JAP-TRANSP RD)'!A39</f>
        <v>Subtotal</v>
      </c>
      <c r="B39" s="371"/>
      <c r="C39" s="375">
        <f>'[4]Exhibit No.__(JAP-TRANSP RD)'!C39</f>
        <v>336220536</v>
      </c>
      <c r="D39" s="367"/>
      <c r="E39" s="358"/>
      <c r="F39" s="361">
        <f>'[4]Exhibit No.__(JAP-TRANSP RD)'!F39</f>
        <v>-196073</v>
      </c>
      <c r="G39" s="367"/>
      <c r="H39" s="358"/>
      <c r="I39" s="361">
        <f>'[4]Exhibit No.__(JAP-TRANSP RD)'!I39</f>
        <v>-196074</v>
      </c>
    </row>
    <row r="40" spans="1:10" ht="15.75" x14ac:dyDescent="0.25">
      <c r="A40" s="374"/>
      <c r="B40" s="360"/>
      <c r="C40" s="364"/>
      <c r="D40" s="384"/>
      <c r="E40" s="366"/>
      <c r="F40" s="383"/>
      <c r="G40" s="384"/>
      <c r="H40" s="366"/>
      <c r="I40" s="383"/>
    </row>
    <row r="41" spans="1:10" ht="16.5" thickBot="1" x14ac:dyDescent="0.3">
      <c r="A41" s="360" t="str">
        <f>'[4]Exhibit No.__(JAP-TRANSP RD)'!A41</f>
        <v xml:space="preserve">  Total</v>
      </c>
      <c r="B41" s="360"/>
      <c r="C41" s="375"/>
      <c r="D41" s="376"/>
      <c r="E41" s="377"/>
      <c r="F41" s="381">
        <f>'[4]Exhibit No.__(JAP-TRANSP RD)'!F41</f>
        <v>5493907</v>
      </c>
      <c r="G41" s="376"/>
      <c r="H41" s="377"/>
      <c r="I41" s="381">
        <f>'[4]Exhibit No.__(JAP-TRANSP RD)'!I41</f>
        <v>4419379.78</v>
      </c>
      <c r="J41" s="385">
        <f>+I41-F41</f>
        <v>-1074527.2199999997</v>
      </c>
    </row>
    <row r="42" spans="1:10" ht="16.5" thickTop="1" x14ac:dyDescent="0.25">
      <c r="A42" s="374"/>
      <c r="B42" s="360"/>
      <c r="C42" s="364"/>
      <c r="D42" s="384"/>
      <c r="E42" s="366"/>
      <c r="F42" s="383"/>
      <c r="G42" s="384"/>
      <c r="H42" s="366"/>
      <c r="I42" s="383"/>
    </row>
    <row r="43" spans="1:10" ht="15.75" x14ac:dyDescent="0.25">
      <c r="A43" s="362" t="str">
        <f>'[4]Exhibit No.__(JAP-TRANSP RD)'!A43</f>
        <v>SCHEDULE 005</v>
      </c>
      <c r="B43" s="360"/>
      <c r="C43" s="360"/>
      <c r="D43" s="361"/>
      <c r="E43" s="360"/>
      <c r="F43" s="360"/>
      <c r="G43" s="361"/>
      <c r="H43" s="360"/>
      <c r="I43" s="360"/>
    </row>
    <row r="44" spans="1:10" ht="15.75" x14ac:dyDescent="0.25">
      <c r="A44" s="363" t="str">
        <f>'[4]Exhibit No.__(JAP-TRANSP RD)'!A44</f>
        <v>Wholesale for Resale</v>
      </c>
      <c r="B44" s="360"/>
      <c r="C44" s="360"/>
      <c r="D44" s="361"/>
      <c r="E44" s="360"/>
      <c r="F44" s="360"/>
      <c r="G44" s="361"/>
      <c r="H44" s="360"/>
      <c r="I44" s="360"/>
    </row>
    <row r="45" spans="1:10" ht="15.75" x14ac:dyDescent="0.25">
      <c r="A45" s="363" t="str">
        <f>'[4]Exhibit No.__(JAP-TRANSP RD)'!A45</f>
        <v>Annual Customer Count</v>
      </c>
      <c r="B45" s="360"/>
      <c r="C45" s="364">
        <f>'[4]Exhibit No.__(JAP-TRANSP RD)'!C45</f>
        <v>96</v>
      </c>
      <c r="D45" s="365"/>
      <c r="E45" s="366"/>
      <c r="F45" s="361"/>
      <c r="G45" s="365"/>
      <c r="H45" s="366"/>
      <c r="I45" s="361"/>
    </row>
    <row r="46" spans="1:10" ht="15.75" x14ac:dyDescent="0.25">
      <c r="A46" s="360" t="str">
        <f>'[4]Exhibit No.__(JAP-TRANSP RD)'!A46</f>
        <v>Energy Charge</v>
      </c>
      <c r="B46" s="360"/>
      <c r="C46" s="364"/>
      <c r="D46" s="367"/>
      <c r="E46" s="366"/>
      <c r="F46" s="361"/>
      <c r="G46" s="367"/>
      <c r="H46" s="366"/>
      <c r="I46" s="361"/>
    </row>
    <row r="47" spans="1:10" ht="15.75" x14ac:dyDescent="0.25">
      <c r="A47" s="368" t="str">
        <f>'[4]Exhibit No.__(JAP-TRANSP RD)'!A47</f>
        <v>All kWh</v>
      </c>
      <c r="B47" s="360"/>
      <c r="C47" s="364">
        <f>'[4]Exhibit No.__(JAP-TRANSP RD)'!C47</f>
        <v>7130880</v>
      </c>
      <c r="D47" s="367">
        <f>'[4]Exhibit No.__(JAP-TRANSP RD)'!D47</f>
        <v>3.5139999999999998E-2</v>
      </c>
      <c r="E47" s="366"/>
      <c r="F47" s="361">
        <f>'[4]Exhibit No.__(JAP-TRANSP RD)'!F47</f>
        <v>250579</v>
      </c>
      <c r="G47" s="367">
        <f>'[4]Exhibit No.__(JAP-TRANSP RD)'!G47</f>
        <v>3.5139999999999998E-2</v>
      </c>
      <c r="H47" s="366"/>
      <c r="I47" s="361">
        <f>'[4]Exhibit No.__(JAP-TRANSP RD)'!I47</f>
        <v>250579</v>
      </c>
    </row>
    <row r="48" spans="1:10" ht="15.75" x14ac:dyDescent="0.25">
      <c r="A48" s="368" t="str">
        <f>'[4]Exhibit No.__(JAP-TRANSP RD)'!A48</f>
        <v>Temperature Adjustment</v>
      </c>
      <c r="B48" s="369"/>
      <c r="C48" s="364">
        <f>'[4]Exhibit No.__(JAP-TRANSP RD)'!C48</f>
        <v>85916.234525271488</v>
      </c>
      <c r="D48" s="367">
        <f>'[4]Exhibit No.__(JAP-TRANSP RD)'!D48</f>
        <v>3.5139999999999998E-2</v>
      </c>
      <c r="E48" s="367"/>
      <c r="F48" s="361">
        <f>'[4]Exhibit No.__(JAP-TRANSP RD)'!F48</f>
        <v>3019</v>
      </c>
      <c r="G48" s="367">
        <f>'[4]Exhibit No.__(JAP-TRANSP RD)'!G48</f>
        <v>3.5139999999999998E-2</v>
      </c>
      <c r="H48" s="366"/>
      <c r="I48" s="361">
        <f>'[4]Exhibit No.__(JAP-TRANSP RD)'!I48</f>
        <v>3019</v>
      </c>
      <c r="J48" s="385"/>
    </row>
    <row r="49" spans="1:9" ht="15.75" x14ac:dyDescent="0.25">
      <c r="A49" s="370" t="str">
        <f>'[4]Exhibit No.__(JAP-TRANSP RD)'!A49</f>
        <v>Unbilled</v>
      </c>
      <c r="B49" s="371"/>
      <c r="C49" s="372">
        <f>'[4]Exhibit No.__(JAP-TRANSP RD)'!C49</f>
        <v>-46730</v>
      </c>
      <c r="D49" s="367">
        <f>'[4]Exhibit No.__(JAP-TRANSP RD)'!D49</f>
        <v>3.2848000000000002E-2</v>
      </c>
      <c r="E49" s="358"/>
      <c r="F49" s="373">
        <f>'[4]Exhibit No.__(JAP-TRANSP RD)'!F49</f>
        <v>-1535</v>
      </c>
      <c r="G49" s="367">
        <f>'[4]Exhibit No.__(JAP-TRANSP RD)'!G49</f>
        <v>3.2848000000000002E-2</v>
      </c>
      <c r="H49" s="358"/>
      <c r="I49" s="373">
        <f>'[4]Exhibit No.__(JAP-TRANSP RD)'!I49</f>
        <v>-1535</v>
      </c>
    </row>
    <row r="50" spans="1:9" ht="15.75" x14ac:dyDescent="0.25">
      <c r="A50" s="374" t="str">
        <f>'[4]Exhibit No.__(JAP-TRANSP RD)'!A50</f>
        <v>Subtotal</v>
      </c>
      <c r="B50" s="371"/>
      <c r="C50" s="375">
        <f>'[4]Exhibit No.__(JAP-TRANSP RD)'!C50</f>
        <v>7170066.2345252717</v>
      </c>
      <c r="D50" s="367"/>
      <c r="E50" s="358"/>
      <c r="F50" s="361">
        <f>'[4]Exhibit No.__(JAP-TRANSP RD)'!F50</f>
        <v>252063</v>
      </c>
      <c r="G50" s="367"/>
      <c r="H50" s="358"/>
      <c r="I50" s="361">
        <f>'[4]Exhibit No.__(JAP-TRANSP RD)'!I50</f>
        <v>252063</v>
      </c>
    </row>
    <row r="51" spans="1:9" ht="15.75" x14ac:dyDescent="0.25">
      <c r="A51" s="374"/>
      <c r="B51" s="371"/>
      <c r="C51" s="375"/>
      <c r="D51" s="367"/>
      <c r="E51" s="358"/>
      <c r="F51" s="361"/>
      <c r="G51" s="367"/>
      <c r="H51" s="358"/>
      <c r="I51" s="361"/>
    </row>
    <row r="52" spans="1:9" ht="15.75" x14ac:dyDescent="0.25">
      <c r="A52" s="360" t="str">
        <f>'[4]Exhibit No.__(JAP-TRANSP RD)'!A52</f>
        <v>Demand Charge</v>
      </c>
      <c r="B52" s="360"/>
      <c r="C52" s="364">
        <f>'[4]Exhibit No.__(JAP-TRANSP RD)'!C52</f>
        <v>14252</v>
      </c>
      <c r="D52" s="380">
        <f>'[4]Exhibit No.__(JAP-TRANSP RD)'!D52</f>
        <v>5.25</v>
      </c>
      <c r="E52" s="366"/>
      <c r="F52" s="361">
        <f>'[4]Exhibit No.__(JAP-TRANSP RD)'!F52</f>
        <v>74823</v>
      </c>
      <c r="G52" s="380">
        <f>'[4]Exhibit No.__(JAP-TRANSP RD)'!G52</f>
        <v>5.25</v>
      </c>
      <c r="H52" s="366"/>
      <c r="I52" s="361">
        <f>'[4]Exhibit No.__(JAP-TRANSP RD)'!I52</f>
        <v>74823</v>
      </c>
    </row>
    <row r="53" spans="1:9" ht="15.75" x14ac:dyDescent="0.25">
      <c r="A53" s="360"/>
      <c r="B53" s="360"/>
      <c r="C53" s="375"/>
      <c r="D53" s="376"/>
      <c r="E53" s="377"/>
      <c r="F53" s="378"/>
      <c r="G53" s="376"/>
      <c r="H53" s="377"/>
      <c r="I53" s="378"/>
    </row>
    <row r="54" spans="1:9" ht="15.75" x14ac:dyDescent="0.25">
      <c r="A54" s="363" t="str">
        <f>'[4]Exhibit No.__(JAP-TRANSP RD)'!A54</f>
        <v>Reactive Power Charge</v>
      </c>
      <c r="B54" s="360"/>
      <c r="C54" s="364">
        <f>'[4]Exhibit No.__(JAP-TRANSP RD)'!C54</f>
        <v>1895520</v>
      </c>
      <c r="D54" s="399">
        <f>'[4]Exhibit No.__(JAP-TRANSP RD)'!D54</f>
        <v>2.5000000000000001E-4</v>
      </c>
      <c r="E54" s="366"/>
      <c r="F54" s="361">
        <f>'[4]Exhibit No.__(JAP-TRANSP RD)'!F54</f>
        <v>474</v>
      </c>
      <c r="G54" s="399">
        <f>'[4]Exhibit No.__(JAP-TRANSP RD)'!G54</f>
        <v>2.5000000000000001E-4</v>
      </c>
      <c r="H54" s="366"/>
      <c r="I54" s="361">
        <f>'[4]Exhibit No.__(JAP-TRANSP RD)'!I54</f>
        <v>474</v>
      </c>
    </row>
    <row r="55" spans="1:9" ht="15.75" x14ac:dyDescent="0.25">
      <c r="A55" s="363"/>
      <c r="B55" s="360"/>
      <c r="C55" s="364"/>
      <c r="D55" s="399"/>
      <c r="E55" s="366"/>
      <c r="F55" s="361"/>
      <c r="G55" s="399"/>
      <c r="H55" s="366"/>
      <c r="I55" s="361"/>
    </row>
    <row r="56" spans="1:9" ht="15.75" x14ac:dyDescent="0.25">
      <c r="A56" s="363" t="str">
        <f>'[4]Exhibit No.__(JAP-TRANSP RD)'!A56</f>
        <v>Revenue Deficiency</v>
      </c>
      <c r="B56" s="360"/>
      <c r="C56" s="364"/>
      <c r="D56" s="399"/>
      <c r="E56" s="366"/>
      <c r="F56" s="361"/>
      <c r="G56" s="399"/>
      <c r="H56" s="366"/>
      <c r="I56" s="361">
        <f>'[4]Exhibit No.__(JAP-TRANSP RD)'!I56</f>
        <v>354912.10943168454</v>
      </c>
    </row>
    <row r="57" spans="1:9" ht="15.75" x14ac:dyDescent="0.25">
      <c r="A57" s="370"/>
      <c r="B57" s="371"/>
      <c r="C57" s="375"/>
      <c r="D57" s="367"/>
      <c r="E57" s="358"/>
      <c r="F57" s="361"/>
      <c r="G57" s="367"/>
      <c r="H57" s="358"/>
      <c r="I57" s="361"/>
    </row>
    <row r="58" spans="1:9" ht="16.5" thickBot="1" x14ac:dyDescent="0.3">
      <c r="A58" s="360" t="str">
        <f>'[4]Exhibit No.__(JAP-TRANSP RD)'!A58</f>
        <v xml:space="preserve">  Total</v>
      </c>
      <c r="B58" s="360"/>
      <c r="C58" s="375"/>
      <c r="D58" s="376"/>
      <c r="E58" s="377"/>
      <c r="F58" s="381">
        <f>'[4]Exhibit No.__(JAP-TRANSP RD)'!F58</f>
        <v>327360</v>
      </c>
      <c r="G58" s="376"/>
      <c r="H58" s="377"/>
      <c r="I58" s="381">
        <f>'[4]Exhibit No.__(JAP-TRANSP RD)'!I58</f>
        <v>682272.10943168448</v>
      </c>
    </row>
    <row r="59" spans="1:9" ht="16.5" thickTop="1" x14ac:dyDescent="0.25">
      <c r="A59" s="374"/>
      <c r="B59" s="360"/>
      <c r="C59" s="364"/>
      <c r="D59" s="365"/>
      <c r="E59" s="366"/>
      <c r="F59" s="361"/>
      <c r="G59" s="365"/>
      <c r="H59" s="366"/>
      <c r="I59" s="361"/>
    </row>
    <row r="60" spans="1:9" ht="15.75" x14ac:dyDescent="0.25">
      <c r="A60" s="374"/>
      <c r="B60" s="360"/>
      <c r="C60" s="364"/>
      <c r="D60" s="365"/>
      <c r="E60" s="366"/>
      <c r="F60" s="361"/>
      <c r="G60" s="365"/>
      <c r="H60" s="366"/>
      <c r="I60" s="361"/>
    </row>
    <row r="61" spans="1:9" ht="15.75" x14ac:dyDescent="0.25">
      <c r="A61" s="374"/>
      <c r="B61" s="360"/>
      <c r="C61" s="364"/>
      <c r="D61" s="365"/>
      <c r="E61" s="366"/>
      <c r="F61" s="361"/>
      <c r="G61" s="365"/>
      <c r="H61" s="366"/>
      <c r="I61" s="361"/>
    </row>
    <row r="62" spans="1:9" ht="15.75" x14ac:dyDescent="0.25">
      <c r="A62" s="374"/>
      <c r="B62" s="360"/>
      <c r="C62" s="364"/>
      <c r="D62" s="365"/>
      <c r="E62" s="366"/>
      <c r="F62" s="361"/>
      <c r="G62" s="365"/>
      <c r="H62" s="366"/>
      <c r="I62" s="361"/>
    </row>
    <row r="63" spans="1:9" ht="15.75" x14ac:dyDescent="0.25">
      <c r="A63" s="374"/>
      <c r="B63" s="360"/>
      <c r="C63" s="364"/>
      <c r="D63" s="365"/>
      <c r="E63" s="366"/>
      <c r="F63" s="361"/>
      <c r="G63" s="365"/>
      <c r="H63" s="366"/>
      <c r="I63" s="36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5" header="0.3" footer="0.3"/>
  <pageSetup scale="55" fitToWidth="0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5" sqref="I15"/>
    </sheetView>
  </sheetViews>
  <sheetFormatPr defaultRowHeight="15" x14ac:dyDescent="0.25"/>
  <cols>
    <col min="1" max="1" width="12.140625" bestFit="1" customWidth="1"/>
    <col min="2" max="13" width="10.42578125" bestFit="1" customWidth="1"/>
    <col min="14" max="14" width="2.42578125" customWidth="1"/>
    <col min="15" max="15" width="10.42578125" bestFit="1" customWidth="1"/>
    <col min="16" max="16" width="10.85546875" bestFit="1" customWidth="1"/>
    <col min="17" max="17" width="10.42578125" bestFit="1" customWidth="1"/>
  </cols>
  <sheetData>
    <row r="1" spans="1:17" x14ac:dyDescent="0.25">
      <c r="A1" s="461" t="s">
        <v>33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</row>
    <row r="2" spans="1:17" x14ac:dyDescent="0.25">
      <c r="A2" s="462" t="s">
        <v>547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7" x14ac:dyDescent="0.25">
      <c r="A3" s="462" t="s">
        <v>304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</row>
    <row r="4" spans="1:17" x14ac:dyDescent="0.25">
      <c r="A4" s="461" t="s">
        <v>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</row>
    <row r="5" spans="1:17" x14ac:dyDescent="0.25">
      <c r="A5" s="462" t="s">
        <v>305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</row>
    <row r="7" spans="1:17" ht="30" x14ac:dyDescent="0.25">
      <c r="A7" s="12" t="s">
        <v>0</v>
      </c>
      <c r="B7" s="12" t="s">
        <v>1</v>
      </c>
    </row>
    <row r="9" spans="1:17" ht="60" x14ac:dyDescent="0.25">
      <c r="A9" s="12" t="s">
        <v>2</v>
      </c>
      <c r="B9" s="152" t="s">
        <v>313</v>
      </c>
      <c r="C9" s="152" t="s">
        <v>312</v>
      </c>
      <c r="D9" s="152" t="s">
        <v>311</v>
      </c>
      <c r="E9" s="152" t="s">
        <v>306</v>
      </c>
      <c r="F9" s="152" t="s">
        <v>307</v>
      </c>
      <c r="G9" s="152" t="s">
        <v>308</v>
      </c>
      <c r="H9" s="152" t="s">
        <v>309</v>
      </c>
      <c r="I9" s="152" t="s">
        <v>310</v>
      </c>
      <c r="J9" s="152" t="s">
        <v>314</v>
      </c>
      <c r="K9" s="152" t="s">
        <v>315</v>
      </c>
      <c r="L9" s="152" t="s">
        <v>316</v>
      </c>
      <c r="M9" s="152" t="s">
        <v>317</v>
      </c>
      <c r="N9" s="11"/>
      <c r="O9" s="12" t="s">
        <v>3</v>
      </c>
      <c r="P9" s="152" t="s">
        <v>329</v>
      </c>
      <c r="Q9" s="12" t="s">
        <v>4</v>
      </c>
    </row>
    <row r="10" spans="1:17" x14ac:dyDescent="0.25">
      <c r="A10" s="148">
        <v>7</v>
      </c>
      <c r="B10" s="14">
        <v>1005060</v>
      </c>
      <c r="C10" s="14">
        <v>1006215</v>
      </c>
      <c r="D10" s="14">
        <v>1006855</v>
      </c>
      <c r="E10" s="14">
        <v>1007514</v>
      </c>
      <c r="F10" s="14">
        <v>1008561</v>
      </c>
      <c r="G10" s="14">
        <v>1009696</v>
      </c>
      <c r="H10" s="14">
        <v>1010120</v>
      </c>
      <c r="I10" s="14">
        <v>1011178</v>
      </c>
      <c r="J10" s="14">
        <v>1012929</v>
      </c>
      <c r="K10" s="14">
        <v>1014406</v>
      </c>
      <c r="L10" s="14">
        <v>1016565</v>
      </c>
      <c r="M10" s="14">
        <v>1017763</v>
      </c>
      <c r="O10" s="15">
        <f>ROUND(AVERAGE(B10:M10),0)</f>
        <v>1010572</v>
      </c>
      <c r="P10" s="15"/>
      <c r="Q10" s="15">
        <f>+O10+P10</f>
        <v>1010572</v>
      </c>
    </row>
    <row r="11" spans="1:17" x14ac:dyDescent="0.25">
      <c r="A11" s="148">
        <v>24</v>
      </c>
      <c r="B11" s="14">
        <v>120955</v>
      </c>
      <c r="C11" s="14">
        <v>121123</v>
      </c>
      <c r="D11" s="14">
        <v>121264</v>
      </c>
      <c r="E11" s="14">
        <v>121274</v>
      </c>
      <c r="F11" s="14">
        <v>121372</v>
      </c>
      <c r="G11" s="14">
        <v>121592</v>
      </c>
      <c r="H11" s="14">
        <v>121703</v>
      </c>
      <c r="I11" s="14">
        <v>121847</v>
      </c>
      <c r="J11" s="14">
        <v>121977</v>
      </c>
      <c r="K11" s="14">
        <v>122030</v>
      </c>
      <c r="L11" s="14">
        <v>121995</v>
      </c>
      <c r="M11" s="14">
        <v>121946</v>
      </c>
      <c r="O11" s="15">
        <f t="shared" ref="O11:O23" si="0">ROUND(AVERAGE(B11:M11),0)</f>
        <v>121590</v>
      </c>
      <c r="P11" s="15">
        <v>8</v>
      </c>
      <c r="Q11" s="15">
        <f t="shared" ref="Q11:Q23" si="1">+O11+P11</f>
        <v>121598</v>
      </c>
    </row>
    <row r="12" spans="1:17" x14ac:dyDescent="0.25">
      <c r="A12" s="148">
        <v>25</v>
      </c>
      <c r="B12" s="14">
        <v>7284</v>
      </c>
      <c r="C12" s="14">
        <v>7385</v>
      </c>
      <c r="D12" s="14">
        <v>7506</v>
      </c>
      <c r="E12" s="14">
        <v>7622</v>
      </c>
      <c r="F12" s="14">
        <v>7677</v>
      </c>
      <c r="G12" s="14">
        <v>7578</v>
      </c>
      <c r="H12" s="14">
        <v>7548</v>
      </c>
      <c r="I12" s="14">
        <v>7549</v>
      </c>
      <c r="J12" s="14">
        <v>7552</v>
      </c>
      <c r="K12" s="14">
        <v>7593</v>
      </c>
      <c r="L12" s="14">
        <v>7643</v>
      </c>
      <c r="M12" s="14">
        <v>7651</v>
      </c>
      <c r="O12" s="15">
        <f t="shared" si="0"/>
        <v>7549</v>
      </c>
      <c r="P12" s="15">
        <v>12</v>
      </c>
      <c r="Q12" s="15">
        <f t="shared" si="1"/>
        <v>7561</v>
      </c>
    </row>
    <row r="13" spans="1:17" x14ac:dyDescent="0.25">
      <c r="A13" s="148">
        <v>26</v>
      </c>
      <c r="B13" s="14">
        <v>803</v>
      </c>
      <c r="C13" s="14">
        <v>798</v>
      </c>
      <c r="D13" s="14">
        <v>799</v>
      </c>
      <c r="E13" s="14">
        <v>803</v>
      </c>
      <c r="F13" s="14">
        <v>832</v>
      </c>
      <c r="G13" s="14">
        <v>861</v>
      </c>
      <c r="H13" s="14">
        <v>859</v>
      </c>
      <c r="I13" s="14">
        <v>863</v>
      </c>
      <c r="J13" s="14">
        <v>863</v>
      </c>
      <c r="K13" s="14">
        <v>850</v>
      </c>
      <c r="L13" s="14">
        <v>820</v>
      </c>
      <c r="M13" s="14">
        <v>822</v>
      </c>
      <c r="O13" s="15">
        <f t="shared" si="0"/>
        <v>831</v>
      </c>
      <c r="P13" s="15">
        <v>11</v>
      </c>
      <c r="Q13" s="15">
        <f t="shared" si="1"/>
        <v>842</v>
      </c>
    </row>
    <row r="14" spans="1:17" x14ac:dyDescent="0.25">
      <c r="A14" s="148">
        <v>29</v>
      </c>
      <c r="B14" s="14">
        <v>533</v>
      </c>
      <c r="C14" s="14">
        <v>521</v>
      </c>
      <c r="D14" s="14">
        <v>529</v>
      </c>
      <c r="E14" s="14">
        <v>564</v>
      </c>
      <c r="F14" s="14">
        <v>629</v>
      </c>
      <c r="G14" s="14">
        <v>665</v>
      </c>
      <c r="H14" s="14">
        <v>687</v>
      </c>
      <c r="I14" s="14">
        <v>695</v>
      </c>
      <c r="J14" s="14">
        <v>683</v>
      </c>
      <c r="K14" s="14">
        <v>633</v>
      </c>
      <c r="L14" s="14">
        <v>554</v>
      </c>
      <c r="M14" s="14">
        <v>539</v>
      </c>
      <c r="O14" s="15">
        <f t="shared" si="0"/>
        <v>603</v>
      </c>
      <c r="P14" s="15"/>
      <c r="Q14" s="15">
        <f t="shared" si="1"/>
        <v>603</v>
      </c>
    </row>
    <row r="15" spans="1:17" x14ac:dyDescent="0.25">
      <c r="A15" s="148">
        <v>31</v>
      </c>
      <c r="B15" s="14">
        <v>482</v>
      </c>
      <c r="C15" s="14">
        <v>480</v>
      </c>
      <c r="D15" s="14">
        <v>481</v>
      </c>
      <c r="E15" s="14">
        <v>483</v>
      </c>
      <c r="F15" s="14">
        <v>482</v>
      </c>
      <c r="G15" s="14">
        <v>483</v>
      </c>
      <c r="H15" s="14">
        <v>483</v>
      </c>
      <c r="I15" s="14">
        <v>482</v>
      </c>
      <c r="J15" s="14">
        <v>481</v>
      </c>
      <c r="K15" s="14">
        <v>482</v>
      </c>
      <c r="L15" s="14">
        <v>482</v>
      </c>
      <c r="M15" s="14">
        <v>481</v>
      </c>
      <c r="O15" s="15">
        <f t="shared" si="0"/>
        <v>482</v>
      </c>
      <c r="P15" s="15">
        <v>5</v>
      </c>
      <c r="Q15" s="15">
        <f t="shared" si="1"/>
        <v>487</v>
      </c>
    </row>
    <row r="16" spans="1:17" x14ac:dyDescent="0.25">
      <c r="A16" s="148">
        <v>35</v>
      </c>
      <c r="B16" s="14">
        <v>1</v>
      </c>
      <c r="C16" s="14">
        <v>1</v>
      </c>
      <c r="D16" s="14">
        <v>1</v>
      </c>
      <c r="E16" s="14">
        <v>1</v>
      </c>
      <c r="F16" s="14">
        <v>2</v>
      </c>
      <c r="G16" s="14">
        <v>2</v>
      </c>
      <c r="H16" s="14">
        <v>2</v>
      </c>
      <c r="I16" s="14">
        <v>2</v>
      </c>
      <c r="J16" s="14">
        <v>2</v>
      </c>
      <c r="K16" s="14">
        <v>2</v>
      </c>
      <c r="L16" s="14">
        <v>2</v>
      </c>
      <c r="M16" s="14">
        <v>2</v>
      </c>
      <c r="O16" s="15">
        <f t="shared" si="0"/>
        <v>2</v>
      </c>
      <c r="P16" s="15"/>
      <c r="Q16" s="15">
        <f t="shared" si="1"/>
        <v>2</v>
      </c>
    </row>
    <row r="17" spans="1:17" x14ac:dyDescent="0.25">
      <c r="A17" s="148">
        <v>40</v>
      </c>
      <c r="B17" s="14">
        <v>130</v>
      </c>
      <c r="C17" s="14">
        <v>128</v>
      </c>
      <c r="D17" s="14">
        <v>128</v>
      </c>
      <c r="E17" s="14">
        <v>128</v>
      </c>
      <c r="F17" s="14">
        <v>128</v>
      </c>
      <c r="G17" s="14">
        <v>128</v>
      </c>
      <c r="H17" s="14">
        <v>129</v>
      </c>
      <c r="I17" s="14">
        <v>129</v>
      </c>
      <c r="J17" s="14">
        <v>129</v>
      </c>
      <c r="K17" s="14">
        <v>129</v>
      </c>
      <c r="L17" s="14">
        <v>129</v>
      </c>
      <c r="M17" s="14">
        <v>127</v>
      </c>
      <c r="O17" s="15">
        <f t="shared" si="0"/>
        <v>129</v>
      </c>
      <c r="P17" s="15">
        <v>-129</v>
      </c>
      <c r="Q17" s="15">
        <f t="shared" si="1"/>
        <v>0</v>
      </c>
    </row>
    <row r="18" spans="1:17" x14ac:dyDescent="0.25">
      <c r="A18" s="148">
        <v>43</v>
      </c>
      <c r="B18" s="14">
        <v>157</v>
      </c>
      <c r="C18" s="14">
        <v>156</v>
      </c>
      <c r="D18" s="14">
        <v>156</v>
      </c>
      <c r="E18" s="14">
        <v>155</v>
      </c>
      <c r="F18" s="14">
        <v>155</v>
      </c>
      <c r="G18" s="14">
        <v>155</v>
      </c>
      <c r="H18" s="14">
        <v>155</v>
      </c>
      <c r="I18" s="14">
        <v>154</v>
      </c>
      <c r="J18" s="14">
        <v>154</v>
      </c>
      <c r="K18" s="14">
        <v>153</v>
      </c>
      <c r="L18" s="14">
        <v>153</v>
      </c>
      <c r="M18" s="14">
        <v>153</v>
      </c>
      <c r="O18" s="15">
        <f t="shared" si="0"/>
        <v>155</v>
      </c>
      <c r="P18" s="15"/>
      <c r="Q18" s="15">
        <f t="shared" si="1"/>
        <v>155</v>
      </c>
    </row>
    <row r="19" spans="1:17" x14ac:dyDescent="0.25">
      <c r="A19" s="148">
        <v>46</v>
      </c>
      <c r="B19" s="14">
        <v>6</v>
      </c>
      <c r="C19" s="14">
        <v>6</v>
      </c>
      <c r="D19" s="14">
        <v>6</v>
      </c>
      <c r="E19" s="14">
        <v>6</v>
      </c>
      <c r="F19" s="14">
        <v>6</v>
      </c>
      <c r="G19" s="14">
        <v>6</v>
      </c>
      <c r="H19" s="14">
        <v>6</v>
      </c>
      <c r="I19" s="14">
        <v>6</v>
      </c>
      <c r="J19" s="14">
        <v>6</v>
      </c>
      <c r="K19" s="14">
        <v>6</v>
      </c>
      <c r="L19" s="14">
        <v>6</v>
      </c>
      <c r="M19" s="14">
        <v>6</v>
      </c>
      <c r="O19" s="15">
        <f t="shared" si="0"/>
        <v>6</v>
      </c>
      <c r="P19" s="15"/>
      <c r="Q19" s="15">
        <f t="shared" si="1"/>
        <v>6</v>
      </c>
    </row>
    <row r="20" spans="1:17" x14ac:dyDescent="0.25">
      <c r="A20" s="148">
        <v>49</v>
      </c>
      <c r="B20" s="14">
        <v>19</v>
      </c>
      <c r="C20" s="14">
        <v>19</v>
      </c>
      <c r="D20" s="14">
        <v>19</v>
      </c>
      <c r="E20" s="14">
        <v>19</v>
      </c>
      <c r="F20" s="14">
        <v>19</v>
      </c>
      <c r="G20" s="14">
        <v>19</v>
      </c>
      <c r="H20" s="14">
        <v>19</v>
      </c>
      <c r="I20" s="14">
        <v>19</v>
      </c>
      <c r="J20" s="14">
        <v>19</v>
      </c>
      <c r="K20" s="14">
        <v>19</v>
      </c>
      <c r="L20" s="14">
        <v>19</v>
      </c>
      <c r="M20" s="14">
        <v>19</v>
      </c>
      <c r="O20" s="15">
        <f t="shared" si="0"/>
        <v>19</v>
      </c>
      <c r="P20" s="15"/>
      <c r="Q20" s="15">
        <f t="shared" si="1"/>
        <v>19</v>
      </c>
    </row>
    <row r="21" spans="1:17" x14ac:dyDescent="0.25">
      <c r="A21" s="148" t="s">
        <v>7</v>
      </c>
      <c r="B21" s="14">
        <v>16</v>
      </c>
      <c r="C21" s="14">
        <v>16</v>
      </c>
      <c r="D21" s="14">
        <v>16</v>
      </c>
      <c r="E21" s="14">
        <v>16</v>
      </c>
      <c r="F21" s="14">
        <v>16</v>
      </c>
      <c r="G21" s="14">
        <v>16</v>
      </c>
      <c r="H21" s="14">
        <v>16</v>
      </c>
      <c r="I21" s="14">
        <v>16</v>
      </c>
      <c r="J21" s="14">
        <v>16</v>
      </c>
      <c r="K21" s="14">
        <v>16</v>
      </c>
      <c r="L21" s="14">
        <v>16</v>
      </c>
      <c r="M21" s="14">
        <v>16</v>
      </c>
      <c r="O21" s="15">
        <f t="shared" si="0"/>
        <v>16</v>
      </c>
      <c r="P21" s="15">
        <v>93</v>
      </c>
      <c r="Q21" s="15">
        <f t="shared" si="1"/>
        <v>109</v>
      </c>
    </row>
    <row r="22" spans="1:17" x14ac:dyDescent="0.25">
      <c r="A22" s="148" t="s">
        <v>5</v>
      </c>
      <c r="B22" s="14">
        <v>7688</v>
      </c>
      <c r="C22" s="14">
        <v>7711</v>
      </c>
      <c r="D22" s="14">
        <v>7732</v>
      </c>
      <c r="E22" s="14">
        <v>7767</v>
      </c>
      <c r="F22" s="14">
        <v>7804</v>
      </c>
      <c r="G22" s="14">
        <v>7850</v>
      </c>
      <c r="H22" s="14">
        <v>7854</v>
      </c>
      <c r="I22" s="14">
        <v>7869</v>
      </c>
      <c r="J22" s="14">
        <v>7883</v>
      </c>
      <c r="K22" s="14">
        <v>7905</v>
      </c>
      <c r="L22" s="14">
        <v>7924</v>
      </c>
      <c r="M22" s="14">
        <v>7963</v>
      </c>
      <c r="O22" s="15">
        <f t="shared" si="0"/>
        <v>7829</v>
      </c>
      <c r="P22" s="15"/>
      <c r="Q22" s="15">
        <f t="shared" si="1"/>
        <v>7829</v>
      </c>
    </row>
    <row r="23" spans="1:17" x14ac:dyDescent="0.25">
      <c r="A23" s="148" t="s">
        <v>6</v>
      </c>
      <c r="B23" s="14">
        <v>8</v>
      </c>
      <c r="C23" s="14">
        <v>8</v>
      </c>
      <c r="D23" s="14">
        <v>8</v>
      </c>
      <c r="E23" s="14">
        <v>8</v>
      </c>
      <c r="F23" s="14">
        <v>8</v>
      </c>
      <c r="G23" s="14">
        <v>8</v>
      </c>
      <c r="H23" s="14">
        <v>8</v>
      </c>
      <c r="I23" s="14">
        <v>8</v>
      </c>
      <c r="J23" s="14">
        <v>8</v>
      </c>
      <c r="K23" s="14">
        <v>8</v>
      </c>
      <c r="L23" s="14">
        <v>8</v>
      </c>
      <c r="M23" s="14">
        <v>8</v>
      </c>
      <c r="O23" s="15">
        <f t="shared" si="0"/>
        <v>8</v>
      </c>
      <c r="P23" s="15"/>
      <c r="Q23" s="15">
        <f t="shared" si="1"/>
        <v>8</v>
      </c>
    </row>
    <row r="24" spans="1:17" x14ac:dyDescent="0.25">
      <c r="A24" s="16" t="s">
        <v>8</v>
      </c>
      <c r="B24" s="16">
        <f>SUM(B10:B23)</f>
        <v>1143142</v>
      </c>
      <c r="C24" s="16">
        <f t="shared" ref="C24:M24" si="2">SUM(C10:C23)</f>
        <v>1144567</v>
      </c>
      <c r="D24" s="16">
        <f t="shared" si="2"/>
        <v>1145500</v>
      </c>
      <c r="E24" s="16">
        <f t="shared" si="2"/>
        <v>1146360</v>
      </c>
      <c r="F24" s="16">
        <f t="shared" si="2"/>
        <v>1147691</v>
      </c>
      <c r="G24" s="16">
        <f t="shared" si="2"/>
        <v>1149059</v>
      </c>
      <c r="H24" s="16">
        <f t="shared" si="2"/>
        <v>1149589</v>
      </c>
      <c r="I24" s="16">
        <f t="shared" si="2"/>
        <v>1150817</v>
      </c>
      <c r="J24" s="16">
        <f t="shared" si="2"/>
        <v>1152702</v>
      </c>
      <c r="K24" s="16">
        <f t="shared" si="2"/>
        <v>1154232</v>
      </c>
      <c r="L24" s="16">
        <f t="shared" si="2"/>
        <v>1156316</v>
      </c>
      <c r="M24" s="16">
        <f t="shared" si="2"/>
        <v>1157496</v>
      </c>
      <c r="O24" s="16">
        <f>SUM(O10:O23)</f>
        <v>1149791</v>
      </c>
      <c r="P24" s="16">
        <f t="shared" ref="P24:Q24" si="3">SUM(P10:P23)</f>
        <v>0</v>
      </c>
      <c r="Q24" s="16">
        <f t="shared" si="3"/>
        <v>1149791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sqref="A1:B1"/>
    </sheetView>
  </sheetViews>
  <sheetFormatPr defaultColWidth="8.85546875" defaultRowHeight="15" x14ac:dyDescent="0.25"/>
  <cols>
    <col min="1" max="1" width="12.140625" style="1" bestFit="1" customWidth="1"/>
    <col min="2" max="2" width="20.7109375" style="1" bestFit="1" customWidth="1"/>
    <col min="3" max="16384" width="8.85546875" style="1"/>
  </cols>
  <sheetData>
    <row r="1" spans="1:2" x14ac:dyDescent="0.25">
      <c r="A1" s="461" t="s">
        <v>33</v>
      </c>
      <c r="B1" s="461"/>
    </row>
    <row r="2" spans="1:2" x14ac:dyDescent="0.25">
      <c r="A2" s="461" t="s">
        <v>35</v>
      </c>
      <c r="B2" s="461"/>
    </row>
    <row r="3" spans="1:2" x14ac:dyDescent="0.25">
      <c r="A3" s="461" t="s">
        <v>331</v>
      </c>
      <c r="B3" s="461"/>
    </row>
    <row r="4" spans="1:2" x14ac:dyDescent="0.25">
      <c r="A4" s="461" t="s">
        <v>332</v>
      </c>
      <c r="B4" s="461"/>
    </row>
    <row r="5" spans="1:2" x14ac:dyDescent="0.25">
      <c r="A5"/>
      <c r="B5"/>
    </row>
    <row r="6" spans="1:2" x14ac:dyDescent="0.25">
      <c r="A6" s="60" t="s">
        <v>333</v>
      </c>
      <c r="B6" t="s">
        <v>334</v>
      </c>
    </row>
    <row r="7" spans="1:2" x14ac:dyDescent="0.25">
      <c r="A7" s="60" t="s">
        <v>22</v>
      </c>
      <c r="B7" t="s">
        <v>335</v>
      </c>
    </row>
    <row r="8" spans="1:2" x14ac:dyDescent="0.25">
      <c r="A8" s="60" t="s">
        <v>336</v>
      </c>
      <c r="B8" t="s">
        <v>337</v>
      </c>
    </row>
    <row r="9" spans="1:2" x14ac:dyDescent="0.25">
      <c r="A9"/>
      <c r="B9"/>
    </row>
    <row r="10" spans="1:2" x14ac:dyDescent="0.25">
      <c r="A10" s="60" t="s">
        <v>2</v>
      </c>
      <c r="B10" t="s">
        <v>226</v>
      </c>
    </row>
    <row r="11" spans="1:2" x14ac:dyDescent="0.25">
      <c r="A11" s="13">
        <v>7</v>
      </c>
      <c r="B11" s="168">
        <v>-30406297.609999999</v>
      </c>
    </row>
    <row r="12" spans="1:2" x14ac:dyDescent="0.25">
      <c r="A12" s="13">
        <v>24</v>
      </c>
      <c r="B12" s="168">
        <v>-2455237.91</v>
      </c>
    </row>
    <row r="13" spans="1:2" x14ac:dyDescent="0.25">
      <c r="A13" s="13">
        <v>25</v>
      </c>
      <c r="B13" s="168">
        <v>-836749.3899999999</v>
      </c>
    </row>
    <row r="14" spans="1:2" x14ac:dyDescent="0.25">
      <c r="A14" s="13">
        <v>26</v>
      </c>
      <c r="B14" s="168">
        <v>-223191.21</v>
      </c>
    </row>
    <row r="15" spans="1:2" x14ac:dyDescent="0.25">
      <c r="A15" s="13">
        <v>29</v>
      </c>
      <c r="B15" s="168">
        <v>-3539.46</v>
      </c>
    </row>
    <row r="16" spans="1:2" x14ac:dyDescent="0.25">
      <c r="A16" s="13">
        <v>31</v>
      </c>
      <c r="B16" s="168">
        <v>-75815.75</v>
      </c>
    </row>
    <row r="17" spans="1:2" x14ac:dyDescent="0.25">
      <c r="A17" s="13" t="s">
        <v>5</v>
      </c>
      <c r="B17" s="168">
        <v>-14633.660000000002</v>
      </c>
    </row>
    <row r="18" spans="1:2" x14ac:dyDescent="0.25">
      <c r="A18" s="13" t="s">
        <v>8</v>
      </c>
      <c r="B18" s="168">
        <f>SUM(B11:B17)</f>
        <v>-34015464.989999995</v>
      </c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sqref="A1:F1"/>
    </sheetView>
  </sheetViews>
  <sheetFormatPr defaultRowHeight="15" x14ac:dyDescent="0.25"/>
  <cols>
    <col min="1" max="1" width="7.28515625" bestFit="1" customWidth="1"/>
    <col min="2" max="2" width="15" bestFit="1" customWidth="1"/>
    <col min="3" max="6" width="12.5703125" bestFit="1" customWidth="1"/>
  </cols>
  <sheetData>
    <row r="1" spans="1:6" x14ac:dyDescent="0.25">
      <c r="A1" s="461" t="s">
        <v>10</v>
      </c>
      <c r="B1" s="461"/>
      <c r="C1" s="461"/>
      <c r="D1" s="461"/>
      <c r="E1" s="461"/>
      <c r="F1" s="461"/>
    </row>
    <row r="2" spans="1:6" x14ac:dyDescent="0.25">
      <c r="A2" s="461" t="s">
        <v>11</v>
      </c>
      <c r="B2" s="461"/>
      <c r="C2" s="461"/>
      <c r="D2" s="461"/>
      <c r="E2" s="461"/>
      <c r="F2" s="461"/>
    </row>
    <row r="3" spans="1:6" x14ac:dyDescent="0.25">
      <c r="A3" s="462" t="s">
        <v>318</v>
      </c>
      <c r="B3" s="461"/>
      <c r="C3" s="461"/>
      <c r="D3" s="461"/>
      <c r="E3" s="461"/>
      <c r="F3" s="461"/>
    </row>
    <row r="4" spans="1:6" x14ac:dyDescent="0.25">
      <c r="A4" s="461" t="s">
        <v>12</v>
      </c>
      <c r="B4" s="461"/>
      <c r="C4" s="461"/>
      <c r="D4" s="461"/>
      <c r="E4" s="461"/>
      <c r="F4" s="461"/>
    </row>
    <row r="6" spans="1:6" ht="105" x14ac:dyDescent="0.25">
      <c r="A6" s="18" t="s">
        <v>13</v>
      </c>
      <c r="B6" s="18" t="s">
        <v>14</v>
      </c>
      <c r="C6" s="18"/>
      <c r="D6" s="19" t="s">
        <v>15</v>
      </c>
      <c r="E6" s="19" t="s">
        <v>16</v>
      </c>
      <c r="F6" s="19" t="s">
        <v>17</v>
      </c>
    </row>
    <row r="7" spans="1:6" x14ac:dyDescent="0.25">
      <c r="A7" s="153">
        <v>1</v>
      </c>
      <c r="B7" t="s">
        <v>4</v>
      </c>
      <c r="C7" s="170">
        <f>SUM(D7:F7)</f>
        <v>-77716905.469999999</v>
      </c>
      <c r="D7" s="171">
        <v>-10960533.919999998</v>
      </c>
      <c r="E7" s="171">
        <v>-22353487.709999997</v>
      </c>
      <c r="F7" s="171">
        <v>-44402883.840000004</v>
      </c>
    </row>
    <row r="8" spans="1:6" x14ac:dyDescent="0.25">
      <c r="A8" s="153">
        <f>+A7+1</f>
        <v>2</v>
      </c>
      <c r="D8" s="170"/>
      <c r="E8" s="170"/>
      <c r="F8" s="170"/>
    </row>
    <row r="9" spans="1:6" x14ac:dyDescent="0.25">
      <c r="A9" s="153">
        <f t="shared" ref="A9:A20" si="0">+A8+1</f>
        <v>3</v>
      </c>
      <c r="B9" s="485" t="s">
        <v>1</v>
      </c>
      <c r="C9" s="485"/>
      <c r="D9" s="485"/>
      <c r="E9" s="485"/>
      <c r="F9" s="485"/>
    </row>
    <row r="10" spans="1:6" x14ac:dyDescent="0.25">
      <c r="A10" s="153">
        <f t="shared" si="0"/>
        <v>4</v>
      </c>
      <c r="B10" t="s">
        <v>18</v>
      </c>
      <c r="C10" s="15">
        <v>1010572</v>
      </c>
      <c r="D10" s="172">
        <v>1</v>
      </c>
      <c r="E10" s="172">
        <f>+D10</f>
        <v>1</v>
      </c>
      <c r="F10" s="172">
        <v>0</v>
      </c>
    </row>
    <row r="11" spans="1:6" x14ac:dyDescent="0.25">
      <c r="A11" s="153">
        <f t="shared" si="0"/>
        <v>5</v>
      </c>
      <c r="B11" s="147" t="s">
        <v>19</v>
      </c>
      <c r="C11" s="15">
        <v>121598</v>
      </c>
      <c r="D11" s="172"/>
      <c r="E11" s="172"/>
      <c r="F11" s="172">
        <f>C11/SUM($C$11:$C$13)</f>
        <v>0.93104345961838841</v>
      </c>
    </row>
    <row r="12" spans="1:6" x14ac:dyDescent="0.25">
      <c r="A12" s="153">
        <f t="shared" si="0"/>
        <v>6</v>
      </c>
      <c r="B12" s="147" t="s">
        <v>20</v>
      </c>
      <c r="C12" s="15">
        <v>8164</v>
      </c>
      <c r="D12" s="172"/>
      <c r="E12" s="172"/>
      <c r="F12" s="172">
        <f>C12/SUM($C$11:$C$13)</f>
        <v>6.250957091666412E-2</v>
      </c>
    </row>
    <row r="13" spans="1:6" x14ac:dyDescent="0.25">
      <c r="A13" s="153">
        <f t="shared" si="0"/>
        <v>7</v>
      </c>
      <c r="B13" s="147" t="s">
        <v>21</v>
      </c>
      <c r="C13" s="15">
        <v>842</v>
      </c>
      <c r="D13" s="172"/>
      <c r="E13" s="172"/>
      <c r="F13" s="172">
        <f>C13/SUM($C$11:$C$13)</f>
        <v>6.4469694649474749E-3</v>
      </c>
    </row>
    <row r="14" spans="1:6" x14ac:dyDescent="0.25">
      <c r="A14" s="153">
        <f t="shared" si="0"/>
        <v>8</v>
      </c>
      <c r="C14" s="15">
        <f>SUM(C10:C13)</f>
        <v>1141176</v>
      </c>
      <c r="D14" s="172"/>
      <c r="E14" s="172"/>
    </row>
    <row r="15" spans="1:6" x14ac:dyDescent="0.25">
      <c r="A15" s="153">
        <f t="shared" si="0"/>
        <v>9</v>
      </c>
    </row>
    <row r="16" spans="1:6" x14ac:dyDescent="0.25">
      <c r="A16" s="153">
        <f t="shared" si="0"/>
        <v>10</v>
      </c>
      <c r="B16" t="s">
        <v>18</v>
      </c>
      <c r="C16" s="170">
        <f>SUM(D16:F16)</f>
        <v>-33314021.629999995</v>
      </c>
      <c r="D16" s="170">
        <f>+D7*D10</f>
        <v>-10960533.919999998</v>
      </c>
      <c r="E16" s="170">
        <f t="shared" ref="E16" si="1">+E7*E10</f>
        <v>-22353487.709999997</v>
      </c>
      <c r="F16" s="170">
        <f>+$F$7*F10</f>
        <v>0</v>
      </c>
    </row>
    <row r="17" spans="1:6" x14ac:dyDescent="0.25">
      <c r="A17" s="153">
        <f t="shared" si="0"/>
        <v>11</v>
      </c>
      <c r="B17" s="147" t="s">
        <v>19</v>
      </c>
      <c r="C17" s="170">
        <f>SUM(D17:F17)</f>
        <v>-41341014.587427035</v>
      </c>
      <c r="D17" s="170"/>
      <c r="E17" s="170"/>
      <c r="F17" s="170">
        <f t="shared" ref="F17:F19" si="2">+$F$7*F11</f>
        <v>-41341014.587427035</v>
      </c>
    </row>
    <row r="18" spans="1:6" x14ac:dyDescent="0.25">
      <c r="A18" s="153">
        <f t="shared" si="0"/>
        <v>12</v>
      </c>
      <c r="B18" s="147" t="s">
        <v>20</v>
      </c>
      <c r="C18" s="170">
        <f>SUM(D18:F18)</f>
        <v>-2775605.2163008796</v>
      </c>
      <c r="D18" s="170"/>
      <c r="E18" s="170"/>
      <c r="F18" s="170">
        <f t="shared" si="2"/>
        <v>-2775605.2163008796</v>
      </c>
    </row>
    <row r="19" spans="1:6" x14ac:dyDescent="0.25">
      <c r="A19" s="153">
        <f t="shared" si="0"/>
        <v>13</v>
      </c>
      <c r="B19" s="147" t="s">
        <v>21</v>
      </c>
      <c r="C19" s="170">
        <f>SUM(D19:F19)</f>
        <v>-286264.0362720897</v>
      </c>
      <c r="D19" s="170"/>
      <c r="E19" s="170"/>
      <c r="F19" s="170">
        <f t="shared" si="2"/>
        <v>-286264.0362720897</v>
      </c>
    </row>
    <row r="20" spans="1:6" x14ac:dyDescent="0.25">
      <c r="A20" s="153">
        <f t="shared" si="0"/>
        <v>14</v>
      </c>
      <c r="B20" s="13" t="s">
        <v>4</v>
      </c>
      <c r="C20" s="170">
        <f>SUM(C16:C19)</f>
        <v>-77716905.469999999</v>
      </c>
      <c r="D20" s="170">
        <f t="shared" ref="D20:F20" si="3">SUM(D16:D19)</f>
        <v>-10960533.919999998</v>
      </c>
      <c r="E20" s="170">
        <f t="shared" si="3"/>
        <v>-22353487.709999997</v>
      </c>
      <c r="F20" s="170">
        <f t="shared" si="3"/>
        <v>-44402883.840000004</v>
      </c>
    </row>
  </sheetData>
  <mergeCells count="6">
    <mergeCell ref="A1:F1"/>
    <mergeCell ref="A2:F2"/>
    <mergeCell ref="A3:F3"/>
    <mergeCell ref="A4:F4"/>
    <mergeCell ref="B9:C9"/>
    <mergeCell ref="D9:F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pane xSplit="3" ySplit="8" topLeftCell="D30" activePane="bottomRight" state="frozen"/>
      <selection pane="topRight" activeCell="D1" sqref="D1"/>
      <selection pane="bottomLeft" activeCell="A9" sqref="A9"/>
      <selection pane="bottomRight" activeCell="M33" sqref="M33"/>
    </sheetView>
  </sheetViews>
  <sheetFormatPr defaultRowHeight="15" x14ac:dyDescent="0.25"/>
  <cols>
    <col min="1" max="1" width="4.28515625" bestFit="1" customWidth="1"/>
    <col min="2" max="2" width="13.7109375" bestFit="1" customWidth="1"/>
    <col min="3" max="3" width="22.7109375" bestFit="1" customWidth="1"/>
    <col min="4" max="5" width="14.5703125" bestFit="1" customWidth="1"/>
    <col min="6" max="6" width="11.5703125" bestFit="1" customWidth="1"/>
    <col min="7" max="7" width="12.5703125" bestFit="1" customWidth="1"/>
    <col min="8" max="8" width="12" bestFit="1" customWidth="1"/>
    <col min="9" max="9" width="1.42578125" customWidth="1"/>
    <col min="10" max="11" width="14.5703125" bestFit="1" customWidth="1"/>
    <col min="12" max="12" width="11.5703125" bestFit="1" customWidth="1"/>
    <col min="13" max="13" width="12.5703125" bestFit="1" customWidth="1"/>
    <col min="14" max="14" width="12" bestFit="1" customWidth="1"/>
  </cols>
  <sheetData>
    <row r="1" spans="1:14" x14ac:dyDescent="0.25">
      <c r="A1" s="461" t="s">
        <v>33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x14ac:dyDescent="0.25">
      <c r="A2" s="462" t="s">
        <v>107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</row>
    <row r="3" spans="1:14" x14ac:dyDescent="0.25">
      <c r="A3" s="462" t="s">
        <v>319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</row>
    <row r="4" spans="1:14" x14ac:dyDescent="0.25">
      <c r="A4" s="462" t="s">
        <v>320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</row>
    <row r="6" spans="1:14" x14ac:dyDescent="0.25">
      <c r="D6" s="487" t="s">
        <v>108</v>
      </c>
      <c r="E6" s="487"/>
      <c r="F6" s="487"/>
      <c r="G6" s="487"/>
      <c r="H6" s="487"/>
      <c r="J6" s="487" t="s">
        <v>109</v>
      </c>
      <c r="K6" s="487"/>
      <c r="L6" s="487"/>
      <c r="M6" s="487"/>
      <c r="N6" s="487"/>
    </row>
    <row r="7" spans="1:14" ht="60" x14ac:dyDescent="0.25">
      <c r="A7" s="18" t="str">
        <f>'[1]Proforma kWh &amp; Revenue'!A7</f>
        <v>Line No.</v>
      </c>
      <c r="B7" s="18" t="str">
        <f>'[1]Proforma kWh &amp; Revenue'!B7</f>
        <v>Rate Sch</v>
      </c>
      <c r="C7" s="18" t="str">
        <f>'[1]Proforma kWh &amp; Revenue'!C7</f>
        <v>Description</v>
      </c>
      <c r="D7" s="19" t="str">
        <f>'[1]Proforma kWh &amp; Revenue'!D7</f>
        <v>12 Months ended December 2018</v>
      </c>
      <c r="E7" s="18" t="str">
        <f>'[1]Proforma kWh &amp; Revenue'!E7</f>
        <v>Billed Sales</v>
      </c>
      <c r="F7" s="18" t="str">
        <f>'[1]Proforma kWh &amp; Revenue'!F7</f>
        <v>Unbilled Sales</v>
      </c>
      <c r="G7" s="18" t="str">
        <f>'[1]Proforma kWh &amp; Revenue'!G7</f>
        <v>Schedule 40 Migration</v>
      </c>
      <c r="H7" s="18" t="str">
        <f>'[1]Proforma kWh &amp; Revenue'!H7</f>
        <v>Temperature Adjustmemt</v>
      </c>
      <c r="I7" s="19"/>
      <c r="J7" s="19" t="str">
        <f>'[1]Proforma kWh &amp; Revenue'!J7</f>
        <v>12 Months ended December 2018</v>
      </c>
      <c r="K7" s="19" t="str">
        <f>'[1]Proforma kWh &amp; Revenue'!K7</f>
        <v>Billed Sales</v>
      </c>
      <c r="L7" s="18" t="str">
        <f>'[1]Proforma kWh &amp; Revenue'!L7</f>
        <v>Unbilled Sales</v>
      </c>
      <c r="M7" s="18" t="str">
        <f>'[1]Proforma kWh &amp; Revenue'!M7</f>
        <v>Schedule 40 Migration</v>
      </c>
      <c r="N7" s="18" t="str">
        <f>'[1]Proforma kWh &amp; Revenue'!N7</f>
        <v>Temperature Adjustmemt</v>
      </c>
    </row>
    <row r="8" spans="1:14" x14ac:dyDescent="0.25">
      <c r="A8" s="41">
        <f>'[1]Proforma kWh &amp; Revenue'!A8</f>
        <v>0</v>
      </c>
      <c r="B8" s="41" t="str">
        <f>'[1]Proforma kWh &amp; Revenue'!B8</f>
        <v>(a)</v>
      </c>
      <c r="C8" s="42" t="str">
        <f>'[1]Proforma kWh &amp; Revenue'!C8</f>
        <v>(b)</v>
      </c>
      <c r="D8" s="42" t="str">
        <f>'[1]Proforma kWh &amp; Revenue'!D8</f>
        <v>(c)</v>
      </c>
      <c r="E8" s="42" t="str">
        <f>'[1]Proforma kWh &amp; Revenue'!E8</f>
        <v>(d)</v>
      </c>
      <c r="F8" s="42" t="str">
        <f>'[1]Proforma kWh &amp; Revenue'!F8</f>
        <v>(e)</v>
      </c>
      <c r="G8" s="42" t="str">
        <f>'[1]Proforma kWh &amp; Revenue'!G8</f>
        <v>(f)</v>
      </c>
      <c r="H8" s="42" t="str">
        <f>'[1]Proforma kWh &amp; Revenue'!H8</f>
        <v>(g)</v>
      </c>
      <c r="I8" s="42"/>
      <c r="J8" s="42" t="str">
        <f>'[1]Proforma kWh &amp; Revenue'!J8</f>
        <v>(h)</v>
      </c>
      <c r="K8" s="42" t="str">
        <f>'[1]Proforma kWh &amp; Revenue'!K8</f>
        <v>(i)</v>
      </c>
      <c r="L8" s="42" t="str">
        <f>'[1]Proforma kWh &amp; Revenue'!L8</f>
        <v>(j)</v>
      </c>
      <c r="M8" s="42" t="str">
        <f>'[1]Proforma kWh &amp; Revenue'!M8</f>
        <v>(k)</v>
      </c>
      <c r="N8" s="42" t="str">
        <f>'[1]Proforma kWh &amp; Revenue'!N8</f>
        <v>(l)</v>
      </c>
    </row>
    <row r="9" spans="1:14" x14ac:dyDescent="0.25">
      <c r="A9" s="330">
        <f>'[1]Proforma kWh &amp; Revenue'!A9</f>
        <v>1</v>
      </c>
      <c r="B9" s="330">
        <f>'[1]Proforma kWh &amp; Revenue'!B9</f>
        <v>7</v>
      </c>
      <c r="C9" t="str">
        <f>'[1]Proforma kWh &amp; Revenue'!C9</f>
        <v>Residential</v>
      </c>
      <c r="D9" s="43">
        <f>'[1]Proforma kWh &amp; Revenue'!D9</f>
        <v>10623030235.689331</v>
      </c>
      <c r="E9" s="43">
        <f>'[1]Proforma kWh &amp; Revenue'!E9</f>
        <v>10519663299</v>
      </c>
      <c r="F9" s="43">
        <f>'[1]Proforma kWh &amp; Revenue'!F9</f>
        <v>-24716561.447262883</v>
      </c>
      <c r="G9" s="43">
        <f>'[1]Proforma kWh &amp; Revenue'!G9</f>
        <v>0</v>
      </c>
      <c r="H9" s="43">
        <f>'[1]Proforma kWh &amp; Revenue'!H9</f>
        <v>128083498.13659537</v>
      </c>
      <c r="J9" s="44">
        <f>'[1]Proforma kWh &amp; Revenue'!J9</f>
        <v>1105896512.391351</v>
      </c>
      <c r="K9" s="44">
        <f>'[1]Proforma kWh &amp; Revenue'!K9</f>
        <v>1094853126.391351</v>
      </c>
      <c r="L9" s="44">
        <f>'[1]Proforma kWh &amp; Revenue'!L9</f>
        <v>-2571505</v>
      </c>
      <c r="M9" s="44">
        <f>'[1]Proforma kWh &amp; Revenue'!M9</f>
        <v>0</v>
      </c>
      <c r="N9" s="44">
        <f>'[1]Proforma kWh &amp; Revenue'!N9</f>
        <v>13614891</v>
      </c>
    </row>
    <row r="10" spans="1:14" x14ac:dyDescent="0.25">
      <c r="A10" s="330">
        <f>'[1]Proforma kWh &amp; Revenue'!A10</f>
        <v>2</v>
      </c>
      <c r="B10" s="330" t="str">
        <f>'[1]Proforma kWh &amp; Revenue'!B10</f>
        <v>7A</v>
      </c>
      <c r="C10" s="147" t="str">
        <f>'[1]Proforma kWh &amp; Revenue'!C10</f>
        <v>Residential Master Meters</v>
      </c>
      <c r="D10" s="43">
        <f>'[1]Proforma kWh &amp; Revenue'!D10</f>
        <v>2442683</v>
      </c>
      <c r="E10" s="43">
        <f>'[1]Proforma kWh &amp; Revenue'!E10</f>
        <v>2023177</v>
      </c>
      <c r="F10" s="43">
        <f>'[1]Proforma kWh &amp; Revenue'!F10</f>
        <v>419506</v>
      </c>
      <c r="G10" s="43">
        <f>'[1]Proforma kWh &amp; Revenue'!G10</f>
        <v>0</v>
      </c>
      <c r="H10" s="43">
        <f>'[1]Proforma kWh &amp; Revenue'!H10</f>
        <v>0</v>
      </c>
      <c r="J10" s="44">
        <f>'[1]Proforma kWh &amp; Revenue'!J10</f>
        <v>196567</v>
      </c>
      <c r="K10" s="44">
        <f>'[1]Proforma kWh &amp; Revenue'!K10</f>
        <v>170578</v>
      </c>
      <c r="L10" s="44">
        <f>'[1]Proforma kWh &amp; Revenue'!L10</f>
        <v>25989</v>
      </c>
      <c r="M10" s="44">
        <f>'[1]Proforma kWh &amp; Revenue'!M10</f>
        <v>0</v>
      </c>
      <c r="N10" s="44">
        <f>'[1]Proforma kWh &amp; Revenue'!N10</f>
        <v>0</v>
      </c>
    </row>
    <row r="11" spans="1:14" x14ac:dyDescent="0.25">
      <c r="A11" s="330">
        <f>'[1]Proforma kWh &amp; Revenue'!A11</f>
        <v>3</v>
      </c>
      <c r="B11" s="486" t="str">
        <f>'[1]Proforma kWh &amp; Revenue'!B11</f>
        <v>Total Residential</v>
      </c>
      <c r="C11" s="486"/>
      <c r="D11" s="43">
        <f>'[1]Proforma kWh &amp; Revenue'!D11</f>
        <v>10625472918.689331</v>
      </c>
      <c r="E11" s="43">
        <f>'[1]Proforma kWh &amp; Revenue'!E11</f>
        <v>10521686476</v>
      </c>
      <c r="F11" s="43">
        <f>'[1]Proforma kWh &amp; Revenue'!F11</f>
        <v>-24297055.447262883</v>
      </c>
      <c r="G11" s="43">
        <f>'[1]Proforma kWh &amp; Revenue'!G11</f>
        <v>0</v>
      </c>
      <c r="H11" s="43">
        <f>'[1]Proforma kWh &amp; Revenue'!H11</f>
        <v>128083498.13659537</v>
      </c>
      <c r="J11" s="44">
        <f>'[1]Proforma kWh &amp; Revenue'!J11</f>
        <v>1106093079.391351</v>
      </c>
      <c r="K11" s="44">
        <f>'[1]Proforma kWh &amp; Revenue'!K11</f>
        <v>1095023704.391351</v>
      </c>
      <c r="L11" s="44">
        <f>'[1]Proforma kWh &amp; Revenue'!L11</f>
        <v>-2545516</v>
      </c>
      <c r="M11" s="44">
        <f>'[1]Proforma kWh &amp; Revenue'!M11</f>
        <v>0</v>
      </c>
      <c r="N11" s="44">
        <f>'[1]Proforma kWh &amp; Revenue'!N11</f>
        <v>13614891</v>
      </c>
    </row>
    <row r="12" spans="1:14" x14ac:dyDescent="0.25">
      <c r="A12" s="330">
        <f>'[1]Proforma kWh &amp; Revenue'!A12</f>
        <v>4</v>
      </c>
      <c r="D12" s="43"/>
      <c r="E12" s="43"/>
      <c r="F12" s="43"/>
      <c r="G12" s="43"/>
      <c r="H12" s="43"/>
      <c r="J12" s="44"/>
      <c r="K12" s="44"/>
      <c r="L12" s="44"/>
      <c r="M12" s="44"/>
      <c r="N12" s="44"/>
    </row>
    <row r="13" spans="1:14" x14ac:dyDescent="0.25">
      <c r="A13" s="330">
        <f>'[1]Proforma kWh &amp; Revenue'!A13</f>
        <v>5</v>
      </c>
      <c r="B13" s="45" t="str">
        <f>'[1]Proforma kWh &amp; Revenue'!B13</f>
        <v>8 / 24</v>
      </c>
      <c r="C13" t="str">
        <f>'[1]Proforma kWh &amp; Revenue'!C13</f>
        <v>Gen Svc &lt; 50kW</v>
      </c>
      <c r="D13" s="43">
        <f>'[1]Proforma kWh &amp; Revenue'!D13</f>
        <v>2700129196.7702866</v>
      </c>
      <c r="E13" s="43">
        <f>'[1]Proforma kWh &amp; Revenue'!E13</f>
        <v>2698169560</v>
      </c>
      <c r="F13" s="43">
        <f>'[1]Proforma kWh &amp; Revenue'!F13</f>
        <v>-8302835.4912163178</v>
      </c>
      <c r="G13" s="43">
        <f>'[1]Proforma kWh &amp; Revenue'!G13</f>
        <v>853998</v>
      </c>
      <c r="H13" s="43">
        <f>'[1]Proforma kWh &amp; Revenue'!H13</f>
        <v>9408474.2615028732</v>
      </c>
      <c r="J13" s="44">
        <f>'[1]Proforma kWh &amp; Revenue'!J13</f>
        <v>263390391</v>
      </c>
      <c r="K13" s="44">
        <f>'[1]Proforma kWh &amp; Revenue'!K13</f>
        <v>263190585</v>
      </c>
      <c r="L13" s="44">
        <f>'[1]Proforma kWh &amp; Revenue'!L13</f>
        <v>-763116</v>
      </c>
      <c r="M13" s="44">
        <f>'[1]Proforma kWh &amp; Revenue'!M13</f>
        <v>77075</v>
      </c>
      <c r="N13" s="44">
        <f>'[1]Proforma kWh &amp; Revenue'!N13</f>
        <v>885847</v>
      </c>
    </row>
    <row r="14" spans="1:14" x14ac:dyDescent="0.25">
      <c r="A14" s="330">
        <f>'[1]Proforma kWh &amp; Revenue'!A14</f>
        <v>6</v>
      </c>
      <c r="B14" s="331" t="str">
        <f>'[1]Proforma kWh &amp; Revenue'!B14</f>
        <v>11 / 25</v>
      </c>
      <c r="C14" s="147" t="str">
        <f>'[1]Proforma kWh &amp; Revenue'!C14</f>
        <v>Gen Svc &gt;50 &amp; &lt; 350kW</v>
      </c>
      <c r="D14" s="43">
        <f>'[1]Proforma kWh &amp; Revenue'!D14</f>
        <v>2987721690.5601029</v>
      </c>
      <c r="E14" s="43">
        <f>'[1]Proforma kWh &amp; Revenue'!E14</f>
        <v>2975372786.5</v>
      </c>
      <c r="F14" s="43">
        <f>'[1]Proforma kWh &amp; Revenue'!F14</f>
        <v>4178384.441164609</v>
      </c>
      <c r="G14" s="43">
        <f>'[1]Proforma kWh &amp; Revenue'!G14</f>
        <v>6794968</v>
      </c>
      <c r="H14" s="43">
        <f>'[1]Proforma kWh &amp; Revenue'!H14</f>
        <v>1375551.6189382095</v>
      </c>
      <c r="J14" s="44">
        <f>'[1]Proforma kWh &amp; Revenue'!J14</f>
        <v>269241246</v>
      </c>
      <c r="K14" s="44">
        <f>'[1]Proforma kWh &amp; Revenue'!K14</f>
        <v>268163032</v>
      </c>
      <c r="L14" s="44">
        <f>'[1]Proforma kWh &amp; Revenue'!L14</f>
        <v>410358</v>
      </c>
      <c r="M14" s="44">
        <f>'[1]Proforma kWh &amp; Revenue'!M14</f>
        <v>579724</v>
      </c>
      <c r="N14" s="44">
        <f>'[1]Proforma kWh &amp; Revenue'!N14</f>
        <v>88132</v>
      </c>
    </row>
    <row r="15" spans="1:14" x14ac:dyDescent="0.25">
      <c r="A15" s="330">
        <f>'[1]Proforma kWh &amp; Revenue'!A15</f>
        <v>7</v>
      </c>
      <c r="B15" s="331" t="str">
        <f>'[1]Proforma kWh &amp; Revenue'!B15</f>
        <v>12 / 26</v>
      </c>
      <c r="C15" s="147" t="str">
        <f>'[1]Proforma kWh &amp; Revenue'!C15</f>
        <v>Gen Svc &gt; 350kW</v>
      </c>
      <c r="D15" s="43">
        <f>'[1]Proforma kWh &amp; Revenue'!D15</f>
        <v>1941274619.9308119</v>
      </c>
      <c r="E15" s="43">
        <f>'[1]Proforma kWh &amp; Revenue'!E15</f>
        <v>1894753399</v>
      </c>
      <c r="F15" s="43">
        <f>'[1]Proforma kWh &amp; Revenue'!F15</f>
        <v>7193011.2870582342</v>
      </c>
      <c r="G15" s="43">
        <f>'[1]Proforma kWh &amp; Revenue'!G15</f>
        <v>44108557</v>
      </c>
      <c r="H15" s="43">
        <f>'[1]Proforma kWh &amp; Revenue'!H15</f>
        <v>-4780347.3562464509</v>
      </c>
      <c r="J15" s="44">
        <f>'[1]Proforma kWh &amp; Revenue'!J15</f>
        <v>159417134</v>
      </c>
      <c r="K15" s="44">
        <f>'[1]Proforma kWh &amp; Revenue'!K15</f>
        <v>155848072</v>
      </c>
      <c r="L15" s="44">
        <f>'[1]Proforma kWh &amp; Revenue'!L15</f>
        <v>578403</v>
      </c>
      <c r="M15" s="44">
        <f>'[1]Proforma kWh &amp; Revenue'!M15</f>
        <v>3264005</v>
      </c>
      <c r="N15" s="44">
        <f>'[1]Proforma kWh &amp; Revenue'!N15</f>
        <v>-273346</v>
      </c>
    </row>
    <row r="16" spans="1:14" x14ac:dyDescent="0.25">
      <c r="A16" s="330">
        <f>'[1]Proforma kWh &amp; Revenue'!A16</f>
        <v>8</v>
      </c>
      <c r="B16" s="331" t="str">
        <f>'[1]Proforma kWh &amp; Revenue'!B16</f>
        <v>26P</v>
      </c>
      <c r="C16" s="147" t="str">
        <f>'[1]Proforma kWh &amp; Revenue'!C16</f>
        <v>Gen Svc &gt; 350kW (pv)</v>
      </c>
      <c r="D16" s="43">
        <f>'[1]Proforma kWh &amp; Revenue'!D16</f>
        <v>26744</v>
      </c>
      <c r="E16" s="43">
        <f>'[1]Proforma kWh &amp; Revenue'!E16</f>
        <v>26744</v>
      </c>
      <c r="F16" s="43">
        <f>'[1]Proforma kWh &amp; Revenue'!F16</f>
        <v>0</v>
      </c>
      <c r="G16" s="43">
        <f>'[1]Proforma kWh &amp; Revenue'!G16</f>
        <v>0</v>
      </c>
      <c r="H16" s="43">
        <f>'[1]Proforma kWh &amp; Revenue'!H16</f>
        <v>0</v>
      </c>
      <c r="J16" s="44">
        <f>'[1]Proforma kWh &amp; Revenue'!J16</f>
        <v>863705</v>
      </c>
      <c r="K16" s="44">
        <f>'[1]Proforma kWh &amp; Revenue'!K16</f>
        <v>863705</v>
      </c>
      <c r="L16" s="44">
        <f>'[1]Proforma kWh &amp; Revenue'!L16</f>
        <v>0</v>
      </c>
      <c r="M16" s="44">
        <f>'[1]Proforma kWh &amp; Revenue'!M16</f>
        <v>0</v>
      </c>
      <c r="N16" s="44">
        <f>'[1]Proforma kWh &amp; Revenue'!N16</f>
        <v>0</v>
      </c>
    </row>
    <row r="17" spans="1:14" x14ac:dyDescent="0.25">
      <c r="A17" s="330">
        <f>'[1]Proforma kWh &amp; Revenue'!A17</f>
        <v>9</v>
      </c>
      <c r="B17" s="330">
        <f>'[1]Proforma kWh &amp; Revenue'!B17</f>
        <v>29</v>
      </c>
      <c r="C17" t="str">
        <f>'[1]Proforma kWh &amp; Revenue'!C17</f>
        <v>Irrigation Service</v>
      </c>
      <c r="D17" s="43">
        <f>'[1]Proforma kWh &amp; Revenue'!D17</f>
        <v>16009313.796828577</v>
      </c>
      <c r="E17" s="43">
        <f>'[1]Proforma kWh &amp; Revenue'!E17</f>
        <v>16726140</v>
      </c>
      <c r="F17" s="43">
        <f>'[1]Proforma kWh &amp; Revenue'!F17</f>
        <v>-250609.84182764241</v>
      </c>
      <c r="G17" s="43">
        <f>'[1]Proforma kWh &amp; Revenue'!G17</f>
        <v>0</v>
      </c>
      <c r="H17" s="43">
        <f>'[1]Proforma kWh &amp; Revenue'!H17</f>
        <v>-466216.36134378111</v>
      </c>
      <c r="J17" s="44">
        <f>'[1]Proforma kWh &amp; Revenue'!J17</f>
        <v>1265444</v>
      </c>
      <c r="K17" s="44">
        <f>'[1]Proforma kWh &amp; Revenue'!K17</f>
        <v>1283795</v>
      </c>
      <c r="L17" s="44">
        <f>'[1]Proforma kWh &amp; Revenue'!L17</f>
        <v>6749</v>
      </c>
      <c r="M17" s="44">
        <f>'[1]Proforma kWh &amp; Revenue'!M17</f>
        <v>0</v>
      </c>
      <c r="N17" s="44">
        <f>'[1]Proforma kWh &amp; Revenue'!N17</f>
        <v>-25100</v>
      </c>
    </row>
    <row r="18" spans="1:14" x14ac:dyDescent="0.25">
      <c r="A18" s="330">
        <f>'[1]Proforma kWh &amp; Revenue'!A18</f>
        <v>10</v>
      </c>
      <c r="B18" s="486" t="str">
        <f>'[1]Proforma kWh &amp; Revenue'!B18</f>
        <v>Total Secondary Voltage</v>
      </c>
      <c r="C18" s="486"/>
      <c r="D18" s="43">
        <f>'[1]Proforma kWh &amp; Revenue'!D18</f>
        <v>7645161565.0580292</v>
      </c>
      <c r="E18" s="43">
        <f>'[1]Proforma kWh &amp; Revenue'!E18</f>
        <v>7585048629.5</v>
      </c>
      <c r="F18" s="43">
        <f>'[1]Proforma kWh &amp; Revenue'!F18</f>
        <v>2817950.3951788833</v>
      </c>
      <c r="G18" s="43">
        <f>'[1]Proforma kWh &amp; Revenue'!G18</f>
        <v>51757523</v>
      </c>
      <c r="H18" s="43">
        <f>'[1]Proforma kWh &amp; Revenue'!H18</f>
        <v>5537462.1628508503</v>
      </c>
      <c r="J18" s="44">
        <f>'[1]Proforma kWh &amp; Revenue'!J18</f>
        <v>694177920</v>
      </c>
      <c r="K18" s="44">
        <f>'[1]Proforma kWh &amp; Revenue'!K18</f>
        <v>689349189</v>
      </c>
      <c r="L18" s="44">
        <f>'[1]Proforma kWh &amp; Revenue'!L18</f>
        <v>232394</v>
      </c>
      <c r="M18" s="44">
        <f>'[1]Proforma kWh &amp; Revenue'!M18</f>
        <v>3920804</v>
      </c>
      <c r="N18" s="44">
        <f>'[1]Proforma kWh &amp; Revenue'!N18</f>
        <v>675533</v>
      </c>
    </row>
    <row r="19" spans="1:14" x14ac:dyDescent="0.25">
      <c r="A19" s="330">
        <f>'[1]Proforma kWh &amp; Revenue'!A19</f>
        <v>11</v>
      </c>
      <c r="D19" s="43"/>
      <c r="E19" s="43"/>
      <c r="F19" s="43"/>
      <c r="G19" s="43"/>
      <c r="H19" s="43"/>
      <c r="J19" s="44"/>
      <c r="K19" s="44"/>
      <c r="L19" s="44"/>
      <c r="M19" s="44"/>
      <c r="N19" s="44"/>
    </row>
    <row r="20" spans="1:14" x14ac:dyDescent="0.25">
      <c r="A20" s="330">
        <f>'[1]Proforma kWh &amp; Revenue'!A20</f>
        <v>12</v>
      </c>
      <c r="B20" s="45" t="str">
        <f>'[1]Proforma kWh &amp; Revenue'!B20</f>
        <v>10 / 31</v>
      </c>
      <c r="C20" t="str">
        <f>'[1]Proforma kWh &amp; Revenue'!C20</f>
        <v>General Service</v>
      </c>
      <c r="D20" s="43">
        <f>'[1]Proforma kWh &amp; Revenue'!D20</f>
        <v>1407978352.242965</v>
      </c>
      <c r="E20" s="43">
        <f>'[1]Proforma kWh &amp; Revenue'!E20</f>
        <v>1297857967</v>
      </c>
      <c r="F20" s="43">
        <f>'[1]Proforma kWh &amp; Revenue'!F20</f>
        <v>-273450.99646974355</v>
      </c>
      <c r="G20" s="43">
        <f>'[1]Proforma kWh &amp; Revenue'!G20</f>
        <v>110833086</v>
      </c>
      <c r="H20" s="43">
        <f>'[1]Proforma kWh &amp; Revenue'!H20</f>
        <v>-439249.76056518452</v>
      </c>
      <c r="J20" s="44">
        <f>'[1]Proforma kWh &amp; Revenue'!J20</f>
        <v>113255219</v>
      </c>
      <c r="K20" s="44">
        <f>'[1]Proforma kWh &amp; Revenue'!K20</f>
        <v>105065774</v>
      </c>
      <c r="L20" s="44">
        <f>'[1]Proforma kWh &amp; Revenue'!L20</f>
        <v>-160</v>
      </c>
      <c r="M20" s="44">
        <f>'[1]Proforma kWh &amp; Revenue'!M20</f>
        <v>8213770</v>
      </c>
      <c r="N20" s="44">
        <f>'[1]Proforma kWh &amp; Revenue'!N20</f>
        <v>-24165</v>
      </c>
    </row>
    <row r="21" spans="1:14" x14ac:dyDescent="0.25">
      <c r="A21" s="330">
        <f>'[1]Proforma kWh &amp; Revenue'!A21</f>
        <v>13</v>
      </c>
      <c r="B21" s="330">
        <f>'[1]Proforma kWh &amp; Revenue'!B21</f>
        <v>35</v>
      </c>
      <c r="C21" t="str">
        <f>'[1]Proforma kWh &amp; Revenue'!C21</f>
        <v>Irrigation Service</v>
      </c>
      <c r="D21" s="43">
        <f>'[1]Proforma kWh &amp; Revenue'!D21</f>
        <v>4443660</v>
      </c>
      <c r="E21" s="43">
        <f>'[1]Proforma kWh &amp; Revenue'!E21</f>
        <v>4447380</v>
      </c>
      <c r="F21" s="43">
        <f>'[1]Proforma kWh &amp; Revenue'!F21</f>
        <v>-3720</v>
      </c>
      <c r="G21" s="43">
        <f>'[1]Proforma kWh &amp; Revenue'!G21</f>
        <v>0</v>
      </c>
      <c r="H21" s="43">
        <f>'[1]Proforma kWh &amp; Revenue'!H21</f>
        <v>0</v>
      </c>
      <c r="J21" s="44">
        <f>'[1]Proforma kWh &amp; Revenue'!J21</f>
        <v>268014</v>
      </c>
      <c r="K21" s="44">
        <f>'[1]Proforma kWh &amp; Revenue'!K21</f>
        <v>268415</v>
      </c>
      <c r="L21" s="44">
        <f>'[1]Proforma kWh &amp; Revenue'!L21</f>
        <v>-401</v>
      </c>
      <c r="M21" s="44">
        <f>'[1]Proforma kWh &amp; Revenue'!M21</f>
        <v>0</v>
      </c>
      <c r="N21" s="44">
        <f>'[1]Proforma kWh &amp; Revenue'!N21</f>
        <v>0</v>
      </c>
    </row>
    <row r="22" spans="1:14" x14ac:dyDescent="0.25">
      <c r="A22" s="330">
        <f>'[1]Proforma kWh &amp; Revenue'!A22</f>
        <v>14</v>
      </c>
      <c r="B22" s="330">
        <f>'[1]Proforma kWh &amp; Revenue'!B22</f>
        <v>43</v>
      </c>
      <c r="C22" t="str">
        <f>'[1]Proforma kWh &amp; Revenue'!C22</f>
        <v>Interruptible Elec Schools</v>
      </c>
      <c r="D22" s="43">
        <f>'[1]Proforma kWh &amp; Revenue'!D22</f>
        <v>122500713.32397975</v>
      </c>
      <c r="E22" s="43">
        <f>'[1]Proforma kWh &amp; Revenue'!E22</f>
        <v>120139341</v>
      </c>
      <c r="F22" s="43">
        <f>'[1]Proforma kWh &amp; Revenue'!F22</f>
        <v>-441932.86571428552</v>
      </c>
      <c r="G22" s="43">
        <f>'[1]Proforma kWh &amp; Revenue'!G22</f>
        <v>0</v>
      </c>
      <c r="H22" s="43">
        <f>'[1]Proforma kWh &amp; Revenue'!H22</f>
        <v>2803305.1896940321</v>
      </c>
      <c r="J22" s="44">
        <f>'[1]Proforma kWh &amp; Revenue'!J22</f>
        <v>10687146</v>
      </c>
      <c r="K22" s="44">
        <f>'[1]Proforma kWh &amp; Revenue'!K22</f>
        <v>10553677</v>
      </c>
      <c r="L22" s="44">
        <f>'[1]Proforma kWh &amp; Revenue'!L22</f>
        <v>-26700</v>
      </c>
      <c r="M22" s="44">
        <f>'[1]Proforma kWh &amp; Revenue'!M22</f>
        <v>0</v>
      </c>
      <c r="N22" s="44">
        <f>'[1]Proforma kWh &amp; Revenue'!N22</f>
        <v>160169</v>
      </c>
    </row>
    <row r="23" spans="1:14" x14ac:dyDescent="0.25">
      <c r="A23" s="330">
        <f>'[1]Proforma kWh &amp; Revenue'!A23</f>
        <v>15</v>
      </c>
      <c r="B23" s="486" t="str">
        <f>'[1]Proforma kWh &amp; Revenue'!B23</f>
        <v>Total Primary Voltage</v>
      </c>
      <c r="C23" s="486"/>
      <c r="D23" s="43">
        <f>'[1]Proforma kWh &amp; Revenue'!D23</f>
        <v>1534922725.5669448</v>
      </c>
      <c r="E23" s="43">
        <f>'[1]Proforma kWh &amp; Revenue'!E23</f>
        <v>1422444688</v>
      </c>
      <c r="F23" s="43">
        <f>'[1]Proforma kWh &amp; Revenue'!F23</f>
        <v>-719103.86218402907</v>
      </c>
      <c r="G23" s="43">
        <f>'[1]Proforma kWh &amp; Revenue'!G23</f>
        <v>110833086</v>
      </c>
      <c r="H23" s="43">
        <f>'[1]Proforma kWh &amp; Revenue'!H23</f>
        <v>2364055.4291288476</v>
      </c>
      <c r="J23" s="44">
        <f>'[1]Proforma kWh &amp; Revenue'!J23</f>
        <v>124210379</v>
      </c>
      <c r="K23" s="44">
        <f>'[1]Proforma kWh &amp; Revenue'!K23</f>
        <v>115887866</v>
      </c>
      <c r="L23" s="44">
        <f>'[1]Proforma kWh &amp; Revenue'!L23</f>
        <v>-27261</v>
      </c>
      <c r="M23" s="44">
        <f>'[1]Proforma kWh &amp; Revenue'!M23</f>
        <v>8213770</v>
      </c>
      <c r="N23" s="44">
        <f>'[1]Proforma kWh &amp; Revenue'!N23</f>
        <v>136004</v>
      </c>
    </row>
    <row r="24" spans="1:14" x14ac:dyDescent="0.25">
      <c r="A24" s="330">
        <f>'[1]Proforma kWh &amp; Revenue'!A24</f>
        <v>16</v>
      </c>
      <c r="D24" s="43"/>
      <c r="E24" s="43"/>
      <c r="F24" s="43"/>
      <c r="G24" s="43"/>
      <c r="H24" s="43"/>
      <c r="J24" s="44"/>
      <c r="K24" s="44"/>
      <c r="L24" s="44"/>
      <c r="M24" s="44"/>
      <c r="N24" s="44"/>
    </row>
    <row r="25" spans="1:14" x14ac:dyDescent="0.25">
      <c r="A25" s="330">
        <f>'[1]Proforma kWh &amp; Revenue'!A25</f>
        <v>17</v>
      </c>
      <c r="B25" s="330">
        <f>'[1]Proforma kWh &amp; Revenue'!B25</f>
        <v>40</v>
      </c>
      <c r="C25" t="str">
        <f>'[1]Proforma kWh &amp; Revenue'!C25</f>
        <v>Campus</v>
      </c>
      <c r="D25" s="43">
        <f>'[1]Proforma kWh &amp; Revenue'!D25</f>
        <v>2.0000000263098627</v>
      </c>
      <c r="E25" s="43">
        <f>'[1]Proforma kWh &amp; Revenue'!E25</f>
        <v>518545449</v>
      </c>
      <c r="F25" s="43">
        <f>'[1]Proforma kWh &amp; Revenue'!F25</f>
        <v>-18911070.058978755</v>
      </c>
      <c r="G25" s="43">
        <f>'[1]Proforma kWh &amp; Revenue'!G25</f>
        <v>-498811142.95520836</v>
      </c>
      <c r="H25" s="43">
        <f>'[1]Proforma kWh &amp; Revenue'!H25</f>
        <v>-823233.98581287614</v>
      </c>
      <c r="J25" s="44">
        <f>'[1]Proforma kWh &amp; Revenue'!J25</f>
        <v>0</v>
      </c>
      <c r="K25" s="44">
        <f>'[1]Proforma kWh &amp; Revenue'!K25</f>
        <v>38010023.07</v>
      </c>
      <c r="L25" s="44">
        <f>'[1]Proforma kWh &amp; Revenue'!L25</f>
        <v>-1360265</v>
      </c>
      <c r="M25" s="44">
        <f>'[1]Proforma kWh &amp; Revenue'!M25</f>
        <v>-36606417.07</v>
      </c>
      <c r="N25" s="44">
        <f>'[1]Proforma kWh &amp; Revenue'!N25</f>
        <v>-43341</v>
      </c>
    </row>
    <row r="26" spans="1:14" x14ac:dyDescent="0.25">
      <c r="A26" s="330">
        <f>'[1]Proforma kWh &amp; Revenue'!A26</f>
        <v>18</v>
      </c>
      <c r="D26" s="43"/>
      <c r="E26" s="43"/>
      <c r="F26" s="43"/>
      <c r="G26" s="43"/>
      <c r="H26" s="43"/>
      <c r="J26" s="44"/>
      <c r="K26" s="44"/>
      <c r="L26" s="44"/>
      <c r="M26" s="44"/>
      <c r="N26" s="44"/>
    </row>
    <row r="27" spans="1:14" x14ac:dyDescent="0.25">
      <c r="A27" s="330">
        <f>'[1]Proforma kWh &amp; Revenue'!A27</f>
        <v>19</v>
      </c>
      <c r="B27" s="330">
        <f>'[1]Proforma kWh &amp; Revenue'!B27</f>
        <v>46</v>
      </c>
      <c r="C27" s="147" t="str">
        <f>'[1]Proforma kWh &amp; Revenue'!C27</f>
        <v>Interruptible Service</v>
      </c>
      <c r="D27" s="43">
        <f>'[1]Proforma kWh &amp; Revenue'!D27</f>
        <v>78351492</v>
      </c>
      <c r="E27" s="43">
        <f>'[1]Proforma kWh &amp; Revenue'!E27</f>
        <v>77875892</v>
      </c>
      <c r="F27" s="43">
        <f>'[1]Proforma kWh &amp; Revenue'!F27</f>
        <v>475600</v>
      </c>
      <c r="G27" s="43">
        <f>'[1]Proforma kWh &amp; Revenue'!G27</f>
        <v>0</v>
      </c>
      <c r="H27" s="43">
        <f>'[1]Proforma kWh &amp; Revenue'!H27</f>
        <v>0</v>
      </c>
      <c r="J27" s="44">
        <f>'[1]Proforma kWh &amp; Revenue'!J27</f>
        <v>5190433</v>
      </c>
      <c r="K27" s="44">
        <f>'[1]Proforma kWh &amp; Revenue'!K27</f>
        <v>5123861</v>
      </c>
      <c r="L27" s="44">
        <f>'[1]Proforma kWh &amp; Revenue'!L27</f>
        <v>66572</v>
      </c>
      <c r="M27" s="44">
        <f>'[1]Proforma kWh &amp; Revenue'!M27</f>
        <v>0</v>
      </c>
      <c r="N27" s="44">
        <f>'[1]Proforma kWh &amp; Revenue'!N27</f>
        <v>0</v>
      </c>
    </row>
    <row r="28" spans="1:14" x14ac:dyDescent="0.25">
      <c r="A28" s="330">
        <f>'[1]Proforma kWh &amp; Revenue'!A28</f>
        <v>20</v>
      </c>
      <c r="B28" s="330">
        <f>'[1]Proforma kWh &amp; Revenue'!B28</f>
        <v>49</v>
      </c>
      <c r="C28" t="str">
        <f>'[1]Proforma kWh &amp; Revenue'!C28</f>
        <v>General Service</v>
      </c>
      <c r="D28" s="43">
        <f>'[1]Proforma kWh &amp; Revenue'!D28</f>
        <v>542259321.40199995</v>
      </c>
      <c r="E28" s="43">
        <f>'[1]Proforma kWh &amp; Revenue'!E28</f>
        <v>539795730</v>
      </c>
      <c r="F28" s="43">
        <f>'[1]Proforma kWh &amp; Revenue'!F28</f>
        <v>2463591.4019999988</v>
      </c>
      <c r="G28" s="43">
        <f>'[1]Proforma kWh &amp; Revenue'!G28</f>
        <v>0</v>
      </c>
      <c r="H28" s="43">
        <f>'[1]Proforma kWh &amp; Revenue'!H28</f>
        <v>0</v>
      </c>
      <c r="J28" s="44">
        <f>'[1]Proforma kWh &amp; Revenue'!J28</f>
        <v>34937811</v>
      </c>
      <c r="K28" s="44">
        <f>'[1]Proforma kWh &amp; Revenue'!K28</f>
        <v>34754549</v>
      </c>
      <c r="L28" s="44">
        <f>'[1]Proforma kWh &amp; Revenue'!L28</f>
        <v>183262</v>
      </c>
      <c r="M28" s="44">
        <f>'[1]Proforma kWh &amp; Revenue'!M28</f>
        <v>0</v>
      </c>
      <c r="N28" s="44">
        <f>'[1]Proforma kWh &amp; Revenue'!N28</f>
        <v>0</v>
      </c>
    </row>
    <row r="29" spans="1:14" x14ac:dyDescent="0.25">
      <c r="A29" s="330">
        <f>'[1]Proforma kWh &amp; Revenue'!A29</f>
        <v>21</v>
      </c>
      <c r="B29" s="486" t="str">
        <f>'[1]Proforma kWh &amp; Revenue'!B29</f>
        <v>Total High Voltage</v>
      </c>
      <c r="C29" s="486"/>
      <c r="D29" s="43">
        <f>'[1]Proforma kWh &amp; Revenue'!D29</f>
        <v>620610813.40199995</v>
      </c>
      <c r="E29" s="43">
        <f>'[1]Proforma kWh &amp; Revenue'!E29</f>
        <v>617671622</v>
      </c>
      <c r="F29" s="43">
        <f>'[1]Proforma kWh &amp; Revenue'!F29</f>
        <v>2939191.4019999988</v>
      </c>
      <c r="G29" s="43">
        <f>'[1]Proforma kWh &amp; Revenue'!G29</f>
        <v>0</v>
      </c>
      <c r="H29" s="43">
        <f>'[1]Proforma kWh &amp; Revenue'!H29</f>
        <v>0</v>
      </c>
      <c r="J29" s="44">
        <f>'[1]Proforma kWh &amp; Revenue'!J29</f>
        <v>40128244</v>
      </c>
      <c r="K29" s="44">
        <f>'[1]Proforma kWh &amp; Revenue'!K29</f>
        <v>39878410</v>
      </c>
      <c r="L29" s="44">
        <f>'[1]Proforma kWh &amp; Revenue'!L29</f>
        <v>249834</v>
      </c>
      <c r="M29" s="44">
        <f>'[1]Proforma kWh &amp; Revenue'!M29</f>
        <v>0</v>
      </c>
      <c r="N29" s="44">
        <f>'[1]Proforma kWh &amp; Revenue'!N29</f>
        <v>0</v>
      </c>
    </row>
    <row r="30" spans="1:14" x14ac:dyDescent="0.25">
      <c r="A30" s="330">
        <f>'[1]Proforma kWh &amp; Revenue'!A30</f>
        <v>22</v>
      </c>
      <c r="D30" s="43"/>
      <c r="E30" s="43"/>
      <c r="F30" s="43"/>
      <c r="G30" s="43"/>
      <c r="H30" s="43"/>
      <c r="J30" s="44"/>
      <c r="K30" s="44"/>
      <c r="L30" s="44"/>
      <c r="M30" s="44"/>
      <c r="N30" s="44"/>
    </row>
    <row r="31" spans="1:14" x14ac:dyDescent="0.25">
      <c r="A31" s="330">
        <f>'[1]Proforma kWh &amp; Revenue'!A31</f>
        <v>23</v>
      </c>
      <c r="B31" s="330" t="str">
        <f>'[1]Proforma kWh &amp; Revenue'!B31</f>
        <v>50-59</v>
      </c>
      <c r="C31" t="str">
        <f>'[1]Proforma kWh &amp; Revenue'!C31</f>
        <v>Street &amp; Area Lighting</v>
      </c>
      <c r="D31" s="43">
        <f>'[1]Proforma kWh &amp; Revenue'!D31</f>
        <v>69969105.295999989</v>
      </c>
      <c r="E31" s="43">
        <f>'[1]Proforma kWh &amp; Revenue'!E31</f>
        <v>70204592.217999995</v>
      </c>
      <c r="F31" s="43">
        <f>'[1]Proforma kWh &amp; Revenue'!F31</f>
        <v>-235486.92200000011</v>
      </c>
      <c r="G31" s="43">
        <f>'[1]Proforma kWh &amp; Revenue'!G31</f>
        <v>0</v>
      </c>
      <c r="H31" s="43">
        <f>'[1]Proforma kWh &amp; Revenue'!H31</f>
        <v>0</v>
      </c>
      <c r="J31" s="44">
        <f>'[1]Proforma kWh &amp; Revenue'!J31</f>
        <v>16457494</v>
      </c>
      <c r="K31" s="44">
        <f>'[1]Proforma kWh &amp; Revenue'!K31</f>
        <v>16512883</v>
      </c>
      <c r="L31" s="44">
        <f>'[1]Proforma kWh &amp; Revenue'!L31</f>
        <v>-55389</v>
      </c>
      <c r="M31" s="44">
        <f>'[1]Proforma kWh &amp; Revenue'!M31</f>
        <v>0</v>
      </c>
      <c r="N31" s="44">
        <f>'[1]Proforma kWh &amp; Revenue'!N31</f>
        <v>0</v>
      </c>
    </row>
    <row r="32" spans="1:14" x14ac:dyDescent="0.25">
      <c r="A32" s="330">
        <f>'[1]Proforma kWh &amp; Revenue'!A32</f>
        <v>24</v>
      </c>
      <c r="D32" s="43"/>
      <c r="E32" s="43"/>
      <c r="F32" s="43"/>
      <c r="G32" s="43"/>
      <c r="H32" s="43"/>
      <c r="J32" s="44"/>
      <c r="K32" s="44"/>
      <c r="L32" s="44"/>
      <c r="M32" s="44"/>
      <c r="N32" s="44"/>
    </row>
    <row r="33" spans="1:14" x14ac:dyDescent="0.25">
      <c r="A33" s="330">
        <f>'[1]Proforma kWh &amp; Revenue'!A33</f>
        <v>25</v>
      </c>
      <c r="B33" s="334" t="str">
        <f>'[1]Proforma kWh &amp; Revenue'!B33</f>
        <v>449 / 459 / SC</v>
      </c>
      <c r="C33" t="str">
        <f>'[1]Proforma kWh &amp; Revenue'!C33</f>
        <v>Retail Wheeling</v>
      </c>
      <c r="D33" s="43">
        <f>'[1]Proforma kWh &amp; Revenue'!D33</f>
        <v>2364947542.1700001</v>
      </c>
      <c r="E33" s="43">
        <f>'[1]Proforma kWh &amp; Revenue'!E33</f>
        <v>2027109354</v>
      </c>
      <c r="F33" s="43">
        <f>'[1]Proforma kWh &amp; Revenue'!F33</f>
        <v>1617652.1700000241</v>
      </c>
      <c r="G33" s="43">
        <f>'[1]Proforma kWh &amp; Revenue'!G33</f>
        <v>336220536</v>
      </c>
      <c r="H33" s="43">
        <f>'[1]Proforma kWh &amp; Revenue'!H33</f>
        <v>0</v>
      </c>
      <c r="J33" s="44">
        <f>'[1]Proforma kWh &amp; Revenue'!J33</f>
        <v>15607906</v>
      </c>
      <c r="K33" s="44">
        <f>'[1]Proforma kWh &amp; Revenue'!K33</f>
        <v>10086305</v>
      </c>
      <c r="L33" s="44">
        <f>'[1]Proforma kWh &amp; Revenue'!L33</f>
        <v>28051</v>
      </c>
      <c r="M33" s="44">
        <f>'[1]Proforma kWh &amp; Revenue'!M33</f>
        <v>5493550</v>
      </c>
      <c r="N33" s="44">
        <f>'[1]Proforma kWh &amp; Revenue'!N33</f>
        <v>0</v>
      </c>
    </row>
    <row r="34" spans="1:14" x14ac:dyDescent="0.25">
      <c r="A34" s="330">
        <f>'[1]Proforma kWh &amp; Revenue'!A34</f>
        <v>26</v>
      </c>
      <c r="D34" s="43"/>
      <c r="E34" s="43"/>
      <c r="F34" s="43"/>
      <c r="G34" s="43"/>
      <c r="H34" s="43"/>
      <c r="J34" s="44"/>
      <c r="K34" s="44"/>
      <c r="L34" s="44"/>
      <c r="M34" s="44"/>
      <c r="N34" s="44"/>
    </row>
    <row r="35" spans="1:14" x14ac:dyDescent="0.25">
      <c r="A35" s="330">
        <f>'[1]Proforma kWh &amp; Revenue'!A35</f>
        <v>27</v>
      </c>
      <c r="B35" s="486" t="str">
        <f>'[1]Proforma kWh &amp; Revenue'!B35</f>
        <v>Total Retail Delivered Sales</v>
      </c>
      <c r="C35" s="486"/>
      <c r="D35" s="43">
        <f>'[1]Proforma kWh &amp; Revenue'!D35</f>
        <v>22861084672.182304</v>
      </c>
      <c r="E35" s="43">
        <f>'[1]Proforma kWh &amp; Revenue'!E35</f>
        <v>22762710810.718002</v>
      </c>
      <c r="F35" s="43">
        <f>'[1]Proforma kWh &amp; Revenue'!F35</f>
        <v>-36787922.323246762</v>
      </c>
      <c r="G35" s="43">
        <f>'[1]Proforma kWh &amp; Revenue'!G35</f>
        <v>2.0447916388511658</v>
      </c>
      <c r="H35" s="43">
        <f>'[1]Proforma kWh &amp; Revenue'!H35</f>
        <v>135161781.74276218</v>
      </c>
      <c r="J35" s="44">
        <f>'[1]Proforma kWh &amp; Revenue'!J35</f>
        <v>1996675022.391351</v>
      </c>
      <c r="K35" s="44">
        <f>'[1]Proforma kWh &amp; Revenue'!K35</f>
        <v>2004748380.4613509</v>
      </c>
      <c r="L35" s="44">
        <f>'[1]Proforma kWh &amp; Revenue'!L35</f>
        <v>-3478152</v>
      </c>
      <c r="M35" s="44">
        <f>'[1]Proforma kWh &amp; Revenue'!M35</f>
        <v>-18978293.07</v>
      </c>
      <c r="N35" s="44">
        <f>'[1]Proforma kWh &amp; Revenue'!N35</f>
        <v>14383087</v>
      </c>
    </row>
    <row r="36" spans="1:14" x14ac:dyDescent="0.25">
      <c r="A36" s="330">
        <f>'[1]Proforma kWh &amp; Revenue'!A36</f>
        <v>28</v>
      </c>
      <c r="D36" s="43"/>
      <c r="E36" s="43"/>
      <c r="F36" s="43"/>
      <c r="G36" s="43"/>
      <c r="H36" s="43"/>
      <c r="J36" s="44"/>
      <c r="K36" s="44"/>
      <c r="L36" s="44"/>
      <c r="M36" s="44"/>
      <c r="N36" s="44"/>
    </row>
    <row r="37" spans="1:14" x14ac:dyDescent="0.25">
      <c r="A37" s="330">
        <f>'[1]Proforma kWh &amp; Revenue'!A37</f>
        <v>29</v>
      </c>
      <c r="B37" s="331" t="str">
        <f>'[1]Proforma kWh &amp; Revenue'!B37</f>
        <v>005</v>
      </c>
      <c r="C37" t="str">
        <f>'[1]Proforma kWh &amp; Revenue'!C37</f>
        <v>Firm Resale</v>
      </c>
      <c r="D37" s="43">
        <f>'[1]Proforma kWh &amp; Revenue'!D37</f>
        <v>7170066.2345252717</v>
      </c>
      <c r="E37" s="43">
        <f>'[1]Proforma kWh &amp; Revenue'!E37</f>
        <v>7130880</v>
      </c>
      <c r="F37" s="43">
        <f>'[1]Proforma kWh &amp; Revenue'!F37</f>
        <v>-46730</v>
      </c>
      <c r="G37" s="43">
        <f>'[1]Proforma kWh &amp; Revenue'!G37</f>
        <v>0</v>
      </c>
      <c r="H37" s="43">
        <f>'[1]Proforma kWh &amp; Revenue'!H37</f>
        <v>85916.234525271488</v>
      </c>
      <c r="J37" s="44">
        <f>'[1]Proforma kWh &amp; Revenue'!J37</f>
        <v>327360</v>
      </c>
      <c r="K37" s="44">
        <f>'[1]Proforma kWh &amp; Revenue'!K37</f>
        <v>325876</v>
      </c>
      <c r="L37" s="44">
        <f>'[1]Proforma kWh &amp; Revenue'!L37</f>
        <v>-1535</v>
      </c>
      <c r="M37" s="44">
        <f>'[1]Proforma kWh &amp; Revenue'!M37</f>
        <v>0</v>
      </c>
      <c r="N37" s="44">
        <f>'[1]Proforma kWh &amp; Revenue'!N37</f>
        <v>3019</v>
      </c>
    </row>
    <row r="38" spans="1:14" x14ac:dyDescent="0.25">
      <c r="A38" s="330">
        <f>'[1]Proforma kWh &amp; Revenue'!A38</f>
        <v>30</v>
      </c>
      <c r="D38" s="43"/>
      <c r="E38" s="43"/>
      <c r="F38" s="43"/>
      <c r="G38" s="43"/>
      <c r="H38" s="43"/>
      <c r="J38" s="44"/>
      <c r="K38" s="44"/>
      <c r="L38" s="44"/>
      <c r="M38" s="44"/>
      <c r="N38" s="44"/>
    </row>
    <row r="39" spans="1:14" x14ac:dyDescent="0.25">
      <c r="A39" s="330">
        <f>'[1]Proforma kWh &amp; Revenue'!A39</f>
        <v>31</v>
      </c>
      <c r="B39" s="486" t="str">
        <f>'[1]Proforma kWh &amp; Revenue'!B39</f>
        <v>Total Delivered Sales</v>
      </c>
      <c r="C39" s="486"/>
      <c r="D39" s="43">
        <f>'[1]Proforma kWh &amp; Revenue'!D39</f>
        <v>22868254738.416828</v>
      </c>
      <c r="E39" s="43">
        <f>'[1]Proforma kWh &amp; Revenue'!E39</f>
        <v>22769841690.718002</v>
      </c>
      <c r="F39" s="43">
        <f>'[1]Proforma kWh &amp; Revenue'!F39</f>
        <v>-36834652.323246762</v>
      </c>
      <c r="G39" s="43">
        <f>'[1]Proforma kWh &amp; Revenue'!G39</f>
        <v>2.0447916388511658</v>
      </c>
      <c r="H39" s="43">
        <f>'[1]Proforma kWh &amp; Revenue'!H39</f>
        <v>135247697.97728744</v>
      </c>
      <c r="J39" s="44">
        <f>'[1]Proforma kWh &amp; Revenue'!J39</f>
        <v>1997002382.391351</v>
      </c>
      <c r="K39" s="44">
        <f>'[1]Proforma kWh &amp; Revenue'!K39</f>
        <v>2005074256.4613509</v>
      </c>
      <c r="L39" s="44">
        <f>'[1]Proforma kWh &amp; Revenue'!L39</f>
        <v>-3479687</v>
      </c>
      <c r="M39" s="44">
        <f>'[1]Proforma kWh &amp; Revenue'!M39</f>
        <v>-18978293.07</v>
      </c>
      <c r="N39" s="44">
        <f>'[1]Proforma kWh &amp; Revenue'!N39</f>
        <v>14386106</v>
      </c>
    </row>
    <row r="40" spans="1:14" x14ac:dyDescent="0.25">
      <c r="A40" s="330">
        <f>'[1]Proforma kWh &amp; Revenue'!A40</f>
        <v>32</v>
      </c>
    </row>
    <row r="43" spans="1:14" x14ac:dyDescent="0.25">
      <c r="J43" s="46"/>
    </row>
    <row r="44" spans="1:14" x14ac:dyDescent="0.25">
      <c r="J44" s="46"/>
    </row>
    <row r="45" spans="1:14" x14ac:dyDescent="0.25">
      <c r="J45" s="46"/>
    </row>
  </sheetData>
  <mergeCells count="12">
    <mergeCell ref="B39:C39"/>
    <mergeCell ref="A1:N1"/>
    <mergeCell ref="A2:N2"/>
    <mergeCell ref="A3:N3"/>
    <mergeCell ref="A4:N4"/>
    <mergeCell ref="D6:H6"/>
    <mergeCell ref="J6:N6"/>
    <mergeCell ref="B11:C11"/>
    <mergeCell ref="B18:C18"/>
    <mergeCell ref="B23:C23"/>
    <mergeCell ref="B29:C29"/>
    <mergeCell ref="B35:C3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sqref="A1:N1"/>
    </sheetView>
  </sheetViews>
  <sheetFormatPr defaultColWidth="8.85546875" defaultRowHeight="15" x14ac:dyDescent="0.25"/>
  <cols>
    <col min="1" max="1" width="8.28515625" style="1" bestFit="1" customWidth="1"/>
    <col min="2" max="2" width="27" style="1" bestFit="1" customWidth="1"/>
    <col min="3" max="3" width="12" style="1" bestFit="1" customWidth="1"/>
    <col min="4" max="5" width="10.140625" style="1" bestFit="1" customWidth="1"/>
    <col min="6" max="6" width="9.140625" style="1" bestFit="1" customWidth="1"/>
    <col min="7" max="7" width="11" style="1" bestFit="1" customWidth="1"/>
    <col min="8" max="8" width="8.5703125" style="1" bestFit="1" customWidth="1"/>
    <col min="9" max="9" width="11.5703125" style="1" bestFit="1" customWidth="1"/>
    <col min="10" max="10" width="9.5703125" style="1" bestFit="1" customWidth="1"/>
    <col min="11" max="11" width="7.5703125" style="1" bestFit="1" customWidth="1"/>
    <col min="12" max="12" width="10.42578125" style="1" bestFit="1" customWidth="1"/>
    <col min="13" max="13" width="9.5703125" style="1" bestFit="1" customWidth="1"/>
    <col min="14" max="14" width="12" style="1" bestFit="1" customWidth="1"/>
    <col min="15" max="15" width="11" style="1" bestFit="1" customWidth="1"/>
    <col min="16" max="16384" width="8.85546875" style="1"/>
  </cols>
  <sheetData>
    <row r="1" spans="1:15" x14ac:dyDescent="0.25">
      <c r="A1" s="461" t="s">
        <v>33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x14ac:dyDescent="0.25">
      <c r="A2" s="462" t="s">
        <v>339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</row>
    <row r="3" spans="1:15" x14ac:dyDescent="0.25">
      <c r="A3" s="462" t="s">
        <v>318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</row>
    <row r="4" spans="1:15" x14ac:dyDescent="0.25">
      <c r="A4" s="461" t="s">
        <v>12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x14ac:dyDescent="0.25">
      <c r="A6" t="s">
        <v>228</v>
      </c>
      <c r="B6"/>
      <c r="C6" s="20">
        <v>7</v>
      </c>
      <c r="D6" s="20">
        <v>24</v>
      </c>
      <c r="E6" s="20">
        <v>25</v>
      </c>
      <c r="F6" s="20">
        <v>26</v>
      </c>
      <c r="G6" s="20">
        <v>29</v>
      </c>
      <c r="H6" s="20">
        <v>31</v>
      </c>
      <c r="I6" s="20">
        <v>43</v>
      </c>
      <c r="J6" s="20">
        <v>46</v>
      </c>
      <c r="K6" s="20">
        <v>49</v>
      </c>
      <c r="L6" s="20">
        <v>449</v>
      </c>
      <c r="M6" s="20" t="s">
        <v>5</v>
      </c>
      <c r="N6" s="20" t="s">
        <v>6</v>
      </c>
      <c r="O6" s="20" t="s">
        <v>8</v>
      </c>
    </row>
    <row r="7" spans="1:15" x14ac:dyDescent="0.25">
      <c r="A7" t="s">
        <v>236</v>
      </c>
      <c r="B7" s="1" t="s">
        <v>237</v>
      </c>
      <c r="C7" s="102">
        <v>1863702.2299999993</v>
      </c>
      <c r="D7" s="102">
        <v>273430.22000000003</v>
      </c>
      <c r="E7" s="102">
        <v>96525.129999999961</v>
      </c>
      <c r="F7" s="102">
        <v>26571.79</v>
      </c>
      <c r="G7" s="102">
        <v>4281.8899999999994</v>
      </c>
      <c r="H7" s="102">
        <v>22333.49</v>
      </c>
      <c r="I7" s="102">
        <v>158.59</v>
      </c>
      <c r="J7" s="102">
        <v>1970.77</v>
      </c>
      <c r="K7" s="102">
        <v>1097.42</v>
      </c>
      <c r="L7" s="102">
        <v>2207.6999999999998</v>
      </c>
      <c r="M7" s="102">
        <v>91350.16</v>
      </c>
      <c r="N7" s="102">
        <v>39.28</v>
      </c>
      <c r="O7" s="102">
        <f>SUM(C7:N7)</f>
        <v>2383668.6699999995</v>
      </c>
    </row>
    <row r="8" spans="1:15" x14ac:dyDescent="0.25">
      <c r="A8" s="59" t="s">
        <v>233</v>
      </c>
      <c r="B8" s="1" t="s">
        <v>234</v>
      </c>
      <c r="C8" s="102">
        <v>296927.81000000006</v>
      </c>
      <c r="D8" s="102">
        <v>18396.830000000005</v>
      </c>
      <c r="E8" s="102">
        <v>394.94</v>
      </c>
      <c r="F8" s="102">
        <v>26.86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95.14</v>
      </c>
      <c r="N8" s="102">
        <v>0</v>
      </c>
      <c r="O8" s="102">
        <f t="shared" ref="O8:O11" si="0">SUM(C8:N8)</f>
        <v>315841.58000000007</v>
      </c>
    </row>
    <row r="9" spans="1:15" x14ac:dyDescent="0.25">
      <c r="A9" s="59" t="s">
        <v>231</v>
      </c>
      <c r="B9" s="61" t="s">
        <v>232</v>
      </c>
      <c r="C9" s="102">
        <v>1514580.4800000002</v>
      </c>
      <c r="D9" s="102">
        <v>35233.449999999997</v>
      </c>
      <c r="E9" s="102">
        <v>50.92</v>
      </c>
      <c r="F9" s="102">
        <v>0</v>
      </c>
      <c r="G9" s="102">
        <v>706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f t="shared" si="0"/>
        <v>1550570.85</v>
      </c>
    </row>
    <row r="10" spans="1:15" x14ac:dyDescent="0.25">
      <c r="A10" s="59" t="s">
        <v>229</v>
      </c>
      <c r="B10" s="1" t="s">
        <v>230</v>
      </c>
      <c r="C10" s="102">
        <v>1391359.2799999998</v>
      </c>
      <c r="D10" s="102">
        <v>124826.99999999997</v>
      </c>
      <c r="E10" s="102">
        <v>3413.81</v>
      </c>
      <c r="F10" s="102">
        <v>273.05999999999995</v>
      </c>
      <c r="G10" s="102">
        <v>360.30999999999995</v>
      </c>
      <c r="H10" s="102">
        <v>126.83999999999999</v>
      </c>
      <c r="I10" s="102">
        <v>0</v>
      </c>
      <c r="J10" s="102">
        <v>0</v>
      </c>
      <c r="K10" s="102">
        <v>1.53</v>
      </c>
      <c r="L10" s="102">
        <v>0</v>
      </c>
      <c r="M10" s="102">
        <v>0</v>
      </c>
      <c r="N10" s="102">
        <v>0</v>
      </c>
      <c r="O10" s="102">
        <f t="shared" si="0"/>
        <v>1520361.83</v>
      </c>
    </row>
    <row r="11" spans="1:15" x14ac:dyDescent="0.25">
      <c r="A11" s="59" t="s">
        <v>235</v>
      </c>
      <c r="B11" s="1" t="s">
        <v>238</v>
      </c>
      <c r="C11" s="102">
        <v>19433.579999999998</v>
      </c>
      <c r="D11" s="102">
        <v>7376.1599999999989</v>
      </c>
      <c r="E11" s="102">
        <v>2736.4500000000003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71.33</v>
      </c>
      <c r="N11" s="102">
        <v>0</v>
      </c>
      <c r="O11" s="102">
        <f t="shared" si="0"/>
        <v>29617.52</v>
      </c>
    </row>
    <row r="12" spans="1:15" x14ac:dyDescent="0.25">
      <c r="A1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4">
    <mergeCell ref="A1:N1"/>
    <mergeCell ref="A2:N2"/>
    <mergeCell ref="A3:N3"/>
    <mergeCell ref="A4:N4"/>
  </mergeCells>
  <printOptions horizontalCentered="1"/>
  <pageMargins left="0.25" right="0.25" top="0.75" bottom="0.75" header="0.3" footer="0.3"/>
  <pageSetup scale="8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20.140625" bestFit="1" customWidth="1"/>
  </cols>
  <sheetData>
    <row r="1" spans="1:2" x14ac:dyDescent="0.25">
      <c r="A1" s="462" t="s">
        <v>33</v>
      </c>
      <c r="B1" s="461"/>
    </row>
    <row r="2" spans="1:2" x14ac:dyDescent="0.25">
      <c r="A2" s="462" t="s">
        <v>304</v>
      </c>
      <c r="B2" s="461"/>
    </row>
    <row r="3" spans="1:2" x14ac:dyDescent="0.25">
      <c r="A3" s="462" t="s">
        <v>23</v>
      </c>
      <c r="B3" s="461"/>
    </row>
    <row r="4" spans="1:2" x14ac:dyDescent="0.25">
      <c r="A4" s="461" t="s">
        <v>24</v>
      </c>
      <c r="B4" s="461"/>
    </row>
    <row r="7" spans="1:2" x14ac:dyDescent="0.25">
      <c r="A7" s="60" t="s">
        <v>2</v>
      </c>
      <c r="B7" s="147" t="s">
        <v>321</v>
      </c>
    </row>
    <row r="8" spans="1:2" x14ac:dyDescent="0.25">
      <c r="A8" s="13">
        <v>31</v>
      </c>
      <c r="B8" s="46">
        <v>449278.71999999997</v>
      </c>
    </row>
    <row r="9" spans="1:2" x14ac:dyDescent="0.25">
      <c r="A9" s="13">
        <v>43</v>
      </c>
      <c r="B9" s="46">
        <v>12396.600000000002</v>
      </c>
    </row>
    <row r="10" spans="1:2" x14ac:dyDescent="0.25">
      <c r="A10" t="s">
        <v>330</v>
      </c>
      <c r="B10" s="46">
        <v>77907.570000000007</v>
      </c>
    </row>
    <row r="11" spans="1:2" x14ac:dyDescent="0.25">
      <c r="A11" s="13" t="s">
        <v>248</v>
      </c>
      <c r="B11" s="46">
        <v>2871711.62</v>
      </c>
    </row>
    <row r="12" spans="1:2" x14ac:dyDescent="0.25">
      <c r="A12" s="13" t="s">
        <v>249</v>
      </c>
      <c r="B12" s="46">
        <v>1014163.3200000001</v>
      </c>
    </row>
    <row r="13" spans="1:2" x14ac:dyDescent="0.25">
      <c r="A13" s="13" t="s">
        <v>6</v>
      </c>
      <c r="B13" s="46">
        <v>3423.0000000000005</v>
      </c>
    </row>
    <row r="14" spans="1:2" x14ac:dyDescent="0.25">
      <c r="A14" s="13" t="s">
        <v>8</v>
      </c>
      <c r="B14" s="46">
        <f>SUM(B8:B13)</f>
        <v>4428880.83</v>
      </c>
    </row>
  </sheetData>
  <mergeCells count="4">
    <mergeCell ref="A4:B4"/>
    <mergeCell ref="A1:B1"/>
    <mergeCell ref="A3:B3"/>
    <mergeCell ref="A2:B2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L17" sqref="L17"/>
    </sheetView>
  </sheetViews>
  <sheetFormatPr defaultColWidth="8.85546875" defaultRowHeight="15" x14ac:dyDescent="0.25"/>
  <cols>
    <col min="1" max="1" width="21.42578125" style="1" bestFit="1" customWidth="1"/>
    <col min="2" max="2" width="10" style="1" bestFit="1" customWidth="1"/>
    <col min="3" max="4" width="11" style="1" bestFit="1" customWidth="1"/>
    <col min="5" max="5" width="8.85546875" style="1"/>
    <col min="6" max="6" width="10" style="1" bestFit="1" customWidth="1"/>
    <col min="7" max="8" width="12" style="1" bestFit="1" customWidth="1"/>
    <col min="9" max="9" width="11" style="1" bestFit="1" customWidth="1"/>
    <col min="10" max="10" width="12" style="1" bestFit="1" customWidth="1"/>
    <col min="11" max="11" width="8.85546875" style="1"/>
    <col min="12" max="12" width="12" style="1" bestFit="1" customWidth="1"/>
    <col min="13" max="16384" width="8.85546875" style="1"/>
  </cols>
  <sheetData>
    <row r="1" spans="1:14" x14ac:dyDescent="0.25">
      <c r="A1" s="494" t="s">
        <v>33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</row>
    <row r="2" spans="1:14" x14ac:dyDescent="0.25">
      <c r="A2" s="495" t="s">
        <v>407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</row>
    <row r="3" spans="1:14" x14ac:dyDescent="0.25">
      <c r="A3" s="494" t="s">
        <v>239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4" x14ac:dyDescent="0.25">
      <c r="A4" s="495" t="s">
        <v>320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</row>
    <row r="5" spans="1:14" x14ac:dyDescent="0.25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</row>
    <row r="6" spans="1:14" ht="15.75" thickBot="1" x14ac:dyDescent="0.3">
      <c r="B6" s="488" t="s">
        <v>240</v>
      </c>
      <c r="C6" s="489"/>
      <c r="D6" s="490"/>
      <c r="F6" s="491" t="s">
        <v>241</v>
      </c>
      <c r="G6" s="492"/>
      <c r="H6" s="492"/>
      <c r="I6" s="492"/>
      <c r="J6" s="493"/>
    </row>
    <row r="7" spans="1:14" ht="105.75" thickBot="1" x14ac:dyDescent="0.3">
      <c r="A7" s="62" t="s">
        <v>227</v>
      </c>
      <c r="B7" s="63" t="s">
        <v>242</v>
      </c>
      <c r="C7" s="64" t="s">
        <v>243</v>
      </c>
      <c r="D7" s="65" t="s">
        <v>244</v>
      </c>
      <c r="E7" s="66"/>
      <c r="F7" s="67" t="s">
        <v>245</v>
      </c>
      <c r="G7" s="68" t="s">
        <v>243</v>
      </c>
      <c r="H7" s="68" t="s">
        <v>244</v>
      </c>
      <c r="I7" s="69" t="s">
        <v>246</v>
      </c>
      <c r="J7" s="62" t="s">
        <v>4</v>
      </c>
      <c r="K7" s="66"/>
      <c r="L7" s="70" t="s">
        <v>247</v>
      </c>
    </row>
    <row r="8" spans="1:14" x14ac:dyDescent="0.25">
      <c r="A8" s="386">
        <v>7</v>
      </c>
      <c r="B8" s="388">
        <v>1030857</v>
      </c>
      <c r="C8" s="389"/>
      <c r="D8" s="390">
        <v>2536398.4600170702</v>
      </c>
      <c r="F8" s="388">
        <v>1010571.8333333334</v>
      </c>
      <c r="G8" s="389"/>
      <c r="H8" s="392">
        <v>12826298.293025397</v>
      </c>
      <c r="I8" s="392">
        <v>4330638.8687287299</v>
      </c>
      <c r="J8" s="393">
        <v>17156937.161754128</v>
      </c>
      <c r="K8"/>
      <c r="L8" s="394">
        <v>19693335.621771198</v>
      </c>
      <c r="N8" s="398"/>
    </row>
    <row r="9" spans="1:14" x14ac:dyDescent="0.25">
      <c r="A9" s="386">
        <v>24</v>
      </c>
      <c r="B9" s="388">
        <v>131231</v>
      </c>
      <c r="C9" s="389"/>
      <c r="D9" s="390">
        <v>322890.66893516766</v>
      </c>
      <c r="F9" s="388">
        <v>121597.83333333333</v>
      </c>
      <c r="G9" s="389"/>
      <c r="H9" s="392">
        <v>1543334.2100724028</v>
      </c>
      <c r="I9" s="392">
        <v>457633.60069115122</v>
      </c>
      <c r="J9" s="393">
        <v>2000967.8107635542</v>
      </c>
      <c r="K9"/>
      <c r="L9" s="394">
        <v>2323858.4796987218</v>
      </c>
      <c r="N9" s="398"/>
    </row>
    <row r="10" spans="1:14" x14ac:dyDescent="0.25">
      <c r="A10" s="386" t="s">
        <v>432</v>
      </c>
      <c r="B10" s="388">
        <v>8737</v>
      </c>
      <c r="C10" s="389"/>
      <c r="D10" s="390">
        <v>21497.175015709396</v>
      </c>
      <c r="F10" s="388">
        <v>8163.666666666667</v>
      </c>
      <c r="G10" s="389"/>
      <c r="H10" s="392">
        <v>103614.23144568973</v>
      </c>
      <c r="I10" s="392">
        <v>86592.547681274518</v>
      </c>
      <c r="J10" s="393">
        <v>190206.77912696425</v>
      </c>
      <c r="K10"/>
      <c r="L10" s="394">
        <v>211703.95414267364</v>
      </c>
      <c r="N10" s="398"/>
    </row>
    <row r="11" spans="1:14" x14ac:dyDescent="0.25">
      <c r="A11" s="386">
        <v>26</v>
      </c>
      <c r="B11" s="388">
        <v>883</v>
      </c>
      <c r="C11" s="389"/>
      <c r="D11" s="390">
        <v>2172.5999243300216</v>
      </c>
      <c r="F11" s="388">
        <v>842.08333333333337</v>
      </c>
      <c r="G11" s="389"/>
      <c r="H11" s="392">
        <v>10687.822146489474</v>
      </c>
      <c r="I11" s="392">
        <v>205915.76164887776</v>
      </c>
      <c r="J11" s="393">
        <v>216603.58379536722</v>
      </c>
      <c r="K11"/>
      <c r="L11" s="394">
        <v>218776.18371969723</v>
      </c>
      <c r="N11" s="398"/>
    </row>
    <row r="12" spans="1:14" x14ac:dyDescent="0.25">
      <c r="A12" s="386">
        <v>31</v>
      </c>
      <c r="B12" s="388">
        <v>530</v>
      </c>
      <c r="C12" s="389"/>
      <c r="D12" s="390">
        <v>1304.0520497111115</v>
      </c>
      <c r="F12" s="388">
        <v>486.83333333333331</v>
      </c>
      <c r="G12" s="389"/>
      <c r="H12" s="392">
        <v>6178.9467570303314</v>
      </c>
      <c r="I12" s="392">
        <v>156333.09804012644</v>
      </c>
      <c r="J12" s="393">
        <v>162512.04479715676</v>
      </c>
      <c r="K12"/>
      <c r="L12" s="394">
        <v>163816.09684686788</v>
      </c>
      <c r="N12" s="398"/>
    </row>
    <row r="13" spans="1:14" x14ac:dyDescent="0.25">
      <c r="A13" s="386">
        <v>35</v>
      </c>
      <c r="B13" s="388">
        <v>2</v>
      </c>
      <c r="C13" s="389"/>
      <c r="D13" s="390">
        <v>4.9209511309853262</v>
      </c>
      <c r="F13" s="388">
        <v>1.6666666666666667</v>
      </c>
      <c r="G13" s="389"/>
      <c r="H13" s="392">
        <v>21.153532204828249</v>
      </c>
      <c r="I13" s="392">
        <v>0</v>
      </c>
      <c r="J13" s="393">
        <v>21.153532204828249</v>
      </c>
      <c r="K13"/>
      <c r="L13" s="394">
        <v>26.074483335813575</v>
      </c>
      <c r="N13" s="398"/>
    </row>
    <row r="14" spans="1:14" x14ac:dyDescent="0.25">
      <c r="A14" s="386">
        <v>43</v>
      </c>
      <c r="B14" s="388">
        <v>159</v>
      </c>
      <c r="C14" s="389"/>
      <c r="D14" s="390">
        <v>391.21561491333341</v>
      </c>
      <c r="F14" s="388">
        <v>154.66666666666666</v>
      </c>
      <c r="G14" s="389"/>
      <c r="H14" s="392">
        <v>1963.0477886080616</v>
      </c>
      <c r="I14" s="392">
        <v>11061.961462878649</v>
      </c>
      <c r="J14" s="393">
        <v>13025.00925148671</v>
      </c>
      <c r="K14"/>
      <c r="L14" s="394">
        <v>13416.224866400044</v>
      </c>
      <c r="N14" s="398"/>
    </row>
    <row r="15" spans="1:14" x14ac:dyDescent="0.25">
      <c r="A15" s="387" t="s">
        <v>433</v>
      </c>
      <c r="B15" s="388">
        <v>0</v>
      </c>
      <c r="C15" s="389"/>
      <c r="D15" s="390">
        <v>0</v>
      </c>
      <c r="F15" s="388">
        <v>0</v>
      </c>
      <c r="G15" s="389"/>
      <c r="H15" s="392">
        <v>0</v>
      </c>
      <c r="I15" s="392">
        <v>0</v>
      </c>
      <c r="J15" s="393">
        <v>0</v>
      </c>
      <c r="K15"/>
      <c r="L15" s="394">
        <v>0</v>
      </c>
      <c r="N15" s="398"/>
    </row>
    <row r="16" spans="1:14" x14ac:dyDescent="0.25">
      <c r="A16" s="386" t="s">
        <v>248</v>
      </c>
      <c r="B16" s="388">
        <v>36</v>
      </c>
      <c r="C16" s="389"/>
      <c r="D16" s="390">
        <v>88.577120357735879</v>
      </c>
      <c r="F16" s="388">
        <v>0</v>
      </c>
      <c r="G16" s="389"/>
      <c r="H16" s="392">
        <v>0</v>
      </c>
      <c r="I16" s="392">
        <v>96146.289988663921</v>
      </c>
      <c r="J16" s="393">
        <v>96146.289988663921</v>
      </c>
      <c r="K16"/>
      <c r="L16" s="394">
        <v>96234.867109021652</v>
      </c>
      <c r="N16" s="398"/>
    </row>
    <row r="17" spans="1:14" x14ac:dyDescent="0.25">
      <c r="A17" s="387" t="s">
        <v>434</v>
      </c>
      <c r="B17" s="388">
        <v>55</v>
      </c>
      <c r="C17" s="389"/>
      <c r="D17" s="390">
        <v>243.58708098377363</v>
      </c>
      <c r="F17" s="388">
        <v>0</v>
      </c>
      <c r="G17" s="389"/>
      <c r="H17" s="392">
        <v>0</v>
      </c>
      <c r="I17" s="392">
        <v>171677.36124825178</v>
      </c>
      <c r="J17" s="393">
        <v>171677.36124825178</v>
      </c>
      <c r="K17"/>
      <c r="L17" s="394">
        <v>171920.94832923554</v>
      </c>
      <c r="N17" s="398"/>
    </row>
    <row r="18" spans="1:14" x14ac:dyDescent="0.25">
      <c r="A18" s="386" t="s">
        <v>330</v>
      </c>
      <c r="B18" s="388">
        <v>99</v>
      </c>
      <c r="C18" s="389"/>
      <c r="D18" s="390">
        <v>135.32615610209646</v>
      </c>
      <c r="F18" s="388">
        <v>0</v>
      </c>
      <c r="G18" s="389"/>
      <c r="H18" s="392">
        <v>0</v>
      </c>
      <c r="I18" s="392">
        <v>59472.063982534892</v>
      </c>
      <c r="J18" s="393">
        <v>59472.063982534892</v>
      </c>
      <c r="K18"/>
      <c r="L18" s="394">
        <v>59607.390138636991</v>
      </c>
      <c r="N18" s="398"/>
    </row>
    <row r="19" spans="1:14" x14ac:dyDescent="0.25">
      <c r="A19" s="386" t="s">
        <v>435</v>
      </c>
      <c r="B19" s="388">
        <v>0</v>
      </c>
      <c r="C19" s="389"/>
      <c r="D19" s="390">
        <v>0</v>
      </c>
      <c r="F19" s="388">
        <v>7829.166666666667</v>
      </c>
      <c r="G19" s="389"/>
      <c r="H19" s="392">
        <v>99368.717532180715</v>
      </c>
      <c r="I19" s="392">
        <v>3768.436682509604</v>
      </c>
      <c r="J19" s="393">
        <v>103137.15421469032</v>
      </c>
      <c r="K19"/>
      <c r="L19" s="394">
        <v>103137.15421469032</v>
      </c>
      <c r="N19" s="398"/>
    </row>
    <row r="20" spans="1:14" x14ac:dyDescent="0.25">
      <c r="A20" s="386" t="s">
        <v>436</v>
      </c>
      <c r="B20" s="388">
        <v>8</v>
      </c>
      <c r="C20" s="389"/>
      <c r="D20" s="390">
        <v>19.683804523941305</v>
      </c>
      <c r="F20" s="388">
        <v>0</v>
      </c>
      <c r="G20" s="389"/>
      <c r="H20" s="392">
        <v>0</v>
      </c>
      <c r="I20" s="392">
        <v>0</v>
      </c>
      <c r="J20" s="393">
        <v>0</v>
      </c>
      <c r="K20"/>
      <c r="L20" s="394">
        <v>19.683804523941305</v>
      </c>
      <c r="N20" s="398"/>
    </row>
    <row r="21" spans="1:14" x14ac:dyDescent="0.25">
      <c r="A21" s="61"/>
      <c r="B21" s="388"/>
      <c r="C21" s="389"/>
      <c r="D21" s="390"/>
      <c r="F21" s="388"/>
      <c r="G21" s="389"/>
      <c r="H21" s="392"/>
      <c r="I21" s="392"/>
      <c r="J21" s="395"/>
      <c r="K21"/>
      <c r="L21" s="396"/>
    </row>
    <row r="22" spans="1:14" x14ac:dyDescent="0.25">
      <c r="B22" s="388">
        <v>1172597</v>
      </c>
      <c r="C22" s="391">
        <v>2885146.2666700003</v>
      </c>
      <c r="D22" s="390">
        <v>2885146.2666700003</v>
      </c>
      <c r="F22" s="388">
        <v>1149647.7500000002</v>
      </c>
      <c r="G22" s="391">
        <v>14591466.422300005</v>
      </c>
      <c r="H22" s="392">
        <v>14591466.422300003</v>
      </c>
      <c r="I22" s="392">
        <v>5579239.9901549984</v>
      </c>
      <c r="J22" s="397">
        <v>20170706.412455</v>
      </c>
      <c r="K22"/>
      <c r="L22" s="394">
        <v>23055852.679125007</v>
      </c>
    </row>
    <row r="23" spans="1:14" ht="15.75" thickBot="1" x14ac:dyDescent="0.3">
      <c r="B23" s="71"/>
      <c r="C23" s="72"/>
      <c r="D23" s="73"/>
      <c r="F23" s="71"/>
      <c r="G23" s="72"/>
      <c r="H23" s="72"/>
      <c r="I23" s="72"/>
      <c r="J23" s="73"/>
      <c r="L23" s="74"/>
    </row>
  </sheetData>
  <mergeCells count="7">
    <mergeCell ref="B6:D6"/>
    <mergeCell ref="F6:J6"/>
    <mergeCell ref="A1:L1"/>
    <mergeCell ref="A2:L2"/>
    <mergeCell ref="A3:L3"/>
    <mergeCell ref="A4:L4"/>
    <mergeCell ref="A5:L5"/>
  </mergeCells>
  <printOptions horizontalCentered="1"/>
  <pageMargins left="0.25" right="0.25" top="0.75" bottom="0.75" header="0.3" footer="0.3"/>
  <pageSetup scale="9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90" zoomScaleNormal="90" workbookViewId="0">
      <selection sqref="A1:N1"/>
    </sheetView>
  </sheetViews>
  <sheetFormatPr defaultColWidth="8.85546875" defaultRowHeight="15" x14ac:dyDescent="0.25"/>
  <cols>
    <col min="1" max="1" width="13.140625" style="1" bestFit="1" customWidth="1"/>
    <col min="2" max="2" width="23.28515625" style="1" bestFit="1" customWidth="1"/>
    <col min="3" max="3" width="13" style="1" bestFit="1" customWidth="1"/>
    <col min="4" max="5" width="12.42578125" style="1" bestFit="1" customWidth="1"/>
    <col min="6" max="9" width="13" style="1" bestFit="1" customWidth="1"/>
    <col min="10" max="10" width="12.42578125" style="1" bestFit="1" customWidth="1"/>
    <col min="11" max="11" width="13" style="1" bestFit="1" customWidth="1"/>
    <col min="12" max="12" width="11.28515625" style="1" bestFit="1" customWidth="1"/>
    <col min="13" max="14" width="13" style="1" bestFit="1" customWidth="1"/>
    <col min="15" max="16384" width="8.85546875" style="1"/>
  </cols>
  <sheetData>
    <row r="1" spans="1:14" x14ac:dyDescent="0.25">
      <c r="A1" s="494" t="s">
        <v>33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x14ac:dyDescent="0.25">
      <c r="A2" s="494" t="s">
        <v>291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</row>
    <row r="3" spans="1:14" x14ac:dyDescent="0.25">
      <c r="A3" s="494" t="s">
        <v>292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</row>
    <row r="4" spans="1:14" x14ac:dyDescent="0.25">
      <c r="A4" s="495" t="s">
        <v>320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4" x14ac:dyDescent="0.25">
      <c r="A5" s="495" t="s">
        <v>341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8" spans="1:14" ht="30" x14ac:dyDescent="0.25">
      <c r="A8" s="111" t="s">
        <v>2</v>
      </c>
      <c r="B8" s="111" t="s">
        <v>9</v>
      </c>
      <c r="C8" s="152" t="s">
        <v>313</v>
      </c>
      <c r="D8" s="152" t="s">
        <v>312</v>
      </c>
      <c r="E8" s="152" t="s">
        <v>311</v>
      </c>
      <c r="F8" s="152" t="s">
        <v>306</v>
      </c>
      <c r="G8" s="152" t="s">
        <v>307</v>
      </c>
      <c r="H8" s="152" t="s">
        <v>308</v>
      </c>
      <c r="I8" s="152" t="s">
        <v>309</v>
      </c>
      <c r="J8" s="152" t="s">
        <v>310</v>
      </c>
      <c r="K8" s="152" t="s">
        <v>314</v>
      </c>
      <c r="L8" s="152" t="s">
        <v>315</v>
      </c>
      <c r="M8" s="152" t="s">
        <v>316</v>
      </c>
      <c r="N8" s="152" t="s">
        <v>317</v>
      </c>
    </row>
    <row r="9" spans="1:14" x14ac:dyDescent="0.25">
      <c r="A9" s="13">
        <v>7</v>
      </c>
      <c r="B9" s="17">
        <f>SUM(C9:N9)</f>
        <v>17224681.399999999</v>
      </c>
      <c r="C9" s="17">
        <v>1136808.8999999999</v>
      </c>
      <c r="D9" s="17">
        <v>1142188.82</v>
      </c>
      <c r="E9" s="17">
        <v>1071499.1599999999</v>
      </c>
      <c r="F9" s="17">
        <v>895721.74</v>
      </c>
      <c r="G9" s="17">
        <v>1247042.5900000001</v>
      </c>
      <c r="H9" s="17">
        <v>1564437.8</v>
      </c>
      <c r="I9" s="17">
        <v>1816382.83</v>
      </c>
      <c r="J9" s="17">
        <v>1822855.3</v>
      </c>
      <c r="K9" s="17">
        <v>3497980.01</v>
      </c>
      <c r="L9" s="17">
        <v>697978.71</v>
      </c>
      <c r="M9" s="17">
        <v>1273167.8600000001</v>
      </c>
      <c r="N9" s="17">
        <v>1058617.68</v>
      </c>
    </row>
    <row r="10" spans="1:14" x14ac:dyDescent="0.25">
      <c r="A10" s="13">
        <v>24</v>
      </c>
      <c r="B10" s="17">
        <f t="shared" ref="B10:B15" si="0">SUM(C10:N10)</f>
        <v>1239004.6299999999</v>
      </c>
      <c r="C10" s="17">
        <v>80490.610000000015</v>
      </c>
      <c r="D10" s="17">
        <v>71927.58</v>
      </c>
      <c r="E10" s="17">
        <v>99828.260000000009</v>
      </c>
      <c r="F10" s="17">
        <v>79793.069999999992</v>
      </c>
      <c r="G10" s="17">
        <v>87504.959999999992</v>
      </c>
      <c r="H10" s="17">
        <v>114132.45</v>
      </c>
      <c r="I10" s="17">
        <v>98413.760000000009</v>
      </c>
      <c r="J10" s="17">
        <v>108356.97</v>
      </c>
      <c r="K10" s="17">
        <v>261831.86000000002</v>
      </c>
      <c r="L10" s="17">
        <v>31577.32</v>
      </c>
      <c r="M10" s="17">
        <v>91674.61</v>
      </c>
      <c r="N10" s="17">
        <v>113473.18000000001</v>
      </c>
    </row>
    <row r="11" spans="1:14" x14ac:dyDescent="0.25">
      <c r="A11" s="13">
        <v>25</v>
      </c>
      <c r="B11" s="17">
        <f t="shared" si="0"/>
        <v>194711.71</v>
      </c>
      <c r="C11" s="17">
        <v>22639.96</v>
      </c>
      <c r="D11" s="17">
        <v>8582.66</v>
      </c>
      <c r="E11" s="17">
        <v>28570.59</v>
      </c>
      <c r="F11" s="17">
        <v>19113.18</v>
      </c>
      <c r="G11" s="17">
        <v>2378.91</v>
      </c>
      <c r="H11" s="17">
        <v>15649.42</v>
      </c>
      <c r="I11" s="17">
        <v>4642.97</v>
      </c>
      <c r="J11" s="17">
        <v>8643.2900000000009</v>
      </c>
      <c r="K11" s="17">
        <v>25144.14</v>
      </c>
      <c r="L11" s="17">
        <v>5776.01</v>
      </c>
      <c r="M11" s="17">
        <v>18062.919999999998</v>
      </c>
      <c r="N11" s="17">
        <v>35507.659999999996</v>
      </c>
    </row>
    <row r="12" spans="1:14" x14ac:dyDescent="0.25">
      <c r="A12" s="13">
        <v>26</v>
      </c>
      <c r="B12" s="17">
        <f t="shared" si="0"/>
        <v>312764.41000000003</v>
      </c>
      <c r="C12" s="17">
        <v>114676.81</v>
      </c>
      <c r="D12" s="17"/>
      <c r="E12" s="17">
        <v>77829.070000000007</v>
      </c>
      <c r="F12" s="17">
        <v>20592.89</v>
      </c>
      <c r="G12" s="17">
        <v>31119.18</v>
      </c>
      <c r="H12" s="17">
        <v>38831.22</v>
      </c>
      <c r="I12" s="17"/>
      <c r="J12" s="17"/>
      <c r="K12" s="17">
        <v>12009.14</v>
      </c>
      <c r="L12" s="17">
        <v>3811.3</v>
      </c>
      <c r="M12" s="17">
        <v>1323.82</v>
      </c>
      <c r="N12" s="17">
        <v>12570.98</v>
      </c>
    </row>
    <row r="13" spans="1:14" x14ac:dyDescent="0.25">
      <c r="A13" s="13">
        <v>29</v>
      </c>
      <c r="B13" s="17">
        <f t="shared" si="0"/>
        <v>5615.4999999999991</v>
      </c>
      <c r="C13" s="17"/>
      <c r="D13" s="17"/>
      <c r="E13" s="17">
        <v>-42.6</v>
      </c>
      <c r="F13" s="17"/>
      <c r="G13" s="17"/>
      <c r="H13" s="17">
        <v>6105.44</v>
      </c>
      <c r="I13" s="17">
        <v>655.97</v>
      </c>
      <c r="J13" s="17">
        <v>-880.29</v>
      </c>
      <c r="K13" s="17">
        <v>-223.02</v>
      </c>
      <c r="L13" s="17"/>
      <c r="M13" s="17"/>
      <c r="N13" s="17"/>
    </row>
    <row r="14" spans="1:14" x14ac:dyDescent="0.25">
      <c r="A14" s="13">
        <v>31</v>
      </c>
      <c r="B14" s="17">
        <f t="shared" si="0"/>
        <v>428165.6</v>
      </c>
      <c r="C14" s="17">
        <v>1462.79</v>
      </c>
      <c r="D14" s="17">
        <v>-1462.79</v>
      </c>
      <c r="E14" s="17"/>
      <c r="F14" s="17">
        <v>34337.46</v>
      </c>
      <c r="G14" s="17">
        <v>16979.45</v>
      </c>
      <c r="H14" s="17"/>
      <c r="I14" s="17"/>
      <c r="J14" s="17"/>
      <c r="K14" s="17"/>
      <c r="L14" s="17"/>
      <c r="M14" s="17"/>
      <c r="N14" s="17">
        <v>376848.69</v>
      </c>
    </row>
    <row r="15" spans="1:14" x14ac:dyDescent="0.25">
      <c r="A15" s="13" t="s">
        <v>340</v>
      </c>
      <c r="B15" s="17">
        <f t="shared" si="0"/>
        <v>49564.93</v>
      </c>
      <c r="C15" s="17">
        <v>8914.08</v>
      </c>
      <c r="D15" s="17">
        <v>19.54</v>
      </c>
      <c r="E15" s="17">
        <v>756.76</v>
      </c>
      <c r="F15" s="17">
        <v>119.53999999999999</v>
      </c>
      <c r="G15" s="17">
        <v>3438.98</v>
      </c>
      <c r="H15" s="17">
        <v>6597.8</v>
      </c>
      <c r="I15" s="17">
        <v>9542.67</v>
      </c>
      <c r="J15" s="17">
        <v>7036.67</v>
      </c>
      <c r="K15" s="17">
        <v>3443.1100000000006</v>
      </c>
      <c r="L15" s="17">
        <v>3376.6600000000003</v>
      </c>
      <c r="M15" s="17">
        <v>5979.7699999999995</v>
      </c>
      <c r="N15" s="17">
        <v>339.34999999999997</v>
      </c>
    </row>
    <row r="16" spans="1:14" x14ac:dyDescent="0.25">
      <c r="A16" s="169" t="s">
        <v>8</v>
      </c>
      <c r="B16" s="173">
        <f>SUM(B9:B15)</f>
        <v>19454508.18</v>
      </c>
      <c r="C16" s="173">
        <f t="shared" ref="C16:N16" si="1">SUM(C9:C15)</f>
        <v>1364993.1500000001</v>
      </c>
      <c r="D16" s="173">
        <f t="shared" si="1"/>
        <v>1221255.81</v>
      </c>
      <c r="E16" s="173">
        <f t="shared" si="1"/>
        <v>1278441.24</v>
      </c>
      <c r="F16" s="173">
        <f t="shared" si="1"/>
        <v>1049677.8800000001</v>
      </c>
      <c r="G16" s="173">
        <f t="shared" si="1"/>
        <v>1388464.0699999998</v>
      </c>
      <c r="H16" s="173">
        <f t="shared" si="1"/>
        <v>1745754.13</v>
      </c>
      <c r="I16" s="173">
        <f t="shared" si="1"/>
        <v>1929638.2</v>
      </c>
      <c r="J16" s="173">
        <f t="shared" si="1"/>
        <v>1946011.94</v>
      </c>
      <c r="K16" s="173">
        <f t="shared" si="1"/>
        <v>3800185.2399999998</v>
      </c>
      <c r="L16" s="173">
        <f t="shared" si="1"/>
        <v>742520</v>
      </c>
      <c r="M16" s="173">
        <f t="shared" si="1"/>
        <v>1390208.9800000002</v>
      </c>
      <c r="N16" s="173">
        <f t="shared" si="1"/>
        <v>1597357.5399999998</v>
      </c>
    </row>
  </sheetData>
  <mergeCells count="5">
    <mergeCell ref="A1:N1"/>
    <mergeCell ref="A2:N2"/>
    <mergeCell ref="A3:N3"/>
    <mergeCell ref="A4:N4"/>
    <mergeCell ref="A5:N5"/>
  </mergeCells>
  <printOptions horizontalCentered="1"/>
  <pageMargins left="0.25" right="0.25" top="0.75" bottom="0.75" header="0.3" footer="0.3"/>
  <pageSetup scale="7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ySplit="6" topLeftCell="A7" activePane="bottomLeft" state="frozen"/>
      <selection pane="bottomLeft" activeCell="C16" sqref="C16:I16"/>
    </sheetView>
  </sheetViews>
  <sheetFormatPr defaultColWidth="8.85546875" defaultRowHeight="15" x14ac:dyDescent="0.25"/>
  <cols>
    <col min="1" max="1" width="3.5703125" style="1" bestFit="1" customWidth="1"/>
    <col min="2" max="2" width="7.7109375" style="1" bestFit="1" customWidth="1"/>
    <col min="3" max="3" width="12.5703125" style="1" bestFit="1" customWidth="1"/>
    <col min="4" max="4" width="11.5703125" style="1" bestFit="1" customWidth="1"/>
    <col min="5" max="6" width="9" style="1" bestFit="1" customWidth="1"/>
    <col min="7" max="8" width="12.5703125" style="1" bestFit="1" customWidth="1"/>
    <col min="9" max="9" width="11.5703125" style="1" bestFit="1" customWidth="1"/>
    <col min="10" max="16384" width="8.85546875" style="1"/>
  </cols>
  <sheetData>
    <row r="1" spans="1:9" x14ac:dyDescent="0.25">
      <c r="A1" s="461" t="s">
        <v>33</v>
      </c>
      <c r="B1" s="461"/>
      <c r="C1" s="461"/>
      <c r="D1" s="461"/>
      <c r="E1" s="461"/>
      <c r="F1" s="461"/>
      <c r="G1" s="461"/>
      <c r="H1" s="461"/>
      <c r="I1" s="461"/>
    </row>
    <row r="2" spans="1:9" x14ac:dyDescent="0.25">
      <c r="A2" s="495" t="s">
        <v>343</v>
      </c>
      <c r="B2" s="494"/>
      <c r="C2" s="494"/>
      <c r="D2" s="494"/>
      <c r="E2" s="494"/>
      <c r="F2" s="494"/>
      <c r="G2" s="494"/>
      <c r="H2" s="494"/>
      <c r="I2" s="494"/>
    </row>
    <row r="3" spans="1:9" x14ac:dyDescent="0.25">
      <c r="A3" s="462" t="s">
        <v>323</v>
      </c>
      <c r="B3" s="461"/>
      <c r="C3" s="461"/>
      <c r="D3" s="461"/>
      <c r="E3" s="461"/>
      <c r="F3" s="461"/>
      <c r="G3" s="461"/>
      <c r="H3" s="461"/>
      <c r="I3" s="461"/>
    </row>
    <row r="4" spans="1:9" x14ac:dyDescent="0.25">
      <c r="A4"/>
      <c r="B4"/>
      <c r="C4"/>
      <c r="D4"/>
      <c r="E4"/>
      <c r="F4"/>
      <c r="G4"/>
      <c r="H4"/>
      <c r="I4"/>
    </row>
    <row r="5" spans="1:9" x14ac:dyDescent="0.25">
      <c r="A5"/>
      <c r="B5"/>
      <c r="C5"/>
      <c r="D5"/>
      <c r="E5"/>
      <c r="F5"/>
      <c r="G5"/>
      <c r="H5"/>
      <c r="I5"/>
    </row>
    <row r="6" spans="1:9" ht="45" x14ac:dyDescent="0.25">
      <c r="A6" s="75" t="s">
        <v>250</v>
      </c>
      <c r="B6" s="75" t="s">
        <v>251</v>
      </c>
      <c r="C6" s="75" t="s">
        <v>4</v>
      </c>
      <c r="D6" s="76" t="s">
        <v>252</v>
      </c>
      <c r="E6" s="76" t="s">
        <v>260</v>
      </c>
      <c r="F6" s="76" t="s">
        <v>6</v>
      </c>
      <c r="G6" s="75" t="s">
        <v>330</v>
      </c>
      <c r="H6" s="75" t="s">
        <v>253</v>
      </c>
      <c r="I6" s="76" t="s">
        <v>362</v>
      </c>
    </row>
    <row r="7" spans="1:9" x14ac:dyDescent="0.25">
      <c r="A7" s="496" t="s">
        <v>254</v>
      </c>
      <c r="B7" s="497"/>
      <c r="C7" s="497"/>
      <c r="D7" s="497"/>
      <c r="E7" s="497"/>
      <c r="F7" s="497"/>
      <c r="G7" s="497"/>
      <c r="H7" s="497"/>
      <c r="I7" s="497"/>
    </row>
    <row r="8" spans="1:9" x14ac:dyDescent="0.25">
      <c r="A8" s="77"/>
      <c r="B8" s="77"/>
      <c r="C8" s="77"/>
      <c r="D8" s="77"/>
      <c r="E8" s="77"/>
      <c r="F8" s="77"/>
      <c r="G8" s="77"/>
      <c r="H8" s="77"/>
      <c r="I8" s="77"/>
    </row>
    <row r="9" spans="1:9" x14ac:dyDescent="0.25">
      <c r="A9">
        <v>10</v>
      </c>
      <c r="B9" s="78">
        <v>360</v>
      </c>
      <c r="C9" s="79">
        <f>'[5]All Direct Assignment Dist Plt'!C9</f>
        <v>3584294.5099956198</v>
      </c>
      <c r="D9" s="79">
        <f>'[5]All Direct Assignment Dist Plt'!D9</f>
        <v>0</v>
      </c>
      <c r="E9" s="79">
        <f>'[5]All Direct Assignment Dist Plt'!E9</f>
        <v>0</v>
      </c>
      <c r="F9" s="79">
        <f>'[5]All Direct Assignment Dist Plt'!F9</f>
        <v>0</v>
      </c>
      <c r="G9" s="79">
        <f>'[5]All Direct Assignment Dist Plt'!G9</f>
        <v>3561622.1547956197</v>
      </c>
      <c r="H9" s="79">
        <f>'[5]All Direct Assignment Dist Plt'!H9</f>
        <v>22672.355200000002</v>
      </c>
      <c r="I9" s="79">
        <f>'[5]All Direct Assignment Dist Plt'!I9</f>
        <v>0</v>
      </c>
    </row>
    <row r="10" spans="1:9" x14ac:dyDescent="0.25">
      <c r="A10">
        <v>11</v>
      </c>
      <c r="B10" s="78">
        <v>361</v>
      </c>
      <c r="C10" s="79">
        <f>'[5]All Direct Assignment Dist Plt'!C10</f>
        <v>598299.79449141794</v>
      </c>
      <c r="D10" s="79">
        <f>'[5]All Direct Assignment Dist Plt'!D10</f>
        <v>0</v>
      </c>
      <c r="E10" s="79">
        <f>'[5]All Direct Assignment Dist Plt'!E10</f>
        <v>0</v>
      </c>
      <c r="F10" s="79">
        <f>'[5]All Direct Assignment Dist Plt'!F10</f>
        <v>0</v>
      </c>
      <c r="G10" s="79">
        <f>'[5]All Direct Assignment Dist Plt'!G10</f>
        <v>242390.36241461791</v>
      </c>
      <c r="H10" s="79">
        <f>'[5]All Direct Assignment Dist Plt'!H10</f>
        <v>162866.1520768</v>
      </c>
      <c r="I10" s="79">
        <f>'[5]All Direct Assignment Dist Plt'!I10</f>
        <v>193043.28</v>
      </c>
    </row>
    <row r="11" spans="1:9" x14ac:dyDescent="0.25">
      <c r="A11">
        <v>12</v>
      </c>
      <c r="B11" s="78">
        <v>362</v>
      </c>
      <c r="C11" s="79">
        <f>'[5]All Direct Assignment Dist Plt'!C11</f>
        <v>31963716.521255195</v>
      </c>
      <c r="D11" s="79">
        <f>'[5]All Direct Assignment Dist Plt'!D11</f>
        <v>775891.62600000005</v>
      </c>
      <c r="E11" s="79">
        <f>'[5]All Direct Assignment Dist Plt'!E11</f>
        <v>0</v>
      </c>
      <c r="F11" s="79">
        <f>'[5]All Direct Assignment Dist Plt'!F11</f>
        <v>0</v>
      </c>
      <c r="G11" s="79">
        <f>'[5]All Direct Assignment Dist Plt'!G11</f>
        <v>10309974.6572004</v>
      </c>
      <c r="H11" s="79">
        <f>'[5]All Direct Assignment Dist Plt'!H11</f>
        <v>14591388.153054798</v>
      </c>
      <c r="I11" s="79">
        <f>'[5]All Direct Assignment Dist Plt'!I11</f>
        <v>6286462.084999999</v>
      </c>
    </row>
    <row r="12" spans="1:9" x14ac:dyDescent="0.25">
      <c r="A12">
        <v>13</v>
      </c>
      <c r="B12" s="78" t="s">
        <v>255</v>
      </c>
      <c r="C12" s="79">
        <f>'[5]All Direct Assignment Dist Plt'!C12</f>
        <v>67009.356344389787</v>
      </c>
      <c r="D12" s="79">
        <f>'[5]All Direct Assignment Dist Plt'!D12</f>
        <v>0</v>
      </c>
      <c r="E12" s="79">
        <f>'[5]All Direct Assignment Dist Plt'!E12</f>
        <v>0</v>
      </c>
      <c r="F12" s="79">
        <f>'[5]All Direct Assignment Dist Plt'!F12</f>
        <v>0</v>
      </c>
      <c r="G12" s="79">
        <f>'[5]All Direct Assignment Dist Plt'!G12</f>
        <v>67009.356344389787</v>
      </c>
      <c r="H12" s="79">
        <f>'[5]All Direct Assignment Dist Plt'!H12</f>
        <v>0</v>
      </c>
      <c r="I12" s="79">
        <f>'[5]All Direct Assignment Dist Plt'!I12</f>
        <v>0</v>
      </c>
    </row>
    <row r="13" spans="1:9" x14ac:dyDescent="0.25">
      <c r="A13">
        <v>14</v>
      </c>
      <c r="B13" s="78" t="s">
        <v>256</v>
      </c>
      <c r="C13" s="79">
        <f>'[5]All Direct Assignment Dist Plt'!C13</f>
        <v>27766610.698247954</v>
      </c>
      <c r="D13" s="79">
        <f>'[5]All Direct Assignment Dist Plt'!D13</f>
        <v>0</v>
      </c>
      <c r="E13" s="79">
        <f>'[5]All Direct Assignment Dist Plt'!E13</f>
        <v>0</v>
      </c>
      <c r="F13" s="79">
        <f>'[5]All Direct Assignment Dist Plt'!F13</f>
        <v>0</v>
      </c>
      <c r="G13" s="79">
        <f>'[5]All Direct Assignment Dist Plt'!G13</f>
        <v>21070405.608247954</v>
      </c>
      <c r="H13" s="79">
        <f>'[5]All Direct Assignment Dist Plt'!H13</f>
        <v>6656205.0899999999</v>
      </c>
      <c r="I13" s="79">
        <f>'[5]All Direct Assignment Dist Plt'!I13</f>
        <v>40000</v>
      </c>
    </row>
    <row r="14" spans="1:9" x14ac:dyDescent="0.25">
      <c r="A14">
        <v>15</v>
      </c>
      <c r="B14" s="78" t="s">
        <v>257</v>
      </c>
      <c r="C14" s="79">
        <f>'[5]All Direct Assignment Dist Plt'!C14</f>
        <v>102372.76999999999</v>
      </c>
      <c r="D14" s="79">
        <f>'[5]All Direct Assignment Dist Plt'!D14</f>
        <v>97133.84</v>
      </c>
      <c r="E14" s="79">
        <f>'[5]All Direct Assignment Dist Plt'!E14</f>
        <v>5238.93</v>
      </c>
      <c r="F14" s="79">
        <f>'[5]All Direct Assignment Dist Plt'!F14</f>
        <v>0</v>
      </c>
      <c r="G14" s="79">
        <f>'[5]All Direct Assignment Dist Plt'!G14</f>
        <v>0</v>
      </c>
      <c r="H14" s="79">
        <f>'[5]All Direct Assignment Dist Plt'!H14</f>
        <v>0</v>
      </c>
      <c r="I14" s="79">
        <f>'[5]All Direct Assignment Dist Plt'!I14</f>
        <v>0</v>
      </c>
    </row>
    <row r="15" spans="1:9" x14ac:dyDescent="0.25">
      <c r="A15">
        <v>16</v>
      </c>
      <c r="B15" s="80" t="s">
        <v>258</v>
      </c>
      <c r="C15" s="79">
        <f>'[5]All Direct Assignment Dist Plt'!C15</f>
        <v>2193563.2490000972</v>
      </c>
      <c r="D15" s="79">
        <f>'[5]All Direct Assignment Dist Plt'!D15</f>
        <v>727301.99999999988</v>
      </c>
      <c r="E15" s="79">
        <f>'[5]All Direct Assignment Dist Plt'!E15</f>
        <v>42010.700000000004</v>
      </c>
      <c r="F15" s="79">
        <f>'[5]All Direct Assignment Dist Plt'!F15</f>
        <v>19397.189999999999</v>
      </c>
      <c r="G15" s="79">
        <f>'[5]All Direct Assignment Dist Plt'!G15</f>
        <v>1404853.3590000975</v>
      </c>
      <c r="H15" s="79">
        <f>'[5]All Direct Assignment Dist Plt'!H15</f>
        <v>0</v>
      </c>
      <c r="I15" s="79">
        <f>'[5]All Direct Assignment Dist Plt'!I15</f>
        <v>0</v>
      </c>
    </row>
    <row r="16" spans="1:9" x14ac:dyDescent="0.25">
      <c r="A16">
        <v>17</v>
      </c>
      <c r="B16" s="80"/>
      <c r="C16" s="79"/>
      <c r="D16" s="79"/>
      <c r="E16" s="79"/>
      <c r="F16" s="79"/>
      <c r="G16" s="79"/>
      <c r="H16" s="79"/>
      <c r="I16" s="79"/>
    </row>
    <row r="17" spans="1:9" x14ac:dyDescent="0.25">
      <c r="A17">
        <v>18</v>
      </c>
      <c r="B17" s="80" t="s">
        <v>4</v>
      </c>
      <c r="C17" s="79">
        <f>'[5]All Direct Assignment Dist Plt'!C17</f>
        <v>66275866.899334669</v>
      </c>
      <c r="D17" s="79">
        <f>'[5]All Direct Assignment Dist Plt'!D17</f>
        <v>1600327.466</v>
      </c>
      <c r="E17" s="79">
        <f>'[5]All Direct Assignment Dist Plt'!E17</f>
        <v>47249.630000000005</v>
      </c>
      <c r="F17" s="79">
        <f>'[5]All Direct Assignment Dist Plt'!F17</f>
        <v>19397.189999999999</v>
      </c>
      <c r="G17" s="79">
        <f>'[5]All Direct Assignment Dist Plt'!G17</f>
        <v>36656255.498003073</v>
      </c>
      <c r="H17" s="79">
        <f>'[5]All Direct Assignment Dist Plt'!H17</f>
        <v>21433131.750331596</v>
      </c>
      <c r="I17" s="79">
        <f>'[5]All Direct Assignment Dist Plt'!I17</f>
        <v>6519505.3649999993</v>
      </c>
    </row>
    <row r="18" spans="1:9" x14ac:dyDescent="0.25">
      <c r="A18">
        <v>19</v>
      </c>
      <c r="B18"/>
      <c r="C18"/>
      <c r="D18"/>
      <c r="E18"/>
      <c r="F18"/>
      <c r="G18"/>
      <c r="H18"/>
      <c r="I18"/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pane ySplit="6" topLeftCell="A7" activePane="bottomLeft" state="frozen"/>
      <selection pane="bottomLeft" activeCell="D8" sqref="D8"/>
    </sheetView>
  </sheetViews>
  <sheetFormatPr defaultColWidth="8.85546875" defaultRowHeight="15" x14ac:dyDescent="0.25"/>
  <cols>
    <col min="1" max="1" width="3.5703125" style="1" bestFit="1" customWidth="1"/>
    <col min="2" max="2" width="7.7109375" style="1" bestFit="1" customWidth="1"/>
    <col min="3" max="3" width="13.42578125" style="1" bestFit="1" customWidth="1"/>
    <col min="4" max="4" width="12.28515625" style="1" bestFit="1" customWidth="1"/>
    <col min="5" max="5" width="9.7109375" style="1" bestFit="1" customWidth="1"/>
    <col min="6" max="6" width="8.7109375" style="1" bestFit="1" customWidth="1"/>
    <col min="7" max="7" width="13.42578125" style="1" bestFit="1" customWidth="1"/>
    <col min="8" max="9" width="12.28515625" style="1" bestFit="1" customWidth="1"/>
    <col min="10" max="16384" width="8.85546875" style="1"/>
  </cols>
  <sheetData>
    <row r="1" spans="1:9" x14ac:dyDescent="0.25">
      <c r="A1" s="461" t="s">
        <v>33</v>
      </c>
      <c r="B1" s="461"/>
      <c r="C1" s="461"/>
      <c r="D1" s="461"/>
      <c r="E1" s="461"/>
      <c r="F1" s="461"/>
      <c r="G1" s="461"/>
      <c r="H1" s="461"/>
      <c r="I1" s="461"/>
    </row>
    <row r="2" spans="1:9" x14ac:dyDescent="0.25">
      <c r="A2" s="495" t="s">
        <v>342</v>
      </c>
      <c r="B2" s="494"/>
      <c r="C2" s="494"/>
      <c r="D2" s="494"/>
      <c r="E2" s="494"/>
      <c r="F2" s="494"/>
      <c r="G2" s="494"/>
      <c r="H2" s="494"/>
      <c r="I2" s="494"/>
    </row>
    <row r="3" spans="1:9" x14ac:dyDescent="0.25">
      <c r="A3" s="462" t="s">
        <v>323</v>
      </c>
      <c r="B3" s="461"/>
      <c r="C3" s="461"/>
      <c r="D3" s="461"/>
      <c r="E3" s="461"/>
      <c r="F3" s="461"/>
      <c r="G3" s="461"/>
      <c r="H3" s="461"/>
      <c r="I3" s="461"/>
    </row>
    <row r="4" spans="1:9" x14ac:dyDescent="0.25">
      <c r="A4"/>
      <c r="B4"/>
      <c r="C4"/>
      <c r="D4"/>
      <c r="E4"/>
      <c r="F4"/>
      <c r="G4"/>
      <c r="H4"/>
      <c r="I4"/>
    </row>
    <row r="5" spans="1:9" x14ac:dyDescent="0.25">
      <c r="A5"/>
      <c r="B5"/>
      <c r="C5"/>
      <c r="D5"/>
      <c r="E5"/>
      <c r="F5"/>
      <c r="G5"/>
      <c r="H5"/>
      <c r="I5"/>
    </row>
    <row r="6" spans="1:9" ht="45" x14ac:dyDescent="0.25">
      <c r="A6" s="75" t="s">
        <v>250</v>
      </c>
      <c r="B6" s="75" t="s">
        <v>251</v>
      </c>
      <c r="C6" s="76" t="s">
        <v>259</v>
      </c>
      <c r="D6" s="76" t="s">
        <v>252</v>
      </c>
      <c r="E6" s="76" t="s">
        <v>260</v>
      </c>
      <c r="F6" s="76" t="s">
        <v>6</v>
      </c>
      <c r="G6" s="75" t="s">
        <v>330</v>
      </c>
      <c r="H6" s="75" t="s">
        <v>253</v>
      </c>
      <c r="I6" s="76" t="s">
        <v>362</v>
      </c>
    </row>
    <row r="7" spans="1:9" x14ac:dyDescent="0.25">
      <c r="A7" s="496" t="s">
        <v>254</v>
      </c>
      <c r="B7" s="497"/>
      <c r="C7" s="497"/>
      <c r="D7" s="497"/>
      <c r="E7" s="497"/>
      <c r="F7" s="497"/>
      <c r="G7" s="497"/>
      <c r="H7" s="497"/>
      <c r="I7" s="497"/>
    </row>
    <row r="8" spans="1:9" x14ac:dyDescent="0.25">
      <c r="A8">
        <v>9</v>
      </c>
      <c r="B8" s="78">
        <v>360</v>
      </c>
      <c r="C8" s="79">
        <f>'[5]All Direct Assignment Acc Depr'!C8</f>
        <v>-12148.752</v>
      </c>
      <c r="D8" s="79">
        <f>'[5]All Direct Assignment Acc Depr'!D8</f>
        <v>0</v>
      </c>
      <c r="E8" s="79">
        <f>'[5]All Direct Assignment Acc Depr'!E8</f>
        <v>0</v>
      </c>
      <c r="F8" s="79">
        <f>'[5]All Direct Assignment Acc Depr'!F8</f>
        <v>0</v>
      </c>
      <c r="G8" s="79">
        <f>'[5]All Direct Assignment Acc Depr'!G8</f>
        <v>0</v>
      </c>
      <c r="H8" s="79">
        <f>'[5]All Direct Assignment Acc Depr'!H8</f>
        <v>-12148.752</v>
      </c>
      <c r="I8" s="79">
        <f>'[5]All Direct Assignment Acc Depr'!I8</f>
        <v>0</v>
      </c>
    </row>
    <row r="9" spans="1:9" x14ac:dyDescent="0.25">
      <c r="A9">
        <v>10</v>
      </c>
      <c r="B9" s="78">
        <v>361</v>
      </c>
      <c r="C9" s="79">
        <f>'[5]All Direct Assignment Acc Depr'!C9</f>
        <v>-224950.76187036239</v>
      </c>
      <c r="D9" s="79">
        <f>'[5]All Direct Assignment Acc Depr'!D9</f>
        <v>-10967.308000000001</v>
      </c>
      <c r="E9" s="79">
        <f>'[5]All Direct Assignment Acc Depr'!E9</f>
        <v>0</v>
      </c>
      <c r="F9" s="79">
        <f>'[5]All Direct Assignment Acc Depr'!F9</f>
        <v>0</v>
      </c>
      <c r="G9" s="79">
        <f>'[5]All Direct Assignment Acc Depr'!G9</f>
        <v>-55355.910287562372</v>
      </c>
      <c r="H9" s="79">
        <f>'[5]All Direct Assignment Acc Depr'!H9</f>
        <v>-57917.228582800002</v>
      </c>
      <c r="I9" s="79">
        <f>'[5]All Direct Assignment Acc Depr'!I9</f>
        <v>-100710.315</v>
      </c>
    </row>
    <row r="10" spans="1:9" x14ac:dyDescent="0.25">
      <c r="A10">
        <v>11</v>
      </c>
      <c r="B10" s="78">
        <v>362</v>
      </c>
      <c r="C10" s="79">
        <f>'[5]All Direct Assignment Acc Depr'!C10</f>
        <v>-11302572.919115141</v>
      </c>
      <c r="D10" s="79">
        <f>'[5]All Direct Assignment Acc Depr'!D10</f>
        <v>-698898.21200000006</v>
      </c>
      <c r="E10" s="79">
        <f>'[5]All Direct Assignment Acc Depr'!E10</f>
        <v>0</v>
      </c>
      <c r="F10" s="79">
        <f>'[5]All Direct Assignment Acc Depr'!F10</f>
        <v>0</v>
      </c>
      <c r="G10" s="79">
        <f>'[5]All Direct Assignment Acc Depr'!G10</f>
        <v>-2831561.1025523427</v>
      </c>
      <c r="H10" s="79">
        <f>'[5]All Direct Assignment Acc Depr'!H10</f>
        <v>-4407970.1745627997</v>
      </c>
      <c r="I10" s="79">
        <f>'[5]All Direct Assignment Acc Depr'!I10</f>
        <v>-3364143.4299999997</v>
      </c>
    </row>
    <row r="11" spans="1:9" x14ac:dyDescent="0.25">
      <c r="A11">
        <v>12</v>
      </c>
      <c r="B11" s="78" t="s">
        <v>255</v>
      </c>
      <c r="C11" s="79">
        <f>'[5]All Direct Assignment Acc Depr'!C11</f>
        <v>-52160.692154439777</v>
      </c>
      <c r="D11" s="79">
        <f>'[5]All Direct Assignment Acc Depr'!D11</f>
        <v>0</v>
      </c>
      <c r="E11" s="79">
        <f>'[5]All Direct Assignment Acc Depr'!E11</f>
        <v>0</v>
      </c>
      <c r="F11" s="79">
        <f>'[5]All Direct Assignment Acc Depr'!F11</f>
        <v>0</v>
      </c>
      <c r="G11" s="79">
        <f>'[5]All Direct Assignment Acc Depr'!G11</f>
        <v>-52160.692154439777</v>
      </c>
      <c r="H11" s="79">
        <f>'[5]All Direct Assignment Acc Depr'!H11</f>
        <v>0</v>
      </c>
      <c r="I11" s="79">
        <f>'[5]All Direct Assignment Acc Depr'!I11</f>
        <v>0</v>
      </c>
    </row>
    <row r="12" spans="1:9" x14ac:dyDescent="0.25">
      <c r="A12">
        <v>13</v>
      </c>
      <c r="B12" s="78" t="s">
        <v>256</v>
      </c>
      <c r="C12" s="79">
        <f>'[5]All Direct Assignment Acc Depr'!C12</f>
        <v>-15897826.552200768</v>
      </c>
      <c r="D12" s="79">
        <f>'[5]All Direct Assignment Acc Depr'!D12</f>
        <v>0</v>
      </c>
      <c r="E12" s="79">
        <f>'[5]All Direct Assignment Acc Depr'!E12</f>
        <v>0</v>
      </c>
      <c r="F12" s="79">
        <f>'[5]All Direct Assignment Acc Depr'!F12</f>
        <v>0</v>
      </c>
      <c r="G12" s="79">
        <f>'[5]All Direct Assignment Acc Depr'!G12</f>
        <v>-13917717.100486483</v>
      </c>
      <c r="H12" s="79">
        <f>'[5]All Direct Assignment Acc Depr'!H12</f>
        <v>-1954966.5945714284</v>
      </c>
      <c r="I12" s="79">
        <f>'[5]All Direct Assignment Acc Depr'!I12</f>
        <v>-25142.857142857145</v>
      </c>
    </row>
    <row r="13" spans="1:9" x14ac:dyDescent="0.25">
      <c r="A13">
        <v>14</v>
      </c>
      <c r="B13" s="78" t="s">
        <v>257</v>
      </c>
      <c r="C13" s="79">
        <f>'[5]All Direct Assignment Acc Depr'!C13</f>
        <v>-51186</v>
      </c>
      <c r="D13" s="79">
        <f>'[5]All Direct Assignment Acc Depr'!D13</f>
        <v>-48567</v>
      </c>
      <c r="E13" s="79">
        <f>'[5]All Direct Assignment Acc Depr'!E13</f>
        <v>-2619</v>
      </c>
      <c r="F13" s="79">
        <f>'[5]All Direct Assignment Acc Depr'!F13</f>
        <v>0</v>
      </c>
      <c r="G13" s="79">
        <f>'[5]All Direct Assignment Acc Depr'!G13</f>
        <v>0</v>
      </c>
      <c r="H13" s="79">
        <f>'[5]All Direct Assignment Acc Depr'!H13</f>
        <v>0</v>
      </c>
      <c r="I13" s="79">
        <f>'[5]All Direct Assignment Acc Depr'!I13</f>
        <v>0</v>
      </c>
    </row>
    <row r="14" spans="1:9" x14ac:dyDescent="0.25">
      <c r="A14">
        <v>15</v>
      </c>
      <c r="B14" s="80" t="s">
        <v>258</v>
      </c>
      <c r="C14" s="79">
        <f>'[5]All Direct Assignment Acc Depr'!C14</f>
        <v>-1194485.6795000487</v>
      </c>
      <c r="D14" s="79">
        <f>'[5]All Direct Assignment Acc Depr'!D14</f>
        <v>-363651</v>
      </c>
      <c r="E14" s="79">
        <f>'[5]All Direct Assignment Acc Depr'!E14</f>
        <v>-21005</v>
      </c>
      <c r="F14" s="79">
        <f>'[5]All Direct Assignment Acc Depr'!F14</f>
        <v>-9699</v>
      </c>
      <c r="G14" s="79">
        <f>'[5]All Direct Assignment Acc Depr'!G14</f>
        <v>-800130.67950004875</v>
      </c>
      <c r="H14" s="79">
        <f>'[5]All Direct Assignment Acc Depr'!H14</f>
        <v>0</v>
      </c>
      <c r="I14" s="79">
        <f>'[5]All Direct Assignment Acc Depr'!I14</f>
        <v>0</v>
      </c>
    </row>
    <row r="15" spans="1:9" x14ac:dyDescent="0.25">
      <c r="A15">
        <v>16</v>
      </c>
      <c r="B15" s="78"/>
      <c r="C15" s="79">
        <f>'[5]All Direct Assignment Acc Depr'!C15</f>
        <v>0</v>
      </c>
      <c r="D15" s="79">
        <f>'[5]All Direct Assignment Acc Depr'!D15</f>
        <v>0</v>
      </c>
      <c r="E15" s="79">
        <f>'[5]All Direct Assignment Acc Depr'!E15</f>
        <v>0</v>
      </c>
      <c r="F15" s="79">
        <f>'[5]All Direct Assignment Acc Depr'!F15</f>
        <v>0</v>
      </c>
      <c r="G15" s="79">
        <f>'[5]All Direct Assignment Acc Depr'!G15</f>
        <v>0</v>
      </c>
      <c r="H15" s="79">
        <f>'[5]All Direct Assignment Acc Depr'!H15</f>
        <v>0</v>
      </c>
      <c r="I15" s="79">
        <f>'[5]All Direct Assignment Acc Depr'!I15</f>
        <v>0</v>
      </c>
    </row>
    <row r="16" spans="1:9" x14ac:dyDescent="0.25">
      <c r="A16">
        <v>17</v>
      </c>
      <c r="B16" s="78" t="s">
        <v>4</v>
      </c>
      <c r="C16" s="79">
        <f>'[5]All Direct Assignment Acc Depr'!C16</f>
        <v>-28735331.356840756</v>
      </c>
      <c r="D16" s="79">
        <f>'[5]All Direct Assignment Acc Depr'!D16</f>
        <v>-1122083.52</v>
      </c>
      <c r="E16" s="79">
        <f>'[5]All Direct Assignment Acc Depr'!E16</f>
        <v>-23624</v>
      </c>
      <c r="F16" s="79">
        <f>'[5]All Direct Assignment Acc Depr'!F16</f>
        <v>-9699</v>
      </c>
      <c r="G16" s="79">
        <f>'[5]All Direct Assignment Acc Depr'!G16</f>
        <v>-17656925.484980874</v>
      </c>
      <c r="H16" s="79">
        <f>'[5]All Direct Assignment Acc Depr'!H16</f>
        <v>-6433002.7497170279</v>
      </c>
      <c r="I16" s="79">
        <f>'[5]All Direct Assignment Acc Depr'!I16</f>
        <v>-3489996.6021428569</v>
      </c>
    </row>
    <row r="17" spans="1:9" x14ac:dyDescent="0.25">
      <c r="A17">
        <v>18</v>
      </c>
      <c r="B17"/>
      <c r="C17"/>
      <c r="D17"/>
      <c r="E17"/>
      <c r="F17"/>
      <c r="G17"/>
      <c r="H17"/>
      <c r="I17"/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8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workbookViewId="0">
      <selection activeCell="B10" sqref="B10"/>
    </sheetView>
  </sheetViews>
  <sheetFormatPr defaultColWidth="8.85546875" defaultRowHeight="15" x14ac:dyDescent="0.25"/>
  <cols>
    <col min="1" max="1" width="19.28515625" style="1" customWidth="1"/>
    <col min="2" max="3" width="12" style="1" bestFit="1" customWidth="1"/>
    <col min="4" max="4" width="13.140625" style="1" bestFit="1" customWidth="1"/>
    <col min="5" max="16384" width="8.85546875" style="1"/>
  </cols>
  <sheetData>
    <row r="1" spans="1:4" x14ac:dyDescent="0.25">
      <c r="A1" s="494" t="s">
        <v>33</v>
      </c>
      <c r="B1" s="494"/>
      <c r="C1" s="494"/>
      <c r="D1" s="494"/>
    </row>
    <row r="2" spans="1:4" x14ac:dyDescent="0.25">
      <c r="A2" s="495" t="s">
        <v>297</v>
      </c>
      <c r="B2" s="494"/>
      <c r="C2" s="494"/>
      <c r="D2" s="494"/>
    </row>
    <row r="3" spans="1:4" x14ac:dyDescent="0.25">
      <c r="A3" s="494" t="s">
        <v>285</v>
      </c>
      <c r="B3" s="494"/>
      <c r="C3" s="494"/>
      <c r="D3" s="494"/>
    </row>
    <row r="4" spans="1:4" x14ac:dyDescent="0.25">
      <c r="A4" s="494" t="s">
        <v>286</v>
      </c>
      <c r="B4" s="494"/>
      <c r="C4" s="494"/>
      <c r="D4" s="494"/>
    </row>
    <row r="5" spans="1:4" x14ac:dyDescent="0.25">
      <c r="A5" s="495" t="s">
        <v>320</v>
      </c>
      <c r="B5" s="494"/>
      <c r="C5" s="494"/>
      <c r="D5" s="494"/>
    </row>
    <row r="8" spans="1:4" x14ac:dyDescent="0.25">
      <c r="B8" s="495" t="s">
        <v>324</v>
      </c>
      <c r="C8" s="494"/>
      <c r="D8" s="494"/>
    </row>
    <row r="9" spans="1:4" x14ac:dyDescent="0.25">
      <c r="B9" s="1">
        <v>360</v>
      </c>
      <c r="C9" s="1">
        <v>361</v>
      </c>
      <c r="D9" s="1">
        <v>362</v>
      </c>
    </row>
    <row r="10" spans="1:4" x14ac:dyDescent="0.25">
      <c r="A10" s="322">
        <v>7</v>
      </c>
      <c r="B10" s="44">
        <f>+B55</f>
        <v>13365460</v>
      </c>
      <c r="C10" s="44">
        <f t="shared" ref="C10:D10" si="0">+C55</f>
        <v>7045092</v>
      </c>
      <c r="D10" s="44">
        <f t="shared" si="0"/>
        <v>446989450</v>
      </c>
    </row>
    <row r="11" spans="1:4" x14ac:dyDescent="0.25">
      <c r="A11" s="322">
        <v>24</v>
      </c>
      <c r="B11" s="44">
        <f>SUM(B28)</f>
        <v>4308704</v>
      </c>
      <c r="C11" s="44">
        <f t="shared" ref="C11:D11" si="1">SUM(C28)</f>
        <v>1939403</v>
      </c>
      <c r="D11" s="44">
        <f t="shared" si="1"/>
        <v>108070405</v>
      </c>
    </row>
    <row r="12" spans="1:4" x14ac:dyDescent="0.25">
      <c r="A12" s="322">
        <v>25</v>
      </c>
      <c r="B12" s="44">
        <f>SUM(B29,B36,B38,B40,B46,B48,B51)</f>
        <v>5604472</v>
      </c>
      <c r="C12" s="44">
        <f t="shared" ref="C12:D12" si="2">SUM(C29,C36,C38,C40,C46,C48,C51)</f>
        <v>2405118</v>
      </c>
      <c r="D12" s="44">
        <f t="shared" si="2"/>
        <v>118572036</v>
      </c>
    </row>
    <row r="13" spans="1:4" x14ac:dyDescent="0.25">
      <c r="A13" s="322">
        <v>26</v>
      </c>
      <c r="B13" s="44">
        <f>SUM(B30,B37,B41,B47)</f>
        <v>3294555</v>
      </c>
      <c r="C13" s="44">
        <f t="shared" ref="C13:D13" si="3">SUM(C30,C37,C41,C47)</f>
        <v>1400862</v>
      </c>
      <c r="D13" s="44">
        <f t="shared" si="3"/>
        <v>63184099</v>
      </c>
    </row>
    <row r="14" spans="1:4" x14ac:dyDescent="0.25">
      <c r="A14" s="322">
        <v>29</v>
      </c>
      <c r="B14" s="44">
        <f>+B31</f>
        <v>1294</v>
      </c>
      <c r="C14" s="44">
        <f t="shared" ref="C14:D14" si="4">+C31</f>
        <v>3580</v>
      </c>
      <c r="D14" s="44">
        <f t="shared" si="4"/>
        <v>174605</v>
      </c>
    </row>
    <row r="15" spans="1:4" x14ac:dyDescent="0.25">
      <c r="A15" s="322">
        <v>31</v>
      </c>
      <c r="B15" s="44">
        <f>SUM(B32,B35,B39,B42,B43,B44,B49,B52)</f>
        <v>2713615</v>
      </c>
      <c r="C15" s="44">
        <f t="shared" ref="C15:D15" si="5">SUM(C32,C35,C39,C42,C43,C44,C49,C52)</f>
        <v>919666</v>
      </c>
      <c r="D15" s="44">
        <f t="shared" si="5"/>
        <v>56251894</v>
      </c>
    </row>
    <row r="16" spans="1:4" x14ac:dyDescent="0.25">
      <c r="A16" s="322">
        <v>35</v>
      </c>
      <c r="B16" s="44">
        <f>+B33</f>
        <v>594</v>
      </c>
      <c r="C16" s="44">
        <f t="shared" ref="C16:D16" si="6">+C33</f>
        <v>2</v>
      </c>
      <c r="D16" s="44">
        <f t="shared" si="6"/>
        <v>206838</v>
      </c>
    </row>
    <row r="17" spans="1:4" x14ac:dyDescent="0.25">
      <c r="A17" s="322" t="s">
        <v>330</v>
      </c>
      <c r="B17" s="44">
        <f>+B45</f>
        <v>3624040</v>
      </c>
      <c r="C17" s="44">
        <f t="shared" ref="C17:D17" si="7">+C45</f>
        <v>369503</v>
      </c>
      <c r="D17" s="44">
        <f t="shared" si="7"/>
        <v>15999043</v>
      </c>
    </row>
    <row r="18" spans="1:4" x14ac:dyDescent="0.25">
      <c r="A18" s="322">
        <v>43</v>
      </c>
      <c r="B18" s="44">
        <f>+B53</f>
        <v>138726</v>
      </c>
      <c r="C18" s="44">
        <f t="shared" ref="C18:D18" si="8">+C53</f>
        <v>113067</v>
      </c>
      <c r="D18" s="44">
        <f t="shared" si="8"/>
        <v>6459907</v>
      </c>
    </row>
    <row r="19" spans="1:4" x14ac:dyDescent="0.25">
      <c r="A19" s="322" t="s">
        <v>5</v>
      </c>
      <c r="B19" s="44">
        <f>+B54</f>
        <v>18970</v>
      </c>
      <c r="C19" s="44">
        <f t="shared" ref="C19:D19" si="9">+C54</f>
        <v>10705</v>
      </c>
      <c r="D19" s="44">
        <f t="shared" si="9"/>
        <v>646004</v>
      </c>
    </row>
    <row r="20" spans="1:4" x14ac:dyDescent="0.25">
      <c r="A20" s="322">
        <v>5</v>
      </c>
      <c r="B20" s="44">
        <f>+B27</f>
        <v>1803</v>
      </c>
      <c r="C20" s="44">
        <f t="shared" ref="C20:D20" si="10">+C27</f>
        <v>1575</v>
      </c>
      <c r="D20" s="44">
        <f t="shared" si="10"/>
        <v>220205</v>
      </c>
    </row>
    <row r="21" spans="1:4" x14ac:dyDescent="0.25">
      <c r="B21" s="44">
        <f>SUM(B10:B20)</f>
        <v>33072233</v>
      </c>
      <c r="C21" s="44">
        <f t="shared" ref="C21:D21" si="11">SUM(C10:C20)</f>
        <v>14208573</v>
      </c>
      <c r="D21" s="44">
        <f t="shared" si="11"/>
        <v>816774486</v>
      </c>
    </row>
    <row r="23" spans="1:4" ht="45" x14ac:dyDescent="0.25">
      <c r="A23" s="335" t="s">
        <v>403</v>
      </c>
      <c r="B23" s="109">
        <f>+B21-B17</f>
        <v>29448193</v>
      </c>
      <c r="C23" s="109">
        <f t="shared" ref="C23:D23" si="12">+C21-C17</f>
        <v>13839070</v>
      </c>
      <c r="D23" s="109">
        <f t="shared" si="12"/>
        <v>800775443</v>
      </c>
    </row>
    <row r="27" spans="1:4" x14ac:dyDescent="0.25">
      <c r="A27">
        <v>5</v>
      </c>
      <c r="B27" s="170">
        <v>1803</v>
      </c>
      <c r="C27" s="170">
        <v>1575</v>
      </c>
      <c r="D27" s="170">
        <v>220205</v>
      </c>
    </row>
    <row r="28" spans="1:4" x14ac:dyDescent="0.25">
      <c r="A28">
        <v>24</v>
      </c>
      <c r="B28" s="170">
        <v>4308704</v>
      </c>
      <c r="C28" s="170">
        <v>1939403</v>
      </c>
      <c r="D28" s="170">
        <v>108070405</v>
      </c>
    </row>
    <row r="29" spans="1:4" x14ac:dyDescent="0.25">
      <c r="A29">
        <v>25</v>
      </c>
      <c r="B29" s="170">
        <v>5594266</v>
      </c>
      <c r="C29" s="170">
        <v>2398068</v>
      </c>
      <c r="D29" s="170">
        <v>118286967</v>
      </c>
    </row>
    <row r="30" spans="1:4" x14ac:dyDescent="0.25">
      <c r="A30">
        <v>26</v>
      </c>
      <c r="B30" s="170">
        <v>3227438</v>
      </c>
      <c r="C30" s="170">
        <v>1387716</v>
      </c>
      <c r="D30" s="170">
        <v>62213309</v>
      </c>
    </row>
    <row r="31" spans="1:4" x14ac:dyDescent="0.25">
      <c r="A31">
        <v>29</v>
      </c>
      <c r="B31" s="170">
        <v>1294</v>
      </c>
      <c r="C31" s="170">
        <v>3580</v>
      </c>
      <c r="D31" s="170">
        <v>174605</v>
      </c>
    </row>
    <row r="32" spans="1:4" x14ac:dyDescent="0.25">
      <c r="A32">
        <v>31</v>
      </c>
      <c r="B32" s="170">
        <v>2656972</v>
      </c>
      <c r="C32" s="170">
        <v>831624</v>
      </c>
      <c r="D32" s="170">
        <v>52302211</v>
      </c>
    </row>
    <row r="33" spans="1:4" x14ac:dyDescent="0.25">
      <c r="A33">
        <v>35</v>
      </c>
      <c r="B33" s="170">
        <v>594</v>
      </c>
      <c r="C33" s="170">
        <v>2</v>
      </c>
      <c r="D33" s="170">
        <v>206838</v>
      </c>
    </row>
    <row r="34" spans="1:4" x14ac:dyDescent="0.25">
      <c r="A34">
        <v>40</v>
      </c>
      <c r="B34" s="170">
        <f>SUM(B35:B52)</f>
        <v>3758006</v>
      </c>
      <c r="C34" s="170">
        <f t="shared" ref="C34:D34" si="13">SUM(C35:C52)</f>
        <v>477741</v>
      </c>
      <c r="D34" s="170">
        <f t="shared" si="13"/>
        <v>21204585</v>
      </c>
    </row>
    <row r="35" spans="1:4" x14ac:dyDescent="0.25">
      <c r="A35" s="147" t="s">
        <v>386</v>
      </c>
      <c r="B35" s="170">
        <v>3486</v>
      </c>
      <c r="C35" s="170">
        <v>9654</v>
      </c>
      <c r="D35" s="170">
        <v>796798</v>
      </c>
    </row>
    <row r="36" spans="1:4" x14ac:dyDescent="0.25">
      <c r="A36" s="147" t="s">
        <v>387</v>
      </c>
      <c r="B36" s="170">
        <v>7962</v>
      </c>
      <c r="C36" s="170">
        <v>1130</v>
      </c>
      <c r="D36" s="170">
        <v>62823</v>
      </c>
    </row>
    <row r="37" spans="1:4" x14ac:dyDescent="0.25">
      <c r="A37" s="147" t="s">
        <v>388</v>
      </c>
      <c r="B37" s="170">
        <v>65735</v>
      </c>
      <c r="C37" s="170">
        <v>9332</v>
      </c>
      <c r="D37" s="170">
        <v>518668</v>
      </c>
    </row>
    <row r="38" spans="1:4" x14ac:dyDescent="0.25">
      <c r="A38" s="147" t="s">
        <v>389</v>
      </c>
      <c r="B38" s="170">
        <v>87</v>
      </c>
      <c r="C38" s="170">
        <v>3681</v>
      </c>
      <c r="D38" s="170">
        <v>135348</v>
      </c>
    </row>
    <row r="39" spans="1:4" x14ac:dyDescent="0.25">
      <c r="A39" s="147" t="s">
        <v>390</v>
      </c>
      <c r="B39" s="170">
        <v>583</v>
      </c>
      <c r="C39" s="170">
        <v>24720</v>
      </c>
      <c r="D39" s="170">
        <v>908827</v>
      </c>
    </row>
    <row r="40" spans="1:4" x14ac:dyDescent="0.25">
      <c r="A40" s="147" t="s">
        <v>391</v>
      </c>
      <c r="B40" s="170">
        <v>6</v>
      </c>
      <c r="C40" s="170">
        <v>0</v>
      </c>
      <c r="D40" s="170">
        <v>1636</v>
      </c>
    </row>
    <row r="41" spans="1:4" x14ac:dyDescent="0.25">
      <c r="A41" s="147" t="s">
        <v>392</v>
      </c>
      <c r="B41" s="170">
        <v>200</v>
      </c>
      <c r="C41" s="170">
        <v>0</v>
      </c>
      <c r="D41" s="170">
        <v>58954</v>
      </c>
    </row>
    <row r="42" spans="1:4" x14ac:dyDescent="0.25">
      <c r="A42" s="147" t="s">
        <v>393</v>
      </c>
      <c r="B42" s="170">
        <v>498</v>
      </c>
      <c r="C42" s="170">
        <v>0</v>
      </c>
      <c r="D42" s="170">
        <v>147233</v>
      </c>
    </row>
    <row r="43" spans="1:4" x14ac:dyDescent="0.25">
      <c r="A43" s="147" t="s">
        <v>394</v>
      </c>
      <c r="B43" s="170">
        <v>0</v>
      </c>
      <c r="C43" s="170">
        <v>0</v>
      </c>
      <c r="D43" s="170">
        <v>0</v>
      </c>
    </row>
    <row r="44" spans="1:4" x14ac:dyDescent="0.25">
      <c r="A44" s="147" t="s">
        <v>395</v>
      </c>
      <c r="B44" s="170">
        <v>50</v>
      </c>
      <c r="C44" s="170">
        <v>0</v>
      </c>
      <c r="D44" s="170">
        <v>454343</v>
      </c>
    </row>
    <row r="45" spans="1:4" x14ac:dyDescent="0.25">
      <c r="A45" s="147" t="s">
        <v>396</v>
      </c>
      <c r="B45" s="170">
        <f>10894+114690+6371+132467+396892+1010508+7332+81496+426643+1436747</f>
        <v>3624040</v>
      </c>
      <c r="C45" s="170">
        <f>2585+27214+8523+16790+98893+92076+17592+5542+15532+84756</f>
        <v>369503</v>
      </c>
      <c r="D45" s="170">
        <f>109210+1149734+306953+449437+2674312+3295696+790785+1125775+2828911+3268230</f>
        <v>15999043</v>
      </c>
    </row>
    <row r="46" spans="1:4" x14ac:dyDescent="0.25">
      <c r="A46" s="147" t="s">
        <v>397</v>
      </c>
      <c r="B46" s="170">
        <v>89</v>
      </c>
      <c r="C46" s="170">
        <v>288</v>
      </c>
      <c r="D46" s="170">
        <v>29684</v>
      </c>
    </row>
    <row r="47" spans="1:4" x14ac:dyDescent="0.25">
      <c r="A47" s="147" t="s">
        <v>398</v>
      </c>
      <c r="B47" s="170">
        <v>1182</v>
      </c>
      <c r="C47" s="170">
        <v>3814</v>
      </c>
      <c r="D47" s="170">
        <v>393168</v>
      </c>
    </row>
    <row r="48" spans="1:4" x14ac:dyDescent="0.25">
      <c r="A48" s="147" t="s">
        <v>400</v>
      </c>
      <c r="B48" s="170">
        <v>449</v>
      </c>
      <c r="C48" s="170">
        <v>600</v>
      </c>
      <c r="D48" s="170">
        <v>21613</v>
      </c>
    </row>
    <row r="49" spans="1:4" x14ac:dyDescent="0.25">
      <c r="A49" s="147" t="s">
        <v>399</v>
      </c>
      <c r="B49" s="170">
        <v>20167</v>
      </c>
      <c r="C49" s="170">
        <v>26980</v>
      </c>
      <c r="D49" s="170">
        <v>971657</v>
      </c>
    </row>
    <row r="50" spans="1:4" x14ac:dyDescent="0.25">
      <c r="A50" s="147" t="s">
        <v>385</v>
      </c>
      <c r="B50" s="170">
        <v>0</v>
      </c>
      <c r="C50" s="170">
        <v>0</v>
      </c>
      <c r="D50" s="170">
        <v>0</v>
      </c>
    </row>
    <row r="51" spans="1:4" x14ac:dyDescent="0.25">
      <c r="A51" s="147" t="s">
        <v>401</v>
      </c>
      <c r="B51" s="170">
        <v>1613</v>
      </c>
      <c r="C51" s="170">
        <v>1351</v>
      </c>
      <c r="D51" s="170">
        <v>33965</v>
      </c>
    </row>
    <row r="52" spans="1:4" x14ac:dyDescent="0.25">
      <c r="A52" s="147" t="s">
        <v>402</v>
      </c>
      <c r="B52" s="170">
        <v>31859</v>
      </c>
      <c r="C52" s="170">
        <v>26688</v>
      </c>
      <c r="D52" s="170">
        <v>670825</v>
      </c>
    </row>
    <row r="53" spans="1:4" x14ac:dyDescent="0.25">
      <c r="A53">
        <v>43</v>
      </c>
      <c r="B53" s="170">
        <v>138726</v>
      </c>
      <c r="C53" s="170">
        <v>113067</v>
      </c>
      <c r="D53" s="170">
        <v>6459907</v>
      </c>
    </row>
    <row r="54" spans="1:4" x14ac:dyDescent="0.25">
      <c r="A54" t="s">
        <v>283</v>
      </c>
      <c r="B54" s="170">
        <v>18970</v>
      </c>
      <c r="C54" s="170">
        <v>10705</v>
      </c>
      <c r="D54" s="170">
        <v>646004</v>
      </c>
    </row>
    <row r="55" spans="1:4" x14ac:dyDescent="0.25">
      <c r="A55">
        <v>7</v>
      </c>
      <c r="B55" s="170">
        <v>13365460</v>
      </c>
      <c r="C55" s="170">
        <v>7045092</v>
      </c>
      <c r="D55" s="170">
        <v>446989450</v>
      </c>
    </row>
    <row r="56" spans="1:4" x14ac:dyDescent="0.25">
      <c r="B56" s="170">
        <f>SUM(B53:B55,B27:B34)</f>
        <v>33072233</v>
      </c>
      <c r="C56" s="170">
        <f>SUM(C53:C55,C27:C34)</f>
        <v>14208573</v>
      </c>
      <c r="D56" s="170">
        <f>SUM(D53:D55,D27:D34)</f>
        <v>816774486</v>
      </c>
    </row>
    <row r="57" spans="1:4" x14ac:dyDescent="0.25">
      <c r="B57" s="170">
        <v>33072232</v>
      </c>
      <c r="C57" s="170">
        <v>14208575</v>
      </c>
      <c r="D57" s="170">
        <v>816774484</v>
      </c>
    </row>
    <row r="58" spans="1:4" x14ac:dyDescent="0.25">
      <c r="B58" s="109">
        <f>+B56-B57</f>
        <v>1</v>
      </c>
      <c r="C58" s="109">
        <f t="shared" ref="C58:D58" si="14">+C56-C57</f>
        <v>-2</v>
      </c>
      <c r="D58" s="109">
        <f t="shared" si="14"/>
        <v>2</v>
      </c>
    </row>
  </sheetData>
  <mergeCells count="6">
    <mergeCell ref="A5:D5"/>
    <mergeCell ref="B8:D8"/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workbookViewId="0">
      <selection sqref="A1:C22"/>
    </sheetView>
  </sheetViews>
  <sheetFormatPr defaultColWidth="8.85546875" defaultRowHeight="15" x14ac:dyDescent="0.25"/>
  <cols>
    <col min="1" max="1" width="21.140625" style="1" bestFit="1" customWidth="1"/>
    <col min="2" max="3" width="12.140625" style="1" customWidth="1"/>
    <col min="4" max="16384" width="8.85546875" style="1"/>
  </cols>
  <sheetData>
    <row r="1" spans="1:3" x14ac:dyDescent="0.25">
      <c r="A1" s="494" t="s">
        <v>33</v>
      </c>
      <c r="B1" s="494"/>
      <c r="C1" s="494"/>
    </row>
    <row r="2" spans="1:3" x14ac:dyDescent="0.25">
      <c r="A2" s="495" t="s">
        <v>297</v>
      </c>
      <c r="B2" s="494"/>
      <c r="C2" s="494"/>
    </row>
    <row r="3" spans="1:3" x14ac:dyDescent="0.25">
      <c r="A3" s="494" t="s">
        <v>284</v>
      </c>
      <c r="B3" s="494"/>
      <c r="C3" s="494"/>
    </row>
    <row r="4" spans="1:3" x14ac:dyDescent="0.25">
      <c r="A4" s="495" t="s">
        <v>287</v>
      </c>
      <c r="B4" s="494"/>
      <c r="C4" s="494"/>
    </row>
    <row r="5" spans="1:3" x14ac:dyDescent="0.25">
      <c r="A5" s="495" t="s">
        <v>320</v>
      </c>
      <c r="B5" s="494"/>
      <c r="C5" s="494"/>
    </row>
    <row r="7" spans="1:3" x14ac:dyDescent="0.25">
      <c r="B7" s="495" t="s">
        <v>324</v>
      </c>
      <c r="C7" s="494"/>
    </row>
    <row r="8" spans="1:3" x14ac:dyDescent="0.25">
      <c r="B8" s="104" t="s">
        <v>30</v>
      </c>
      <c r="C8" s="104" t="s">
        <v>31</v>
      </c>
    </row>
    <row r="9" spans="1:3" x14ac:dyDescent="0.25">
      <c r="A9" s="1">
        <v>7</v>
      </c>
      <c r="B9" s="107">
        <f>+B55</f>
        <v>6861.75</v>
      </c>
      <c r="C9" s="107">
        <f>+C55</f>
        <v>6786.1</v>
      </c>
    </row>
    <row r="10" spans="1:3" x14ac:dyDescent="0.25">
      <c r="A10" s="1">
        <v>24</v>
      </c>
      <c r="B10" s="107">
        <f>+B28</f>
        <v>1253.76</v>
      </c>
      <c r="C10" s="107">
        <f>+C28</f>
        <v>1209.2</v>
      </c>
    </row>
    <row r="11" spans="1:3" x14ac:dyDescent="0.25">
      <c r="A11" s="1">
        <v>25</v>
      </c>
      <c r="B11" s="107">
        <f>SUM(B29,B36,B38,B40,B46,B48,B51)</f>
        <v>966.15</v>
      </c>
      <c r="C11" s="107">
        <f>SUM(C29,C36,C38,C40,C46,C48,C51)</f>
        <v>1125.3700000000001</v>
      </c>
    </row>
    <row r="12" spans="1:3" x14ac:dyDescent="0.25">
      <c r="A12" s="1">
        <v>26</v>
      </c>
      <c r="B12" s="107">
        <f>SUM(B30,B37,B41,B47)</f>
        <v>385.58</v>
      </c>
      <c r="C12" s="107">
        <f>SUM(C30,C37,C41,C47)</f>
        <v>489.92</v>
      </c>
    </row>
    <row r="13" spans="1:3" x14ac:dyDescent="0.25">
      <c r="A13" s="1">
        <v>29</v>
      </c>
      <c r="B13" s="107">
        <f>+B31</f>
        <v>8.56</v>
      </c>
      <c r="C13" s="107">
        <f>+C31</f>
        <v>3.03</v>
      </c>
    </row>
    <row r="14" spans="1:3" x14ac:dyDescent="0.25">
      <c r="A14" s="1">
        <v>31</v>
      </c>
      <c r="B14" s="107">
        <f>SUM(B32,B35,B39,B42:B43,B44,B49,B52)</f>
        <v>360.91999999999996</v>
      </c>
      <c r="C14" s="107">
        <f>SUM(C32,C35,C39,C42:C43,C44,C49,C52)</f>
        <v>349.45000000000005</v>
      </c>
    </row>
    <row r="15" spans="1:3" x14ac:dyDescent="0.25">
      <c r="A15" s="1">
        <v>35</v>
      </c>
      <c r="B15" s="107">
        <f>+B33</f>
        <v>9.0399999999999991</v>
      </c>
      <c r="C15" s="107">
        <f>+C33</f>
        <v>4.1500000000000004</v>
      </c>
    </row>
    <row r="16" spans="1:3" x14ac:dyDescent="0.25">
      <c r="A16" s="1">
        <v>43</v>
      </c>
      <c r="B16" s="107">
        <f>+B53</f>
        <v>97.26</v>
      </c>
      <c r="C16" s="107">
        <f>+C53</f>
        <v>108.81</v>
      </c>
    </row>
    <row r="17" spans="1:3" x14ac:dyDescent="0.25">
      <c r="A17" s="1" t="s">
        <v>330</v>
      </c>
      <c r="B17" s="107">
        <f>+B45</f>
        <v>11.83</v>
      </c>
      <c r="C17" s="107">
        <f>+C45</f>
        <v>103.67</v>
      </c>
    </row>
    <row r="18" spans="1:3" x14ac:dyDescent="0.25">
      <c r="A18" s="1" t="s">
        <v>5</v>
      </c>
      <c r="B18" s="107">
        <f>+'NCP Dist OH-UG Plant (364-367)'!B54</f>
        <v>6.03</v>
      </c>
      <c r="C18" s="107">
        <f>+'NCP Dist OH-UG Plant (364-367)'!C54</f>
        <v>4.6500000000000004</v>
      </c>
    </row>
    <row r="19" spans="1:3" x14ac:dyDescent="0.25">
      <c r="A19" s="1">
        <v>5</v>
      </c>
      <c r="B19" s="107">
        <f>+B27</f>
        <v>6.87</v>
      </c>
      <c r="C19" s="107">
        <f>+C27</f>
        <v>2.76</v>
      </c>
    </row>
    <row r="20" spans="1:3" x14ac:dyDescent="0.25">
      <c r="B20" s="107">
        <f>SUM(B9:B19)</f>
        <v>9967.7500000000018</v>
      </c>
      <c r="C20" s="107">
        <f>SUM(C9:C19)</f>
        <v>10187.11</v>
      </c>
    </row>
    <row r="21" spans="1:3" x14ac:dyDescent="0.25">
      <c r="B21" s="107"/>
      <c r="C21" s="107"/>
    </row>
    <row r="22" spans="1:3" ht="45.75" thickBot="1" x14ac:dyDescent="0.3">
      <c r="A22" s="335" t="s">
        <v>403</v>
      </c>
      <c r="B22" s="339">
        <f>+B20-B17</f>
        <v>9955.9200000000019</v>
      </c>
      <c r="C22" s="339">
        <f>+C20-C17</f>
        <v>10083.44</v>
      </c>
    </row>
    <row r="23" spans="1:3" x14ac:dyDescent="0.25">
      <c r="B23" s="338">
        <f>+'ECOS - EXTERNAL (2019 GRC)'!D142-'NCP Dist OH-UG Plant (364-367)'!B22</f>
        <v>0</v>
      </c>
    </row>
    <row r="25" spans="1:3" x14ac:dyDescent="0.25">
      <c r="B25" s="461" t="s">
        <v>324</v>
      </c>
      <c r="C25" s="461"/>
    </row>
    <row r="26" spans="1:3" x14ac:dyDescent="0.25">
      <c r="B26" t="s">
        <v>30</v>
      </c>
      <c r="C26" t="s">
        <v>31</v>
      </c>
    </row>
    <row r="27" spans="1:3" x14ac:dyDescent="0.25">
      <c r="A27">
        <v>5</v>
      </c>
      <c r="B27" s="336">
        <v>6.87</v>
      </c>
      <c r="C27" s="336">
        <v>2.76</v>
      </c>
    </row>
    <row r="28" spans="1:3" x14ac:dyDescent="0.25">
      <c r="A28">
        <v>24</v>
      </c>
      <c r="B28" s="336">
        <v>1253.76</v>
      </c>
      <c r="C28" s="340">
        <v>1209.2</v>
      </c>
    </row>
    <row r="29" spans="1:3" x14ac:dyDescent="0.25">
      <c r="A29">
        <v>25</v>
      </c>
      <c r="B29" s="336">
        <v>964.34</v>
      </c>
      <c r="C29" s="340">
        <v>1123.27</v>
      </c>
    </row>
    <row r="30" spans="1:3" x14ac:dyDescent="0.25">
      <c r="A30">
        <v>26</v>
      </c>
      <c r="B30" s="336">
        <v>372.16</v>
      </c>
      <c r="C30" s="340">
        <v>474.03</v>
      </c>
    </row>
    <row r="31" spans="1:3" x14ac:dyDescent="0.25">
      <c r="A31">
        <v>29</v>
      </c>
      <c r="B31" s="336">
        <v>8.56</v>
      </c>
      <c r="C31" s="336">
        <v>3.03</v>
      </c>
    </row>
    <row r="32" spans="1:3" x14ac:dyDescent="0.25">
      <c r="A32">
        <v>31</v>
      </c>
      <c r="B32" s="336">
        <v>350.82</v>
      </c>
      <c r="C32" s="340">
        <v>328.74</v>
      </c>
    </row>
    <row r="33" spans="1:3" x14ac:dyDescent="0.25">
      <c r="A33">
        <v>35</v>
      </c>
      <c r="B33" s="336">
        <v>9.0399999999999991</v>
      </c>
      <c r="C33" s="336">
        <v>4.1500000000000004</v>
      </c>
    </row>
    <row r="34" spans="1:3" x14ac:dyDescent="0.25">
      <c r="A34">
        <v>40</v>
      </c>
      <c r="B34" s="336">
        <f>SUM(B35:B52)</f>
        <v>37.159999999999997</v>
      </c>
      <c r="C34" s="336">
        <f>SUM(C35:C52)</f>
        <v>142.37000000000003</v>
      </c>
    </row>
    <row r="35" spans="1:3" x14ac:dyDescent="0.25">
      <c r="A35" s="147" t="s">
        <v>386</v>
      </c>
      <c r="B35" s="336">
        <v>2.13</v>
      </c>
      <c r="C35" s="340">
        <v>9.68</v>
      </c>
    </row>
    <row r="36" spans="1:3" x14ac:dyDescent="0.25">
      <c r="A36" s="147" t="s">
        <v>387</v>
      </c>
      <c r="B36" s="336">
        <v>1.39</v>
      </c>
      <c r="C36" s="340">
        <v>1.28</v>
      </c>
    </row>
    <row r="37" spans="1:3" x14ac:dyDescent="0.25">
      <c r="A37" s="147" t="s">
        <v>388</v>
      </c>
      <c r="B37" s="336">
        <v>9.4</v>
      </c>
      <c r="C37" s="340">
        <v>10.37</v>
      </c>
    </row>
    <row r="38" spans="1:3" x14ac:dyDescent="0.25">
      <c r="A38" s="147" t="s">
        <v>389</v>
      </c>
      <c r="B38" s="336">
        <v>0.05</v>
      </c>
      <c r="C38" s="340">
        <v>0.38</v>
      </c>
    </row>
    <row r="39" spans="1:3" x14ac:dyDescent="0.25">
      <c r="A39" s="147" t="s">
        <v>390</v>
      </c>
      <c r="B39" s="336">
        <v>0.57999999999999996</v>
      </c>
      <c r="C39" s="340">
        <v>4.01</v>
      </c>
    </row>
    <row r="40" spans="1:3" ht="13.9" customHeight="1" x14ac:dyDescent="0.25">
      <c r="A40" s="147" t="s">
        <v>391</v>
      </c>
      <c r="B40" s="336">
        <v>0</v>
      </c>
      <c r="C40" s="340">
        <v>0.02</v>
      </c>
    </row>
    <row r="41" spans="1:3" ht="13.9" customHeight="1" x14ac:dyDescent="0.25">
      <c r="A41" s="147" t="s">
        <v>392</v>
      </c>
      <c r="B41" s="336">
        <v>0.13</v>
      </c>
      <c r="C41" s="340">
        <v>0.55000000000000004</v>
      </c>
    </row>
    <row r="42" spans="1:3" ht="13.9" customHeight="1" x14ac:dyDescent="0.25">
      <c r="A42" s="147" t="s">
        <v>393</v>
      </c>
      <c r="B42" s="336">
        <v>3.33</v>
      </c>
      <c r="C42" s="340">
        <v>2.8</v>
      </c>
    </row>
    <row r="43" spans="1:3" x14ac:dyDescent="0.25">
      <c r="A43" s="147" t="s">
        <v>394</v>
      </c>
      <c r="B43" s="336">
        <v>0</v>
      </c>
      <c r="C43" s="340">
        <v>0</v>
      </c>
    </row>
    <row r="44" spans="1:3" x14ac:dyDescent="0.25">
      <c r="A44" s="147" t="s">
        <v>395</v>
      </c>
      <c r="B44" s="336">
        <v>1.1299999999999999</v>
      </c>
      <c r="C44" s="340">
        <v>4.22</v>
      </c>
    </row>
    <row r="45" spans="1:3" x14ac:dyDescent="0.25">
      <c r="A45" t="s">
        <v>404</v>
      </c>
      <c r="B45" s="336">
        <f>-0.18+0.29+1.78+9.53+0.28+0.05+0.03+0.05</f>
        <v>11.83</v>
      </c>
      <c r="C45" s="336">
        <f>0.02+0.62+0.55+4.14+21.06+37.48+10.72+4.28+6.78+18.02</f>
        <v>103.67</v>
      </c>
    </row>
    <row r="46" spans="1:3" x14ac:dyDescent="0.25">
      <c r="A46" s="147" t="s">
        <v>397</v>
      </c>
      <c r="B46" s="336">
        <v>0.3</v>
      </c>
      <c r="C46" s="340">
        <v>0.38</v>
      </c>
    </row>
    <row r="47" spans="1:3" x14ac:dyDescent="0.25">
      <c r="A47" s="147" t="s">
        <v>398</v>
      </c>
      <c r="B47" s="336">
        <v>3.89</v>
      </c>
      <c r="C47" s="340">
        <v>4.97</v>
      </c>
    </row>
    <row r="48" spans="1:3" x14ac:dyDescent="0.25">
      <c r="A48" s="147" t="s">
        <v>400</v>
      </c>
      <c r="B48" s="336">
        <v>7.0000000000000007E-2</v>
      </c>
      <c r="C48" s="340">
        <v>-0.01</v>
      </c>
    </row>
    <row r="49" spans="1:3" x14ac:dyDescent="0.25">
      <c r="A49" s="147" t="s">
        <v>399</v>
      </c>
      <c r="B49" s="336">
        <v>2.93</v>
      </c>
      <c r="C49" s="340">
        <v>-0.57999999999999996</v>
      </c>
    </row>
    <row r="50" spans="1:3" x14ac:dyDescent="0.25">
      <c r="A50" s="147" t="s">
        <v>385</v>
      </c>
      <c r="B50" s="336">
        <v>0</v>
      </c>
      <c r="C50" s="336">
        <v>0</v>
      </c>
    </row>
    <row r="51" spans="1:3" x14ac:dyDescent="0.25">
      <c r="A51" s="147" t="s">
        <v>401</v>
      </c>
      <c r="B51" s="336">
        <v>0</v>
      </c>
      <c r="C51" s="340">
        <v>0.05</v>
      </c>
    </row>
    <row r="52" spans="1:3" x14ac:dyDescent="0.25">
      <c r="A52" s="147" t="s">
        <v>402</v>
      </c>
      <c r="B52" s="336">
        <v>0</v>
      </c>
      <c r="C52" s="336">
        <v>0.57999999999999996</v>
      </c>
    </row>
    <row r="53" spans="1:3" x14ac:dyDescent="0.25">
      <c r="A53">
        <v>43</v>
      </c>
      <c r="B53" s="336">
        <v>97.26</v>
      </c>
      <c r="C53" s="336">
        <v>108.81</v>
      </c>
    </row>
    <row r="54" spans="1:3" x14ac:dyDescent="0.25">
      <c r="A54" t="s">
        <v>283</v>
      </c>
      <c r="B54" s="336">
        <v>6.03</v>
      </c>
      <c r="C54" s="336">
        <v>4.6500000000000004</v>
      </c>
    </row>
    <row r="55" spans="1:3" x14ac:dyDescent="0.25">
      <c r="A55">
        <v>7</v>
      </c>
      <c r="B55" s="336">
        <v>6861.75</v>
      </c>
      <c r="C55" s="340">
        <v>6786.1</v>
      </c>
    </row>
    <row r="56" spans="1:3" x14ac:dyDescent="0.25">
      <c r="A56"/>
      <c r="B56" s="336">
        <f>SUM(B27:B34,B53:B55)</f>
        <v>9967.75</v>
      </c>
      <c r="C56" s="336">
        <f>SUM(C27:C34,C53:C55)</f>
        <v>10187.11</v>
      </c>
    </row>
    <row r="57" spans="1:3" x14ac:dyDescent="0.25">
      <c r="B57" s="337">
        <v>9967.75</v>
      </c>
      <c r="C57" s="337">
        <v>10187.14</v>
      </c>
    </row>
    <row r="58" spans="1:3" x14ac:dyDescent="0.25">
      <c r="B58" s="338">
        <f>+B56-B57</f>
        <v>0</v>
      </c>
      <c r="C58" s="338">
        <f>+C56-C57</f>
        <v>-2.9999999998835847E-2</v>
      </c>
    </row>
    <row r="60" spans="1:3" x14ac:dyDescent="0.25">
      <c r="B60" s="338"/>
      <c r="C60" s="338">
        <f>+C56-C20</f>
        <v>0</v>
      </c>
    </row>
  </sheetData>
  <mergeCells count="7">
    <mergeCell ref="B25:C25"/>
    <mergeCell ref="B7:C7"/>
    <mergeCell ref="A2:C2"/>
    <mergeCell ref="A1:C1"/>
    <mergeCell ref="A3:C3"/>
    <mergeCell ref="A4:C4"/>
    <mergeCell ref="A5:C5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90" zoomScaleNormal="90" workbookViewId="0">
      <selection sqref="A1:E1"/>
    </sheetView>
  </sheetViews>
  <sheetFormatPr defaultColWidth="8.85546875" defaultRowHeight="15" x14ac:dyDescent="0.25"/>
  <cols>
    <col min="1" max="1" width="22.140625" style="1" bestFit="1" customWidth="1"/>
    <col min="2" max="2" width="14.5703125" style="1" bestFit="1" customWidth="1"/>
    <col min="3" max="3" width="8.85546875" style="1"/>
    <col min="4" max="4" width="22.140625" style="1" bestFit="1" customWidth="1"/>
    <col min="5" max="5" width="14.5703125" style="1" bestFit="1" customWidth="1"/>
    <col min="6" max="16384" width="8.85546875" style="1"/>
  </cols>
  <sheetData>
    <row r="1" spans="1:5" x14ac:dyDescent="0.25">
      <c r="A1" s="494" t="s">
        <v>33</v>
      </c>
      <c r="B1" s="494"/>
      <c r="C1" s="494"/>
      <c r="D1" s="494"/>
      <c r="E1" s="494"/>
    </row>
    <row r="2" spans="1:5" x14ac:dyDescent="0.25">
      <c r="A2" s="494" t="s">
        <v>270</v>
      </c>
      <c r="B2" s="494"/>
      <c r="C2" s="494"/>
      <c r="D2" s="494"/>
      <c r="E2" s="494"/>
    </row>
    <row r="3" spans="1:5" x14ac:dyDescent="0.25">
      <c r="A3" s="495" t="s">
        <v>325</v>
      </c>
      <c r="B3" s="494"/>
      <c r="C3" s="494"/>
      <c r="D3" s="494"/>
      <c r="E3" s="494"/>
    </row>
    <row r="4" spans="1:5" x14ac:dyDescent="0.25">
      <c r="A4" s="494" t="s">
        <v>271</v>
      </c>
      <c r="B4" s="494"/>
      <c r="C4" s="494"/>
      <c r="D4" s="494"/>
      <c r="E4" s="494"/>
    </row>
    <row r="6" spans="1:5" x14ac:dyDescent="0.25">
      <c r="A6" s="101" t="s">
        <v>272</v>
      </c>
      <c r="B6" s="1" t="s">
        <v>30</v>
      </c>
      <c r="D6" s="101" t="s">
        <v>272</v>
      </c>
      <c r="E6" s="1" t="s">
        <v>31</v>
      </c>
    </row>
    <row r="8" spans="1:5" x14ac:dyDescent="0.25">
      <c r="A8" s="1" t="s">
        <v>273</v>
      </c>
      <c r="D8" s="1" t="s">
        <v>273</v>
      </c>
    </row>
    <row r="9" spans="1:5" x14ac:dyDescent="0.25">
      <c r="A9" s="101" t="s">
        <v>227</v>
      </c>
      <c r="B9" s="1" t="s">
        <v>4</v>
      </c>
      <c r="C9" s="101"/>
      <c r="D9" s="101" t="s">
        <v>227</v>
      </c>
      <c r="E9" s="1" t="s">
        <v>4</v>
      </c>
    </row>
    <row r="10" spans="1:5" x14ac:dyDescent="0.25">
      <c r="A10" s="1">
        <v>7</v>
      </c>
      <c r="B10" s="102">
        <v>335230378.93095666</v>
      </c>
      <c r="D10" s="1">
        <v>7</v>
      </c>
      <c r="E10" s="17">
        <v>626558865.95306206</v>
      </c>
    </row>
    <row r="11" spans="1:5" x14ac:dyDescent="0.25">
      <c r="A11" s="1">
        <v>24</v>
      </c>
      <c r="B11" s="102">
        <v>54903889.644672841</v>
      </c>
      <c r="D11" s="1">
        <v>24</v>
      </c>
      <c r="E11" s="17">
        <v>96862722.538200423</v>
      </c>
    </row>
    <row r="12" spans="1:5" x14ac:dyDescent="0.25">
      <c r="A12" s="1">
        <v>25</v>
      </c>
      <c r="B12" s="102">
        <v>6447392.8689756328</v>
      </c>
      <c r="D12" s="1">
        <v>25</v>
      </c>
      <c r="E12" s="17">
        <v>45950781.642707422</v>
      </c>
    </row>
    <row r="13" spans="1:5" x14ac:dyDescent="0.25">
      <c r="A13" s="1">
        <v>26</v>
      </c>
      <c r="B13" s="102">
        <v>90511.45794799368</v>
      </c>
      <c r="D13" s="1">
        <v>26</v>
      </c>
      <c r="E13" s="17">
        <v>12756837.249422293</v>
      </c>
    </row>
    <row r="14" spans="1:5" x14ac:dyDescent="0.25">
      <c r="A14" s="1">
        <v>29</v>
      </c>
      <c r="B14" s="102">
        <v>1579244.7812049421</v>
      </c>
      <c r="D14" s="1">
        <v>29</v>
      </c>
      <c r="E14" s="17">
        <v>215837.03444965626</v>
      </c>
    </row>
    <row r="15" spans="1:5" x14ac:dyDescent="0.25">
      <c r="A15" s="1" t="s">
        <v>363</v>
      </c>
      <c r="B15" s="102">
        <f>SUM(B10:B14)</f>
        <v>398251417.68375802</v>
      </c>
      <c r="E15" s="102">
        <f>SUM(E10:E14)</f>
        <v>782345044.41784191</v>
      </c>
    </row>
    <row r="16" spans="1:5" x14ac:dyDescent="0.25">
      <c r="E16" s="102"/>
    </row>
    <row r="18" spans="1:5" x14ac:dyDescent="0.25">
      <c r="A18" s="1" t="s">
        <v>5</v>
      </c>
      <c r="B18" s="102">
        <f>+B33</f>
        <v>50725910.403383665</v>
      </c>
      <c r="E18" s="102">
        <f>+E33</f>
        <v>1953961.7399999977</v>
      </c>
    </row>
    <row r="19" spans="1:5" x14ac:dyDescent="0.25">
      <c r="A19" s="1" t="s">
        <v>4</v>
      </c>
      <c r="B19" s="102">
        <f>+B15+B18</f>
        <v>448977328.08714169</v>
      </c>
      <c r="E19" s="102">
        <f>+E15+E18</f>
        <v>784299006.15784192</v>
      </c>
    </row>
    <row r="20" spans="1:5" x14ac:dyDescent="0.25">
      <c r="E20" s="102"/>
    </row>
    <row r="23" spans="1:5" x14ac:dyDescent="0.25">
      <c r="A23" s="1" t="s">
        <v>274</v>
      </c>
      <c r="B23" s="1" t="s">
        <v>28</v>
      </c>
      <c r="D23" s="1" t="s">
        <v>274</v>
      </c>
      <c r="E23" s="1" t="s">
        <v>28</v>
      </c>
    </row>
    <row r="24" spans="1:5" x14ac:dyDescent="0.25">
      <c r="A24" s="1" t="s">
        <v>2</v>
      </c>
      <c r="B24" s="1" t="s">
        <v>30</v>
      </c>
      <c r="D24" s="1" t="s">
        <v>2</v>
      </c>
      <c r="E24" s="1" t="s">
        <v>31</v>
      </c>
    </row>
    <row r="25" spans="1:5" x14ac:dyDescent="0.25">
      <c r="A25" s="103" t="s">
        <v>275</v>
      </c>
      <c r="B25" s="17">
        <v>30932.520000000004</v>
      </c>
      <c r="D25" s="103" t="s">
        <v>275</v>
      </c>
      <c r="E25" s="17">
        <v>3153.14</v>
      </c>
    </row>
    <row r="26" spans="1:5" x14ac:dyDescent="0.25">
      <c r="A26" s="103" t="s">
        <v>276</v>
      </c>
      <c r="B26" s="17">
        <v>29407.288280000001</v>
      </c>
      <c r="D26" s="103" t="s">
        <v>276</v>
      </c>
      <c r="E26" s="17">
        <v>71760.19</v>
      </c>
    </row>
    <row r="27" spans="1:5" x14ac:dyDescent="0.25">
      <c r="A27" s="103" t="s">
        <v>277</v>
      </c>
      <c r="B27" s="17">
        <v>43538683.168243654</v>
      </c>
      <c r="D27" s="103" t="s">
        <v>277</v>
      </c>
      <c r="E27" s="17">
        <v>1436964.569999998</v>
      </c>
    </row>
    <row r="28" spans="1:5" x14ac:dyDescent="0.25">
      <c r="A28" s="103" t="s">
        <v>278</v>
      </c>
      <c r="B28" s="17">
        <v>50298.520000000004</v>
      </c>
      <c r="D28" s="103" t="s">
        <v>278</v>
      </c>
      <c r="E28" s="17">
        <v>3699.38</v>
      </c>
    </row>
    <row r="29" spans="1:5" x14ac:dyDescent="0.25">
      <c r="A29" s="103" t="s">
        <v>279</v>
      </c>
      <c r="B29" s="17">
        <v>2184493.4917300092</v>
      </c>
      <c r="D29" s="103" t="s">
        <v>279</v>
      </c>
      <c r="E29" s="17">
        <v>164662.59999999995</v>
      </c>
    </row>
    <row r="30" spans="1:5" x14ac:dyDescent="0.25">
      <c r="A30" s="103" t="s">
        <v>280</v>
      </c>
      <c r="B30" s="17">
        <v>4186060.9903599937</v>
      </c>
      <c r="D30" s="103" t="s">
        <v>280</v>
      </c>
      <c r="E30" s="17">
        <v>153320.13999999993</v>
      </c>
    </row>
    <row r="31" spans="1:5" x14ac:dyDescent="0.25">
      <c r="A31" s="103" t="s">
        <v>281</v>
      </c>
      <c r="B31" s="17">
        <v>617300.02712000033</v>
      </c>
      <c r="D31" s="103" t="s">
        <v>281</v>
      </c>
      <c r="E31" s="17">
        <v>117979.81999999999</v>
      </c>
    </row>
    <row r="32" spans="1:5" x14ac:dyDescent="0.25">
      <c r="A32" s="103" t="s">
        <v>282</v>
      </c>
      <c r="B32" s="17">
        <v>88734.397650000028</v>
      </c>
      <c r="D32" s="103" t="s">
        <v>282</v>
      </c>
      <c r="E32" s="17">
        <v>2421.9</v>
      </c>
    </row>
    <row r="33" spans="1:5" x14ac:dyDescent="0.25">
      <c r="A33" s="103" t="s">
        <v>8</v>
      </c>
      <c r="B33" s="102">
        <f>SUM(B25:B32)</f>
        <v>50725910.403383665</v>
      </c>
      <c r="D33" s="103" t="s">
        <v>8</v>
      </c>
      <c r="E33" s="102">
        <f>SUM(E25:E32)</f>
        <v>1953961.7399999977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workbookViewId="0">
      <selection sqref="A1:C1"/>
    </sheetView>
  </sheetViews>
  <sheetFormatPr defaultRowHeight="15" x14ac:dyDescent="0.25"/>
  <cols>
    <col min="1" max="1" width="24.5703125" bestFit="1" customWidth="1"/>
    <col min="2" max="2" width="12.7109375" bestFit="1" customWidth="1"/>
    <col min="3" max="3" width="10" bestFit="1" customWidth="1"/>
  </cols>
  <sheetData>
    <row r="1" spans="1:3" x14ac:dyDescent="0.25">
      <c r="A1" s="462" t="s">
        <v>25</v>
      </c>
      <c r="B1" s="462"/>
      <c r="C1" s="462"/>
    </row>
    <row r="2" spans="1:3" x14ac:dyDescent="0.25">
      <c r="A2" s="462" t="s">
        <v>26</v>
      </c>
      <c r="B2" s="462"/>
      <c r="C2" s="462"/>
    </row>
    <row r="3" spans="1:3" x14ac:dyDescent="0.25">
      <c r="A3" s="462" t="s">
        <v>304</v>
      </c>
      <c r="B3" s="462"/>
      <c r="C3" s="462"/>
    </row>
    <row r="9" spans="1:3" x14ac:dyDescent="0.25">
      <c r="A9" t="s">
        <v>27</v>
      </c>
      <c r="B9" t="s">
        <v>28</v>
      </c>
    </row>
    <row r="10" spans="1:3" x14ac:dyDescent="0.25">
      <c r="A10" t="s">
        <v>2</v>
      </c>
      <c r="B10" t="s">
        <v>29</v>
      </c>
    </row>
    <row r="11" spans="1:3" x14ac:dyDescent="0.25">
      <c r="A11" s="13">
        <v>7</v>
      </c>
      <c r="B11" s="15">
        <v>354802</v>
      </c>
    </row>
    <row r="12" spans="1:3" x14ac:dyDescent="0.25">
      <c r="A12" s="13">
        <v>24</v>
      </c>
      <c r="B12" s="15">
        <v>54210</v>
      </c>
    </row>
    <row r="13" spans="1:3" x14ac:dyDescent="0.25">
      <c r="A13" s="13">
        <v>25</v>
      </c>
      <c r="B13" s="15">
        <v>1420</v>
      </c>
    </row>
    <row r="14" spans="1:3" x14ac:dyDescent="0.25">
      <c r="A14" s="13">
        <v>26</v>
      </c>
      <c r="B14" s="15">
        <v>45</v>
      </c>
    </row>
    <row r="15" spans="1:3" x14ac:dyDescent="0.25">
      <c r="A15" s="13">
        <v>29</v>
      </c>
      <c r="B15" s="15">
        <v>657</v>
      </c>
    </row>
    <row r="16" spans="1:3" x14ac:dyDescent="0.25">
      <c r="A16" s="13">
        <v>31</v>
      </c>
      <c r="B16" s="15">
        <v>146</v>
      </c>
    </row>
    <row r="17" spans="1:2" x14ac:dyDescent="0.25">
      <c r="A17" s="13">
        <v>35</v>
      </c>
      <c r="B17" s="15">
        <v>1</v>
      </c>
    </row>
    <row r="18" spans="1:2" x14ac:dyDescent="0.25">
      <c r="A18" s="13">
        <v>40</v>
      </c>
      <c r="B18" s="15">
        <v>9</v>
      </c>
    </row>
    <row r="19" spans="1:2" x14ac:dyDescent="0.25">
      <c r="A19" s="13">
        <v>43</v>
      </c>
      <c r="B19" s="15">
        <v>26</v>
      </c>
    </row>
    <row r="20" spans="1:2" x14ac:dyDescent="0.25">
      <c r="A20" s="13">
        <v>46</v>
      </c>
      <c r="B20" s="15">
        <v>4</v>
      </c>
    </row>
    <row r="21" spans="1:2" x14ac:dyDescent="0.25">
      <c r="A21" s="13">
        <v>49</v>
      </c>
      <c r="B21" s="15">
        <v>10</v>
      </c>
    </row>
    <row r="22" spans="1:2" x14ac:dyDescent="0.25">
      <c r="A22" s="13" t="s">
        <v>6</v>
      </c>
      <c r="B22" s="15">
        <v>9</v>
      </c>
    </row>
    <row r="23" spans="1:2" x14ac:dyDescent="0.25">
      <c r="A23" s="13" t="s">
        <v>32</v>
      </c>
      <c r="B23" s="15">
        <v>157</v>
      </c>
    </row>
    <row r="24" spans="1:2" x14ac:dyDescent="0.25">
      <c r="A24" s="169" t="s">
        <v>8</v>
      </c>
      <c r="B24" s="16">
        <v>411496</v>
      </c>
    </row>
    <row r="26" spans="1:2" x14ac:dyDescent="0.25">
      <c r="A26" t="s">
        <v>220</v>
      </c>
      <c r="B26" s="15">
        <f>SUM(B11:B15)</f>
        <v>411134</v>
      </c>
    </row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B33" sqref="B33"/>
    </sheetView>
  </sheetViews>
  <sheetFormatPr defaultRowHeight="15" x14ac:dyDescent="0.25"/>
  <cols>
    <col min="1" max="1" width="14.28515625" bestFit="1" customWidth="1"/>
    <col min="2" max="2" width="10" bestFit="1" customWidth="1"/>
    <col min="3" max="3" width="13.140625" bestFit="1" customWidth="1"/>
    <col min="4" max="4" width="9.140625" bestFit="1" customWidth="1"/>
    <col min="5" max="7" width="10.42578125" customWidth="1"/>
    <col min="8" max="8" width="5.28515625" customWidth="1"/>
    <col min="9" max="9" width="13.140625" bestFit="1" customWidth="1"/>
    <col min="10" max="10" width="11.140625" customWidth="1"/>
    <col min="11" max="11" width="13.140625" bestFit="1" customWidth="1"/>
  </cols>
  <sheetData>
    <row r="1" spans="1:11" x14ac:dyDescent="0.25">
      <c r="A1" s="494" t="s">
        <v>33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 x14ac:dyDescent="0.25">
      <c r="A2" s="495" t="s">
        <v>352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</row>
    <row r="3" spans="1:11" x14ac:dyDescent="0.25">
      <c r="A3" s="495" t="s">
        <v>322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</row>
    <row r="4" spans="1:11" x14ac:dyDescent="0.25">
      <c r="A4" s="495" t="s">
        <v>324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</row>
    <row r="6" spans="1:11" ht="105" x14ac:dyDescent="0.25">
      <c r="A6" s="175" t="s">
        <v>344</v>
      </c>
      <c r="B6" s="175" t="s">
        <v>221</v>
      </c>
      <c r="C6" s="175" t="s">
        <v>222</v>
      </c>
      <c r="D6" s="175" t="s">
        <v>345</v>
      </c>
      <c r="E6" s="175" t="s">
        <v>346</v>
      </c>
      <c r="F6" s="175" t="s">
        <v>347</v>
      </c>
      <c r="G6" s="175" t="s">
        <v>348</v>
      </c>
      <c r="H6" s="175"/>
      <c r="I6" s="175" t="s">
        <v>349</v>
      </c>
      <c r="J6" s="175" t="s">
        <v>350</v>
      </c>
      <c r="K6" s="175" t="s">
        <v>351</v>
      </c>
    </row>
    <row r="7" spans="1:11" x14ac:dyDescent="0.25">
      <c r="A7">
        <v>7</v>
      </c>
      <c r="B7" s="15">
        <v>1030857</v>
      </c>
      <c r="C7" s="17">
        <v>114667546</v>
      </c>
      <c r="I7" s="17">
        <f t="shared" ref="I7:I16" si="0">+C7</f>
        <v>114667546</v>
      </c>
      <c r="J7" s="17"/>
      <c r="K7" s="17">
        <f t="shared" ref="K7:K16" si="1">+I7+J7</f>
        <v>114667546</v>
      </c>
    </row>
    <row r="8" spans="1:11" x14ac:dyDescent="0.25">
      <c r="A8">
        <v>24</v>
      </c>
      <c r="B8" s="15">
        <v>131231</v>
      </c>
      <c r="C8" s="17">
        <v>32185511</v>
      </c>
      <c r="I8" s="17">
        <f t="shared" si="0"/>
        <v>32185511</v>
      </c>
      <c r="J8" s="17"/>
      <c r="K8" s="17">
        <f t="shared" si="1"/>
        <v>32185511</v>
      </c>
    </row>
    <row r="9" spans="1:11" x14ac:dyDescent="0.25">
      <c r="A9">
        <v>25</v>
      </c>
      <c r="B9" s="15">
        <v>7965</v>
      </c>
      <c r="C9" s="17">
        <v>9289646</v>
      </c>
      <c r="I9" s="17">
        <f t="shared" si="0"/>
        <v>9289646</v>
      </c>
      <c r="J9" s="17">
        <f>+E17*D17</f>
        <v>20553.333333333336</v>
      </c>
      <c r="K9" s="17">
        <f t="shared" si="1"/>
        <v>9310199.333333334</v>
      </c>
    </row>
    <row r="10" spans="1:11" x14ac:dyDescent="0.25">
      <c r="A10">
        <v>26</v>
      </c>
      <c r="B10" s="15">
        <v>872</v>
      </c>
      <c r="C10" s="17">
        <v>1055656</v>
      </c>
      <c r="I10" s="17">
        <f t="shared" si="0"/>
        <v>1055656</v>
      </c>
      <c r="J10" s="17">
        <f>+E18*D18</f>
        <v>13409</v>
      </c>
      <c r="K10" s="17">
        <f t="shared" si="1"/>
        <v>1069065</v>
      </c>
    </row>
    <row r="11" spans="1:11" x14ac:dyDescent="0.25">
      <c r="A11">
        <v>29</v>
      </c>
      <c r="B11" s="15">
        <v>752</v>
      </c>
      <c r="C11" s="17">
        <v>201781</v>
      </c>
      <c r="I11" s="17">
        <f t="shared" si="0"/>
        <v>201781</v>
      </c>
      <c r="K11" s="17">
        <f t="shared" si="1"/>
        <v>201781</v>
      </c>
    </row>
    <row r="12" spans="1:11" x14ac:dyDescent="0.25">
      <c r="A12">
        <v>31</v>
      </c>
      <c r="B12" s="15">
        <v>525</v>
      </c>
      <c r="C12" s="17">
        <v>12665701</v>
      </c>
      <c r="I12" s="17">
        <f t="shared" si="0"/>
        <v>12665701</v>
      </c>
      <c r="J12" s="17">
        <f>+E19*D19</f>
        <v>139346.92307692309</v>
      </c>
      <c r="K12" s="17">
        <f t="shared" si="1"/>
        <v>12805047.923076924</v>
      </c>
    </row>
    <row r="13" spans="1:11" x14ac:dyDescent="0.25">
      <c r="A13">
        <v>35</v>
      </c>
      <c r="B13" s="15">
        <v>2</v>
      </c>
      <c r="C13" s="17">
        <v>41518</v>
      </c>
      <c r="I13" s="17">
        <f t="shared" si="0"/>
        <v>41518</v>
      </c>
      <c r="J13" s="17"/>
      <c r="K13" s="17">
        <f t="shared" si="1"/>
        <v>41518</v>
      </c>
    </row>
    <row r="14" spans="1:11" x14ac:dyDescent="0.25">
      <c r="A14">
        <v>43</v>
      </c>
      <c r="B14" s="15">
        <v>159</v>
      </c>
      <c r="C14" s="17">
        <v>4138357</v>
      </c>
      <c r="I14" s="17">
        <f t="shared" si="0"/>
        <v>4138357</v>
      </c>
      <c r="J14" s="17"/>
      <c r="K14" s="17">
        <f t="shared" si="1"/>
        <v>4138357</v>
      </c>
    </row>
    <row r="15" spans="1:11" x14ac:dyDescent="0.25">
      <c r="A15">
        <v>46</v>
      </c>
      <c r="B15" s="15">
        <v>8</v>
      </c>
      <c r="C15" s="17">
        <v>115504</v>
      </c>
      <c r="I15" s="17">
        <f t="shared" si="0"/>
        <v>115504</v>
      </c>
      <c r="J15" s="17"/>
      <c r="K15" s="17">
        <f t="shared" si="1"/>
        <v>115504</v>
      </c>
    </row>
    <row r="16" spans="1:11" x14ac:dyDescent="0.25">
      <c r="A16">
        <v>49</v>
      </c>
      <c r="B16" s="15">
        <v>28</v>
      </c>
      <c r="C16" s="17">
        <v>404264</v>
      </c>
      <c r="I16" s="17">
        <f t="shared" si="0"/>
        <v>404264</v>
      </c>
      <c r="J16" s="17"/>
      <c r="K16" s="17">
        <f t="shared" si="1"/>
        <v>404264</v>
      </c>
    </row>
    <row r="17" spans="1:11" x14ac:dyDescent="0.25">
      <c r="A17">
        <v>4025</v>
      </c>
      <c r="B17" s="15">
        <v>69</v>
      </c>
      <c r="C17" s="17">
        <v>70909</v>
      </c>
      <c r="D17" s="170">
        <f>+C17/B17</f>
        <v>1027.6666666666667</v>
      </c>
      <c r="E17" s="174">
        <v>20</v>
      </c>
      <c r="F17" s="174">
        <v>17</v>
      </c>
      <c r="G17" s="47">
        <f>SUM(E17:F17)</f>
        <v>37</v>
      </c>
      <c r="H17" s="47"/>
      <c r="I17" s="17"/>
      <c r="K17" s="17"/>
    </row>
    <row r="18" spans="1:11" x14ac:dyDescent="0.25">
      <c r="A18">
        <v>4026</v>
      </c>
      <c r="B18" s="15">
        <v>92</v>
      </c>
      <c r="C18" s="17">
        <v>112148</v>
      </c>
      <c r="D18" s="170">
        <f>+C18/B18</f>
        <v>1219</v>
      </c>
      <c r="E18" s="174">
        <v>11</v>
      </c>
      <c r="F18" s="174">
        <v>55</v>
      </c>
      <c r="G18" s="47">
        <f t="shared" ref="G18:G19" si="2">SUM(E18:F18)</f>
        <v>66</v>
      </c>
      <c r="H18" s="47"/>
      <c r="I18" s="17"/>
      <c r="J18" s="17"/>
      <c r="K18" s="17"/>
    </row>
    <row r="19" spans="1:11" x14ac:dyDescent="0.25">
      <c r="A19">
        <v>4031</v>
      </c>
      <c r="B19" s="15">
        <v>39</v>
      </c>
      <c r="C19" s="17">
        <v>1086906</v>
      </c>
      <c r="D19" s="170">
        <f>+C19/B19</f>
        <v>27869.384615384617</v>
      </c>
      <c r="E19" s="174">
        <v>5</v>
      </c>
      <c r="F19" s="174">
        <v>27</v>
      </c>
      <c r="G19" s="47">
        <f t="shared" si="2"/>
        <v>32</v>
      </c>
      <c r="H19" s="47"/>
      <c r="I19" s="17"/>
      <c r="J19" s="17"/>
      <c r="K19" s="17"/>
    </row>
    <row r="20" spans="1:11" x14ac:dyDescent="0.25">
      <c r="A20" t="s">
        <v>223</v>
      </c>
      <c r="B20" s="15">
        <v>7</v>
      </c>
      <c r="C20" s="17">
        <v>101066</v>
      </c>
      <c r="D20" s="170"/>
      <c r="E20" s="174"/>
      <c r="F20" s="174"/>
      <c r="I20" s="17">
        <f>+C20</f>
        <v>101066</v>
      </c>
      <c r="J20" s="17"/>
      <c r="K20" s="17">
        <f>+I20+J20</f>
        <v>101066</v>
      </c>
    </row>
    <row r="21" spans="1:11" x14ac:dyDescent="0.25">
      <c r="A21" t="s">
        <v>224</v>
      </c>
      <c r="B21" s="15">
        <v>3</v>
      </c>
      <c r="C21" s="17">
        <v>86046</v>
      </c>
      <c r="D21" s="170"/>
      <c r="E21" s="174"/>
      <c r="F21" s="174"/>
      <c r="I21" s="17">
        <f>+C21</f>
        <v>86046</v>
      </c>
      <c r="J21" s="17"/>
      <c r="K21" s="17">
        <f>+I21+J21</f>
        <v>86046</v>
      </c>
    </row>
    <row r="22" spans="1:11" x14ac:dyDescent="0.25">
      <c r="A22" t="s">
        <v>225</v>
      </c>
      <c r="B22" s="15">
        <v>45</v>
      </c>
      <c r="C22" s="17">
        <v>649710</v>
      </c>
      <c r="D22" s="170"/>
      <c r="E22" s="174"/>
      <c r="F22" s="174"/>
      <c r="I22" s="17">
        <f>+C22</f>
        <v>649710</v>
      </c>
      <c r="J22" s="17"/>
      <c r="K22" s="17">
        <f>+I22+J22</f>
        <v>649710</v>
      </c>
    </row>
    <row r="23" spans="1:11" x14ac:dyDescent="0.25">
      <c r="A23" t="s">
        <v>8</v>
      </c>
      <c r="B23" s="15">
        <v>1172654</v>
      </c>
      <c r="C23" s="17">
        <v>176872269</v>
      </c>
      <c r="E23" s="174">
        <f>SUM(E17:E19)</f>
        <v>36</v>
      </c>
      <c r="F23" s="174">
        <f>SUM(F17:F19)</f>
        <v>99</v>
      </c>
      <c r="G23" s="174">
        <f>SUM(G17:G19)</f>
        <v>135</v>
      </c>
      <c r="H23" s="174"/>
    </row>
    <row r="25" spans="1:11" x14ac:dyDescent="0.25">
      <c r="A25" t="s">
        <v>330</v>
      </c>
      <c r="J25" s="17">
        <f>SUMPRODUCT(F17:F19,D17:D19)</f>
        <v>836988.717948718</v>
      </c>
      <c r="K25" s="17">
        <f>+I25+J25</f>
        <v>836988.717948718</v>
      </c>
    </row>
    <row r="26" spans="1:11" x14ac:dyDescent="0.25">
      <c r="A26" t="s">
        <v>6</v>
      </c>
      <c r="B26" s="15">
        <v>8</v>
      </c>
      <c r="D26" s="176">
        <f>+C9/B9</f>
        <v>1166.308349026993</v>
      </c>
      <c r="K26" s="17">
        <f>+B26*D26</f>
        <v>9330.4667922159442</v>
      </c>
    </row>
    <row r="27" spans="1:11" x14ac:dyDescent="0.25">
      <c r="I27" s="17">
        <f>SUM(I7:I25)</f>
        <v>175602306</v>
      </c>
      <c r="J27" s="17"/>
      <c r="K27" s="17">
        <f>SUM(K7:K26)</f>
        <v>176621934.4411512</v>
      </c>
    </row>
    <row r="28" spans="1:11" x14ac:dyDescent="0.25">
      <c r="A28" t="s">
        <v>363</v>
      </c>
      <c r="B28" s="15">
        <f>+B26+B23</f>
        <v>1172662</v>
      </c>
    </row>
    <row r="29" spans="1:11" x14ac:dyDescent="0.25">
      <c r="A29" t="s">
        <v>373</v>
      </c>
      <c r="B29" s="15">
        <f>-SUM(B17:B19)</f>
        <v>-200</v>
      </c>
    </row>
    <row r="30" spans="1:11" x14ac:dyDescent="0.25">
      <c r="A30" t="s">
        <v>374</v>
      </c>
      <c r="B30" s="47">
        <f>+G23</f>
        <v>135</v>
      </c>
    </row>
    <row r="31" spans="1:11" x14ac:dyDescent="0.25">
      <c r="A31" t="s">
        <v>372</v>
      </c>
      <c r="B31" s="15">
        <f>SUM(B28:B30)</f>
        <v>1172597</v>
      </c>
    </row>
    <row r="33" spans="1:2" x14ac:dyDescent="0.25">
      <c r="A33" t="s">
        <v>375</v>
      </c>
      <c r="B33" s="15">
        <f>+E17+B9+B11</f>
        <v>8737</v>
      </c>
    </row>
    <row r="34" spans="1:2" x14ac:dyDescent="0.25">
      <c r="A34" s="147" t="s">
        <v>377</v>
      </c>
      <c r="B34" s="15">
        <f>+E18+B10</f>
        <v>883</v>
      </c>
    </row>
    <row r="35" spans="1:2" x14ac:dyDescent="0.25">
      <c r="A35" s="147" t="s">
        <v>376</v>
      </c>
      <c r="B35" s="47">
        <f>+B12+E19</f>
        <v>530</v>
      </c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.3" footer="0.3"/>
  <pageSetup scale="84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H1"/>
    </sheetView>
  </sheetViews>
  <sheetFormatPr defaultColWidth="8.85546875" defaultRowHeight="15" x14ac:dyDescent="0.25"/>
  <cols>
    <col min="1" max="1" width="7.7109375" style="1" bestFit="1" customWidth="1"/>
    <col min="2" max="2" width="22.5703125" style="1" bestFit="1" customWidth="1"/>
    <col min="3" max="4" width="15.140625" style="1" bestFit="1" customWidth="1"/>
    <col min="5" max="5" width="10.42578125" style="1" bestFit="1" customWidth="1"/>
    <col min="6" max="6" width="15.28515625" style="1" customWidth="1"/>
    <col min="7" max="7" width="15.140625" style="1" bestFit="1" customWidth="1"/>
    <col min="8" max="8" width="10.42578125" style="1" bestFit="1" customWidth="1"/>
    <col min="9" max="16384" width="8.85546875" style="1"/>
  </cols>
  <sheetData>
    <row r="1" spans="1:10" x14ac:dyDescent="0.25">
      <c r="A1" s="500" t="s">
        <v>33</v>
      </c>
      <c r="B1" s="500"/>
      <c r="C1" s="500"/>
      <c r="D1" s="500"/>
      <c r="E1" s="500"/>
      <c r="F1" s="500"/>
      <c r="G1" s="500"/>
      <c r="H1" s="500"/>
      <c r="J1" s="455" t="s">
        <v>572</v>
      </c>
    </row>
    <row r="2" spans="1:10" x14ac:dyDescent="0.25">
      <c r="A2" s="500" t="s">
        <v>261</v>
      </c>
      <c r="B2" s="500"/>
      <c r="C2" s="500"/>
      <c r="D2" s="500"/>
      <c r="E2" s="500"/>
      <c r="F2" s="500"/>
      <c r="G2" s="500"/>
      <c r="H2" s="500"/>
    </row>
    <row r="3" spans="1:10" x14ac:dyDescent="0.25">
      <c r="A3" s="501" t="s">
        <v>353</v>
      </c>
      <c r="B3" s="500"/>
      <c r="C3" s="500"/>
      <c r="D3" s="500"/>
      <c r="E3" s="500"/>
      <c r="F3" s="500"/>
      <c r="G3" s="500"/>
      <c r="H3" s="500"/>
    </row>
    <row r="4" spans="1:10" x14ac:dyDescent="0.25">
      <c r="A4" s="501" t="s">
        <v>324</v>
      </c>
      <c r="B4" s="500"/>
      <c r="C4" s="500"/>
      <c r="D4" s="500"/>
      <c r="E4" s="500"/>
      <c r="F4" s="500"/>
      <c r="G4" s="500"/>
      <c r="H4" s="500"/>
    </row>
    <row r="5" spans="1:10" ht="15.75" thickBot="1" x14ac:dyDescent="0.3">
      <c r="A5" s="81"/>
      <c r="B5" s="81"/>
      <c r="C5" s="81"/>
      <c r="D5" s="81"/>
      <c r="E5" s="81"/>
      <c r="F5" s="81"/>
      <c r="G5" s="81"/>
      <c r="H5" s="81"/>
    </row>
    <row r="6" spans="1:10" ht="15.75" thickBot="1" x14ac:dyDescent="0.3">
      <c r="A6" s="81"/>
      <c r="B6" s="81"/>
      <c r="C6" s="502" t="s">
        <v>262</v>
      </c>
      <c r="D6" s="503"/>
      <c r="E6" s="503"/>
      <c r="F6" s="503"/>
      <c r="G6" s="502" t="s">
        <v>263</v>
      </c>
      <c r="H6" s="504"/>
    </row>
    <row r="7" spans="1:10" ht="15.75" thickBot="1" x14ac:dyDescent="0.3">
      <c r="A7" s="81"/>
      <c r="B7" s="81"/>
      <c r="C7" s="82" t="s">
        <v>77</v>
      </c>
      <c r="D7" s="83" t="s">
        <v>83</v>
      </c>
      <c r="E7" s="83" t="s">
        <v>178</v>
      </c>
      <c r="F7" s="83" t="s">
        <v>81</v>
      </c>
      <c r="G7" s="498"/>
      <c r="H7" s="499"/>
    </row>
    <row r="8" spans="1:10" ht="65.25" thickBot="1" x14ac:dyDescent="0.3">
      <c r="A8" s="85" t="s">
        <v>110</v>
      </c>
      <c r="B8" s="85" t="s">
        <v>227</v>
      </c>
      <c r="C8" s="93" t="s">
        <v>264</v>
      </c>
      <c r="D8" s="92" t="s">
        <v>265</v>
      </c>
      <c r="E8" s="92" t="s">
        <v>266</v>
      </c>
      <c r="F8" s="92" t="s">
        <v>267</v>
      </c>
      <c r="G8" s="93" t="s">
        <v>103</v>
      </c>
      <c r="H8" s="94" t="s">
        <v>268</v>
      </c>
    </row>
    <row r="9" spans="1:10" x14ac:dyDescent="0.25">
      <c r="A9" s="82">
        <v>1</v>
      </c>
      <c r="B9" s="86">
        <v>7</v>
      </c>
      <c r="C9" s="95">
        <f>+G9</f>
        <v>11476152247.161776</v>
      </c>
      <c r="D9" s="96">
        <f>+C9</f>
        <v>11476152247.161776</v>
      </c>
      <c r="E9" s="458">
        <f>'Load Research Data - Dem 4CP'!D64</f>
        <v>0.51839579170083305</v>
      </c>
      <c r="F9" s="458">
        <f>'Load Research Data - Dem 4CP'!D65</f>
        <v>0.55930075928897527</v>
      </c>
      <c r="G9" s="97">
        <f>+'Load Research Data -Energy'!J22</f>
        <v>11476152247.161776</v>
      </c>
      <c r="H9" s="456">
        <f>+'Load Research Data - Dem 4CP'!D63</f>
        <v>0.51307840396362336</v>
      </c>
    </row>
    <row r="10" spans="1:10" x14ac:dyDescent="0.25">
      <c r="A10" s="87">
        <v>2</v>
      </c>
      <c r="B10" s="88" t="s">
        <v>356</v>
      </c>
      <c r="C10" s="95">
        <f t="shared" ref="C10:C20" si="0">+G10</f>
        <v>2915955626.4103169</v>
      </c>
      <c r="D10" s="96">
        <f t="shared" ref="D10:D18" si="1">+C10</f>
        <v>2915955626.4103169</v>
      </c>
      <c r="E10" s="458">
        <f>'Load Research Data - Dem 4CP'!E64</f>
        <v>0.11608532526977637</v>
      </c>
      <c r="F10" s="458">
        <f>'Load Research Data - Dem 4CP'!E65</f>
        <v>0.12524525006785323</v>
      </c>
      <c r="G10" s="97">
        <f>+'Load Research Data -Energy'!J23</f>
        <v>2915955626.4103169</v>
      </c>
      <c r="H10" s="456">
        <f>+'Load Research Data - Dem 4CP'!E63</f>
        <v>0.11489459283147035</v>
      </c>
    </row>
    <row r="11" spans="1:10" x14ac:dyDescent="0.25">
      <c r="A11" s="87">
        <v>3</v>
      </c>
      <c r="B11" s="88" t="s">
        <v>357</v>
      </c>
      <c r="C11" s="95">
        <f t="shared" si="0"/>
        <v>3242765959.9604325</v>
      </c>
      <c r="D11" s="96">
        <f t="shared" si="1"/>
        <v>3242765959.9604325</v>
      </c>
      <c r="E11" s="458">
        <f>+'Load Research Data - Dem 4CP'!F64+'Load Research Data - Dem 4CP'!H64</f>
        <v>0.13598044658893979</v>
      </c>
      <c r="F11" s="458">
        <f>+'Load Research Data - Dem 4CP'!F65+'Load Research Data - Dem 4CP'!H65</f>
        <v>0.14671023230361951</v>
      </c>
      <c r="G11" s="97">
        <f>+'Load Research Data -Energy'!J24+'Load Research Data -Energy'!J26</f>
        <v>3242765959.9604325</v>
      </c>
      <c r="H11" s="457">
        <f>+'Load Research Data - Dem 4CP'!F63+'Load Research Data - Dem 4CP'!H63</f>
        <v>0.134585642134953</v>
      </c>
    </row>
    <row r="12" spans="1:10" x14ac:dyDescent="0.25">
      <c r="A12" s="87">
        <v>4</v>
      </c>
      <c r="B12" s="88" t="s">
        <v>358</v>
      </c>
      <c r="C12" s="95">
        <f t="shared" si="0"/>
        <v>2092770306.5275679</v>
      </c>
      <c r="D12" s="96">
        <f t="shared" si="1"/>
        <v>2092770306.5275679</v>
      </c>
      <c r="E12" s="458">
        <f>'Load Research Data - Dem 4CP'!G64</f>
        <v>7.6424823051727597E-2</v>
      </c>
      <c r="F12" s="458">
        <f>'Load Research Data - Dem 4CP'!G65</f>
        <v>8.2455263421630384E-2</v>
      </c>
      <c r="G12" s="97">
        <f>+'Load Research Data -Energy'!J25</f>
        <v>2092770306.5275679</v>
      </c>
      <c r="H12" s="456">
        <f>+'Load Research Data - Dem 4CP'!G63</f>
        <v>7.5640903846711752E-2</v>
      </c>
    </row>
    <row r="13" spans="1:10" x14ac:dyDescent="0.25">
      <c r="A13" s="87">
        <v>5</v>
      </c>
      <c r="B13" s="89" t="s">
        <v>359</v>
      </c>
      <c r="C13" s="95">
        <f t="shared" si="0"/>
        <v>1456029850.0547175</v>
      </c>
      <c r="D13" s="96">
        <f t="shared" si="1"/>
        <v>1456029850.0547175</v>
      </c>
      <c r="E13" s="458">
        <f>'Load Research Data - Dem 4CP'!I64</f>
        <v>5.4539519606154552E-2</v>
      </c>
      <c r="F13" s="458">
        <f>'Load Research Data - Dem 4CP'!I65</f>
        <v>5.8843060100653925E-2</v>
      </c>
      <c r="G13" s="97">
        <f>+'Load Research Data -Energy'!J27</f>
        <v>1456029850.0547175</v>
      </c>
      <c r="H13" s="456">
        <f>+'Load Research Data - Dem 4CP'!I63</f>
        <v>5.3980086490782273E-2</v>
      </c>
    </row>
    <row r="14" spans="1:10" x14ac:dyDescent="0.25">
      <c r="A14" s="87">
        <v>6</v>
      </c>
      <c r="B14" s="88">
        <v>35</v>
      </c>
      <c r="C14" s="95">
        <f t="shared" si="0"/>
        <v>4597572.0317007378</v>
      </c>
      <c r="D14" s="96">
        <f t="shared" si="1"/>
        <v>4597572.0317007378</v>
      </c>
      <c r="E14" s="458">
        <f>'Load Research Data - Dem 4CP'!J64</f>
        <v>2.7839481457139206E-4</v>
      </c>
      <c r="F14" s="458">
        <f>'Load Research Data - Dem 4CP'!J65</f>
        <v>3.0036206632971942E-4</v>
      </c>
      <c r="G14" s="97">
        <f>+'Load Research Data -Energy'!J28</f>
        <v>4597572.0317007378</v>
      </c>
      <c r="H14" s="456">
        <f>+'Load Research Data - Dem 4CP'!J63</f>
        <v>2.7553921042335722E-4</v>
      </c>
    </row>
    <row r="15" spans="1:10" x14ac:dyDescent="0.25">
      <c r="A15" s="87">
        <v>7</v>
      </c>
      <c r="B15" s="88">
        <v>43</v>
      </c>
      <c r="C15" s="95">
        <f t="shared" si="0"/>
        <v>126890757.18193617</v>
      </c>
      <c r="D15" s="96">
        <f t="shared" si="1"/>
        <v>126890757.18193617</v>
      </c>
      <c r="E15" s="458">
        <v>0</v>
      </c>
      <c r="F15" s="458">
        <v>0</v>
      </c>
      <c r="G15" s="97">
        <f>+'Load Research Data -Energy'!J30</f>
        <v>126890757.18193617</v>
      </c>
      <c r="H15" s="456">
        <f>+'Load Research Data - Dem 4CP'!K63</f>
        <v>1.0257389859905279E-2</v>
      </c>
    </row>
    <row r="16" spans="1:10" x14ac:dyDescent="0.25">
      <c r="A16" s="87">
        <v>8</v>
      </c>
      <c r="B16" s="88" t="s">
        <v>330</v>
      </c>
      <c r="C16" s="95">
        <f t="shared" si="0"/>
        <v>350081232.79927498</v>
      </c>
      <c r="D16" s="96">
        <v>0</v>
      </c>
      <c r="E16" s="458">
        <f>'Load Research Data - Dem 4CP'!L64</f>
        <v>1.3653864292705677E-2</v>
      </c>
      <c r="F16" s="458">
        <v>0</v>
      </c>
      <c r="G16" s="97">
        <f>+'Load Research Data -Energy'!J44</f>
        <v>350081232.79927498</v>
      </c>
      <c r="H16" s="456">
        <f>+'Load Research Data - Dem 4CP'!L63</f>
        <v>1.3513811283561154E-2</v>
      </c>
    </row>
    <row r="17" spans="1:8" x14ac:dyDescent="0.25">
      <c r="A17" s="87">
        <v>9</v>
      </c>
      <c r="B17" s="89" t="s">
        <v>360</v>
      </c>
      <c r="C17" s="95">
        <f t="shared" si="0"/>
        <v>630228919.26662493</v>
      </c>
      <c r="D17" s="96">
        <f t="shared" si="1"/>
        <v>630228919.26662493</v>
      </c>
      <c r="E17" s="458">
        <f>+'Load Research Data - Dem 4CP'!M64+'Load Research Data - Dem 4CP'!N64</f>
        <v>2.1263893999383224E-2</v>
      </c>
      <c r="F17" s="458">
        <f>+'Load Research Data - Dem 4CP'!M65+'Load Research Data - Dem 4CP'!N65</f>
        <v>2.2941760426478809E-2</v>
      </c>
      <c r="G17" s="97">
        <f>+'Load Research Data -Energy'!J31+'Load Research Data -Energy'!J32</f>
        <v>630228919.26662493</v>
      </c>
      <c r="H17" s="457">
        <f>+'Load Research Data - Dem 4CP'!M63+'Load Research Data - Dem 4CP'!N63</f>
        <v>2.104578194869185E-2</v>
      </c>
    </row>
    <row r="18" spans="1:8" x14ac:dyDescent="0.25">
      <c r="A18" s="87">
        <v>10</v>
      </c>
      <c r="B18" s="89" t="s">
        <v>355</v>
      </c>
      <c r="C18" s="95">
        <f t="shared" si="0"/>
        <v>75887375.026475519</v>
      </c>
      <c r="D18" s="96">
        <f t="shared" si="1"/>
        <v>75887375.026475519</v>
      </c>
      <c r="E18" s="458">
        <f>'Load Research Data - Dem 4CP'!O64</f>
        <v>3.5693255381757374E-3</v>
      </c>
      <c r="F18" s="458">
        <f>'Load Research Data - Dem 4CP'!O65</f>
        <v>3.8509696946060533E-3</v>
      </c>
      <c r="G18" s="97">
        <f>+'Load Research Data -Energy'!J34</f>
        <v>75887375.026475519</v>
      </c>
      <c r="H18" s="456">
        <f>+'Load Research Data - Dem 4CP'!O63</f>
        <v>3.5327135745937526E-3</v>
      </c>
    </row>
    <row r="19" spans="1:8" x14ac:dyDescent="0.25">
      <c r="A19" s="87">
        <v>11</v>
      </c>
      <c r="B19" s="89" t="s">
        <v>354</v>
      </c>
      <c r="C19" s="95">
        <f t="shared" si="0"/>
        <v>2066150549.7926297</v>
      </c>
      <c r="D19" s="96">
        <v>0</v>
      </c>
      <c r="E19" s="458">
        <f>'Load Research Data - Dem 4CP'!R64</f>
        <v>5.9482041405229856E-2</v>
      </c>
      <c r="F19" s="458">
        <v>0</v>
      </c>
      <c r="G19" s="97">
        <f>+'Load Research Data -Energy'!J41+'Load Research Data -Energy'!J42+'Load Research Data -Energy'!J43</f>
        <v>2066150549.7926297</v>
      </c>
      <c r="H19" s="456">
        <f>+'Load Research Data - Dem 4CP'!R63</f>
        <v>5.8871910916873382E-2</v>
      </c>
    </row>
    <row r="20" spans="1:8" x14ac:dyDescent="0.25">
      <c r="A20" s="87">
        <v>14</v>
      </c>
      <c r="B20" s="88" t="s">
        <v>6</v>
      </c>
      <c r="C20" s="95">
        <f t="shared" si="0"/>
        <v>7427003.1359829875</v>
      </c>
      <c r="D20" s="96">
        <f t="shared" ref="D20" si="2">+C20</f>
        <v>7427003.1359829875</v>
      </c>
      <c r="E20" s="458">
        <f>'Load Research Data - Dem 4CP'!P64</f>
        <v>3.2657373250287951E-4</v>
      </c>
      <c r="F20" s="458">
        <f>'Load Research Data - Dem 4CP'!P65</f>
        <v>3.5234262985318459E-4</v>
      </c>
      <c r="G20" s="97">
        <f>+'Load Research Data -Energy'!J33</f>
        <v>7427003.1359829875</v>
      </c>
      <c r="H20" s="456">
        <f>+'Load Research Data - Dem 4CP'!P63</f>
        <v>3.2322393841059303E-4</v>
      </c>
    </row>
    <row r="21" spans="1:8" x14ac:dyDescent="0.25">
      <c r="A21" s="87">
        <v>15</v>
      </c>
      <c r="B21" s="84"/>
      <c r="C21" s="95"/>
      <c r="D21" s="96"/>
      <c r="E21" s="458"/>
      <c r="F21" s="458"/>
      <c r="G21" s="97"/>
      <c r="H21" s="456"/>
    </row>
    <row r="22" spans="1:8" x14ac:dyDescent="0.25">
      <c r="A22" s="87">
        <v>16</v>
      </c>
      <c r="B22" s="84" t="s">
        <v>4</v>
      </c>
      <c r="C22" s="95">
        <f>SUM(C9:C20)</f>
        <v>24444937399.34943</v>
      </c>
      <c r="D22" s="96">
        <f>SUM(D9:D21)</f>
        <v>22028705616.757526</v>
      </c>
      <c r="E22" s="458">
        <f t="shared" ref="E22:F22" si="3">SUM(E9:E20)</f>
        <v>1</v>
      </c>
      <c r="F22" s="458">
        <f t="shared" si="3"/>
        <v>1.0000000000000002</v>
      </c>
      <c r="G22" s="97">
        <f t="shared" ref="G22" si="4">SUM(G9:G20)</f>
        <v>24444937399.34943</v>
      </c>
      <c r="H22" s="456">
        <f>SUM(H9:H20)</f>
        <v>1</v>
      </c>
    </row>
    <row r="23" spans="1:8" x14ac:dyDescent="0.25">
      <c r="A23" s="87">
        <v>17</v>
      </c>
      <c r="B23" s="84" t="s">
        <v>269</v>
      </c>
      <c r="C23" s="95">
        <f>+'Load Research Data -Energy'!J36+'Load Research Data -Energy'!J46</f>
        <v>24444937399.34943</v>
      </c>
      <c r="D23" s="96">
        <f>+'Load Research Data -Energy'!J36</f>
        <v>22028705616.757526</v>
      </c>
      <c r="E23" s="458">
        <f>+'Load Research Data - Dem 4CP'!Q64+'Load Research Data - Dem 4CP'!R64</f>
        <v>1</v>
      </c>
      <c r="F23" s="458">
        <f>+'Load Research Data - Dem 4CP'!Q65+'Load Research Data - Dem 4CP'!R65</f>
        <v>1</v>
      </c>
      <c r="G23" s="97">
        <f>+'Load Research Data -Energy'!J36+'Load Research Data -Energy'!J46</f>
        <v>24444937399.34943</v>
      </c>
      <c r="H23" s="456">
        <f>+'Load Research Data - Dem 4CP'!Q63+'Load Research Data - Dem 4CP'!R63</f>
        <v>1</v>
      </c>
    </row>
    <row r="24" spans="1:8" x14ac:dyDescent="0.25">
      <c r="A24" s="87">
        <v>18</v>
      </c>
      <c r="B24" s="84" t="s">
        <v>269</v>
      </c>
      <c r="C24" s="95">
        <f>+C22-C23</f>
        <v>0</v>
      </c>
      <c r="D24" s="96">
        <f>+D22-D23</f>
        <v>0</v>
      </c>
      <c r="E24" s="458">
        <f>+E22-E23</f>
        <v>0</v>
      </c>
      <c r="F24" s="458">
        <f t="shared" ref="F24" si="5">+F22-F23</f>
        <v>0</v>
      </c>
      <c r="G24" s="97">
        <f t="shared" ref="G24" si="6">+G22-G23</f>
        <v>0</v>
      </c>
      <c r="H24" s="456">
        <f>+H22-H23</f>
        <v>0</v>
      </c>
    </row>
    <row r="25" spans="1:8" ht="15.75" thickBot="1" x14ac:dyDescent="0.3">
      <c r="A25" s="90"/>
      <c r="B25" s="91"/>
      <c r="C25" s="98"/>
      <c r="D25" s="99"/>
      <c r="E25" s="99"/>
      <c r="F25" s="99"/>
      <c r="G25" s="98"/>
      <c r="H25" s="100"/>
    </row>
    <row r="26" spans="1:8" x14ac:dyDescent="0.25">
      <c r="A26" s="81"/>
      <c r="B26" s="81"/>
      <c r="C26" s="81"/>
      <c r="D26" s="81"/>
      <c r="E26" s="81"/>
      <c r="F26" s="81"/>
      <c r="G26" s="81"/>
      <c r="H26" s="81"/>
    </row>
    <row r="28" spans="1:8" x14ac:dyDescent="0.25">
      <c r="C28" s="108"/>
      <c r="D28" s="108"/>
      <c r="E28" s="108"/>
      <c r="F28" s="108"/>
      <c r="G28" s="108"/>
      <c r="H28" s="108"/>
    </row>
  </sheetData>
  <mergeCells count="7">
    <mergeCell ref="G7:H7"/>
    <mergeCell ref="A1:H1"/>
    <mergeCell ref="A2:H2"/>
    <mergeCell ref="A3:H3"/>
    <mergeCell ref="A4:H4"/>
    <mergeCell ref="C6:F6"/>
    <mergeCell ref="G6:H6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workbookViewId="0"/>
  </sheetViews>
  <sheetFormatPr defaultColWidth="8.85546875" defaultRowHeight="15" x14ac:dyDescent="0.25"/>
  <cols>
    <col min="1" max="1" width="17.42578125" style="1" bestFit="1" customWidth="1"/>
    <col min="2" max="2" width="10.5703125" style="1" bestFit="1" customWidth="1"/>
    <col min="3" max="3" width="5.5703125" style="1" bestFit="1" customWidth="1"/>
    <col min="4" max="4" width="11" style="1" bestFit="1" customWidth="1"/>
    <col min="5" max="7" width="10" style="1" bestFit="1" customWidth="1"/>
    <col min="8" max="8" width="7.5703125" style="1" bestFit="1" customWidth="1"/>
    <col min="9" max="9" width="10" style="1" bestFit="1" customWidth="1"/>
    <col min="10" max="10" width="6.5703125" style="1" bestFit="1" customWidth="1"/>
    <col min="11" max="12" width="8.5703125" style="1" bestFit="1" customWidth="1"/>
    <col min="13" max="13" width="7.5703125" style="1" bestFit="1" customWidth="1"/>
    <col min="14" max="14" width="8.5703125" style="1" bestFit="1" customWidth="1"/>
    <col min="15" max="15" width="7.5703125" style="1" bestFit="1" customWidth="1"/>
    <col min="16" max="16" width="6.5703125" style="1" bestFit="1" customWidth="1"/>
    <col min="17" max="17" width="11" style="1" bestFit="1" customWidth="1"/>
    <col min="18" max="19" width="10" style="1" bestFit="1" customWidth="1"/>
    <col min="20" max="16384" width="8.85546875" style="1"/>
  </cols>
  <sheetData>
    <row r="1" spans="1:25" x14ac:dyDescent="0.25">
      <c r="A1" s="449" t="s">
        <v>410</v>
      </c>
    </row>
    <row r="2" spans="1:25" x14ac:dyDescent="0.25">
      <c r="A2" s="1" t="s">
        <v>411</v>
      </c>
    </row>
    <row r="4" spans="1:25" x14ac:dyDescent="0.25">
      <c r="A4" s="1" t="s">
        <v>412</v>
      </c>
      <c r="B4" s="1" t="s">
        <v>413</v>
      </c>
      <c r="C4" s="1" t="s">
        <v>414</v>
      </c>
      <c r="D4" s="1" t="s">
        <v>415</v>
      </c>
      <c r="E4" s="1" t="s">
        <v>416</v>
      </c>
      <c r="F4" s="1" t="s">
        <v>417</v>
      </c>
      <c r="G4" s="1" t="s">
        <v>418</v>
      </c>
      <c r="H4" s="1" t="s">
        <v>419</v>
      </c>
      <c r="I4" s="1" t="s">
        <v>420</v>
      </c>
      <c r="J4" s="1" t="s">
        <v>421</v>
      </c>
      <c r="K4" s="1" t="s">
        <v>422</v>
      </c>
      <c r="L4" s="1" t="s">
        <v>423</v>
      </c>
      <c r="M4" s="1" t="s">
        <v>424</v>
      </c>
      <c r="N4" s="1" t="s">
        <v>425</v>
      </c>
      <c r="O4" s="1" t="s">
        <v>5</v>
      </c>
      <c r="P4" s="1" t="s">
        <v>426</v>
      </c>
      <c r="Q4" s="1" t="s">
        <v>427</v>
      </c>
      <c r="R4" s="1" t="s">
        <v>428</v>
      </c>
      <c r="S4" s="1" t="s">
        <v>4</v>
      </c>
      <c r="U4" s="1" t="s">
        <v>549</v>
      </c>
      <c r="V4" s="1" t="s">
        <v>550</v>
      </c>
      <c r="W4" s="103">
        <v>459</v>
      </c>
      <c r="X4" s="1" t="s">
        <v>428</v>
      </c>
    </row>
    <row r="5" spans="1:25" x14ac:dyDescent="0.25">
      <c r="A5" s="178">
        <v>43101</v>
      </c>
      <c r="B5" s="177">
        <v>43102</v>
      </c>
      <c r="C5" s="1" t="s">
        <v>429</v>
      </c>
      <c r="D5" s="179">
        <v>2451658.627491157</v>
      </c>
      <c r="E5" s="179">
        <v>471173.08485940099</v>
      </c>
      <c r="F5" s="179">
        <v>438464.57535427733</v>
      </c>
      <c r="G5" s="179">
        <v>238160.17031604124</v>
      </c>
      <c r="H5" s="179">
        <v>456.83185222461861</v>
      </c>
      <c r="I5" s="179">
        <v>193014.15414325823</v>
      </c>
      <c r="J5" s="179">
        <v>8.0893858558904288</v>
      </c>
      <c r="K5" s="179">
        <v>19555.05291473525</v>
      </c>
      <c r="L5" s="179">
        <v>52055.058981791277</v>
      </c>
      <c r="M5" s="179">
        <v>6439.8343590015247</v>
      </c>
      <c r="N5" s="179">
        <v>64000.526689762642</v>
      </c>
      <c r="O5" s="179">
        <v>17544.428690664128</v>
      </c>
      <c r="P5" s="179">
        <v>1469.5649618292723</v>
      </c>
      <c r="Q5" s="179">
        <f>SUM(D5:P5)</f>
        <v>3953999.9999999995</v>
      </c>
      <c r="R5" s="179">
        <v>246981.3839242247</v>
      </c>
      <c r="S5" s="108">
        <f>Q5+R5</f>
        <v>4200981.3839242244</v>
      </c>
      <c r="T5" s="446">
        <f>RANK(Q5,Q$5:Q$16)</f>
        <v>3</v>
      </c>
      <c r="U5" s="448">
        <v>201978</v>
      </c>
      <c r="V5" s="448">
        <v>8682</v>
      </c>
      <c r="W5" s="448">
        <v>36321</v>
      </c>
      <c r="X5" s="179">
        <f>SUM(U5:W5)</f>
        <v>246981</v>
      </c>
      <c r="Y5" s="108">
        <f t="shared" ref="Y5:Y16" si="0">X5-R5</f>
        <v>-0.38392422470496967</v>
      </c>
    </row>
    <row r="6" spans="1:25" x14ac:dyDescent="0.25">
      <c r="A6" s="178">
        <v>43132</v>
      </c>
      <c r="B6" s="177">
        <v>43154</v>
      </c>
      <c r="C6" s="1" t="s">
        <v>430</v>
      </c>
      <c r="D6" s="179">
        <v>2343427.6222602087</v>
      </c>
      <c r="E6" s="179">
        <v>532239.13259806007</v>
      </c>
      <c r="F6" s="179">
        <v>577208.51150491962</v>
      </c>
      <c r="G6" s="179">
        <v>337597.36057761702</v>
      </c>
      <c r="H6" s="179">
        <v>382.37580548877025</v>
      </c>
      <c r="I6" s="179">
        <v>214695.13704874928</v>
      </c>
      <c r="J6" s="179">
        <v>6.2226045045310983</v>
      </c>
      <c r="K6" s="179">
        <v>52645.553975916373</v>
      </c>
      <c r="L6" s="179">
        <v>61961.575252897703</v>
      </c>
      <c r="M6" s="179">
        <v>14276.874772038684</v>
      </c>
      <c r="N6" s="179">
        <v>69414.016391389465</v>
      </c>
      <c r="O6" s="179">
        <v>556.08839544154216</v>
      </c>
      <c r="P6" s="179">
        <v>1589.5288127673646</v>
      </c>
      <c r="Q6" s="179">
        <f t="shared" ref="Q6:Q16" si="1">SUM(D6:P6)</f>
        <v>4205999.9999999991</v>
      </c>
      <c r="R6" s="179">
        <v>251302.72100123111</v>
      </c>
      <c r="S6" s="108">
        <f t="shared" ref="S6:S16" si="2">Q6+R6</f>
        <v>4457302.7210012302</v>
      </c>
      <c r="T6" s="446">
        <f t="shared" ref="T6:T16" si="3">RANK(Q6,Q$5:Q$16)</f>
        <v>1</v>
      </c>
      <c r="U6" s="448">
        <v>206183</v>
      </c>
      <c r="V6" s="448">
        <v>8674</v>
      </c>
      <c r="W6" s="448">
        <v>36446</v>
      </c>
      <c r="X6" s="179">
        <f t="shared" ref="X6:X16" si="4">SUM(U6:W6)</f>
        <v>251303</v>
      </c>
      <c r="Y6" s="108">
        <f t="shared" si="0"/>
        <v>0.27899876888841391</v>
      </c>
    </row>
    <row r="7" spans="1:25" x14ac:dyDescent="0.25">
      <c r="A7" s="178">
        <v>43160</v>
      </c>
      <c r="B7" s="177">
        <v>43166</v>
      </c>
      <c r="C7" s="1" t="s">
        <v>430</v>
      </c>
      <c r="D7" s="179">
        <v>2008111.3276105835</v>
      </c>
      <c r="E7" s="179">
        <v>492291.24856311874</v>
      </c>
      <c r="F7" s="179">
        <v>526061.12433508027</v>
      </c>
      <c r="G7" s="179">
        <v>266037.83728892903</v>
      </c>
      <c r="H7" s="179">
        <v>462.95685566451311</v>
      </c>
      <c r="I7" s="179">
        <v>202111.59800062128</v>
      </c>
      <c r="J7" s="179">
        <v>6.8448649549842084</v>
      </c>
      <c r="K7" s="179">
        <v>42139.97802975103</v>
      </c>
      <c r="L7" s="179">
        <v>57604.221243931002</v>
      </c>
      <c r="M7" s="179">
        <v>9619.0970854188818</v>
      </c>
      <c r="N7" s="179">
        <v>68598.047546642905</v>
      </c>
      <c r="O7" s="179">
        <v>556.08839544154216</v>
      </c>
      <c r="P7" s="179">
        <v>1399.6301798619861</v>
      </c>
      <c r="Q7" s="179">
        <f t="shared" si="1"/>
        <v>3675000.0000000005</v>
      </c>
      <c r="R7" s="179">
        <v>246381.07596868131</v>
      </c>
      <c r="S7" s="108">
        <f t="shared" si="2"/>
        <v>3921381.0759686818</v>
      </c>
      <c r="T7" s="446">
        <f t="shared" si="3"/>
        <v>4</v>
      </c>
      <c r="U7" s="448">
        <v>200231</v>
      </c>
      <c r="V7" s="448">
        <v>10119</v>
      </c>
      <c r="W7" s="448">
        <v>36031</v>
      </c>
      <c r="X7" s="179">
        <f t="shared" si="4"/>
        <v>246381</v>
      </c>
      <c r="Y7" s="108">
        <f t="shared" si="0"/>
        <v>-7.5968681310769171E-2</v>
      </c>
    </row>
    <row r="8" spans="1:25" x14ac:dyDescent="0.25">
      <c r="A8" s="178">
        <v>43191</v>
      </c>
      <c r="B8" s="177">
        <v>43192</v>
      </c>
      <c r="C8" s="1" t="s">
        <v>430</v>
      </c>
      <c r="D8" s="179">
        <v>1752781.0204252896</v>
      </c>
      <c r="E8" s="179">
        <v>465136.24136914639</v>
      </c>
      <c r="F8" s="179">
        <v>528042.23916680645</v>
      </c>
      <c r="G8" s="179">
        <v>280934.64731822733</v>
      </c>
      <c r="H8" s="179">
        <v>464.74255771112968</v>
      </c>
      <c r="I8" s="179">
        <v>207665.99904258319</v>
      </c>
      <c r="J8" s="179">
        <v>7.4671254054373186</v>
      </c>
      <c r="K8" s="179">
        <v>41018.785779592225</v>
      </c>
      <c r="L8" s="179">
        <v>54789.720135451149</v>
      </c>
      <c r="M8" s="179">
        <v>8922.1941444571348</v>
      </c>
      <c r="N8" s="179">
        <v>71484.943808789132</v>
      </c>
      <c r="O8" s="179">
        <v>556.08839544154216</v>
      </c>
      <c r="P8" s="179">
        <v>1195.9107310993754</v>
      </c>
      <c r="Q8" s="179">
        <f t="shared" si="1"/>
        <v>3412999.9999999995</v>
      </c>
      <c r="R8" s="179">
        <v>248363.95589107269</v>
      </c>
      <c r="S8" s="108">
        <f t="shared" si="2"/>
        <v>3661363.9558910723</v>
      </c>
      <c r="T8" s="1">
        <f t="shared" si="3"/>
        <v>7</v>
      </c>
      <c r="U8" s="448">
        <v>206768</v>
      </c>
      <c r="V8" s="448">
        <v>8453</v>
      </c>
      <c r="W8" s="448">
        <v>33142</v>
      </c>
      <c r="X8" s="179">
        <f t="shared" si="4"/>
        <v>248363</v>
      </c>
      <c r="Y8" s="108">
        <f t="shared" si="0"/>
        <v>-0.95589107269188389</v>
      </c>
    </row>
    <row r="9" spans="1:25" x14ac:dyDescent="0.25">
      <c r="A9" s="178">
        <v>43221</v>
      </c>
      <c r="B9" s="177">
        <v>43234</v>
      </c>
      <c r="C9" s="1" t="s">
        <v>429</v>
      </c>
      <c r="D9" s="179">
        <v>1378717.395216984</v>
      </c>
      <c r="E9" s="179">
        <v>395968.69264537859</v>
      </c>
      <c r="F9" s="179">
        <v>481009.72731474403</v>
      </c>
      <c r="G9" s="179">
        <v>318699.87351684464</v>
      </c>
      <c r="H9" s="179">
        <v>3122.0778422315298</v>
      </c>
      <c r="I9" s="179">
        <v>196914.03478317583</v>
      </c>
      <c r="J9" s="179">
        <v>1006.1951483826786</v>
      </c>
      <c r="K9" s="179">
        <v>11913.885300986569</v>
      </c>
      <c r="L9" s="179">
        <v>52739.806203819906</v>
      </c>
      <c r="M9" s="179">
        <v>5103.8721236086249</v>
      </c>
      <c r="N9" s="179">
        <v>71799.657838975429</v>
      </c>
      <c r="O9" s="179">
        <v>556.08839544154216</v>
      </c>
      <c r="P9" s="179">
        <v>448.69366942663618</v>
      </c>
      <c r="Q9" s="179">
        <f t="shared" si="1"/>
        <v>2918000</v>
      </c>
      <c r="R9" s="179">
        <v>183833.6142165793</v>
      </c>
      <c r="S9" s="108">
        <f t="shared" si="2"/>
        <v>3101833.6142165791</v>
      </c>
      <c r="T9" s="1">
        <f t="shared" si="3"/>
        <v>11</v>
      </c>
      <c r="U9" s="448">
        <v>155480</v>
      </c>
      <c r="V9" s="448">
        <v>10431</v>
      </c>
      <c r="W9" s="448">
        <v>17922</v>
      </c>
      <c r="X9" s="179">
        <f t="shared" si="4"/>
        <v>183833</v>
      </c>
      <c r="Y9" s="108">
        <f t="shared" si="0"/>
        <v>-0.61421657929895446</v>
      </c>
    </row>
    <row r="10" spans="1:25" x14ac:dyDescent="0.25">
      <c r="A10" s="178">
        <v>43252</v>
      </c>
      <c r="B10" s="177">
        <v>43271</v>
      </c>
      <c r="C10" s="1" t="s">
        <v>429</v>
      </c>
      <c r="D10" s="179">
        <v>1692502.8158108443</v>
      </c>
      <c r="E10" s="179">
        <v>366929.83622786414</v>
      </c>
      <c r="F10" s="179">
        <v>428936.81992204918</v>
      </c>
      <c r="G10" s="179">
        <v>311833.03431395942</v>
      </c>
      <c r="H10" s="179">
        <v>4239.9594160984116</v>
      </c>
      <c r="I10" s="179">
        <v>200794.8737103228</v>
      </c>
      <c r="J10" s="179">
        <v>1001.217064779054</v>
      </c>
      <c r="K10" s="179">
        <v>9340.5828198340023</v>
      </c>
      <c r="L10" s="179">
        <v>55378.810934293055</v>
      </c>
      <c r="M10" s="179">
        <v>15966.281844442419</v>
      </c>
      <c r="N10" s="179">
        <v>73143.018176882964</v>
      </c>
      <c r="O10" s="179">
        <v>556.08839544154216</v>
      </c>
      <c r="P10" s="179">
        <v>376.66136318950726</v>
      </c>
      <c r="Q10" s="179">
        <f t="shared" si="1"/>
        <v>3161000.0000000005</v>
      </c>
      <c r="R10" s="179">
        <v>259632.62403940671</v>
      </c>
      <c r="S10" s="108">
        <f t="shared" si="2"/>
        <v>3420632.6240394074</v>
      </c>
      <c r="T10" s="1">
        <f t="shared" si="3"/>
        <v>9</v>
      </c>
      <c r="U10" s="448">
        <v>210154</v>
      </c>
      <c r="V10" s="448">
        <v>11008</v>
      </c>
      <c r="W10" s="448">
        <v>38471</v>
      </c>
      <c r="X10" s="179">
        <f t="shared" si="4"/>
        <v>259633</v>
      </c>
      <c r="Y10" s="108">
        <f t="shared" si="0"/>
        <v>0.37596059328643605</v>
      </c>
    </row>
    <row r="11" spans="1:25" x14ac:dyDescent="0.25">
      <c r="A11" s="178">
        <v>43282</v>
      </c>
      <c r="B11" s="177">
        <v>43311</v>
      </c>
      <c r="C11" s="1" t="s">
        <v>429</v>
      </c>
      <c r="D11" s="179">
        <v>1818838.1549716657</v>
      </c>
      <c r="E11" s="179">
        <v>397272.08625105734</v>
      </c>
      <c r="F11" s="179">
        <v>494405.52119706746</v>
      </c>
      <c r="G11" s="179">
        <v>346920.79413661058</v>
      </c>
      <c r="H11" s="179">
        <v>6257.2842516803221</v>
      </c>
      <c r="I11" s="179">
        <v>195859.14025093245</v>
      </c>
      <c r="J11" s="179">
        <v>1031.0855664008031</v>
      </c>
      <c r="K11" s="179">
        <v>8033.2059016026396</v>
      </c>
      <c r="L11" s="179">
        <v>54611.515031562725</v>
      </c>
      <c r="M11" s="179">
        <v>11043.046409330593</v>
      </c>
      <c r="N11" s="179">
        <v>71784.367927799613</v>
      </c>
      <c r="O11" s="179">
        <v>556.08839544154216</v>
      </c>
      <c r="P11" s="179">
        <v>387.70970884848151</v>
      </c>
      <c r="Q11" s="179">
        <f t="shared" si="1"/>
        <v>3407000</v>
      </c>
      <c r="R11" s="179">
        <v>257680.47075978349</v>
      </c>
      <c r="S11" s="108">
        <f t="shared" si="2"/>
        <v>3664680.4707597834</v>
      </c>
      <c r="T11" s="1">
        <f t="shared" si="3"/>
        <v>8</v>
      </c>
      <c r="U11" s="448">
        <v>208754</v>
      </c>
      <c r="V11" s="448">
        <v>9965</v>
      </c>
      <c r="W11" s="448">
        <v>38961</v>
      </c>
      <c r="X11" s="179">
        <f t="shared" si="4"/>
        <v>257680</v>
      </c>
      <c r="Y11" s="108">
        <f t="shared" si="0"/>
        <v>-0.47075978349312209</v>
      </c>
    </row>
    <row r="12" spans="1:25" x14ac:dyDescent="0.25">
      <c r="A12" s="178">
        <v>43313</v>
      </c>
      <c r="B12" s="177">
        <v>43320</v>
      </c>
      <c r="C12" s="1" t="s">
        <v>429</v>
      </c>
      <c r="D12" s="179">
        <v>1828728.2047145315</v>
      </c>
      <c r="E12" s="179">
        <v>420739.90609414969</v>
      </c>
      <c r="F12" s="179">
        <v>484734.95603208034</v>
      </c>
      <c r="G12" s="179">
        <v>341196.00308751146</v>
      </c>
      <c r="H12" s="179">
        <v>5821.9154766956208</v>
      </c>
      <c r="I12" s="179">
        <v>195865.66514143188</v>
      </c>
      <c r="J12" s="179">
        <v>993.12767892316333</v>
      </c>
      <c r="K12" s="179">
        <v>8345.6760093930188</v>
      </c>
      <c r="L12" s="179">
        <v>52821.078358531355</v>
      </c>
      <c r="M12" s="179">
        <v>9217.4186691644773</v>
      </c>
      <c r="N12" s="179">
        <v>73606.725627516527</v>
      </c>
      <c r="O12" s="179">
        <v>556.08839544154216</v>
      </c>
      <c r="P12" s="179">
        <v>373.23471462986294</v>
      </c>
      <c r="Q12" s="179">
        <f t="shared" si="1"/>
        <v>3423000.0000000005</v>
      </c>
      <c r="R12" s="179">
        <v>260392.15406710896</v>
      </c>
      <c r="S12" s="108">
        <f t="shared" si="2"/>
        <v>3683392.1540671093</v>
      </c>
      <c r="T12" s="1">
        <f t="shared" si="3"/>
        <v>6</v>
      </c>
      <c r="U12" s="448">
        <v>210908</v>
      </c>
      <c r="V12" s="448">
        <v>10032</v>
      </c>
      <c r="W12" s="448">
        <v>39451</v>
      </c>
      <c r="X12" s="179">
        <f t="shared" si="4"/>
        <v>260391</v>
      </c>
      <c r="Y12" s="108">
        <f t="shared" si="0"/>
        <v>-1.1540671089605894</v>
      </c>
    </row>
    <row r="13" spans="1:25" x14ac:dyDescent="0.25">
      <c r="A13" s="178">
        <v>43344</v>
      </c>
      <c r="B13" s="177">
        <v>43349</v>
      </c>
      <c r="C13" s="1" t="s">
        <v>429</v>
      </c>
      <c r="D13" s="179">
        <v>1364998.1957095929</v>
      </c>
      <c r="E13" s="179">
        <v>373206.04483403865</v>
      </c>
      <c r="F13" s="179">
        <v>433343.58555821673</v>
      </c>
      <c r="G13" s="179">
        <v>305221.57078587112</v>
      </c>
      <c r="H13" s="179">
        <v>3722.0862203853967</v>
      </c>
      <c r="I13" s="179">
        <v>203805.62614141303</v>
      </c>
      <c r="J13" s="179">
        <v>1279.3674861315938</v>
      </c>
      <c r="K13" s="179">
        <v>9626.8960996480964</v>
      </c>
      <c r="L13" s="179">
        <v>47766.035437212267</v>
      </c>
      <c r="M13" s="179">
        <v>13746.702426444421</v>
      </c>
      <c r="N13" s="179">
        <v>70300.009792391793</v>
      </c>
      <c r="O13" s="179">
        <v>556.08839544154216</v>
      </c>
      <c r="P13" s="179">
        <v>427.7911132128059</v>
      </c>
      <c r="Q13" s="179">
        <f t="shared" si="1"/>
        <v>2828000</v>
      </c>
      <c r="R13" s="179">
        <v>249755.20128844332</v>
      </c>
      <c r="S13" s="108">
        <f t="shared" si="2"/>
        <v>3077755.2012884435</v>
      </c>
      <c r="T13" s="1">
        <f t="shared" si="3"/>
        <v>12</v>
      </c>
      <c r="U13" s="448">
        <v>200932</v>
      </c>
      <c r="V13" s="448">
        <v>10358</v>
      </c>
      <c r="W13" s="448">
        <v>38465</v>
      </c>
      <c r="X13" s="179">
        <f t="shared" si="4"/>
        <v>249755</v>
      </c>
      <c r="Y13" s="108">
        <f t="shared" si="0"/>
        <v>-0.20128844332066365</v>
      </c>
    </row>
    <row r="14" spans="1:25" x14ac:dyDescent="0.25">
      <c r="A14" s="178">
        <v>43374</v>
      </c>
      <c r="B14" s="177">
        <v>43395</v>
      </c>
      <c r="C14" s="1" t="s">
        <v>430</v>
      </c>
      <c r="D14" s="179">
        <v>1496843.050387464</v>
      </c>
      <c r="E14" s="179">
        <v>433591.00624138175</v>
      </c>
      <c r="F14" s="179">
        <v>475343.30139727745</v>
      </c>
      <c r="G14" s="179">
        <v>275861.27861203719</v>
      </c>
      <c r="H14" s="179">
        <v>256.26275914950008</v>
      </c>
      <c r="I14" s="179">
        <v>193220.86924616757</v>
      </c>
      <c r="J14" s="179">
        <v>3.7335627027186593</v>
      </c>
      <c r="K14" s="179">
        <v>36987.071644323245</v>
      </c>
      <c r="L14" s="179">
        <v>44680.007910175977</v>
      </c>
      <c r="M14" s="179">
        <v>5062.2963664050121</v>
      </c>
      <c r="N14" s="179">
        <v>68232.436363230212</v>
      </c>
      <c r="O14" s="179">
        <v>9050.2585430528325</v>
      </c>
      <c r="P14" s="179">
        <v>868.42696663252082</v>
      </c>
      <c r="Q14" s="179">
        <f t="shared" si="1"/>
        <v>3040000.0000000005</v>
      </c>
      <c r="R14" s="179">
        <v>251758.17259761583</v>
      </c>
      <c r="S14" s="108">
        <f t="shared" si="2"/>
        <v>3291758.1725976164</v>
      </c>
      <c r="T14" s="1">
        <f t="shared" si="3"/>
        <v>10</v>
      </c>
      <c r="U14" s="448">
        <v>205802</v>
      </c>
      <c r="V14" s="448">
        <v>9188</v>
      </c>
      <c r="W14" s="448">
        <v>36769</v>
      </c>
      <c r="X14" s="179">
        <f t="shared" si="4"/>
        <v>251759</v>
      </c>
      <c r="Y14" s="108">
        <f t="shared" si="0"/>
        <v>0.82740238416590728</v>
      </c>
    </row>
    <row r="15" spans="1:25" x14ac:dyDescent="0.25">
      <c r="A15" s="178">
        <v>43405</v>
      </c>
      <c r="B15" s="177">
        <v>43423</v>
      </c>
      <c r="C15" s="1" t="s">
        <v>430</v>
      </c>
      <c r="D15" s="179">
        <v>1933373.3384301127</v>
      </c>
      <c r="E15" s="179">
        <v>514088.62283850287</v>
      </c>
      <c r="F15" s="179">
        <v>544794.37035335705</v>
      </c>
      <c r="G15" s="179">
        <v>277229.6342685406</v>
      </c>
      <c r="H15" s="179">
        <v>660.31719537533365</v>
      </c>
      <c r="I15" s="179">
        <v>193183.44278496929</v>
      </c>
      <c r="J15" s="179">
        <v>6.8448649549842084</v>
      </c>
      <c r="K15" s="179">
        <v>48160.552265055245</v>
      </c>
      <c r="L15" s="179">
        <v>47468.220885865114</v>
      </c>
      <c r="M15" s="179">
        <v>7442.1725211630765</v>
      </c>
      <c r="N15" s="179">
        <v>72482.046340634697</v>
      </c>
      <c r="O15" s="179">
        <v>3953.7564544860588</v>
      </c>
      <c r="P15" s="179">
        <v>1156.6807969832053</v>
      </c>
      <c r="Q15" s="179">
        <f t="shared" si="1"/>
        <v>3643999.9999999995</v>
      </c>
      <c r="R15" s="179">
        <v>253325.03854828654</v>
      </c>
      <c r="S15" s="108">
        <f t="shared" si="2"/>
        <v>3897325.0385482861</v>
      </c>
      <c r="T15" s="1">
        <f t="shared" si="3"/>
        <v>5</v>
      </c>
      <c r="U15" s="448">
        <v>209961</v>
      </c>
      <c r="V15" s="448">
        <v>5092</v>
      </c>
      <c r="W15" s="448">
        <v>38272</v>
      </c>
      <c r="X15" s="179">
        <f t="shared" si="4"/>
        <v>253325</v>
      </c>
      <c r="Y15" s="108">
        <f t="shared" si="0"/>
        <v>-3.8548286538571119E-2</v>
      </c>
    </row>
    <row r="16" spans="1:25" x14ac:dyDescent="0.25">
      <c r="A16" s="178">
        <v>43435</v>
      </c>
      <c r="B16" s="177">
        <v>43440</v>
      </c>
      <c r="C16" s="1" t="s">
        <v>430</v>
      </c>
      <c r="D16" s="179">
        <v>2217437.3132827613</v>
      </c>
      <c r="E16" s="179">
        <v>545002.46069820691</v>
      </c>
      <c r="F16" s="179">
        <v>645263.90588749177</v>
      </c>
      <c r="G16" s="179">
        <v>306912.50545756845</v>
      </c>
      <c r="H16" s="179">
        <v>344.78716851985956</v>
      </c>
      <c r="I16" s="179">
        <v>218486.63686010128</v>
      </c>
      <c r="J16" s="179">
        <v>6.8448649549842084</v>
      </c>
      <c r="K16" s="179">
        <v>53322.772324906691</v>
      </c>
      <c r="L16" s="179">
        <v>49699.733612431985</v>
      </c>
      <c r="M16" s="179">
        <v>11430.411526214701</v>
      </c>
      <c r="N16" s="179">
        <v>72411.932208972255</v>
      </c>
      <c r="O16" s="179">
        <v>10182.81456839712</v>
      </c>
      <c r="P16" s="179">
        <v>1497.8815394721507</v>
      </c>
      <c r="Q16" s="179">
        <f t="shared" si="1"/>
        <v>4132000</v>
      </c>
      <c r="R16" s="179">
        <v>255750.24483616717</v>
      </c>
      <c r="S16" s="108">
        <f t="shared" si="2"/>
        <v>4387750.2448361674</v>
      </c>
      <c r="T16" s="446">
        <f t="shared" si="3"/>
        <v>2</v>
      </c>
      <c r="U16" s="448">
        <v>210712</v>
      </c>
      <c r="V16" s="448">
        <v>9166</v>
      </c>
      <c r="W16" s="448">
        <v>35873</v>
      </c>
      <c r="X16" s="179">
        <f t="shared" si="4"/>
        <v>255751</v>
      </c>
      <c r="Y16" s="108">
        <f t="shared" si="0"/>
        <v>0.75516383282956667</v>
      </c>
    </row>
    <row r="18" spans="1:24" x14ac:dyDescent="0.25">
      <c r="A18" s="1" t="s">
        <v>3</v>
      </c>
      <c r="D18" s="108">
        <f>AVERAGE(D5:D16)</f>
        <v>1857284.7555259329</v>
      </c>
      <c r="E18" s="108">
        <f t="shared" ref="E18:R18" si="5">AVERAGE(E5:E16)</f>
        <v>450636.53026835882</v>
      </c>
      <c r="F18" s="108">
        <f t="shared" si="5"/>
        <v>504800.71983528067</v>
      </c>
      <c r="G18" s="108">
        <f t="shared" si="5"/>
        <v>300550.39247331314</v>
      </c>
      <c r="H18" s="108">
        <f t="shared" si="5"/>
        <v>2182.6331167687504</v>
      </c>
      <c r="I18" s="108">
        <f t="shared" si="5"/>
        <v>201301.4314294772</v>
      </c>
      <c r="J18" s="108">
        <f t="shared" si="5"/>
        <v>446.42001816256862</v>
      </c>
      <c r="K18" s="108">
        <f t="shared" si="5"/>
        <v>28424.167755478691</v>
      </c>
      <c r="L18" s="108">
        <f t="shared" si="5"/>
        <v>52631.315332330298</v>
      </c>
      <c r="M18" s="108">
        <f t="shared" si="5"/>
        <v>9855.850187307462</v>
      </c>
      <c r="N18" s="108">
        <f t="shared" si="5"/>
        <v>70604.810726082302</v>
      </c>
      <c r="O18" s="108">
        <f t="shared" si="5"/>
        <v>3764.9971183443718</v>
      </c>
      <c r="P18" s="108">
        <f t="shared" si="5"/>
        <v>932.64287982943051</v>
      </c>
      <c r="Q18" s="179"/>
      <c r="R18" s="108">
        <f t="shared" si="5"/>
        <v>247096.38809488341</v>
      </c>
      <c r="S18" s="108"/>
    </row>
    <row r="20" spans="1:24" x14ac:dyDescent="0.25">
      <c r="A20" s="178" t="s">
        <v>431</v>
      </c>
      <c r="D20" s="108">
        <f>AVERAGE(D5:D6,D15:D16)</f>
        <v>2236474.2253660602</v>
      </c>
      <c r="E20" s="108">
        <f t="shared" ref="E20:R20" si="6">AVERAGE(E5:E6,E15:E16)</f>
        <v>515625.82524854271</v>
      </c>
      <c r="F20" s="108">
        <f t="shared" si="6"/>
        <v>551432.84077501134</v>
      </c>
      <c r="G20" s="108">
        <f t="shared" si="6"/>
        <v>289974.91765494185</v>
      </c>
      <c r="H20" s="108">
        <f t="shared" si="6"/>
        <v>461.07800540214549</v>
      </c>
      <c r="I20" s="108">
        <f t="shared" si="6"/>
        <v>204844.84270926949</v>
      </c>
      <c r="J20" s="108">
        <f t="shared" si="6"/>
        <v>7.0004300675974864</v>
      </c>
      <c r="K20" s="108">
        <f t="shared" si="6"/>
        <v>43420.982870153392</v>
      </c>
      <c r="L20" s="108">
        <f t="shared" si="6"/>
        <v>52796.147183246518</v>
      </c>
      <c r="M20" s="108">
        <f t="shared" si="6"/>
        <v>9897.3232946044973</v>
      </c>
      <c r="N20" s="108">
        <f t="shared" si="6"/>
        <v>69577.130407689765</v>
      </c>
      <c r="O20" s="108">
        <f t="shared" si="6"/>
        <v>8059.2720272472116</v>
      </c>
      <c r="P20" s="108">
        <f t="shared" si="6"/>
        <v>1428.4140277629981</v>
      </c>
      <c r="Q20" s="108">
        <f t="shared" si="6"/>
        <v>3983999.9999999995</v>
      </c>
      <c r="R20" s="108">
        <f t="shared" si="6"/>
        <v>251839.84707747737</v>
      </c>
      <c r="S20" s="108">
        <f>Q20+R20</f>
        <v>4235839.8470774768</v>
      </c>
      <c r="T20" s="447" t="s">
        <v>551</v>
      </c>
    </row>
    <row r="21" spans="1:24" x14ac:dyDescent="0.25">
      <c r="D21" s="398">
        <f t="shared" ref="D21:Q21" si="7">D20/$S20</f>
        <v>0.52798838155061945</v>
      </c>
      <c r="E21" s="398">
        <f t="shared" si="7"/>
        <v>0.121729301357864</v>
      </c>
      <c r="F21" s="398">
        <f t="shared" si="7"/>
        <v>0.13018264634237131</v>
      </c>
      <c r="G21" s="398">
        <f t="shared" si="7"/>
        <v>6.8457479065222551E-2</v>
      </c>
      <c r="H21" s="398">
        <f t="shared" si="7"/>
        <v>1.088516143310439E-4</v>
      </c>
      <c r="I21" s="398">
        <f t="shared" si="7"/>
        <v>4.8359912108245182E-2</v>
      </c>
      <c r="J21" s="398">
        <f t="shared" si="7"/>
        <v>1.6526663708561697E-6</v>
      </c>
      <c r="K21" s="398">
        <f t="shared" si="7"/>
        <v>1.0250855659736937E-2</v>
      </c>
      <c r="L21" s="398">
        <f t="shared" si="7"/>
        <v>1.2464150933296803E-2</v>
      </c>
      <c r="M21" s="398">
        <f t="shared" si="7"/>
        <v>2.3365669269656566E-3</v>
      </c>
      <c r="N21" s="398">
        <f t="shared" si="7"/>
        <v>1.6425817056254996E-2</v>
      </c>
      <c r="O21" s="398">
        <f t="shared" si="7"/>
        <v>1.9026385128341706E-3</v>
      </c>
      <c r="P21" s="398">
        <f t="shared" si="7"/>
        <v>3.3722097136144896E-4</v>
      </c>
      <c r="Q21" s="398">
        <f t="shared" si="7"/>
        <v>0.94054547476547434</v>
      </c>
      <c r="R21" s="398">
        <f>R20/$S20</f>
        <v>5.9454525234525712E-2</v>
      </c>
      <c r="S21" s="445">
        <f>SUM(D21:R21)-Q21</f>
        <v>1.0000000000000004</v>
      </c>
      <c r="T21" s="445"/>
    </row>
    <row r="22" spans="1:24" x14ac:dyDescent="0.25">
      <c r="A22" s="17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79"/>
      <c r="R22" s="108"/>
    </row>
    <row r="23" spans="1:24" x14ac:dyDescent="0.25">
      <c r="A23" s="449" t="s">
        <v>552</v>
      </c>
    </row>
    <row r="24" spans="1:24" x14ac:dyDescent="0.25">
      <c r="A24" s="1" t="s">
        <v>411</v>
      </c>
    </row>
    <row r="26" spans="1:24" x14ac:dyDescent="0.25">
      <c r="A26" s="1" t="s">
        <v>412</v>
      </c>
      <c r="D26" s="1" t="s">
        <v>415</v>
      </c>
      <c r="E26" s="1" t="s">
        <v>416</v>
      </c>
      <c r="F26" s="1" t="s">
        <v>417</v>
      </c>
      <c r="G26" s="1" t="s">
        <v>418</v>
      </c>
      <c r="H26" s="1" t="s">
        <v>419</v>
      </c>
      <c r="I26" s="1" t="s">
        <v>420</v>
      </c>
      <c r="J26" s="1" t="s">
        <v>421</v>
      </c>
      <c r="K26" s="1" t="s">
        <v>422</v>
      </c>
      <c r="L26" s="1" t="s">
        <v>423</v>
      </c>
      <c r="M26" s="1" t="s">
        <v>424</v>
      </c>
      <c r="N26" s="1" t="s">
        <v>425</v>
      </c>
      <c r="O26" s="1" t="s">
        <v>5</v>
      </c>
      <c r="P26" s="1" t="s">
        <v>426</v>
      </c>
      <c r="Q26" s="1" t="s">
        <v>427</v>
      </c>
      <c r="R26" s="1" t="s">
        <v>428</v>
      </c>
      <c r="S26" s="1" t="s">
        <v>4</v>
      </c>
      <c r="U26" s="1" t="s">
        <v>549</v>
      </c>
      <c r="V26" s="1" t="s">
        <v>550</v>
      </c>
      <c r="W26" s="103">
        <v>459</v>
      </c>
      <c r="X26" s="1" t="s">
        <v>428</v>
      </c>
    </row>
    <row r="27" spans="1:24" x14ac:dyDescent="0.25">
      <c r="A27" s="178">
        <v>43101</v>
      </c>
      <c r="B27" s="177"/>
      <c r="D27" s="450">
        <v>2683905</v>
      </c>
      <c r="E27" s="450">
        <v>570046</v>
      </c>
      <c r="F27" s="450">
        <v>628833</v>
      </c>
      <c r="G27" s="450">
        <v>284095</v>
      </c>
      <c r="H27" s="450">
        <v>675</v>
      </c>
      <c r="I27" s="450">
        <v>289468</v>
      </c>
      <c r="J27" s="450">
        <v>9</v>
      </c>
      <c r="K27" s="450">
        <v>45049</v>
      </c>
      <c r="L27" s="450">
        <v>62336</v>
      </c>
      <c r="M27" s="450">
        <v>14126</v>
      </c>
      <c r="N27" s="450">
        <v>76951</v>
      </c>
      <c r="O27" s="450">
        <f>1562+15983</f>
        <v>17545</v>
      </c>
      <c r="P27" s="450">
        <v>1600</v>
      </c>
      <c r="Q27" s="179">
        <f>SUM(D27:P27)</f>
        <v>4674638</v>
      </c>
      <c r="R27" s="179">
        <f>X27</f>
        <v>260697</v>
      </c>
      <c r="S27" s="108">
        <f>Q27+R27</f>
        <v>4935335</v>
      </c>
      <c r="U27" s="450">
        <v>210263</v>
      </c>
      <c r="V27" s="450">
        <v>11590</v>
      </c>
      <c r="W27" s="450">
        <v>38844</v>
      </c>
      <c r="X27" s="179">
        <f>SUM(U27:W27)</f>
        <v>260697</v>
      </c>
    </row>
    <row r="28" spans="1:24" x14ac:dyDescent="0.25">
      <c r="A28" s="178">
        <v>43132</v>
      </c>
      <c r="B28" s="177"/>
      <c r="D28" s="450">
        <v>2603532</v>
      </c>
      <c r="E28" s="450">
        <v>560664</v>
      </c>
      <c r="F28" s="450">
        <v>638556</v>
      </c>
      <c r="G28" s="450">
        <v>358690</v>
      </c>
      <c r="H28" s="450">
        <v>942</v>
      </c>
      <c r="I28" s="450">
        <v>240007</v>
      </c>
      <c r="J28" s="450">
        <v>8</v>
      </c>
      <c r="K28" s="450">
        <v>62653</v>
      </c>
      <c r="L28" s="450">
        <v>76703</v>
      </c>
      <c r="M28" s="450">
        <v>14714</v>
      </c>
      <c r="N28" s="450">
        <v>76956</v>
      </c>
      <c r="O28" s="450">
        <f t="shared" ref="O28:O38" si="8">1562+15983</f>
        <v>17545</v>
      </c>
      <c r="P28" s="450">
        <v>1693</v>
      </c>
      <c r="Q28" s="179">
        <f t="shared" ref="Q28:Q38" si="9">SUM(D28:P28)</f>
        <v>4652663</v>
      </c>
      <c r="R28" s="179">
        <f t="shared" ref="R28:R38" si="10">X28</f>
        <v>258866</v>
      </c>
      <c r="S28" s="108">
        <f t="shared" ref="S28:S38" si="11">Q28+R28</f>
        <v>4911529</v>
      </c>
      <c r="U28" s="450">
        <v>207860</v>
      </c>
      <c r="V28" s="450">
        <v>11514</v>
      </c>
      <c r="W28" s="450">
        <v>39492</v>
      </c>
      <c r="X28" s="179">
        <f t="shared" ref="X28:X38" si="12">SUM(U28:W28)</f>
        <v>258866</v>
      </c>
    </row>
    <row r="29" spans="1:24" x14ac:dyDescent="0.25">
      <c r="A29" s="178">
        <v>43160</v>
      </c>
      <c r="B29" s="177"/>
      <c r="D29" s="450">
        <v>2270936</v>
      </c>
      <c r="E29" s="450">
        <v>522045</v>
      </c>
      <c r="F29" s="450">
        <v>590677</v>
      </c>
      <c r="G29" s="450">
        <v>291873</v>
      </c>
      <c r="H29" s="450">
        <v>660</v>
      </c>
      <c r="I29" s="450">
        <v>221571</v>
      </c>
      <c r="J29" s="450">
        <v>8</v>
      </c>
      <c r="K29" s="450">
        <v>48919</v>
      </c>
      <c r="L29" s="450">
        <v>57604</v>
      </c>
      <c r="M29" s="450">
        <v>20031</v>
      </c>
      <c r="N29" s="450">
        <v>76794</v>
      </c>
      <c r="O29" s="450">
        <f t="shared" si="8"/>
        <v>17545</v>
      </c>
      <c r="P29" s="450">
        <v>1507</v>
      </c>
      <c r="Q29" s="179">
        <f t="shared" si="9"/>
        <v>4120170</v>
      </c>
      <c r="R29" s="179">
        <f t="shared" si="10"/>
        <v>260596</v>
      </c>
      <c r="S29" s="108">
        <f t="shared" si="11"/>
        <v>4380766</v>
      </c>
      <c r="U29" s="450">
        <v>210096</v>
      </c>
      <c r="V29" s="450">
        <v>11058</v>
      </c>
      <c r="W29" s="450">
        <v>39442</v>
      </c>
      <c r="X29" s="179">
        <f t="shared" si="12"/>
        <v>260596</v>
      </c>
    </row>
    <row r="30" spans="1:24" x14ac:dyDescent="0.25">
      <c r="A30" s="178">
        <v>43191</v>
      </c>
      <c r="B30" s="177"/>
      <c r="D30" s="450">
        <v>1994799</v>
      </c>
      <c r="E30" s="450">
        <v>486516</v>
      </c>
      <c r="F30" s="450">
        <v>563558</v>
      </c>
      <c r="G30" s="450">
        <v>320704</v>
      </c>
      <c r="H30" s="450">
        <v>1880</v>
      </c>
      <c r="I30" s="450">
        <v>225097</v>
      </c>
      <c r="J30" s="450">
        <v>1026</v>
      </c>
      <c r="K30" s="450">
        <v>42849</v>
      </c>
      <c r="L30" s="450">
        <v>57344</v>
      </c>
      <c r="M30" s="450">
        <v>13764</v>
      </c>
      <c r="N30" s="450">
        <v>79357</v>
      </c>
      <c r="O30" s="450">
        <f t="shared" si="8"/>
        <v>17545</v>
      </c>
      <c r="P30" s="450">
        <v>1277</v>
      </c>
      <c r="Q30" s="179">
        <f t="shared" si="9"/>
        <v>3805716</v>
      </c>
      <c r="R30" s="179">
        <f t="shared" si="10"/>
        <v>253863</v>
      </c>
      <c r="S30" s="108">
        <f t="shared" si="11"/>
        <v>4059579</v>
      </c>
      <c r="U30" s="450">
        <v>208628</v>
      </c>
      <c r="V30" s="450">
        <v>11160</v>
      </c>
      <c r="W30" s="450">
        <v>34075</v>
      </c>
      <c r="X30" s="179">
        <f t="shared" si="12"/>
        <v>253863</v>
      </c>
    </row>
    <row r="31" spans="1:24" x14ac:dyDescent="0.25">
      <c r="A31" s="178">
        <v>43221</v>
      </c>
      <c r="B31" s="177"/>
      <c r="D31" s="450">
        <v>1478115</v>
      </c>
      <c r="E31" s="450">
        <v>480775</v>
      </c>
      <c r="F31" s="450">
        <v>579931</v>
      </c>
      <c r="G31" s="450">
        <v>334180</v>
      </c>
      <c r="H31" s="450">
        <v>4391</v>
      </c>
      <c r="I31" s="450">
        <v>219365</v>
      </c>
      <c r="J31" s="450">
        <v>1262</v>
      </c>
      <c r="K31" s="450">
        <v>28355</v>
      </c>
      <c r="L31" s="450">
        <v>59687</v>
      </c>
      <c r="M31" s="450">
        <v>15177</v>
      </c>
      <c r="N31" s="450">
        <v>78364</v>
      </c>
      <c r="O31" s="450">
        <f t="shared" si="8"/>
        <v>17545</v>
      </c>
      <c r="P31" s="450">
        <v>929</v>
      </c>
      <c r="Q31" s="179">
        <f t="shared" si="9"/>
        <v>3298076</v>
      </c>
      <c r="R31" s="179">
        <f t="shared" si="10"/>
        <v>236504</v>
      </c>
      <c r="S31" s="108">
        <f t="shared" si="11"/>
        <v>3534580</v>
      </c>
      <c r="U31" s="450">
        <v>187660</v>
      </c>
      <c r="V31" s="450">
        <v>11123</v>
      </c>
      <c r="W31" s="450">
        <v>37721</v>
      </c>
      <c r="X31" s="179">
        <f t="shared" si="12"/>
        <v>236504</v>
      </c>
    </row>
    <row r="32" spans="1:24" x14ac:dyDescent="0.25">
      <c r="A32" s="178">
        <v>43252</v>
      </c>
      <c r="B32" s="177"/>
      <c r="D32" s="450">
        <v>1730324</v>
      </c>
      <c r="E32" s="450">
        <v>481329</v>
      </c>
      <c r="F32" s="450">
        <v>558503</v>
      </c>
      <c r="G32" s="450">
        <v>345146</v>
      </c>
      <c r="H32" s="450">
        <v>5860</v>
      </c>
      <c r="I32" s="450">
        <v>262544</v>
      </c>
      <c r="J32" s="450">
        <v>1522</v>
      </c>
      <c r="K32" s="450">
        <v>25311</v>
      </c>
      <c r="L32" s="450">
        <v>59729</v>
      </c>
      <c r="M32" s="450">
        <v>23483</v>
      </c>
      <c r="N32" s="450">
        <v>78857</v>
      </c>
      <c r="O32" s="450">
        <f t="shared" si="8"/>
        <v>17545</v>
      </c>
      <c r="P32" s="450">
        <v>650</v>
      </c>
      <c r="Q32" s="179">
        <f t="shared" si="9"/>
        <v>3590803</v>
      </c>
      <c r="R32" s="179">
        <f t="shared" si="10"/>
        <v>265318</v>
      </c>
      <c r="S32" s="108">
        <f t="shared" si="11"/>
        <v>3856121</v>
      </c>
      <c r="U32" s="450">
        <v>214805</v>
      </c>
      <c r="V32" s="450">
        <v>11624</v>
      </c>
      <c r="W32" s="450">
        <v>38889</v>
      </c>
      <c r="X32" s="179">
        <f t="shared" si="12"/>
        <v>265318</v>
      </c>
    </row>
    <row r="33" spans="1:24" x14ac:dyDescent="0.25">
      <c r="A33" s="178">
        <v>43282</v>
      </c>
      <c r="B33" s="177"/>
      <c r="D33" s="450">
        <v>1898292</v>
      </c>
      <c r="E33" s="450">
        <v>543985</v>
      </c>
      <c r="F33" s="450">
        <v>660827</v>
      </c>
      <c r="G33" s="450">
        <v>386131</v>
      </c>
      <c r="H33" s="450">
        <v>7468</v>
      </c>
      <c r="I33" s="450">
        <v>236778</v>
      </c>
      <c r="J33" s="450">
        <v>1551</v>
      </c>
      <c r="K33" s="450">
        <v>14633</v>
      </c>
      <c r="L33" s="450">
        <v>62410</v>
      </c>
      <c r="M33" s="450">
        <v>16746</v>
      </c>
      <c r="N33" s="450">
        <v>83617</v>
      </c>
      <c r="O33" s="450">
        <f t="shared" si="8"/>
        <v>17545</v>
      </c>
      <c r="P33" s="450">
        <v>564</v>
      </c>
      <c r="Q33" s="179">
        <f t="shared" si="9"/>
        <v>3930547</v>
      </c>
      <c r="R33" s="179">
        <f t="shared" si="10"/>
        <v>269079</v>
      </c>
      <c r="S33" s="108">
        <f t="shared" si="11"/>
        <v>4199626</v>
      </c>
      <c r="U33" s="450">
        <v>216608</v>
      </c>
      <c r="V33" s="450">
        <v>11122</v>
      </c>
      <c r="W33" s="450">
        <v>41349</v>
      </c>
      <c r="X33" s="179">
        <f t="shared" si="12"/>
        <v>269079</v>
      </c>
    </row>
    <row r="34" spans="1:24" x14ac:dyDescent="0.25">
      <c r="A34" s="178">
        <v>43313</v>
      </c>
      <c r="B34" s="177"/>
      <c r="D34" s="450">
        <v>1880295</v>
      </c>
      <c r="E34" s="450">
        <v>518413</v>
      </c>
      <c r="F34" s="450">
        <v>564771</v>
      </c>
      <c r="G34" s="450">
        <v>358445</v>
      </c>
      <c r="H34" s="450">
        <v>6276</v>
      </c>
      <c r="I34" s="450">
        <v>219039</v>
      </c>
      <c r="J34" s="450">
        <v>1268</v>
      </c>
      <c r="K34" s="450">
        <v>17623</v>
      </c>
      <c r="L34" s="450">
        <v>60081</v>
      </c>
      <c r="M34" s="450">
        <v>15625</v>
      </c>
      <c r="N34" s="450">
        <v>79488</v>
      </c>
      <c r="O34" s="450">
        <f t="shared" si="8"/>
        <v>17545</v>
      </c>
      <c r="P34" s="450">
        <v>596</v>
      </c>
      <c r="Q34" s="179">
        <f t="shared" si="9"/>
        <v>3739465</v>
      </c>
      <c r="R34" s="179">
        <f t="shared" si="10"/>
        <v>266255</v>
      </c>
      <c r="S34" s="108">
        <f t="shared" si="11"/>
        <v>4005720</v>
      </c>
      <c r="U34" s="450">
        <v>214433</v>
      </c>
      <c r="V34" s="450">
        <v>11359</v>
      </c>
      <c r="W34" s="450">
        <v>40463</v>
      </c>
      <c r="X34" s="179">
        <f t="shared" si="12"/>
        <v>266255</v>
      </c>
    </row>
    <row r="35" spans="1:24" x14ac:dyDescent="0.25">
      <c r="A35" s="178">
        <v>43344</v>
      </c>
      <c r="B35" s="177"/>
      <c r="D35" s="450">
        <v>1532673</v>
      </c>
      <c r="E35" s="450">
        <v>452220</v>
      </c>
      <c r="F35" s="450">
        <v>553308</v>
      </c>
      <c r="G35" s="450">
        <v>339155</v>
      </c>
      <c r="H35" s="450">
        <v>4299</v>
      </c>
      <c r="I35" s="450">
        <v>224230</v>
      </c>
      <c r="J35" s="450">
        <v>1286</v>
      </c>
      <c r="K35" s="450">
        <v>25150</v>
      </c>
      <c r="L35" s="450">
        <v>54216</v>
      </c>
      <c r="M35" s="450">
        <v>14578</v>
      </c>
      <c r="N35" s="450">
        <v>77754</v>
      </c>
      <c r="O35" s="450">
        <f t="shared" si="8"/>
        <v>17545</v>
      </c>
      <c r="P35" s="450">
        <v>645</v>
      </c>
      <c r="Q35" s="179">
        <f t="shared" si="9"/>
        <v>3297059</v>
      </c>
      <c r="R35" s="179">
        <f t="shared" si="10"/>
        <v>275474</v>
      </c>
      <c r="S35" s="108">
        <f t="shared" si="11"/>
        <v>3572533</v>
      </c>
      <c r="U35" s="450">
        <v>210309</v>
      </c>
      <c r="V35" s="450">
        <v>10601</v>
      </c>
      <c r="W35" s="450">
        <v>54564</v>
      </c>
      <c r="X35" s="179">
        <f t="shared" si="12"/>
        <v>275474</v>
      </c>
    </row>
    <row r="36" spans="1:24" x14ac:dyDescent="0.25">
      <c r="A36" s="178">
        <v>43374</v>
      </c>
      <c r="B36" s="177"/>
      <c r="D36" s="450">
        <v>1851191</v>
      </c>
      <c r="E36" s="450">
        <v>461107</v>
      </c>
      <c r="F36" s="450">
        <v>543246</v>
      </c>
      <c r="G36" s="450">
        <v>317802</v>
      </c>
      <c r="H36" s="450">
        <v>1648</v>
      </c>
      <c r="I36" s="450">
        <v>219775</v>
      </c>
      <c r="J36" s="450">
        <v>994</v>
      </c>
      <c r="K36" s="450">
        <v>36987</v>
      </c>
      <c r="L36" s="450">
        <v>50352</v>
      </c>
      <c r="M36" s="450">
        <v>15283</v>
      </c>
      <c r="N36" s="450">
        <v>76207</v>
      </c>
      <c r="O36" s="450">
        <f t="shared" si="8"/>
        <v>17545</v>
      </c>
      <c r="P36" s="450">
        <v>1031</v>
      </c>
      <c r="Q36" s="179">
        <f t="shared" si="9"/>
        <v>3593168</v>
      </c>
      <c r="R36" s="179">
        <f t="shared" si="10"/>
        <v>261254</v>
      </c>
      <c r="S36" s="108">
        <f t="shared" si="11"/>
        <v>3854422</v>
      </c>
      <c r="U36" s="450">
        <v>209802</v>
      </c>
      <c r="V36" s="450">
        <v>10070</v>
      </c>
      <c r="W36" s="450">
        <v>41382</v>
      </c>
      <c r="X36" s="179">
        <f t="shared" si="12"/>
        <v>261254</v>
      </c>
    </row>
    <row r="37" spans="1:24" x14ac:dyDescent="0.25">
      <c r="A37" s="178">
        <v>43405</v>
      </c>
      <c r="B37" s="177"/>
      <c r="D37" s="450">
        <v>2278766</v>
      </c>
      <c r="E37" s="450">
        <v>534860</v>
      </c>
      <c r="F37" s="450">
        <v>588820</v>
      </c>
      <c r="G37" s="450">
        <v>297932</v>
      </c>
      <c r="H37" s="450">
        <v>780</v>
      </c>
      <c r="I37" s="450">
        <v>213543</v>
      </c>
      <c r="J37" s="450">
        <v>7</v>
      </c>
      <c r="K37" s="450">
        <v>48161</v>
      </c>
      <c r="L37" s="450">
        <v>51181</v>
      </c>
      <c r="M37" s="450">
        <v>14026</v>
      </c>
      <c r="N37" s="450">
        <v>78040</v>
      </c>
      <c r="O37" s="450">
        <f t="shared" si="8"/>
        <v>17545</v>
      </c>
      <c r="P37" s="450">
        <v>1296</v>
      </c>
      <c r="Q37" s="179">
        <f t="shared" si="9"/>
        <v>4124957</v>
      </c>
      <c r="R37" s="179">
        <f t="shared" si="10"/>
        <v>264382</v>
      </c>
      <c r="S37" s="108">
        <f t="shared" si="11"/>
        <v>4389339</v>
      </c>
      <c r="U37" s="450">
        <v>213942</v>
      </c>
      <c r="V37" s="450">
        <v>10417</v>
      </c>
      <c r="W37" s="450">
        <v>40023</v>
      </c>
      <c r="X37" s="179">
        <f t="shared" si="12"/>
        <v>264382</v>
      </c>
    </row>
    <row r="38" spans="1:24" x14ac:dyDescent="0.25">
      <c r="A38" s="178">
        <v>43435</v>
      </c>
      <c r="B38" s="177"/>
      <c r="D38" s="450">
        <v>2573781</v>
      </c>
      <c r="E38" s="450">
        <v>555844</v>
      </c>
      <c r="F38" s="450">
        <v>680657</v>
      </c>
      <c r="G38" s="450">
        <v>326245</v>
      </c>
      <c r="H38" s="450">
        <v>1309</v>
      </c>
      <c r="I38" s="450">
        <v>245962</v>
      </c>
      <c r="J38" s="450">
        <v>7</v>
      </c>
      <c r="K38" s="450">
        <v>54873</v>
      </c>
      <c r="L38" s="450">
        <v>53994</v>
      </c>
      <c r="M38" s="450">
        <v>15171</v>
      </c>
      <c r="N38" s="450">
        <v>79089</v>
      </c>
      <c r="O38" s="450">
        <f t="shared" si="8"/>
        <v>17545</v>
      </c>
      <c r="P38" s="450">
        <v>1565</v>
      </c>
      <c r="Q38" s="179">
        <f t="shared" si="9"/>
        <v>4606042</v>
      </c>
      <c r="R38" s="179">
        <f t="shared" si="10"/>
        <v>265796</v>
      </c>
      <c r="S38" s="108">
        <f t="shared" si="11"/>
        <v>4871838</v>
      </c>
      <c r="U38" s="450">
        <v>214535</v>
      </c>
      <c r="V38" s="450">
        <v>11175</v>
      </c>
      <c r="W38" s="450">
        <v>40086</v>
      </c>
      <c r="X38" s="179">
        <f t="shared" si="12"/>
        <v>265796</v>
      </c>
    </row>
    <row r="39" spans="1:24" x14ac:dyDescent="0.25"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</row>
    <row r="40" spans="1:24" x14ac:dyDescent="0.25">
      <c r="A40" s="1" t="s">
        <v>3</v>
      </c>
      <c r="D40" s="108">
        <f>AVERAGE(D27:D38)</f>
        <v>2064717.4166666667</v>
      </c>
      <c r="E40" s="108">
        <f t="shared" ref="E40:R40" si="13">AVERAGE(E27:E38)</f>
        <v>513983.66666666669</v>
      </c>
      <c r="F40" s="108">
        <f t="shared" si="13"/>
        <v>595973.91666666663</v>
      </c>
      <c r="G40" s="108">
        <f t="shared" si="13"/>
        <v>330033.16666666669</v>
      </c>
      <c r="H40" s="108">
        <f t="shared" si="13"/>
        <v>3015.6666666666665</v>
      </c>
      <c r="I40" s="108">
        <f t="shared" si="13"/>
        <v>234781.58333333334</v>
      </c>
      <c r="J40" s="108">
        <f t="shared" si="13"/>
        <v>745.66666666666663</v>
      </c>
      <c r="K40" s="108">
        <f t="shared" si="13"/>
        <v>37546.916666666664</v>
      </c>
      <c r="L40" s="108">
        <f t="shared" si="13"/>
        <v>58803.083333333336</v>
      </c>
      <c r="M40" s="108">
        <f t="shared" si="13"/>
        <v>16060.333333333334</v>
      </c>
      <c r="N40" s="108">
        <f t="shared" si="13"/>
        <v>78456.166666666672</v>
      </c>
      <c r="O40" s="108">
        <f t="shared" si="13"/>
        <v>17545</v>
      </c>
      <c r="P40" s="108">
        <f t="shared" si="13"/>
        <v>1112.75</v>
      </c>
      <c r="Q40" s="108">
        <f>SUM(D40:P40)</f>
        <v>3952775.333333333</v>
      </c>
      <c r="R40" s="108">
        <f t="shared" si="13"/>
        <v>261507</v>
      </c>
      <c r="S40" s="108">
        <f>Q40+R40</f>
        <v>4214282.333333333</v>
      </c>
      <c r="T40" s="108"/>
      <c r="U40" s="108">
        <f t="shared" ref="U40:W40" si="14">AVERAGE(U27:U38)</f>
        <v>209911.75</v>
      </c>
      <c r="V40" s="108">
        <f>AVERAGE(V27:V38)</f>
        <v>11067.75</v>
      </c>
      <c r="W40" s="108">
        <f t="shared" si="14"/>
        <v>40527.5</v>
      </c>
    </row>
    <row r="41" spans="1:24" x14ac:dyDescent="0.25"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</row>
    <row r="42" spans="1:24" x14ac:dyDescent="0.25">
      <c r="A42" s="178" t="s">
        <v>553</v>
      </c>
      <c r="D42" s="108">
        <f t="shared" ref="D42:P42" si="15">AVERAGE(LARGE(D$27:D$38,1),LARGE(D$27:D$38,2),LARGE(D$27:D$38,3),LARGE(D$27:D$38,4))</f>
        <v>2534996</v>
      </c>
      <c r="E42" s="108">
        <f t="shared" si="15"/>
        <v>557634.75</v>
      </c>
      <c r="F42" s="108">
        <f t="shared" si="15"/>
        <v>652218.25</v>
      </c>
      <c r="G42" s="108">
        <f t="shared" si="15"/>
        <v>362103</v>
      </c>
      <c r="H42" s="108">
        <f t="shared" si="15"/>
        <v>5998.75</v>
      </c>
      <c r="I42" s="108">
        <f t="shared" si="15"/>
        <v>259495.25</v>
      </c>
      <c r="J42" s="108">
        <f t="shared" si="15"/>
        <v>1406.75</v>
      </c>
      <c r="K42" s="108">
        <f t="shared" si="15"/>
        <v>53651.5</v>
      </c>
      <c r="L42" s="108">
        <f t="shared" si="15"/>
        <v>65382.5</v>
      </c>
      <c r="M42" s="108">
        <f t="shared" si="15"/>
        <v>18971.25</v>
      </c>
      <c r="N42" s="108">
        <f t="shared" si="15"/>
        <v>80387.75</v>
      </c>
      <c r="O42" s="108">
        <f t="shared" si="15"/>
        <v>17545</v>
      </c>
      <c r="P42" s="108">
        <f t="shared" si="15"/>
        <v>1591.25</v>
      </c>
      <c r="Q42" s="108">
        <f>SUM(D42:P42)</f>
        <v>4611382</v>
      </c>
      <c r="R42" s="108">
        <f>AVERAGE(LARGE(R$27:R$38,1),LARGE(R$27:R$38,2),LARGE(R$27:R$38,3),LARGE(R$27:R$38,4))</f>
        <v>269151</v>
      </c>
      <c r="S42" s="108">
        <f>Q42+R42</f>
        <v>4880533</v>
      </c>
      <c r="T42" s="108"/>
    </row>
    <row r="44" spans="1:24" x14ac:dyDescent="0.25">
      <c r="A44" s="451" t="s">
        <v>554</v>
      </c>
      <c r="D44" s="1" t="s">
        <v>415</v>
      </c>
      <c r="E44" s="1" t="s">
        <v>416</v>
      </c>
      <c r="F44" s="1" t="s">
        <v>417</v>
      </c>
      <c r="G44" s="1" t="s">
        <v>418</v>
      </c>
      <c r="H44" s="1" t="s">
        <v>419</v>
      </c>
      <c r="I44" s="1" t="s">
        <v>420</v>
      </c>
      <c r="J44" s="1" t="s">
        <v>421</v>
      </c>
      <c r="K44" s="1" t="s">
        <v>422</v>
      </c>
      <c r="L44" s="1" t="s">
        <v>423</v>
      </c>
      <c r="M44" s="1" t="s">
        <v>424</v>
      </c>
      <c r="N44" s="1" t="s">
        <v>425</v>
      </c>
      <c r="O44" s="1" t="s">
        <v>5</v>
      </c>
      <c r="P44" s="1" t="s">
        <v>426</v>
      </c>
      <c r="Q44" s="1" t="s">
        <v>427</v>
      </c>
      <c r="R44" s="1" t="s">
        <v>428</v>
      </c>
      <c r="S44" s="1" t="s">
        <v>4</v>
      </c>
    </row>
    <row r="45" spans="1:24" x14ac:dyDescent="0.25">
      <c r="A45" s="452" t="s">
        <v>555</v>
      </c>
      <c r="D45" s="108">
        <f>'[6]Load Research Data -Energy'!J22/1000</f>
        <v>11476152.247161776</v>
      </c>
      <c r="E45" s="108">
        <f>'[6]Load Research Data -Energy'!J23/1000</f>
        <v>2915955.6264103171</v>
      </c>
      <c r="F45" s="108">
        <f>'[6]Load Research Data -Energy'!J24/1000</f>
        <v>3225522.1414879137</v>
      </c>
      <c r="G45" s="108">
        <f>'[6]Load Research Data -Energy'!J25/1000</f>
        <v>2092770.3065275678</v>
      </c>
      <c r="H45" s="108">
        <f>'[6]Load Research Data -Energy'!J26/1000</f>
        <v>17243.818472518877</v>
      </c>
      <c r="I45" s="108">
        <f>'[6]Load Research Data -Energy'!J27/1000</f>
        <v>1456029.8500547176</v>
      </c>
      <c r="J45" s="108">
        <f>'[6]Load Research Data -Energy'!J28/1000</f>
        <v>4597.5720317007381</v>
      </c>
      <c r="K45" s="108">
        <f>'[6]Load Research Data -Energy'!J30/1000</f>
        <v>126890.75718193618</v>
      </c>
      <c r="L45" s="108">
        <f>'[6]Load Research Data -Energy'!J44/1000</f>
        <v>350081.23279927496</v>
      </c>
      <c r="M45" s="108">
        <f>'[6]Load Research Data -Energy'!J31/1000</f>
        <v>79573.505048999345</v>
      </c>
      <c r="N45" s="108">
        <f>'[6]Load Research Data -Energy'!J32/1000</f>
        <v>550655.41421762563</v>
      </c>
      <c r="O45" s="108">
        <f>'[6]Load Research Data -Energy'!J34/1000</f>
        <v>75887.375026475522</v>
      </c>
      <c r="P45" s="108">
        <f>'[6]Load Research Data -Energy'!J33/1000</f>
        <v>7427.0031359829873</v>
      </c>
      <c r="Q45" s="108">
        <f t="shared" ref="Q45:Q46" si="16">SUM(D45:P45)</f>
        <v>22378786.849556804</v>
      </c>
      <c r="R45" s="108">
        <f>SUM('[6]Load Research Data -Energy'!J41:J43)/1000</f>
        <v>2066150.5497926297</v>
      </c>
      <c r="S45" s="108">
        <f>Q45+R45</f>
        <v>24444937.399349432</v>
      </c>
      <c r="T45" s="108"/>
    </row>
    <row r="46" spans="1:24" x14ac:dyDescent="0.25">
      <c r="A46" s="1" t="s">
        <v>556</v>
      </c>
      <c r="D46" s="108">
        <f t="shared" ref="D46:P46" si="17">D45/8.76</f>
        <v>1310063.0419134449</v>
      </c>
      <c r="E46" s="108">
        <f t="shared" si="17"/>
        <v>332871.64685049281</v>
      </c>
      <c r="F46" s="108">
        <f t="shared" si="17"/>
        <v>368210.29012419109</v>
      </c>
      <c r="G46" s="108">
        <f t="shared" si="17"/>
        <v>238900.71992323833</v>
      </c>
      <c r="H46" s="108">
        <f t="shared" si="17"/>
        <v>1968.4724283697349</v>
      </c>
      <c r="I46" s="108">
        <f t="shared" si="17"/>
        <v>166213.45320259334</v>
      </c>
      <c r="J46" s="108">
        <f t="shared" si="17"/>
        <v>524.8369899201756</v>
      </c>
      <c r="K46" s="108">
        <f t="shared" si="17"/>
        <v>14485.246253645682</v>
      </c>
      <c r="L46" s="108">
        <f t="shared" si="17"/>
        <v>39963.611050145548</v>
      </c>
      <c r="M46" s="108">
        <f t="shared" si="17"/>
        <v>9083.7334530821172</v>
      </c>
      <c r="N46" s="108">
        <f t="shared" si="17"/>
        <v>62860.207102468681</v>
      </c>
      <c r="O46" s="108">
        <f t="shared" si="17"/>
        <v>8662.9423546204944</v>
      </c>
      <c r="P46" s="108">
        <f t="shared" si="17"/>
        <v>847.831408217236</v>
      </c>
      <c r="Q46" s="179">
        <f t="shared" si="16"/>
        <v>2554656.0330544296</v>
      </c>
      <c r="R46" s="108">
        <f>R45/8.76</f>
        <v>235861.93490783445</v>
      </c>
      <c r="S46" s="108">
        <f>Q46+R46</f>
        <v>2790517.9679622641</v>
      </c>
    </row>
    <row r="47" spans="1:24" x14ac:dyDescent="0.25">
      <c r="A47" s="1" t="s">
        <v>557</v>
      </c>
      <c r="D47" s="398">
        <f>D46/$S46</f>
        <v>0.46946948808579064</v>
      </c>
      <c r="E47" s="398">
        <f t="shared" ref="E47:S47" si="18">E46/$S46</f>
        <v>0.11928668823213763</v>
      </c>
      <c r="F47" s="398">
        <f t="shared" si="18"/>
        <v>0.13195051755680734</v>
      </c>
      <c r="G47" s="398">
        <f t="shared" si="18"/>
        <v>8.5611604249118012E-2</v>
      </c>
      <c r="H47" s="398">
        <f t="shared" si="18"/>
        <v>7.0541471188131563E-4</v>
      </c>
      <c r="I47" s="398">
        <f t="shared" si="18"/>
        <v>5.9563656321470794E-2</v>
      </c>
      <c r="J47" s="398">
        <f t="shared" si="18"/>
        <v>1.8807869934750154E-4</v>
      </c>
      <c r="K47" s="398">
        <f t="shared" si="18"/>
        <v>5.1908808400267445E-3</v>
      </c>
      <c r="L47" s="398">
        <f t="shared" si="18"/>
        <v>1.4321216171680272E-2</v>
      </c>
      <c r="M47" s="398">
        <f t="shared" si="18"/>
        <v>3.2552141062597724E-3</v>
      </c>
      <c r="N47" s="398">
        <f t="shared" si="18"/>
        <v>2.252635812568211E-2</v>
      </c>
      <c r="O47" s="398">
        <f t="shared" si="18"/>
        <v>3.1044209190118507E-3</v>
      </c>
      <c r="P47" s="398">
        <f t="shared" si="18"/>
        <v>3.0382581941816085E-4</v>
      </c>
      <c r="Q47" s="398">
        <f t="shared" si="18"/>
        <v>0.91547736383863199</v>
      </c>
      <c r="R47" s="398">
        <f t="shared" si="18"/>
        <v>8.4522636161368014E-2</v>
      </c>
      <c r="S47" s="398">
        <f t="shared" si="18"/>
        <v>1</v>
      </c>
    </row>
    <row r="48" spans="1:24" x14ac:dyDescent="0.25">
      <c r="A48" s="1" t="s">
        <v>558</v>
      </c>
      <c r="D48" s="108">
        <f t="shared" ref="D48:P48" si="19">D42-D46</f>
        <v>1224932.9580865551</v>
      </c>
      <c r="E48" s="108">
        <f t="shared" si="19"/>
        <v>224763.10314950719</v>
      </c>
      <c r="F48" s="108">
        <f t="shared" si="19"/>
        <v>284007.95987580891</v>
      </c>
      <c r="G48" s="108">
        <f t="shared" si="19"/>
        <v>123202.28007676167</v>
      </c>
      <c r="H48" s="108">
        <f t="shared" si="19"/>
        <v>4030.2775716302649</v>
      </c>
      <c r="I48" s="108">
        <f t="shared" si="19"/>
        <v>93281.796797406656</v>
      </c>
      <c r="J48" s="108">
        <f t="shared" si="19"/>
        <v>881.9130100798244</v>
      </c>
      <c r="K48" s="108">
        <f t="shared" si="19"/>
        <v>39166.253746354319</v>
      </c>
      <c r="L48" s="108">
        <f t="shared" si="19"/>
        <v>25418.888949854452</v>
      </c>
      <c r="M48" s="108">
        <f t="shared" si="19"/>
        <v>9887.5165469178828</v>
      </c>
      <c r="N48" s="108">
        <f t="shared" si="19"/>
        <v>17527.542897531319</v>
      </c>
      <c r="O48" s="108">
        <f t="shared" si="19"/>
        <v>8882.0576453795056</v>
      </c>
      <c r="P48" s="108">
        <f t="shared" si="19"/>
        <v>743.418591782764</v>
      </c>
      <c r="Q48" s="179">
        <f t="shared" ref="Q48" si="20">SUM(D48:P48)</f>
        <v>2056725.9669455697</v>
      </c>
      <c r="R48" s="108">
        <f>R42-R46</f>
        <v>33289.065092165547</v>
      </c>
      <c r="S48" s="108">
        <f>Q48+R48</f>
        <v>2090015.0320377352</v>
      </c>
    </row>
    <row r="49" spans="1:19" x14ac:dyDescent="0.25">
      <c r="A49" s="1" t="s">
        <v>559</v>
      </c>
      <c r="D49" s="398">
        <f>D48/$S48</f>
        <v>0.5860881090851594</v>
      </c>
      <c r="E49" s="398">
        <f t="shared" ref="E49:S49" si="21">E48/$S48</f>
        <v>0.1075413811403865</v>
      </c>
      <c r="F49" s="398">
        <f t="shared" si="21"/>
        <v>0.13588799866138052</v>
      </c>
      <c r="G49" s="398">
        <f t="shared" si="21"/>
        <v>5.8948035391229309E-2</v>
      </c>
      <c r="H49" s="398">
        <f t="shared" si="21"/>
        <v>1.9283486050819458E-3</v>
      </c>
      <c r="I49" s="398">
        <f t="shared" si="21"/>
        <v>4.463211764867462E-2</v>
      </c>
      <c r="J49" s="398">
        <f t="shared" si="21"/>
        <v>4.2196491248197945E-4</v>
      </c>
      <c r="K49" s="398">
        <f t="shared" si="21"/>
        <v>1.8739699545685932E-2</v>
      </c>
      <c r="L49" s="398">
        <f t="shared" si="21"/>
        <v>1.216206034894945E-2</v>
      </c>
      <c r="M49" s="398">
        <f t="shared" si="21"/>
        <v>4.7308351353232579E-3</v>
      </c>
      <c r="N49" s="398">
        <f t="shared" si="21"/>
        <v>8.3863238440166684E-3</v>
      </c>
      <c r="O49" s="398">
        <f t="shared" si="21"/>
        <v>4.2497577812728093E-3</v>
      </c>
      <c r="P49" s="398">
        <f t="shared" si="21"/>
        <v>3.5570011716994272E-4</v>
      </c>
      <c r="Q49" s="398">
        <f t="shared" si="21"/>
        <v>0.98407233221681223</v>
      </c>
      <c r="R49" s="398">
        <f t="shared" si="21"/>
        <v>1.592766778318775E-2</v>
      </c>
      <c r="S49" s="398">
        <f t="shared" si="21"/>
        <v>1</v>
      </c>
    </row>
    <row r="50" spans="1:19" x14ac:dyDescent="0.25"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</row>
    <row r="51" spans="1:19" x14ac:dyDescent="0.25">
      <c r="A51" s="1" t="s">
        <v>560</v>
      </c>
      <c r="D51" s="398">
        <f>D47*$B$58</f>
        <v>0.29391385865287817</v>
      </c>
      <c r="E51" s="398">
        <f t="shared" ref="E51:R51" si="22">E47*$B$58</f>
        <v>7.468006273886664E-2</v>
      </c>
      <c r="F51" s="398">
        <f t="shared" si="22"/>
        <v>8.260832013704493E-2</v>
      </c>
      <c r="G51" s="398">
        <f t="shared" si="22"/>
        <v>5.3597598116372679E-2</v>
      </c>
      <c r="H51" s="398">
        <f t="shared" si="22"/>
        <v>4.4162861523741495E-4</v>
      </c>
      <c r="I51" s="398">
        <f t="shared" si="22"/>
        <v>3.7290142403713013E-2</v>
      </c>
      <c r="J51" s="398">
        <f t="shared" si="22"/>
        <v>1.1774766552142169E-4</v>
      </c>
      <c r="K51" s="398">
        <f t="shared" si="22"/>
        <v>3.2497784333552974E-3</v>
      </c>
      <c r="L51" s="398">
        <f t="shared" si="22"/>
        <v>8.9658732088918214E-3</v>
      </c>
      <c r="M51" s="398">
        <f t="shared" si="22"/>
        <v>2.037944026166943E-3</v>
      </c>
      <c r="N51" s="398">
        <f t="shared" si="22"/>
        <v>1.4102745771852936E-2</v>
      </c>
      <c r="O51" s="398">
        <f t="shared" si="22"/>
        <v>1.9435391529060346E-3</v>
      </c>
      <c r="P51" s="398">
        <f t="shared" si="22"/>
        <v>1.9021176287232076E-4</v>
      </c>
      <c r="Q51" s="398">
        <f t="shared" si="22"/>
        <v>0.57313945068567951</v>
      </c>
      <c r="R51" s="398">
        <f t="shared" si="22"/>
        <v>5.2915843879424357E-2</v>
      </c>
      <c r="S51" s="398">
        <f t="shared" ref="S51:S53" si="23">Q51+R51</f>
        <v>0.62605529456510389</v>
      </c>
    </row>
    <row r="52" spans="1:19" x14ac:dyDescent="0.25">
      <c r="A52" s="1" t="s">
        <v>561</v>
      </c>
      <c r="D52" s="398">
        <f>D49*$B$59</f>
        <v>0.2191645453107452</v>
      </c>
      <c r="E52" s="398">
        <f t="shared" ref="E52:R52" si="24">E49*$B$59</f>
        <v>4.0214530092603722E-2</v>
      </c>
      <c r="F52" s="398">
        <f t="shared" si="24"/>
        <v>5.0814597631567496E-2</v>
      </c>
      <c r="G52" s="398">
        <f t="shared" si="24"/>
        <v>2.2043305730339073E-2</v>
      </c>
      <c r="H52" s="398">
        <f t="shared" si="24"/>
        <v>7.2109575110316105E-4</v>
      </c>
      <c r="I52" s="398">
        <f t="shared" si="24"/>
        <v>1.668994408706926E-2</v>
      </c>
      <c r="J52" s="398">
        <f t="shared" si="24"/>
        <v>1.5779154490193551E-4</v>
      </c>
      <c r="K52" s="398">
        <f t="shared" si="24"/>
        <v>7.0076114265499824E-3</v>
      </c>
      <c r="L52" s="398">
        <f t="shared" si="24"/>
        <v>4.547938074669332E-3</v>
      </c>
      <c r="M52" s="398">
        <f t="shared" si="24"/>
        <v>1.7690707511395125E-3</v>
      </c>
      <c r="N52" s="398">
        <f t="shared" si="24"/>
        <v>3.1360213995324589E-3</v>
      </c>
      <c r="O52" s="398">
        <f t="shared" si="24"/>
        <v>1.5891744216877182E-3</v>
      </c>
      <c r="P52" s="398">
        <f t="shared" si="24"/>
        <v>1.3301217553827227E-4</v>
      </c>
      <c r="Q52" s="398">
        <f t="shared" si="24"/>
        <v>0.36798863839744705</v>
      </c>
      <c r="R52" s="398">
        <f t="shared" si="24"/>
        <v>5.956067037449028E-3</v>
      </c>
      <c r="S52" s="445">
        <f t="shared" si="23"/>
        <v>0.37394470543489611</v>
      </c>
    </row>
    <row r="53" spans="1:19" x14ac:dyDescent="0.25">
      <c r="A53" s="1" t="s">
        <v>562</v>
      </c>
      <c r="D53" s="445">
        <f>D51+D52</f>
        <v>0.51307840396362336</v>
      </c>
      <c r="E53" s="445">
        <f t="shared" ref="E53:R53" si="25">E51+E52</f>
        <v>0.11489459283147035</v>
      </c>
      <c r="F53" s="445">
        <f t="shared" si="25"/>
        <v>0.13342291776861243</v>
      </c>
      <c r="G53" s="445">
        <f t="shared" si="25"/>
        <v>7.5640903846711752E-2</v>
      </c>
      <c r="H53" s="445">
        <f t="shared" si="25"/>
        <v>1.1627243663405759E-3</v>
      </c>
      <c r="I53" s="445">
        <f t="shared" si="25"/>
        <v>5.3980086490782273E-2</v>
      </c>
      <c r="J53" s="445">
        <f t="shared" si="25"/>
        <v>2.7553921042335722E-4</v>
      </c>
      <c r="K53" s="445">
        <f t="shared" si="25"/>
        <v>1.0257389859905279E-2</v>
      </c>
      <c r="L53" s="445">
        <f t="shared" si="25"/>
        <v>1.3513811283561154E-2</v>
      </c>
      <c r="M53" s="445">
        <f t="shared" si="25"/>
        <v>3.8070147773064554E-3</v>
      </c>
      <c r="N53" s="445">
        <f t="shared" si="25"/>
        <v>1.7238767171385394E-2</v>
      </c>
      <c r="O53" s="445">
        <f t="shared" si="25"/>
        <v>3.5327135745937526E-3</v>
      </c>
      <c r="P53" s="445">
        <f t="shared" si="25"/>
        <v>3.2322393841059303E-4</v>
      </c>
      <c r="Q53" s="445">
        <f t="shared" si="25"/>
        <v>0.94112808908312662</v>
      </c>
      <c r="R53" s="445">
        <f t="shared" si="25"/>
        <v>5.8871910916873382E-2</v>
      </c>
      <c r="S53" s="445">
        <f t="shared" si="23"/>
        <v>1</v>
      </c>
    </row>
    <row r="55" spans="1:19" x14ac:dyDescent="0.25">
      <c r="A55" s="1" t="s">
        <v>563</v>
      </c>
    </row>
    <row r="56" spans="1:19" x14ac:dyDescent="0.25">
      <c r="A56" s="1" t="s">
        <v>564</v>
      </c>
      <c r="B56" s="108">
        <f>S46</f>
        <v>2790517.9679622641</v>
      </c>
    </row>
    <row r="57" spans="1:19" x14ac:dyDescent="0.25">
      <c r="A57" s="1" t="s">
        <v>565</v>
      </c>
      <c r="B57" s="108">
        <f>MAX(S5:S16)</f>
        <v>4457302.7210012302</v>
      </c>
    </row>
    <row r="58" spans="1:19" x14ac:dyDescent="0.25">
      <c r="A58" s="1" t="s">
        <v>566</v>
      </c>
      <c r="B58" s="398">
        <f>B56/B57</f>
        <v>0.62605529456510389</v>
      </c>
    </row>
    <row r="59" spans="1:19" x14ac:dyDescent="0.25">
      <c r="A59" s="1" t="s">
        <v>567</v>
      </c>
      <c r="B59" s="445">
        <f>1-B58</f>
        <v>0.37394470543489611</v>
      </c>
    </row>
    <row r="61" spans="1:19" x14ac:dyDescent="0.25">
      <c r="D61" s="1" t="s">
        <v>415</v>
      </c>
      <c r="E61" s="1" t="s">
        <v>416</v>
      </c>
      <c r="F61" s="1" t="s">
        <v>417</v>
      </c>
      <c r="G61" s="1" t="s">
        <v>418</v>
      </c>
      <c r="H61" s="1" t="s">
        <v>419</v>
      </c>
      <c r="I61" s="1" t="s">
        <v>420</v>
      </c>
      <c r="J61" s="1" t="s">
        <v>421</v>
      </c>
      <c r="K61" s="1" t="s">
        <v>422</v>
      </c>
      <c r="L61" s="1" t="s">
        <v>423</v>
      </c>
      <c r="M61" s="1" t="s">
        <v>424</v>
      </c>
      <c r="N61" s="1" t="s">
        <v>425</v>
      </c>
      <c r="O61" s="1" t="s">
        <v>5</v>
      </c>
      <c r="P61" s="1" t="s">
        <v>426</v>
      </c>
      <c r="Q61" s="1" t="s">
        <v>427</v>
      </c>
      <c r="R61" s="1" t="s">
        <v>428</v>
      </c>
      <c r="S61" s="1" t="s">
        <v>4</v>
      </c>
    </row>
    <row r="62" spans="1:19" x14ac:dyDescent="0.25">
      <c r="A62" s="449" t="s">
        <v>568</v>
      </c>
      <c r="B62" s="449"/>
      <c r="C62" s="449"/>
      <c r="D62" s="453">
        <f t="shared" ref="D62:Q62" si="26">D21</f>
        <v>0.52798838155061945</v>
      </c>
      <c r="E62" s="453">
        <f t="shared" si="26"/>
        <v>0.121729301357864</v>
      </c>
      <c r="F62" s="453">
        <f t="shared" si="26"/>
        <v>0.13018264634237131</v>
      </c>
      <c r="G62" s="453">
        <f t="shared" si="26"/>
        <v>6.8457479065222551E-2</v>
      </c>
      <c r="H62" s="453">
        <f t="shared" si="26"/>
        <v>1.088516143310439E-4</v>
      </c>
      <c r="I62" s="454">
        <f t="shared" si="26"/>
        <v>4.8359912108245182E-2</v>
      </c>
      <c r="J62" s="453">
        <f t="shared" si="26"/>
        <v>1.6526663708561697E-6</v>
      </c>
      <c r="K62" s="453">
        <f t="shared" si="26"/>
        <v>1.0250855659736937E-2</v>
      </c>
      <c r="L62" s="453">
        <f t="shared" si="26"/>
        <v>1.2464150933296803E-2</v>
      </c>
      <c r="M62" s="453">
        <f t="shared" si="26"/>
        <v>2.3365669269656566E-3</v>
      </c>
      <c r="N62" s="454">
        <f t="shared" si="26"/>
        <v>1.6425817056254996E-2</v>
      </c>
      <c r="O62" s="453">
        <f t="shared" si="26"/>
        <v>1.9026385128341706E-3</v>
      </c>
      <c r="P62" s="453">
        <f t="shared" si="26"/>
        <v>3.3722097136144896E-4</v>
      </c>
      <c r="Q62" s="453">
        <f t="shared" si="26"/>
        <v>0.94054547476547434</v>
      </c>
      <c r="R62" s="453">
        <f>R21</f>
        <v>5.9454525234525712E-2</v>
      </c>
      <c r="S62" s="453">
        <f>S21</f>
        <v>1.0000000000000004</v>
      </c>
    </row>
    <row r="63" spans="1:19" x14ac:dyDescent="0.25">
      <c r="A63" s="449" t="s">
        <v>569</v>
      </c>
      <c r="B63" s="449"/>
      <c r="C63" s="449"/>
      <c r="D63" s="453">
        <f t="shared" ref="D63:Q63" si="27">D53</f>
        <v>0.51307840396362336</v>
      </c>
      <c r="E63" s="453">
        <f t="shared" si="27"/>
        <v>0.11489459283147035</v>
      </c>
      <c r="F63" s="453">
        <f t="shared" si="27"/>
        <v>0.13342291776861243</v>
      </c>
      <c r="G63" s="453">
        <f t="shared" si="27"/>
        <v>7.5640903846711752E-2</v>
      </c>
      <c r="H63" s="453">
        <f t="shared" si="27"/>
        <v>1.1627243663405759E-3</v>
      </c>
      <c r="I63" s="454">
        <f t="shared" si="27"/>
        <v>5.3980086490782273E-2</v>
      </c>
      <c r="J63" s="453">
        <f t="shared" si="27"/>
        <v>2.7553921042335722E-4</v>
      </c>
      <c r="K63" s="453">
        <f t="shared" si="27"/>
        <v>1.0257389859905279E-2</v>
      </c>
      <c r="L63" s="453">
        <f t="shared" si="27"/>
        <v>1.3513811283561154E-2</v>
      </c>
      <c r="M63" s="453">
        <f t="shared" si="27"/>
        <v>3.8070147773064554E-3</v>
      </c>
      <c r="N63" s="454">
        <f t="shared" si="27"/>
        <v>1.7238767171385394E-2</v>
      </c>
      <c r="O63" s="453">
        <f t="shared" si="27"/>
        <v>3.5327135745937526E-3</v>
      </c>
      <c r="P63" s="453">
        <f t="shared" si="27"/>
        <v>3.2322393841059303E-4</v>
      </c>
      <c r="Q63" s="453">
        <f t="shared" si="27"/>
        <v>0.94112808908312662</v>
      </c>
      <c r="R63" s="453">
        <f>R53</f>
        <v>5.8871910916873382E-2</v>
      </c>
      <c r="S63" s="453">
        <f>S53</f>
        <v>1</v>
      </c>
    </row>
    <row r="64" spans="1:19" x14ac:dyDescent="0.25">
      <c r="A64" s="449" t="s">
        <v>570</v>
      </c>
      <c r="D64" s="453">
        <f t="shared" ref="D64:J64" si="28">D$63/($S$63-$K$63)</f>
        <v>0.51839579170083305</v>
      </c>
      <c r="E64" s="453">
        <f t="shared" si="28"/>
        <v>0.11608532526977637</v>
      </c>
      <c r="F64" s="453">
        <f t="shared" si="28"/>
        <v>0.13480567210269634</v>
      </c>
      <c r="G64" s="453">
        <f t="shared" si="28"/>
        <v>7.6424823051727597E-2</v>
      </c>
      <c r="H64" s="453">
        <f t="shared" si="28"/>
        <v>1.174774486243445E-3</v>
      </c>
      <c r="I64" s="453">
        <f t="shared" si="28"/>
        <v>5.4539519606154552E-2</v>
      </c>
      <c r="J64" s="453">
        <f t="shared" si="28"/>
        <v>2.7839481457139206E-4</v>
      </c>
      <c r="L64" s="453">
        <f>L$63/($S$63-$K$63)</f>
        <v>1.3653864292705677E-2</v>
      </c>
      <c r="M64" s="453">
        <f>M$63/($S$63-$K$63)</f>
        <v>3.846469514703005E-3</v>
      </c>
      <c r="N64" s="453">
        <f>N$63/($S$63-$K$63)</f>
        <v>1.741742448468022E-2</v>
      </c>
      <c r="O64" s="453">
        <f>O$63/($S$63-$K$63)</f>
        <v>3.5693255381757374E-3</v>
      </c>
      <c r="P64" s="453">
        <f>P$63/($S$63-$K$63)</f>
        <v>3.2657373250287951E-4</v>
      </c>
      <c r="Q64" s="453">
        <f>SUM(D64:P64)</f>
        <v>0.94051795859477016</v>
      </c>
      <c r="R64" s="453">
        <f>R$63/($S$63-$K$63)</f>
        <v>5.9482041405229856E-2</v>
      </c>
      <c r="S64" s="453">
        <f>Q64+R64</f>
        <v>1</v>
      </c>
    </row>
    <row r="65" spans="1:19" x14ac:dyDescent="0.25">
      <c r="A65" s="449" t="s">
        <v>571</v>
      </c>
      <c r="D65" s="453">
        <f t="shared" ref="D65:J65" si="29">D$63/($S$63-$K$63-$L$63-$R$63)</f>
        <v>0.55930075928897527</v>
      </c>
      <c r="E65" s="453">
        <f t="shared" si="29"/>
        <v>0.12524525006785323</v>
      </c>
      <c r="F65" s="453">
        <f t="shared" si="29"/>
        <v>0.14544276008901391</v>
      </c>
      <c r="G65" s="453">
        <f t="shared" si="29"/>
        <v>8.2455263421630384E-2</v>
      </c>
      <c r="H65" s="453">
        <f t="shared" si="29"/>
        <v>1.267472214605593E-3</v>
      </c>
      <c r="I65" s="453">
        <f t="shared" si="29"/>
        <v>5.8843060100653925E-2</v>
      </c>
      <c r="J65" s="453">
        <f t="shared" si="29"/>
        <v>3.0036206632971942E-4</v>
      </c>
      <c r="L65" s="453"/>
      <c r="M65" s="453">
        <f>M$63/($S$63-$K$63-$L$63-$R$63)</f>
        <v>4.1499822232292051E-3</v>
      </c>
      <c r="N65" s="453">
        <f>N$63/($S$63-$K$63-$L$63-$R$63)</f>
        <v>1.8791778203249603E-2</v>
      </c>
      <c r="O65" s="453">
        <f>O$63/($S$63-$K$63-$L$63-$R$63)</f>
        <v>3.8509696946060533E-3</v>
      </c>
      <c r="P65" s="453">
        <f>P$63/($S$63-$K$63-$L$63-$R$63)</f>
        <v>3.5234262985318459E-4</v>
      </c>
      <c r="Q65" s="453">
        <f>SUM(D65:P65)</f>
        <v>1</v>
      </c>
      <c r="R65" s="453"/>
      <c r="S65" s="453">
        <f>Q65+R65</f>
        <v>1</v>
      </c>
    </row>
  </sheetData>
  <printOptions horizontalCentered="1"/>
  <pageMargins left="0.25" right="0.25" top="0.75" bottom="0.75" header="0.3" footer="0.3"/>
  <pageSetup scale="53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="80" zoomScaleNormal="80" workbookViewId="0"/>
  </sheetViews>
  <sheetFormatPr defaultColWidth="8.85546875" defaultRowHeight="15" x14ac:dyDescent="0.25"/>
  <cols>
    <col min="1" max="1" width="20.7109375" style="1" customWidth="1"/>
    <col min="2" max="2" width="13.7109375" style="1" bestFit="1" customWidth="1"/>
    <col min="3" max="3" width="13" style="1" bestFit="1" customWidth="1"/>
    <col min="4" max="4" width="18.7109375" style="1" bestFit="1" customWidth="1"/>
    <col min="5" max="6" width="13.5703125" style="1" bestFit="1" customWidth="1"/>
    <col min="7" max="7" width="13" style="1" bestFit="1" customWidth="1"/>
    <col min="8" max="8" width="22.7109375" style="1" bestFit="1" customWidth="1"/>
    <col min="9" max="9" width="16.140625" style="1" bestFit="1" customWidth="1"/>
    <col min="10" max="10" width="26.7109375" style="1" bestFit="1" customWidth="1"/>
    <col min="11" max="11" width="14.7109375" style="1" bestFit="1" customWidth="1"/>
    <col min="12" max="12" width="22.7109375" style="1" bestFit="1" customWidth="1"/>
    <col min="13" max="13" width="8.85546875" style="1"/>
    <col min="14" max="15" width="11.28515625" style="1" bestFit="1" customWidth="1"/>
    <col min="16" max="16" width="10.28515625" style="1" bestFit="1" customWidth="1"/>
    <col min="17" max="16384" width="8.85546875" style="1"/>
  </cols>
  <sheetData>
    <row r="1" spans="1:10" x14ac:dyDescent="0.25">
      <c r="A1" s="180"/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25">
      <c r="A2" s="180"/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5.75" x14ac:dyDescent="0.25">
      <c r="A3" s="182" t="s">
        <v>437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15.75" x14ac:dyDescent="0.25">
      <c r="A4" s="182" t="s">
        <v>438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15.75" x14ac:dyDescent="0.25">
      <c r="A5" s="183"/>
      <c r="B5" s="183"/>
      <c r="C5" s="183"/>
      <c r="D5" s="183"/>
      <c r="E5" s="183"/>
      <c r="F5" s="183"/>
      <c r="G5" s="183"/>
      <c r="H5" s="183"/>
      <c r="I5" s="182"/>
      <c r="J5" s="182"/>
    </row>
    <row r="6" spans="1:10" ht="15.75" x14ac:dyDescent="0.25">
      <c r="A6" s="183"/>
      <c r="B6" s="183"/>
      <c r="C6" s="183"/>
      <c r="D6" s="183"/>
      <c r="E6" s="183"/>
      <c r="F6" s="183"/>
      <c r="G6" s="183"/>
      <c r="H6" s="183"/>
      <c r="I6" s="182"/>
      <c r="J6" s="182"/>
    </row>
    <row r="7" spans="1:10" ht="16.5" thickBot="1" x14ac:dyDescent="0.3">
      <c r="A7" s="183"/>
      <c r="B7" s="183"/>
      <c r="C7" s="183"/>
      <c r="D7" s="183"/>
      <c r="E7" s="183"/>
      <c r="F7" s="183"/>
      <c r="G7" s="183"/>
      <c r="H7" s="183"/>
      <c r="I7" s="182"/>
      <c r="J7" s="182"/>
    </row>
    <row r="8" spans="1:10" ht="15.75" x14ac:dyDescent="0.25">
      <c r="A8" s="184" t="s">
        <v>439</v>
      </c>
      <c r="B8" s="185">
        <v>22233671792</v>
      </c>
      <c r="C8" s="183"/>
      <c r="D8" s="183"/>
      <c r="E8" s="183"/>
      <c r="F8" s="183"/>
      <c r="G8" s="183"/>
      <c r="H8" s="186" t="s">
        <v>442</v>
      </c>
      <c r="I8" s="187"/>
      <c r="J8" s="188">
        <v>20367606876.28373</v>
      </c>
    </row>
    <row r="9" spans="1:10" ht="15.75" x14ac:dyDescent="0.25">
      <c r="A9" s="189" t="s">
        <v>440</v>
      </c>
      <c r="B9" s="190">
        <v>145584174.35660648</v>
      </c>
      <c r="C9" s="183"/>
      <c r="D9" s="183"/>
      <c r="E9" s="183"/>
      <c r="F9" s="183"/>
      <c r="G9" s="183"/>
      <c r="H9" s="191" t="s">
        <v>443</v>
      </c>
      <c r="I9" s="192"/>
      <c r="J9" s="193">
        <v>135700317.96310043</v>
      </c>
    </row>
    <row r="10" spans="1:10" ht="16.5" thickBot="1" x14ac:dyDescent="0.3">
      <c r="A10" s="194" t="s">
        <v>441</v>
      </c>
      <c r="B10" s="195">
        <v>22379255966.356606</v>
      </c>
      <c r="C10" s="183"/>
      <c r="D10" s="183"/>
      <c r="E10" s="183"/>
      <c r="F10" s="183"/>
      <c r="G10" s="183"/>
      <c r="H10" s="196" t="s">
        <v>444</v>
      </c>
      <c r="I10" s="197"/>
      <c r="J10" s="198">
        <v>20503307194.24683</v>
      </c>
    </row>
    <row r="11" spans="1:10" ht="15.75" x14ac:dyDescent="0.25">
      <c r="A11" s="182"/>
      <c r="B11" s="182"/>
      <c r="C11" s="182"/>
      <c r="D11" s="182"/>
      <c r="E11" s="182"/>
      <c r="F11" s="182"/>
      <c r="G11" s="182"/>
      <c r="H11" s="199"/>
      <c r="I11" s="199"/>
      <c r="J11" s="182"/>
    </row>
    <row r="12" spans="1:10" ht="15.75" x14ac:dyDescent="0.25">
      <c r="A12" s="182"/>
      <c r="B12" s="182"/>
      <c r="C12" s="182"/>
      <c r="D12" s="182"/>
      <c r="E12" s="182"/>
      <c r="F12" s="182"/>
      <c r="G12" s="182"/>
      <c r="H12" s="182"/>
      <c r="I12" s="182"/>
      <c r="J12" s="182"/>
    </row>
    <row r="13" spans="1:10" ht="15.75" thickBot="1" x14ac:dyDescent="0.3">
      <c r="A13" s="181"/>
      <c r="B13" s="200"/>
      <c r="C13" s="181"/>
      <c r="D13" s="200"/>
      <c r="E13" s="181"/>
      <c r="F13" s="181"/>
      <c r="G13" s="181"/>
      <c r="H13" s="181"/>
      <c r="I13" s="181"/>
      <c r="J13" s="201"/>
    </row>
    <row r="14" spans="1:10" x14ac:dyDescent="0.25">
      <c r="A14" s="202" t="s">
        <v>445</v>
      </c>
      <c r="B14" s="203" t="s">
        <v>446</v>
      </c>
      <c r="C14" s="203" t="s">
        <v>447</v>
      </c>
      <c r="D14" s="203" t="s">
        <v>448</v>
      </c>
      <c r="E14" s="203" t="s">
        <v>449</v>
      </c>
      <c r="F14" s="203" t="s">
        <v>450</v>
      </c>
      <c r="G14" s="203" t="s">
        <v>451</v>
      </c>
      <c r="H14" s="203" t="s">
        <v>452</v>
      </c>
      <c r="I14" s="203" t="s">
        <v>453</v>
      </c>
      <c r="J14" s="204" t="s">
        <v>454</v>
      </c>
    </row>
    <row r="15" spans="1:10" x14ac:dyDescent="0.25">
      <c r="A15" s="205"/>
      <c r="B15" s="206"/>
      <c r="C15" s="206"/>
      <c r="D15" s="206"/>
      <c r="E15" s="206"/>
      <c r="F15" s="206" t="s">
        <v>455</v>
      </c>
      <c r="G15" s="206" t="s">
        <v>455</v>
      </c>
      <c r="H15" s="206" t="s">
        <v>455</v>
      </c>
      <c r="I15" s="206" t="s">
        <v>456</v>
      </c>
      <c r="J15" s="207" t="s">
        <v>457</v>
      </c>
    </row>
    <row r="16" spans="1:10" x14ac:dyDescent="0.25">
      <c r="A16" s="205"/>
      <c r="B16" s="206" t="s">
        <v>458</v>
      </c>
      <c r="C16" s="206" t="s">
        <v>459</v>
      </c>
      <c r="D16" s="206" t="s">
        <v>459</v>
      </c>
      <c r="E16" s="206" t="s">
        <v>85</v>
      </c>
      <c r="F16" s="206" t="s">
        <v>456</v>
      </c>
      <c r="G16" s="206" t="s">
        <v>460</v>
      </c>
      <c r="H16" s="206" t="s">
        <v>459</v>
      </c>
      <c r="I16" s="206" t="s">
        <v>461</v>
      </c>
      <c r="J16" s="207" t="s">
        <v>462</v>
      </c>
    </row>
    <row r="17" spans="1:10" x14ac:dyDescent="0.25">
      <c r="A17" s="205" t="s">
        <v>463</v>
      </c>
      <c r="B17" s="206" t="s">
        <v>464</v>
      </c>
      <c r="C17" s="206" t="s">
        <v>458</v>
      </c>
      <c r="D17" s="206" t="s">
        <v>465</v>
      </c>
      <c r="E17" s="206" t="s">
        <v>456</v>
      </c>
      <c r="F17" s="206" t="s">
        <v>466</v>
      </c>
      <c r="G17" s="206" t="s">
        <v>467</v>
      </c>
      <c r="H17" s="206" t="s">
        <v>468</v>
      </c>
      <c r="I17" s="206" t="s">
        <v>469</v>
      </c>
      <c r="J17" s="207" t="s">
        <v>456</v>
      </c>
    </row>
    <row r="18" spans="1:10" x14ac:dyDescent="0.25">
      <c r="A18" s="208"/>
      <c r="B18" s="209"/>
      <c r="C18" s="206" t="s">
        <v>465</v>
      </c>
      <c r="D18" s="206" t="s">
        <v>467</v>
      </c>
      <c r="E18" s="206" t="s">
        <v>466</v>
      </c>
      <c r="F18" s="206" t="s">
        <v>470</v>
      </c>
      <c r="G18" s="206" t="s">
        <v>471</v>
      </c>
      <c r="H18" s="206" t="s">
        <v>467</v>
      </c>
      <c r="I18" s="206" t="s">
        <v>472</v>
      </c>
      <c r="J18" s="207" t="s">
        <v>472</v>
      </c>
    </row>
    <row r="19" spans="1:10" x14ac:dyDescent="0.25">
      <c r="A19" s="208"/>
      <c r="B19" s="209"/>
      <c r="C19" s="210"/>
      <c r="D19" s="206" t="s">
        <v>473</v>
      </c>
      <c r="E19" s="206"/>
      <c r="F19" s="209"/>
      <c r="G19" s="206"/>
      <c r="H19" s="206"/>
      <c r="I19" s="206"/>
      <c r="J19" s="207"/>
    </row>
    <row r="20" spans="1:10" x14ac:dyDescent="0.25">
      <c r="A20" s="211"/>
      <c r="B20" s="212" t="s">
        <v>474</v>
      </c>
      <c r="C20" s="213"/>
      <c r="D20" s="213"/>
      <c r="E20" s="213" t="s">
        <v>475</v>
      </c>
      <c r="F20" s="214" t="s">
        <v>476</v>
      </c>
      <c r="G20" s="214" t="s">
        <v>477</v>
      </c>
      <c r="H20" s="214" t="s">
        <v>478</v>
      </c>
      <c r="I20" s="213" t="s">
        <v>479</v>
      </c>
      <c r="J20" s="215" t="s">
        <v>480</v>
      </c>
    </row>
    <row r="21" spans="1:10" x14ac:dyDescent="0.25">
      <c r="A21" s="216" t="s">
        <v>481</v>
      </c>
      <c r="B21" s="217" t="s">
        <v>481</v>
      </c>
      <c r="C21" s="217" t="s">
        <v>481</v>
      </c>
      <c r="D21" s="217" t="s">
        <v>481</v>
      </c>
      <c r="E21" s="217" t="s">
        <v>481</v>
      </c>
      <c r="F21" s="217" t="s">
        <v>481</v>
      </c>
      <c r="G21" s="217" t="s">
        <v>481</v>
      </c>
      <c r="H21" s="217" t="s">
        <v>481</v>
      </c>
      <c r="I21" s="217" t="s">
        <v>482</v>
      </c>
      <c r="J21" s="218" t="s">
        <v>483</v>
      </c>
    </row>
    <row r="22" spans="1:10" x14ac:dyDescent="0.25">
      <c r="A22" s="219" t="s">
        <v>484</v>
      </c>
      <c r="B22" s="220">
        <v>10497389420.552736</v>
      </c>
      <c r="C22" s="220">
        <v>10625472918.689331</v>
      </c>
      <c r="D22" s="221">
        <v>128083498.13659537</v>
      </c>
      <c r="E22" s="222">
        <v>7.6394329101422034E-2</v>
      </c>
      <c r="F22" s="223">
        <v>10594188.859395742</v>
      </c>
      <c r="G22" s="223">
        <v>138677686.99599111</v>
      </c>
      <c r="H22" s="223">
        <v>137498609.64961803</v>
      </c>
      <c r="I22" s="223">
        <v>11338653637.512157</v>
      </c>
      <c r="J22" s="224">
        <v>11476152247.161776</v>
      </c>
    </row>
    <row r="23" spans="1:10" x14ac:dyDescent="0.25">
      <c r="A23" s="225">
        <v>24</v>
      </c>
      <c r="B23" s="220">
        <v>2690721829.5087838</v>
      </c>
      <c r="C23" s="220">
        <v>2700129196.7702866</v>
      </c>
      <c r="D23" s="221">
        <v>9407367.2615028732</v>
      </c>
      <c r="E23" s="222">
        <v>7.6248550578070895E-2</v>
      </c>
      <c r="F23" s="223">
        <v>776505.54041789658</v>
      </c>
      <c r="G23" s="223">
        <v>10183872.80192077</v>
      </c>
      <c r="H23" s="223">
        <v>10097286.603526527</v>
      </c>
      <c r="I23" s="223">
        <v>2905858339.8067904</v>
      </c>
      <c r="J23" s="224">
        <v>2915955626.4103169</v>
      </c>
    </row>
    <row r="24" spans="1:10" x14ac:dyDescent="0.25">
      <c r="A24" s="225">
        <v>25</v>
      </c>
      <c r="B24" s="220">
        <v>2986356397.9411645</v>
      </c>
      <c r="C24" s="220">
        <v>2987721690.5601029</v>
      </c>
      <c r="D24" s="221">
        <v>1365292.6189382095</v>
      </c>
      <c r="E24" s="222">
        <v>7.6027086368391728E-2</v>
      </c>
      <c r="F24" s="223">
        <v>112340.11119456706</v>
      </c>
      <c r="G24" s="223">
        <v>1477632.7301327765</v>
      </c>
      <c r="H24" s="223">
        <v>1465069.4741678184</v>
      </c>
      <c r="I24" s="223">
        <v>3224057072.0137458</v>
      </c>
      <c r="J24" s="224">
        <v>3225522141.4879136</v>
      </c>
    </row>
    <row r="25" spans="1:10" x14ac:dyDescent="0.25">
      <c r="A25" s="225">
        <v>26</v>
      </c>
      <c r="B25" s="220">
        <v>1946174476.2870584</v>
      </c>
      <c r="C25" s="220">
        <v>1941301363.9308119</v>
      </c>
      <c r="D25" s="221">
        <v>-4873112.3562464509</v>
      </c>
      <c r="E25" s="222">
        <v>7.552808828744316E-2</v>
      </c>
      <c r="F25" s="223">
        <v>-398126.60137547925</v>
      </c>
      <c r="G25" s="223">
        <v>-5271238.9576219302</v>
      </c>
      <c r="H25" s="223">
        <v>-5226421.376820839</v>
      </c>
      <c r="I25" s="223">
        <v>2097996727.9043887</v>
      </c>
      <c r="J25" s="224">
        <v>2092770306.5275679</v>
      </c>
    </row>
    <row r="26" spans="1:10" x14ac:dyDescent="0.25">
      <c r="A26" s="225">
        <v>29</v>
      </c>
      <c r="B26" s="220">
        <v>16475530.158172358</v>
      </c>
      <c r="C26" s="220">
        <v>16009313.796828577</v>
      </c>
      <c r="D26" s="221">
        <v>-466216.36134378111</v>
      </c>
      <c r="E26" s="222">
        <v>7.3631662253881694E-2</v>
      </c>
      <c r="F26" s="223">
        <v>-37056.842572168098</v>
      </c>
      <c r="G26" s="223">
        <v>-503273.20391594921</v>
      </c>
      <c r="H26" s="223">
        <v>-498994.23123744584</v>
      </c>
      <c r="I26" s="223">
        <v>17742812.703756321</v>
      </c>
      <c r="J26" s="224">
        <v>17243818.472518876</v>
      </c>
    </row>
    <row r="27" spans="1:10" x14ac:dyDescent="0.25">
      <c r="A27" s="219">
        <v>31</v>
      </c>
      <c r="B27" s="220">
        <v>1408684085.0035303</v>
      </c>
      <c r="C27" s="220">
        <v>1407978352.242965</v>
      </c>
      <c r="D27" s="221">
        <v>-705732.76056518452</v>
      </c>
      <c r="E27" s="222">
        <v>3.6410112930760248E-2</v>
      </c>
      <c r="F27" s="223">
        <v>-26666.748848173767</v>
      </c>
      <c r="G27" s="223">
        <v>-732399.50941335829</v>
      </c>
      <c r="H27" s="223">
        <v>-726172.4393723862</v>
      </c>
      <c r="I27" s="223">
        <v>1456756022.4940898</v>
      </c>
      <c r="J27" s="224">
        <v>1456029850.0547175</v>
      </c>
    </row>
    <row r="28" spans="1:10" x14ac:dyDescent="0.25">
      <c r="A28" s="219">
        <v>35</v>
      </c>
      <c r="B28" s="220">
        <v>4443660</v>
      </c>
      <c r="C28" s="220">
        <v>4443660</v>
      </c>
      <c r="D28" s="221">
        <v>0</v>
      </c>
      <c r="E28" s="222">
        <v>3.577352608043876E-2</v>
      </c>
      <c r="F28" s="223">
        <v>0</v>
      </c>
      <c r="G28" s="223">
        <v>0</v>
      </c>
      <c r="H28" s="223">
        <v>0</v>
      </c>
      <c r="I28" s="223">
        <v>4597572.0317007378</v>
      </c>
      <c r="J28" s="224">
        <v>4597572.0317007378</v>
      </c>
    </row>
    <row r="29" spans="1:10" x14ac:dyDescent="0.25">
      <c r="A29" s="219">
        <v>40</v>
      </c>
      <c r="B29" s="220">
        <v>0</v>
      </c>
      <c r="C29" s="220">
        <v>0</v>
      </c>
      <c r="D29" s="221">
        <v>0</v>
      </c>
      <c r="E29" s="222">
        <v>3.6447350534266516E-2</v>
      </c>
      <c r="F29" s="223">
        <v>0</v>
      </c>
      <c r="G29" s="223">
        <v>0</v>
      </c>
      <c r="H29" s="223">
        <v>0</v>
      </c>
      <c r="I29" s="223">
        <v>0</v>
      </c>
      <c r="J29" s="224">
        <v>0</v>
      </c>
    </row>
    <row r="30" spans="1:10" x14ac:dyDescent="0.25">
      <c r="A30" s="225">
        <v>43</v>
      </c>
      <c r="B30" s="220">
        <v>119697408.13428572</v>
      </c>
      <c r="C30" s="220">
        <v>122500713.32397975</v>
      </c>
      <c r="D30" s="221">
        <v>2803305.1896940321</v>
      </c>
      <c r="E30" s="222">
        <v>3.7026438277086147E-2</v>
      </c>
      <c r="F30" s="223">
        <v>107787.38971019397</v>
      </c>
      <c r="G30" s="223">
        <v>2911092.579404226</v>
      </c>
      <c r="H30" s="223">
        <v>2886341.6379375607</v>
      </c>
      <c r="I30" s="223">
        <v>124004415.54399861</v>
      </c>
      <c r="J30" s="224">
        <v>126890757.18193617</v>
      </c>
    </row>
    <row r="31" spans="1:10" x14ac:dyDescent="0.25">
      <c r="A31" s="225">
        <v>46</v>
      </c>
      <c r="B31" s="220">
        <v>78351492</v>
      </c>
      <c r="C31" s="220">
        <v>78351492</v>
      </c>
      <c r="D31" s="221">
        <v>0</v>
      </c>
      <c r="E31" s="222">
        <v>1.7696784210330874E-2</v>
      </c>
      <c r="F31" s="223">
        <v>0</v>
      </c>
      <c r="G31" s="223">
        <v>0</v>
      </c>
      <c r="H31" s="223">
        <v>0</v>
      </c>
      <c r="I31" s="223">
        <v>79573505.048999339</v>
      </c>
      <c r="J31" s="224">
        <v>79573505.048999339</v>
      </c>
    </row>
    <row r="32" spans="1:10" x14ac:dyDescent="0.25">
      <c r="A32" s="225">
        <v>49</v>
      </c>
      <c r="B32" s="220">
        <v>542259321.40199995</v>
      </c>
      <c r="C32" s="220">
        <v>542259321.40199995</v>
      </c>
      <c r="D32" s="221">
        <v>0</v>
      </c>
      <c r="E32" s="222">
        <v>1.7587491040799316E-2</v>
      </c>
      <c r="F32" s="223">
        <v>0</v>
      </c>
      <c r="G32" s="223">
        <v>0</v>
      </c>
      <c r="H32" s="223">
        <v>0</v>
      </c>
      <c r="I32" s="223">
        <v>550655414.21762562</v>
      </c>
      <c r="J32" s="224">
        <v>550655414.21762562</v>
      </c>
    </row>
    <row r="33" spans="1:10" x14ac:dyDescent="0.25">
      <c r="A33" s="225" t="s">
        <v>485</v>
      </c>
      <c r="B33" s="220">
        <v>7084150</v>
      </c>
      <c r="C33" s="220">
        <v>7170066.2345252717</v>
      </c>
      <c r="D33" s="221">
        <v>85916.234525271488</v>
      </c>
      <c r="E33" s="222">
        <v>3.6959891695881389E-2</v>
      </c>
      <c r="F33" s="223">
        <v>3297.3234402083763</v>
      </c>
      <c r="G33" s="223">
        <v>89213.557965479864</v>
      </c>
      <c r="H33" s="223">
        <v>88455.038787196492</v>
      </c>
      <c r="I33" s="223">
        <v>7338548.0971957911</v>
      </c>
      <c r="J33" s="224">
        <v>7427003.1359829875</v>
      </c>
    </row>
    <row r="34" spans="1:10" x14ac:dyDescent="0.25">
      <c r="A34" s="219" t="s">
        <v>486</v>
      </c>
      <c r="B34" s="220">
        <v>69969105.295999989</v>
      </c>
      <c r="C34" s="220">
        <v>69969105.295999989</v>
      </c>
      <c r="D34" s="221">
        <v>0</v>
      </c>
      <c r="E34" s="222">
        <v>8.0178490041609624E-2</v>
      </c>
      <c r="F34" s="223">
        <v>0</v>
      </c>
      <c r="G34" s="223">
        <v>0</v>
      </c>
      <c r="H34" s="223">
        <v>0</v>
      </c>
      <c r="I34" s="223">
        <v>75887375.026475519</v>
      </c>
      <c r="J34" s="224">
        <v>75887375.026475519</v>
      </c>
    </row>
    <row r="35" spans="1:10" x14ac:dyDescent="0.25">
      <c r="A35" s="216" t="s">
        <v>481</v>
      </c>
      <c r="B35" s="217" t="s">
        <v>481</v>
      </c>
      <c r="C35" s="226" t="s">
        <v>481</v>
      </c>
      <c r="D35" s="217" t="s">
        <v>481</v>
      </c>
      <c r="E35" s="217" t="s">
        <v>481</v>
      </c>
      <c r="F35" s="217" t="s">
        <v>481</v>
      </c>
      <c r="G35" s="217" t="s">
        <v>481</v>
      </c>
      <c r="H35" s="217" t="s">
        <v>481</v>
      </c>
      <c r="I35" s="217" t="s">
        <v>482</v>
      </c>
      <c r="J35" s="218" t="s">
        <v>483</v>
      </c>
    </row>
    <row r="36" spans="1:10" x14ac:dyDescent="0.25">
      <c r="A36" s="227" t="s">
        <v>4</v>
      </c>
      <c r="B36" s="228">
        <v>20367606876.28373</v>
      </c>
      <c r="C36" s="229">
        <v>20503307194.24683</v>
      </c>
      <c r="D36" s="228">
        <v>135700317.96310043</v>
      </c>
      <c r="E36" s="228">
        <v>0</v>
      </c>
      <c r="F36" s="228">
        <v>11132269.031362789</v>
      </c>
      <c r="G36" s="228">
        <v>146832586.99446315</v>
      </c>
      <c r="H36" s="228">
        <v>145584174.35660648</v>
      </c>
      <c r="I36" s="230">
        <v>21883121442.400917</v>
      </c>
      <c r="J36" s="231">
        <v>22028705616.757526</v>
      </c>
    </row>
    <row r="37" spans="1:10" ht="15.75" thickBot="1" x14ac:dyDescent="0.3">
      <c r="A37" s="232"/>
      <c r="B37" s="233"/>
      <c r="C37" s="234"/>
      <c r="D37" s="235"/>
      <c r="E37" s="233"/>
      <c r="F37" s="233"/>
      <c r="G37" s="233"/>
      <c r="H37" s="235"/>
      <c r="I37" s="233"/>
      <c r="J37" s="236"/>
    </row>
    <row r="38" spans="1:10" x14ac:dyDescent="0.25">
      <c r="A38" s="181"/>
      <c r="B38" s="181"/>
      <c r="C38" s="201"/>
      <c r="D38" s="181"/>
      <c r="E38" s="181"/>
      <c r="F38" s="181"/>
      <c r="G38" s="181"/>
      <c r="H38" s="181"/>
      <c r="I38" s="181"/>
      <c r="J38" s="201"/>
    </row>
    <row r="39" spans="1:10" x14ac:dyDescent="0.25">
      <c r="A39" s="181"/>
      <c r="B39" s="181"/>
      <c r="C39" s="201"/>
      <c r="D39" s="181"/>
      <c r="E39" s="181"/>
      <c r="F39" s="181"/>
      <c r="G39" s="181"/>
      <c r="H39" s="181"/>
      <c r="I39" s="181"/>
      <c r="J39" s="201"/>
    </row>
    <row r="40" spans="1:10" ht="15.75" thickBot="1" x14ac:dyDescent="0.3">
      <c r="A40" s="237" t="s">
        <v>487</v>
      </c>
      <c r="B40" s="181"/>
      <c r="C40" s="201"/>
      <c r="D40" s="181"/>
      <c r="E40" s="181"/>
      <c r="F40" s="181"/>
      <c r="G40" s="181"/>
      <c r="H40" s="181"/>
      <c r="I40" s="181"/>
      <c r="J40" s="201"/>
    </row>
    <row r="41" spans="1:10" x14ac:dyDescent="0.25">
      <c r="A41" s="238">
        <v>459</v>
      </c>
      <c r="B41" s="239">
        <v>293153938.24000144</v>
      </c>
      <c r="C41" s="239">
        <v>293153938.24000144</v>
      </c>
      <c r="D41" s="240">
        <v>0</v>
      </c>
      <c r="E41" s="241">
        <v>1.6945222666027646E-2</v>
      </c>
      <c r="F41" s="242">
        <v>0</v>
      </c>
      <c r="G41" s="242">
        <v>0</v>
      </c>
      <c r="H41" s="242">
        <v>0</v>
      </c>
      <c r="I41" s="242">
        <v>298207124.36292702</v>
      </c>
      <c r="J41" s="243">
        <v>298207124.36292702</v>
      </c>
    </row>
    <row r="42" spans="1:10" x14ac:dyDescent="0.25">
      <c r="A42" s="225" t="s">
        <v>249</v>
      </c>
      <c r="B42" s="220">
        <v>1661664054.6089966</v>
      </c>
      <c r="C42" s="220">
        <v>1661664054.6089966</v>
      </c>
      <c r="D42" s="244">
        <v>0</v>
      </c>
      <c r="E42" s="222">
        <v>1.6911502274592646E-2</v>
      </c>
      <c r="F42" s="223">
        <v>0</v>
      </c>
      <c r="G42" s="223">
        <v>0</v>
      </c>
      <c r="H42" s="245">
        <v>0</v>
      </c>
      <c r="I42" s="223">
        <v>1690248699.3323834</v>
      </c>
      <c r="J42" s="224">
        <v>1690248699.3323834</v>
      </c>
    </row>
    <row r="43" spans="1:10" x14ac:dyDescent="0.25">
      <c r="A43" s="225" t="s">
        <v>488</v>
      </c>
      <c r="B43" s="220">
        <v>74975062.919999987</v>
      </c>
      <c r="C43" s="220">
        <v>74975062.919999987</v>
      </c>
      <c r="D43" s="244">
        <v>0</v>
      </c>
      <c r="E43" s="222">
        <v>3.5004476029850982E-2</v>
      </c>
      <c r="F43" s="223">
        <v>0</v>
      </c>
      <c r="G43" s="223">
        <v>0</v>
      </c>
      <c r="H43" s="245">
        <v>0</v>
      </c>
      <c r="I43" s="223">
        <v>77694726.097319439</v>
      </c>
      <c r="J43" s="224">
        <v>77694726.097319439</v>
      </c>
    </row>
    <row r="44" spans="1:10" x14ac:dyDescent="0.25">
      <c r="A44" s="227" t="s">
        <v>330</v>
      </c>
      <c r="B44" s="246">
        <v>336220536</v>
      </c>
      <c r="C44" s="246">
        <v>335767916</v>
      </c>
      <c r="D44" s="220">
        <v>-452620</v>
      </c>
      <c r="E44" s="247">
        <v>3.6447350534266516E-2</v>
      </c>
      <c r="F44" s="223">
        <v>-16496.799798819709</v>
      </c>
      <c r="G44" s="223">
        <v>-469116.7997988197</v>
      </c>
      <c r="H44" s="245">
        <v>-469116.7997988197</v>
      </c>
      <c r="I44" s="223">
        <v>350550349.59907383</v>
      </c>
      <c r="J44" s="224">
        <v>350081232.79927498</v>
      </c>
    </row>
    <row r="45" spans="1:10" x14ac:dyDescent="0.25">
      <c r="A45" s="248" t="s">
        <v>481</v>
      </c>
      <c r="B45" s="249" t="s">
        <v>481</v>
      </c>
      <c r="C45" s="249" t="s">
        <v>481</v>
      </c>
      <c r="D45" s="249" t="s">
        <v>481</v>
      </c>
      <c r="E45" s="249" t="s">
        <v>481</v>
      </c>
      <c r="F45" s="249" t="s">
        <v>481</v>
      </c>
      <c r="G45" s="249" t="s">
        <v>481</v>
      </c>
      <c r="H45" s="249" t="s">
        <v>481</v>
      </c>
      <c r="I45" s="249" t="s">
        <v>481</v>
      </c>
      <c r="J45" s="250" t="s">
        <v>481</v>
      </c>
    </row>
    <row r="46" spans="1:10" x14ac:dyDescent="0.25">
      <c r="A46" s="227" t="s">
        <v>489</v>
      </c>
      <c r="B46" s="251">
        <v>2366013591.7689981</v>
      </c>
      <c r="C46" s="251">
        <v>2365560971.7689981</v>
      </c>
      <c r="D46" s="251">
        <v>-452620</v>
      </c>
      <c r="E46" s="251"/>
      <c r="F46" s="251">
        <v>-16496.799798819709</v>
      </c>
      <c r="G46" s="251">
        <v>-469116.7997988197</v>
      </c>
      <c r="H46" s="251">
        <v>-469116.7997988197</v>
      </c>
      <c r="I46" s="252">
        <v>2416700899.3917036</v>
      </c>
      <c r="J46" s="253">
        <v>2416231782.5919046</v>
      </c>
    </row>
    <row r="47" spans="1:10" ht="15.75" thickBot="1" x14ac:dyDescent="0.3">
      <c r="A47" s="232"/>
      <c r="B47" s="254"/>
      <c r="C47" s="254"/>
      <c r="D47" s="254"/>
      <c r="E47" s="254"/>
      <c r="F47" s="254"/>
      <c r="G47" s="254"/>
      <c r="H47" s="254"/>
      <c r="I47" s="255"/>
      <c r="J47" s="256"/>
    </row>
    <row r="48" spans="1:10" x14ac:dyDescent="0.25">
      <c r="A48" s="257"/>
      <c r="B48" s="228"/>
      <c r="C48" s="228"/>
      <c r="D48" s="228"/>
      <c r="E48" s="228"/>
      <c r="F48" s="228"/>
      <c r="G48" s="228"/>
      <c r="H48" s="228"/>
      <c r="I48" s="230"/>
      <c r="J48" s="228"/>
    </row>
    <row r="49" spans="1:11" x14ac:dyDescent="0.25">
      <c r="A49" s="258" t="s">
        <v>490</v>
      </c>
      <c r="B49" s="228"/>
      <c r="C49" s="228"/>
      <c r="D49" s="228"/>
      <c r="E49" s="228"/>
      <c r="F49" s="228"/>
      <c r="G49" s="228"/>
      <c r="H49" s="228"/>
      <c r="I49" s="230"/>
      <c r="J49" s="228"/>
    </row>
    <row r="50" spans="1:11" x14ac:dyDescent="0.25">
      <c r="A50" s="258"/>
      <c r="B50" s="228"/>
      <c r="C50" s="228"/>
      <c r="D50" s="228"/>
      <c r="E50" s="228"/>
      <c r="F50" s="228"/>
      <c r="G50" s="228"/>
      <c r="H50" s="228"/>
      <c r="I50" s="230"/>
      <c r="J50" s="228"/>
    </row>
    <row r="55" spans="1:11" ht="15.75" x14ac:dyDescent="0.25">
      <c r="A55" s="182" t="s">
        <v>491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</row>
    <row r="56" spans="1:11" ht="15.75" x14ac:dyDescent="0.25">
      <c r="A56" s="182" t="s">
        <v>438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</row>
    <row r="57" spans="1:11" ht="15.75" x14ac:dyDescent="0.25">
      <c r="A57" s="182"/>
      <c r="B57" s="259"/>
      <c r="C57" s="259"/>
      <c r="D57" s="259"/>
      <c r="E57" s="259"/>
      <c r="F57" s="259"/>
      <c r="G57" s="259"/>
      <c r="H57" s="259"/>
      <c r="I57" s="259"/>
      <c r="J57" s="259"/>
      <c r="K57" s="259"/>
    </row>
    <row r="58" spans="1:11" ht="15.75" thickBot="1" x14ac:dyDescent="0.3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</row>
    <row r="59" spans="1:11" ht="15.75" thickBot="1" x14ac:dyDescent="0.3">
      <c r="A59" s="260"/>
      <c r="B59" s="261"/>
      <c r="C59" s="259"/>
      <c r="D59" s="259"/>
      <c r="E59" s="259"/>
      <c r="F59" s="259"/>
      <c r="G59" s="259"/>
      <c r="H59" s="262" t="s">
        <v>492</v>
      </c>
      <c r="I59" s="263"/>
      <c r="J59" s="264" t="s">
        <v>493</v>
      </c>
      <c r="K59" s="265" t="s">
        <v>494</v>
      </c>
    </row>
    <row r="60" spans="1:11" x14ac:dyDescent="0.25">
      <c r="A60" s="184" t="s">
        <v>439</v>
      </c>
      <c r="B60" s="266">
        <v>22233671792</v>
      </c>
      <c r="C60" s="267"/>
      <c r="D60" s="267"/>
      <c r="E60" s="267"/>
      <c r="F60" s="267"/>
      <c r="G60" s="259"/>
      <c r="H60" s="268" t="s">
        <v>495</v>
      </c>
      <c r="I60" s="269"/>
      <c r="J60" s="206" t="s">
        <v>460</v>
      </c>
      <c r="K60" s="270" t="s">
        <v>496</v>
      </c>
    </row>
    <row r="61" spans="1:11" x14ac:dyDescent="0.25">
      <c r="A61" s="189" t="s">
        <v>501</v>
      </c>
      <c r="B61" s="271">
        <v>1578590697.2319999</v>
      </c>
      <c r="C61" s="261"/>
      <c r="D61" s="261"/>
      <c r="E61" s="261"/>
      <c r="F61" s="261"/>
      <c r="G61" s="259"/>
      <c r="H61" s="189" t="s">
        <v>497</v>
      </c>
      <c r="I61" s="272"/>
      <c r="J61" s="273">
        <v>2.9975001023434478E-2</v>
      </c>
      <c r="K61" s="274">
        <v>7.0270541510746446E-3</v>
      </c>
    </row>
    <row r="62" spans="1:11" x14ac:dyDescent="0.25">
      <c r="A62" s="189" t="s">
        <v>502</v>
      </c>
      <c r="B62" s="275">
        <v>-49198937.771789551</v>
      </c>
      <c r="C62" s="267"/>
      <c r="D62" s="267"/>
      <c r="E62" s="259"/>
      <c r="F62" s="261"/>
      <c r="G62" s="259"/>
      <c r="H62" s="189" t="s">
        <v>498</v>
      </c>
      <c r="I62" s="272"/>
      <c r="J62" s="273">
        <v>9.3142292757198042E-2</v>
      </c>
      <c r="K62" s="274">
        <v>4.6114107807676039E-2</v>
      </c>
    </row>
    <row r="63" spans="1:11" ht="15.75" thickBot="1" x14ac:dyDescent="0.3">
      <c r="A63" s="276" t="s">
        <v>503</v>
      </c>
      <c r="B63" s="277">
        <v>20704280032.539791</v>
      </c>
      <c r="C63" s="278"/>
      <c r="D63" s="261"/>
      <c r="E63" s="267"/>
      <c r="F63" s="261"/>
      <c r="G63" s="259"/>
      <c r="H63" s="279" t="s">
        <v>499</v>
      </c>
      <c r="I63" s="280"/>
      <c r="J63" s="281">
        <v>0.87688270621936737</v>
      </c>
      <c r="K63" s="282">
        <v>0.9468588380412496</v>
      </c>
    </row>
    <row r="64" spans="1:11" ht="15.75" thickBot="1" x14ac:dyDescent="0.3">
      <c r="A64" s="261"/>
      <c r="B64" s="259"/>
      <c r="C64" s="259"/>
      <c r="D64" s="259"/>
      <c r="E64" s="267"/>
      <c r="F64" s="261"/>
      <c r="G64" s="259"/>
      <c r="H64" s="194" t="s">
        <v>500</v>
      </c>
      <c r="I64" s="283"/>
      <c r="J64" s="284">
        <v>0.99999999999999989</v>
      </c>
      <c r="K64" s="285">
        <v>1.0000000000000002</v>
      </c>
    </row>
    <row r="65" spans="1:11" x14ac:dyDescent="0.25">
      <c r="A65" s="260"/>
      <c r="B65" s="260"/>
      <c r="C65" s="260"/>
      <c r="D65" s="260"/>
      <c r="E65" s="260"/>
      <c r="F65" s="260"/>
      <c r="G65" s="260"/>
      <c r="H65" s="505"/>
      <c r="I65" s="505"/>
      <c r="J65" s="260"/>
      <c r="K65" s="260"/>
    </row>
    <row r="66" spans="1:11" x14ac:dyDescent="0.25">
      <c r="A66" s="259"/>
      <c r="B66" s="259"/>
      <c r="C66" s="259"/>
      <c r="D66" s="259"/>
      <c r="E66" s="259"/>
      <c r="F66" s="261"/>
      <c r="G66" s="259"/>
      <c r="H66" s="260"/>
      <c r="I66" s="259"/>
      <c r="J66" s="259"/>
      <c r="K66" s="259"/>
    </row>
    <row r="67" spans="1:11" ht="15.75" thickBot="1" x14ac:dyDescent="0.3">
      <c r="A67" s="181"/>
      <c r="B67" s="181"/>
      <c r="C67" s="200"/>
      <c r="D67" s="286"/>
      <c r="E67" s="181"/>
      <c r="F67" s="181"/>
      <c r="G67" s="286"/>
      <c r="H67" s="181"/>
      <c r="I67" s="181"/>
      <c r="J67" s="181"/>
      <c r="K67" s="181"/>
    </row>
    <row r="68" spans="1:11" x14ac:dyDescent="0.25">
      <c r="A68" s="287" t="s">
        <v>504</v>
      </c>
      <c r="B68" s="288" t="s">
        <v>505</v>
      </c>
      <c r="C68" s="288" t="s">
        <v>506</v>
      </c>
      <c r="D68" s="288" t="s">
        <v>507</v>
      </c>
      <c r="E68" s="288" t="s">
        <v>508</v>
      </c>
      <c r="F68" s="288" t="s">
        <v>509</v>
      </c>
      <c r="G68" s="288" t="s">
        <v>510</v>
      </c>
      <c r="H68" s="288" t="s">
        <v>511</v>
      </c>
      <c r="I68" s="288" t="s">
        <v>512</v>
      </c>
      <c r="J68" s="288" t="s">
        <v>513</v>
      </c>
      <c r="K68" s="289" t="s">
        <v>514</v>
      </c>
    </row>
    <row r="69" spans="1:11" x14ac:dyDescent="0.25">
      <c r="A69" s="290"/>
      <c r="B69" s="291"/>
      <c r="C69" s="291"/>
      <c r="D69" s="291"/>
      <c r="E69" s="291"/>
      <c r="F69" s="291" t="s">
        <v>515</v>
      </c>
      <c r="G69" s="291" t="s">
        <v>515</v>
      </c>
      <c r="H69" s="291" t="s">
        <v>515</v>
      </c>
      <c r="I69" s="291"/>
      <c r="J69" s="291" t="s">
        <v>456</v>
      </c>
      <c r="K69" s="292" t="s">
        <v>85</v>
      </c>
    </row>
    <row r="70" spans="1:11" x14ac:dyDescent="0.25">
      <c r="A70" s="290"/>
      <c r="B70" s="291" t="s">
        <v>516</v>
      </c>
      <c r="C70" s="291" t="s">
        <v>517</v>
      </c>
      <c r="D70" s="291" t="s">
        <v>515</v>
      </c>
      <c r="E70" s="291" t="s">
        <v>3</v>
      </c>
      <c r="F70" s="291" t="s">
        <v>518</v>
      </c>
      <c r="G70" s="291" t="s">
        <v>518</v>
      </c>
      <c r="H70" s="291" t="s">
        <v>518</v>
      </c>
      <c r="I70" s="291" t="s">
        <v>519</v>
      </c>
      <c r="J70" s="291" t="s">
        <v>461</v>
      </c>
      <c r="K70" s="292" t="s">
        <v>456</v>
      </c>
    </row>
    <row r="71" spans="1:11" x14ac:dyDescent="0.25">
      <c r="A71" s="290" t="s">
        <v>463</v>
      </c>
      <c r="B71" s="291" t="s">
        <v>520</v>
      </c>
      <c r="C71" s="291" t="s">
        <v>472</v>
      </c>
      <c r="D71" s="291" t="s">
        <v>521</v>
      </c>
      <c r="E71" s="291" t="s">
        <v>522</v>
      </c>
      <c r="F71" s="291" t="s">
        <v>523</v>
      </c>
      <c r="G71" s="291" t="s">
        <v>524</v>
      </c>
      <c r="H71" s="291" t="s">
        <v>525</v>
      </c>
      <c r="I71" s="291" t="s">
        <v>472</v>
      </c>
      <c r="J71" s="291" t="s">
        <v>469</v>
      </c>
      <c r="K71" s="292" t="s">
        <v>466</v>
      </c>
    </row>
    <row r="72" spans="1:11" x14ac:dyDescent="0.25">
      <c r="A72" s="208"/>
      <c r="B72" s="209"/>
      <c r="C72" s="209"/>
      <c r="D72" s="209"/>
      <c r="E72" s="209"/>
      <c r="F72" s="209"/>
      <c r="G72" s="209"/>
      <c r="H72" s="209"/>
      <c r="I72" s="209"/>
      <c r="J72" s="291" t="s">
        <v>472</v>
      </c>
      <c r="K72" s="293"/>
    </row>
    <row r="73" spans="1:11" x14ac:dyDescent="0.25">
      <c r="A73" s="211"/>
      <c r="B73" s="213">
        <v>0</v>
      </c>
      <c r="C73" s="214" t="s">
        <v>526</v>
      </c>
      <c r="D73" s="213" t="s">
        <v>527</v>
      </c>
      <c r="E73" s="214" t="s">
        <v>528</v>
      </c>
      <c r="F73" s="214" t="s">
        <v>529</v>
      </c>
      <c r="G73" s="213" t="s">
        <v>527</v>
      </c>
      <c r="H73" s="214" t="s">
        <v>530</v>
      </c>
      <c r="I73" s="213" t="s">
        <v>531</v>
      </c>
      <c r="J73" s="214" t="s">
        <v>532</v>
      </c>
      <c r="K73" s="294" t="s">
        <v>533</v>
      </c>
    </row>
    <row r="74" spans="1:11" x14ac:dyDescent="0.25">
      <c r="A74" s="211"/>
      <c r="B74" s="213" t="s">
        <v>534</v>
      </c>
      <c r="C74" s="214" t="s">
        <v>535</v>
      </c>
      <c r="D74" s="213"/>
      <c r="E74" s="214"/>
      <c r="F74" s="214"/>
      <c r="G74" s="213"/>
      <c r="H74" s="214"/>
      <c r="I74" s="213" t="s">
        <v>536</v>
      </c>
      <c r="J74" s="214"/>
      <c r="K74" s="294"/>
    </row>
    <row r="75" spans="1:11" x14ac:dyDescent="0.25">
      <c r="A75" s="216" t="s">
        <v>481</v>
      </c>
      <c r="B75" s="217" t="s">
        <v>481</v>
      </c>
      <c r="C75" s="217" t="s">
        <v>481</v>
      </c>
      <c r="D75" s="217" t="s">
        <v>481</v>
      </c>
      <c r="E75" s="217" t="s">
        <v>481</v>
      </c>
      <c r="F75" s="217" t="s">
        <v>481</v>
      </c>
      <c r="G75" s="217" t="s">
        <v>481</v>
      </c>
      <c r="H75" s="217" t="s">
        <v>481</v>
      </c>
      <c r="I75" s="217" t="s">
        <v>537</v>
      </c>
      <c r="J75" s="217" t="s">
        <v>481</v>
      </c>
      <c r="K75" s="295" t="s">
        <v>481</v>
      </c>
    </row>
    <row r="76" spans="1:11" x14ac:dyDescent="0.25">
      <c r="A76" s="219" t="s">
        <v>484</v>
      </c>
      <c r="B76" s="296">
        <v>10497389420.49617</v>
      </c>
      <c r="C76" s="244">
        <v>-24944620.535152167</v>
      </c>
      <c r="D76" s="297">
        <v>1626541.6907758305</v>
      </c>
      <c r="E76" s="244">
        <v>1195484.5662055956</v>
      </c>
      <c r="F76" s="298">
        <v>0.73498550512736716</v>
      </c>
      <c r="G76" s="297">
        <v>251673.71992420664</v>
      </c>
      <c r="H76" s="244">
        <v>1620394456.8122025</v>
      </c>
      <c r="I76" s="244">
        <v>866208837.55113983</v>
      </c>
      <c r="J76" s="244">
        <v>11338653637.512157</v>
      </c>
      <c r="K76" s="299">
        <v>7.6394329101422034E-2</v>
      </c>
    </row>
    <row r="77" spans="1:11" x14ac:dyDescent="0.25">
      <c r="A77" s="225">
        <v>24</v>
      </c>
      <c r="B77" s="296">
        <v>2689866724.7775373</v>
      </c>
      <c r="C77" s="244">
        <v>-6391846.7775140246</v>
      </c>
      <c r="D77" s="297">
        <v>383616.17135738832</v>
      </c>
      <c r="E77" s="244">
        <v>306332.74863013963</v>
      </c>
      <c r="F77" s="298">
        <v>0.79853971626433562</v>
      </c>
      <c r="G77" s="297">
        <v>59234.060525990433</v>
      </c>
      <c r="H77" s="244">
        <v>414354568.99793386</v>
      </c>
      <c r="I77" s="244">
        <v>221500134.14128894</v>
      </c>
      <c r="J77" s="244">
        <v>2904975012.1413121</v>
      </c>
      <c r="K77" s="299">
        <v>7.6248550578070895E-2</v>
      </c>
    </row>
    <row r="78" spans="1:11" x14ac:dyDescent="0.25">
      <c r="A78" s="225">
        <v>25</v>
      </c>
      <c r="B78" s="296">
        <v>2979551170.6691647</v>
      </c>
      <c r="C78" s="244">
        <v>-7080214.9315613108</v>
      </c>
      <c r="D78" s="297">
        <v>432908.50216168351</v>
      </c>
      <c r="E78" s="244">
        <v>339323.16846319672</v>
      </c>
      <c r="F78" s="298">
        <v>0.78382190871470947</v>
      </c>
      <c r="G78" s="297">
        <v>66635.147110322345</v>
      </c>
      <c r="H78" s="244">
        <v>457535572.5925653</v>
      </c>
      <c r="I78" s="244">
        <v>244583258.60567498</v>
      </c>
      <c r="J78" s="244">
        <v>3217054214.3432779</v>
      </c>
      <c r="K78" s="299">
        <v>7.6027086368391728E-2</v>
      </c>
    </row>
    <row r="79" spans="1:11" x14ac:dyDescent="0.25">
      <c r="A79" s="225">
        <v>26</v>
      </c>
      <c r="B79" s="296">
        <v>1901973153.8160584</v>
      </c>
      <c r="C79" s="244">
        <v>-4519599.7489960399</v>
      </c>
      <c r="D79" s="297">
        <v>256067.09075776031</v>
      </c>
      <c r="E79" s="244">
        <v>216604.28699395689</v>
      </c>
      <c r="F79" s="298">
        <v>0.84588881122121518</v>
      </c>
      <c r="G79" s="297">
        <v>39135.120706198133</v>
      </c>
      <c r="H79" s="244">
        <v>289990696.0050028</v>
      </c>
      <c r="I79" s="244">
        <v>155019355.09043258</v>
      </c>
      <c r="J79" s="244">
        <v>2052472909.157495</v>
      </c>
      <c r="K79" s="299">
        <v>7.552808828744316E-2</v>
      </c>
    </row>
    <row r="80" spans="1:11" x14ac:dyDescent="0.25">
      <c r="A80" s="225">
        <v>29</v>
      </c>
      <c r="B80" s="296">
        <v>16475530.202172358</v>
      </c>
      <c r="C80" s="244">
        <v>-39150.29085290456</v>
      </c>
      <c r="D80" s="297">
        <v>1926.7026364139044</v>
      </c>
      <c r="E80" s="244">
        <v>1876.2990766346409</v>
      </c>
      <c r="F80" s="298">
        <v>0.97383947121540371</v>
      </c>
      <c r="G80" s="297">
        <v>286.47962012725094</v>
      </c>
      <c r="H80" s="244">
        <v>2443910.0171815148</v>
      </c>
      <c r="I80" s="244">
        <v>1306432.792436867</v>
      </c>
      <c r="J80" s="244">
        <v>17742812.703756321</v>
      </c>
      <c r="K80" s="299">
        <v>7.3631662253881694E-2</v>
      </c>
    </row>
    <row r="81" spans="1:11" x14ac:dyDescent="0.25">
      <c r="A81" s="219">
        <v>31</v>
      </c>
      <c r="B81" s="296">
        <v>1297584516.8405302</v>
      </c>
      <c r="C81" s="244">
        <v>-3083409.7972661373</v>
      </c>
      <c r="D81" s="297">
        <v>169381.15576487154</v>
      </c>
      <c r="E81" s="244">
        <v>147774.09897754155</v>
      </c>
      <c r="F81" s="298">
        <v>0.87243529724567426</v>
      </c>
      <c r="G81" s="297">
        <v>11972.725430804838</v>
      </c>
      <c r="H81" s="244">
        <v>91501951.645769939</v>
      </c>
      <c r="I81" s="244">
        <v>48913891.821544841</v>
      </c>
      <c r="J81" s="244">
        <v>1343414998.8648088</v>
      </c>
      <c r="K81" s="299">
        <v>3.6410112930760248E-2</v>
      </c>
    </row>
    <row r="82" spans="1:11" x14ac:dyDescent="0.25">
      <c r="A82" s="219">
        <v>35</v>
      </c>
      <c r="B82" s="296">
        <v>4443660</v>
      </c>
      <c r="C82" s="244">
        <v>-10559.331282005071</v>
      </c>
      <c r="D82" s="297">
        <v>430.7000000000001</v>
      </c>
      <c r="E82" s="244">
        <v>506.06172017328714</v>
      </c>
      <c r="F82" s="298">
        <v>1.1749749713798165</v>
      </c>
      <c r="G82" s="297">
        <v>29.892050561080193</v>
      </c>
      <c r="H82" s="244">
        <v>307672.32257180562</v>
      </c>
      <c r="I82" s="244">
        <v>164471.36298274217</v>
      </c>
      <c r="J82" s="244">
        <v>4597572.0317007378</v>
      </c>
      <c r="K82" s="299">
        <v>3.577352608043876E-2</v>
      </c>
    </row>
    <row r="83" spans="1:11" x14ac:dyDescent="0.25">
      <c r="A83" s="219">
        <v>40</v>
      </c>
      <c r="B83" s="296">
        <v>499634378.34003699</v>
      </c>
      <c r="C83" s="244">
        <v>-1187265.6595624122</v>
      </c>
      <c r="D83" s="297">
        <v>67652.62769578585</v>
      </c>
      <c r="E83" s="244">
        <v>56900.355328821301</v>
      </c>
      <c r="F83" s="298">
        <v>0.84106644881091119</v>
      </c>
      <c r="G83" s="297">
        <v>4787.109062591654</v>
      </c>
      <c r="H83" s="244">
        <v>35270184.937457755</v>
      </c>
      <c r="I83" s="244">
        <v>18854264.630719971</v>
      </c>
      <c r="J83" s="244">
        <v>517301377.31119454</v>
      </c>
      <c r="K83" s="299">
        <v>3.6447350534266516E-2</v>
      </c>
    </row>
    <row r="84" spans="1:11" x14ac:dyDescent="0.25">
      <c r="A84" s="225">
        <v>43</v>
      </c>
      <c r="B84" s="296">
        <v>119697406.93726367</v>
      </c>
      <c r="C84" s="244">
        <v>-284433.23149105441</v>
      </c>
      <c r="D84" s="297">
        <v>23873.502004593163</v>
      </c>
      <c r="E84" s="244">
        <v>13631.618002942079</v>
      </c>
      <c r="F84" s="298">
        <v>0.57099364811745723</v>
      </c>
      <c r="G84" s="297">
        <v>1717.1642671213274</v>
      </c>
      <c r="H84" s="244">
        <v>8589091.4302727878</v>
      </c>
      <c r="I84" s="244">
        <v>4591441.8382260064</v>
      </c>
      <c r="J84" s="244">
        <v>124004415.54399861</v>
      </c>
      <c r="K84" s="299">
        <v>3.7026438277086147E-2</v>
      </c>
    </row>
    <row r="85" spans="1:11" x14ac:dyDescent="0.25">
      <c r="A85" s="225">
        <v>46</v>
      </c>
      <c r="B85" s="296">
        <v>78351494.123954177</v>
      </c>
      <c r="C85" s="244">
        <v>-186184.22266665444</v>
      </c>
      <c r="D85" s="297">
        <v>9747.4433333333327</v>
      </c>
      <c r="E85" s="244">
        <v>8922.9805823387578</v>
      </c>
      <c r="F85" s="298">
        <v>0.91541753844568041</v>
      </c>
      <c r="G85" s="297">
        <v>328.50171941937214</v>
      </c>
      <c r="H85" s="244">
        <v>2634274.221806644</v>
      </c>
      <c r="I85" s="244">
        <v>1408195.1477118155</v>
      </c>
      <c r="J85" s="244">
        <v>79573505.048999339</v>
      </c>
      <c r="K85" s="299">
        <v>1.7696784210330874E-2</v>
      </c>
    </row>
    <row r="86" spans="1:11" x14ac:dyDescent="0.25">
      <c r="A86" s="225">
        <v>49</v>
      </c>
      <c r="B86" s="296">
        <v>542259321.04090011</v>
      </c>
      <c r="C86" s="244">
        <v>-1288553.9873946265</v>
      </c>
      <c r="D86" s="297">
        <v>69168.869083333324</v>
      </c>
      <c r="E86" s="244">
        <v>61754.653773231228</v>
      </c>
      <c r="F86" s="298">
        <v>0.89280993880108706</v>
      </c>
      <c r="G86" s="297">
        <v>2316.428070316711</v>
      </c>
      <c r="H86" s="244">
        <v>18116818.832382068</v>
      </c>
      <c r="I86" s="244">
        <v>9684647.1641201265</v>
      </c>
      <c r="J86" s="244">
        <v>550655414.21762562</v>
      </c>
      <c r="K86" s="299">
        <v>1.7587491040799316E-2</v>
      </c>
    </row>
    <row r="87" spans="1:11" x14ac:dyDescent="0.25">
      <c r="A87" s="225" t="s">
        <v>485</v>
      </c>
      <c r="B87" s="296">
        <v>7084150</v>
      </c>
      <c r="C87" s="244">
        <v>-16833.84568158145</v>
      </c>
      <c r="D87" s="297">
        <v>831.0577259435554</v>
      </c>
      <c r="E87" s="244">
        <v>806.77125049297013</v>
      </c>
      <c r="F87" s="298">
        <v>0.97077642780709217</v>
      </c>
      <c r="G87" s="297">
        <v>59.66445045864188</v>
      </c>
      <c r="H87" s="244">
        <v>507386.57664982701</v>
      </c>
      <c r="I87" s="244">
        <v>271231.9428773729</v>
      </c>
      <c r="J87" s="244">
        <v>7338548.0971957911</v>
      </c>
      <c r="K87" s="299">
        <v>3.6959891695881389E-2</v>
      </c>
    </row>
    <row r="88" spans="1:11" x14ac:dyDescent="0.25">
      <c r="A88" s="219" t="s">
        <v>538</v>
      </c>
      <c r="B88" s="296">
        <v>69969105.295999989</v>
      </c>
      <c r="C88" s="244">
        <v>-166265.41236862389</v>
      </c>
      <c r="D88" s="297">
        <v>2661.2756900677418</v>
      </c>
      <c r="E88" s="244">
        <v>7968.3607173095161</v>
      </c>
      <c r="F88" s="298">
        <v>2.9941883687768871</v>
      </c>
      <c r="G88" s="297">
        <v>433.95262242340772</v>
      </c>
      <c r="H88" s="244">
        <v>11382182.437225064</v>
      </c>
      <c r="I88" s="244">
        <v>6084535.142844162</v>
      </c>
      <c r="J88" s="244">
        <v>75887375.026475519</v>
      </c>
      <c r="K88" s="299">
        <v>8.0178490041609624E-2</v>
      </c>
    </row>
    <row r="89" spans="1:11" x14ac:dyDescent="0.25">
      <c r="A89" s="216" t="s">
        <v>481</v>
      </c>
      <c r="B89" s="217" t="s">
        <v>481</v>
      </c>
      <c r="C89" s="217" t="s">
        <v>481</v>
      </c>
      <c r="D89" s="217" t="s">
        <v>481</v>
      </c>
      <c r="E89" s="217" t="s">
        <v>481</v>
      </c>
      <c r="F89" s="217" t="s">
        <v>481</v>
      </c>
      <c r="G89" s="217" t="s">
        <v>481</v>
      </c>
      <c r="H89" s="217" t="s">
        <v>481</v>
      </c>
      <c r="I89" s="217" t="s">
        <v>537</v>
      </c>
      <c r="J89" s="217" t="s">
        <v>481</v>
      </c>
      <c r="K89" s="295" t="s">
        <v>481</v>
      </c>
    </row>
    <row r="90" spans="1:11" x14ac:dyDescent="0.25">
      <c r="A90" s="227" t="s">
        <v>4</v>
      </c>
      <c r="B90" s="228">
        <v>20704280032.539791</v>
      </c>
      <c r="C90" s="251">
        <v>-49198937.771789551</v>
      </c>
      <c r="D90" s="228">
        <v>3044806.7889870051</v>
      </c>
      <c r="E90" s="228">
        <v>2357885.9697223743</v>
      </c>
      <c r="F90" s="300">
        <v>0.77439592497323395</v>
      </c>
      <c r="G90" s="228">
        <v>438609.9655605419</v>
      </c>
      <c r="H90" s="228">
        <v>2953028766.829021</v>
      </c>
      <c r="I90" s="228">
        <v>1578590697.2319999</v>
      </c>
      <c r="J90" s="228">
        <v>22233671791.999989</v>
      </c>
      <c r="K90" s="301">
        <v>7.0999999999999994E-2</v>
      </c>
    </row>
    <row r="91" spans="1:11" ht="15.75" thickBot="1" x14ac:dyDescent="0.3">
      <c r="A91" s="232"/>
      <c r="B91" s="233"/>
      <c r="C91" s="233"/>
      <c r="D91" s="233"/>
      <c r="E91" s="233"/>
      <c r="F91" s="233"/>
      <c r="G91" s="233"/>
      <c r="H91" s="235"/>
      <c r="I91" s="233"/>
      <c r="J91" s="233"/>
      <c r="K91" s="302"/>
    </row>
    <row r="92" spans="1:11" x14ac:dyDescent="0.25">
      <c r="A92" s="227"/>
      <c r="B92" s="257"/>
      <c r="C92" s="257"/>
      <c r="D92" s="257"/>
      <c r="E92" s="257"/>
      <c r="F92" s="257"/>
      <c r="G92" s="257"/>
      <c r="H92" s="303"/>
      <c r="I92" s="257"/>
      <c r="J92" s="257"/>
      <c r="K92" s="257"/>
    </row>
    <row r="93" spans="1:11" x14ac:dyDescent="0.25">
      <c r="A93" s="227"/>
      <c r="B93" s="257"/>
      <c r="C93" s="257"/>
      <c r="D93" s="257"/>
      <c r="E93" s="257"/>
      <c r="F93" s="257"/>
      <c r="G93" s="257"/>
      <c r="H93" s="303"/>
      <c r="I93" s="257"/>
      <c r="J93" s="257"/>
      <c r="K93" s="257"/>
    </row>
    <row r="94" spans="1:11" ht="15.75" thickBot="1" x14ac:dyDescent="0.3">
      <c r="A94" s="304" t="s">
        <v>487</v>
      </c>
      <c r="B94" s="257"/>
      <c r="C94" s="257"/>
      <c r="D94" s="286"/>
      <c r="E94" s="305"/>
      <c r="F94" s="305"/>
      <c r="G94" s="286"/>
      <c r="H94" s="303"/>
      <c r="I94" s="257"/>
      <c r="J94" s="257"/>
      <c r="K94" s="257"/>
    </row>
    <row r="95" spans="1:11" x14ac:dyDescent="0.25">
      <c r="A95" s="238">
        <v>459</v>
      </c>
      <c r="B95" s="306">
        <v>293153938.24000144</v>
      </c>
      <c r="C95" s="240"/>
      <c r="D95" s="307">
        <v>34976.057500000003</v>
      </c>
      <c r="E95" s="306">
        <v>33465.061442922539</v>
      </c>
      <c r="F95" s="308">
        <v>0.95679913160374164</v>
      </c>
      <c r="G95" s="307">
        <v>602.89324255624524</v>
      </c>
      <c r="H95" s="240">
        <v>5053186.1229255954</v>
      </c>
      <c r="I95" s="240">
        <v>5053186.1229255954</v>
      </c>
      <c r="J95" s="240">
        <v>298207124.36292702</v>
      </c>
      <c r="K95" s="309">
        <v>1.6945222666027646E-2</v>
      </c>
    </row>
    <row r="96" spans="1:11" x14ac:dyDescent="0.25">
      <c r="A96" s="225" t="s">
        <v>249</v>
      </c>
      <c r="B96" s="296">
        <v>1661664054.6089966</v>
      </c>
      <c r="C96" s="244"/>
      <c r="D96" s="310">
        <v>198654.46691666663</v>
      </c>
      <c r="E96" s="244">
        <v>189687.67746678044</v>
      </c>
      <c r="F96" s="311">
        <v>0.95486238195868178</v>
      </c>
      <c r="G96" s="310">
        <v>3417.3377848405798</v>
      </c>
      <c r="H96" s="244">
        <v>28584644.723386865</v>
      </c>
      <c r="I96" s="244">
        <v>28584644.723386865</v>
      </c>
      <c r="J96" s="244">
        <v>1690248699.3323834</v>
      </c>
      <c r="K96" s="299">
        <v>1.6911502274592646E-2</v>
      </c>
    </row>
    <row r="97" spans="1:11" x14ac:dyDescent="0.25">
      <c r="A97" s="225" t="s">
        <v>488</v>
      </c>
      <c r="B97" s="296">
        <v>74975062.919999987</v>
      </c>
      <c r="C97" s="244"/>
      <c r="D97" s="310">
        <v>8915.4699999999993</v>
      </c>
      <c r="E97" s="244">
        <v>8558.7971369863008</v>
      </c>
      <c r="F97" s="311">
        <v>0.95999393604445993</v>
      </c>
      <c r="G97" s="310">
        <v>323.40186887696836</v>
      </c>
      <c r="H97" s="244">
        <v>2719663.1773194559</v>
      </c>
      <c r="I97" s="244">
        <v>2719663.1773194559</v>
      </c>
      <c r="J97" s="244">
        <v>77694726.097319439</v>
      </c>
      <c r="K97" s="299">
        <v>3.5004476029850982E-2</v>
      </c>
    </row>
    <row r="98" spans="1:11" x14ac:dyDescent="0.25">
      <c r="A98" s="248" t="s">
        <v>481</v>
      </c>
      <c r="B98" s="312" t="s">
        <v>481</v>
      </c>
      <c r="C98" s="312"/>
      <c r="D98" s="312" t="s">
        <v>481</v>
      </c>
      <c r="E98" s="312" t="s">
        <v>481</v>
      </c>
      <c r="F98" s="312" t="s">
        <v>481</v>
      </c>
      <c r="G98" s="312" t="s">
        <v>481</v>
      </c>
      <c r="H98" s="312" t="s">
        <v>481</v>
      </c>
      <c r="I98" s="312" t="s">
        <v>537</v>
      </c>
      <c r="J98" s="312" t="s">
        <v>481</v>
      </c>
      <c r="K98" s="313" t="s">
        <v>481</v>
      </c>
    </row>
    <row r="99" spans="1:11" x14ac:dyDescent="0.25">
      <c r="A99" s="227" t="s">
        <v>489</v>
      </c>
      <c r="B99" s="228">
        <v>2029793055.7689981</v>
      </c>
      <c r="C99" s="251"/>
      <c r="D99" s="228">
        <v>242545.99441666662</v>
      </c>
      <c r="E99" s="228">
        <v>231711.53604668929</v>
      </c>
      <c r="F99" s="300">
        <v>0.95533029355510624</v>
      </c>
      <c r="G99" s="228">
        <v>4343.6328962737934</v>
      </c>
      <c r="H99" s="228">
        <v>36357494.023631915</v>
      </c>
      <c r="I99" s="228">
        <v>36357494.023631915</v>
      </c>
      <c r="J99" s="228">
        <v>2066150549.7926297</v>
      </c>
      <c r="K99" s="301">
        <v>1.7911921572644103E-2</v>
      </c>
    </row>
    <row r="100" spans="1:11" ht="15.75" thickBot="1" x14ac:dyDescent="0.3">
      <c r="A100" s="232"/>
      <c r="B100" s="233"/>
      <c r="C100" s="233"/>
      <c r="D100" s="233"/>
      <c r="E100" s="233"/>
      <c r="F100" s="233"/>
      <c r="G100" s="233"/>
      <c r="H100" s="235"/>
      <c r="I100" s="233"/>
      <c r="J100" s="233"/>
      <c r="K100" s="302"/>
    </row>
    <row r="101" spans="1:11" x14ac:dyDescent="0.25">
      <c r="A101" s="257"/>
      <c r="B101" s="257"/>
      <c r="C101" s="257"/>
      <c r="D101" s="257"/>
      <c r="E101" s="257"/>
      <c r="F101" s="257"/>
      <c r="G101" s="257"/>
      <c r="H101" s="303"/>
      <c r="I101" s="257"/>
      <c r="J101" s="257"/>
      <c r="K101" s="257"/>
    </row>
    <row r="102" spans="1:11" x14ac:dyDescent="0.25">
      <c r="A102" s="314" t="s">
        <v>539</v>
      </c>
      <c r="B102" s="257"/>
      <c r="C102" s="257"/>
      <c r="D102" s="257"/>
      <c r="E102" s="257"/>
      <c r="F102" s="257"/>
      <c r="G102" s="257"/>
      <c r="H102" s="303"/>
      <c r="I102" s="257"/>
      <c r="J102" s="257"/>
      <c r="K102" s="257"/>
    </row>
    <row r="103" spans="1:11" x14ac:dyDescent="0.25">
      <c r="A103" s="315" t="s">
        <v>540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</row>
    <row r="104" spans="1:11" x14ac:dyDescent="0.25">
      <c r="A104" s="315" t="s">
        <v>541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</row>
    <row r="105" spans="1:11" x14ac:dyDescent="0.25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</row>
    <row r="106" spans="1:11" x14ac:dyDescent="0.25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</row>
    <row r="107" spans="1:11" x14ac:dyDescent="0.25">
      <c r="A107" s="316" t="s">
        <v>542</v>
      </c>
      <c r="B107" s="320">
        <v>18155225105.257103</v>
      </c>
      <c r="C107" s="320">
        <v>-43141697.696445078</v>
      </c>
      <c r="D107" s="320">
        <v>2703721.4333791439</v>
      </c>
      <c r="E107" s="320">
        <v>2061940.2786385084</v>
      </c>
      <c r="F107" s="320">
        <v>0.76263044453565265</v>
      </c>
      <c r="G107" s="320">
        <v>417398.48050926824</v>
      </c>
      <c r="H107" s="320">
        <v>2796101386.8621106</v>
      </c>
      <c r="I107" s="320">
        <v>1494702553.3238175</v>
      </c>
      <c r="J107" s="320">
        <v>19606785960.884476</v>
      </c>
      <c r="K107" s="317">
        <v>7.6233940448258472E-2</v>
      </c>
    </row>
    <row r="108" spans="1:11" x14ac:dyDescent="0.25">
      <c r="A108" s="316" t="s">
        <v>543</v>
      </c>
      <c r="B108" s="320">
        <v>1928444112.117831</v>
      </c>
      <c r="C108" s="320">
        <v>-4582501.8652831903</v>
      </c>
      <c r="D108" s="320">
        <v>262169.04319119413</v>
      </c>
      <c r="E108" s="320">
        <v>219018.85362620078</v>
      </c>
      <c r="F108" s="320">
        <v>0.83541081342115264</v>
      </c>
      <c r="G108" s="320">
        <v>18566.555261537538</v>
      </c>
      <c r="H108" s="320">
        <v>136176286.91272208</v>
      </c>
      <c r="I108" s="320">
        <v>72795301.596350923</v>
      </c>
      <c r="J108" s="320">
        <v>1996656911.8488986</v>
      </c>
      <c r="K108" s="317">
        <v>3.6458592943212603E-2</v>
      </c>
    </row>
    <row r="109" spans="1:11" x14ac:dyDescent="0.25">
      <c r="A109" s="318" t="s">
        <v>544</v>
      </c>
      <c r="B109" s="321">
        <v>620610815.16485429</v>
      </c>
      <c r="C109" s="321">
        <v>-1474738.210061281</v>
      </c>
      <c r="D109" s="321">
        <v>78916.312416666653</v>
      </c>
      <c r="E109" s="321">
        <v>70484.526064980979</v>
      </c>
      <c r="F109" s="321">
        <v>0.89315534274882147</v>
      </c>
      <c r="G109" s="321">
        <v>2644.929789736083</v>
      </c>
      <c r="H109" s="321">
        <v>20751093.054188713</v>
      </c>
      <c r="I109" s="321">
        <v>11092842.311831942</v>
      </c>
      <c r="J109" s="321">
        <v>630228919.26662493</v>
      </c>
      <c r="K109" s="319">
        <v>1.7601290535414163E-2</v>
      </c>
    </row>
    <row r="110" spans="1:11" x14ac:dyDescent="0.25">
      <c r="A110" s="316" t="s">
        <v>4</v>
      </c>
      <c r="B110" s="320">
        <v>20704280032.539791</v>
      </c>
      <c r="C110" s="320">
        <v>-49198937.771789551</v>
      </c>
      <c r="D110" s="320">
        <v>3044806.7889870047</v>
      </c>
      <c r="E110" s="320">
        <v>2351443.6583296899</v>
      </c>
      <c r="F110" s="320"/>
      <c r="G110" s="320">
        <v>438609.9655605419</v>
      </c>
      <c r="H110" s="320">
        <v>2953028766.8290215</v>
      </c>
      <c r="I110" s="320">
        <v>1578590697.2320004</v>
      </c>
      <c r="J110" s="320">
        <v>22233671792</v>
      </c>
      <c r="K110" s="316"/>
    </row>
  </sheetData>
  <mergeCells count="1">
    <mergeCell ref="H65:I65"/>
  </mergeCells>
  <printOptions horizontalCentered="1"/>
  <pageMargins left="0.25" right="0.25" top="0.75" bottom="0.75" header="0.3" footer="0.3"/>
  <pageSetup scale="60" fitToHeight="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sqref="A1:D1"/>
    </sheetView>
  </sheetViews>
  <sheetFormatPr defaultRowHeight="15" x14ac:dyDescent="0.25"/>
  <cols>
    <col min="3" max="3" width="17.28515625" bestFit="1" customWidth="1"/>
    <col min="4" max="5" width="16.140625" bestFit="1" customWidth="1"/>
    <col min="6" max="13" width="14.7109375" bestFit="1" customWidth="1"/>
    <col min="14" max="15" width="16.140625" bestFit="1" customWidth="1"/>
  </cols>
  <sheetData>
    <row r="1" spans="1:4" x14ac:dyDescent="0.25">
      <c r="A1" s="506" t="s">
        <v>33</v>
      </c>
      <c r="B1" s="506"/>
      <c r="C1" s="506"/>
      <c r="D1" s="506"/>
    </row>
    <row r="2" spans="1:4" x14ac:dyDescent="0.25">
      <c r="A2" s="506" t="s">
        <v>364</v>
      </c>
      <c r="B2" s="506"/>
      <c r="C2" s="506"/>
      <c r="D2" s="506"/>
    </row>
    <row r="3" spans="1:4" x14ac:dyDescent="0.25">
      <c r="A3" s="507" t="s">
        <v>365</v>
      </c>
      <c r="B3" s="506"/>
      <c r="C3" s="506"/>
      <c r="D3" s="506"/>
    </row>
    <row r="4" spans="1:4" x14ac:dyDescent="0.25">
      <c r="A4" s="507" t="s">
        <v>366</v>
      </c>
      <c r="B4" s="506"/>
      <c r="C4" s="506"/>
      <c r="D4" s="506"/>
    </row>
    <row r="5" spans="1:4" x14ac:dyDescent="0.25">
      <c r="A5" s="323"/>
      <c r="B5" s="323"/>
      <c r="C5" s="323"/>
      <c r="D5" s="323"/>
    </row>
    <row r="6" spans="1:4" ht="39" x14ac:dyDescent="0.25">
      <c r="A6" s="324" t="s">
        <v>110</v>
      </c>
      <c r="B6" s="324" t="s">
        <v>227</v>
      </c>
      <c r="C6" s="324" t="s">
        <v>14</v>
      </c>
      <c r="D6" s="325" t="s">
        <v>367</v>
      </c>
    </row>
    <row r="7" spans="1:4" x14ac:dyDescent="0.25">
      <c r="A7" s="106">
        <v>1</v>
      </c>
      <c r="B7" s="106">
        <v>7</v>
      </c>
      <c r="C7" s="105"/>
      <c r="D7" s="43">
        <v>10494946.737496169</v>
      </c>
    </row>
    <row r="8" spans="1:4" x14ac:dyDescent="0.25">
      <c r="A8" s="106">
        <f>+A7+1</f>
        <v>2</v>
      </c>
      <c r="B8" s="106"/>
      <c r="C8" s="105" t="s">
        <v>99</v>
      </c>
      <c r="D8" s="327">
        <f>SUM(D7)</f>
        <v>10494946.737496169</v>
      </c>
    </row>
    <row r="9" spans="1:4" x14ac:dyDescent="0.25">
      <c r="A9" s="106">
        <f t="shared" ref="A9:A22" si="0">+A8+1</f>
        <v>3</v>
      </c>
      <c r="B9" s="106"/>
      <c r="C9" s="105"/>
      <c r="D9" s="43"/>
    </row>
    <row r="10" spans="1:4" x14ac:dyDescent="0.25">
      <c r="A10" s="106">
        <f t="shared" si="0"/>
        <v>4</v>
      </c>
      <c r="B10" s="106">
        <v>8</v>
      </c>
      <c r="C10" s="323"/>
      <c r="D10" s="43">
        <v>250681.08714269023</v>
      </c>
    </row>
    <row r="11" spans="1:4" x14ac:dyDescent="0.25">
      <c r="A11" s="106">
        <f t="shared" si="0"/>
        <v>5</v>
      </c>
      <c r="B11" s="326">
        <v>11</v>
      </c>
      <c r="C11" s="323"/>
      <c r="D11" s="43">
        <v>146070.963299</v>
      </c>
    </row>
    <row r="12" spans="1:4" x14ac:dyDescent="0.25">
      <c r="A12" s="106">
        <f t="shared" si="0"/>
        <v>6</v>
      </c>
      <c r="B12" s="106">
        <v>12</v>
      </c>
      <c r="C12" s="323"/>
      <c r="D12" s="43">
        <v>16784.689999999999</v>
      </c>
    </row>
    <row r="13" spans="1:4" x14ac:dyDescent="0.25">
      <c r="A13" s="106">
        <f t="shared" si="0"/>
        <v>7</v>
      </c>
      <c r="B13" s="106">
        <v>29</v>
      </c>
      <c r="C13" s="105"/>
      <c r="D13" s="43">
        <v>16475.530202172358</v>
      </c>
    </row>
    <row r="14" spans="1:4" x14ac:dyDescent="0.25">
      <c r="A14" s="106">
        <f t="shared" si="0"/>
        <v>8</v>
      </c>
      <c r="B14" s="106"/>
      <c r="C14" s="328" t="s">
        <v>111</v>
      </c>
      <c r="D14" s="327">
        <f>SUM(D10:D13)</f>
        <v>430012.2706438626</v>
      </c>
    </row>
    <row r="15" spans="1:4" x14ac:dyDescent="0.25">
      <c r="A15" s="106">
        <f t="shared" si="0"/>
        <v>9</v>
      </c>
    </row>
    <row r="16" spans="1:4" x14ac:dyDescent="0.25">
      <c r="A16" s="106">
        <f t="shared" si="0"/>
        <v>10</v>
      </c>
      <c r="B16" s="106">
        <v>10</v>
      </c>
      <c r="C16" s="105"/>
      <c r="D16" s="43">
        <v>30627.212307692309</v>
      </c>
    </row>
    <row r="17" spans="1:4" x14ac:dyDescent="0.25">
      <c r="A17" s="106">
        <f t="shared" si="0"/>
        <v>11</v>
      </c>
      <c r="B17" s="106">
        <v>35</v>
      </c>
      <c r="C17" s="105"/>
      <c r="D17" s="43">
        <v>4443.66</v>
      </c>
    </row>
    <row r="18" spans="1:4" x14ac:dyDescent="0.25">
      <c r="A18" s="106">
        <f t="shared" si="0"/>
        <v>12</v>
      </c>
      <c r="B18" s="106"/>
      <c r="C18" s="105" t="s">
        <v>112</v>
      </c>
      <c r="D18" s="327">
        <f>SUM(D16:D17)</f>
        <v>35070.872307692305</v>
      </c>
    </row>
    <row r="19" spans="1:4" x14ac:dyDescent="0.25">
      <c r="A19" s="106">
        <f t="shared" si="0"/>
        <v>13</v>
      </c>
    </row>
    <row r="20" spans="1:4" x14ac:dyDescent="0.25">
      <c r="A20" s="106">
        <f t="shared" si="0"/>
        <v>14</v>
      </c>
      <c r="B20" s="106" t="s">
        <v>113</v>
      </c>
      <c r="C20" s="105"/>
      <c r="D20" s="327">
        <v>1897.0049755</v>
      </c>
    </row>
    <row r="21" spans="1:4" x14ac:dyDescent="0.25">
      <c r="A21" s="106">
        <f t="shared" si="0"/>
        <v>15</v>
      </c>
      <c r="B21" s="106"/>
      <c r="C21" s="105"/>
      <c r="D21" s="43"/>
    </row>
    <row r="22" spans="1:4" ht="15.75" thickBot="1" x14ac:dyDescent="0.3">
      <c r="A22" s="106">
        <f t="shared" si="0"/>
        <v>16</v>
      </c>
      <c r="B22" s="106"/>
      <c r="C22" s="328" t="s">
        <v>368</v>
      </c>
      <c r="D22" s="329">
        <f>SUM(D8,D14,D18,D20)</f>
        <v>10961926.885423223</v>
      </c>
    </row>
    <row r="23" spans="1:4" ht="15.75" thickTop="1" x14ac:dyDescent="0.25"/>
  </sheetData>
  <mergeCells count="4"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5A5BD7-4E94-492D-A552-FBFA52DADE34}"/>
</file>

<file path=customXml/itemProps2.xml><?xml version="1.0" encoding="utf-8"?>
<ds:datastoreItem xmlns:ds="http://schemas.openxmlformats.org/officeDocument/2006/customXml" ds:itemID="{5E0226F8-660C-41FE-9386-313AA9789695}"/>
</file>

<file path=customXml/itemProps3.xml><?xml version="1.0" encoding="utf-8"?>
<ds:datastoreItem xmlns:ds="http://schemas.openxmlformats.org/officeDocument/2006/customXml" ds:itemID="{5F5F36E3-1A33-4BCC-A426-5CF29E22C968}"/>
</file>

<file path=customXml/itemProps4.xml><?xml version="1.0" encoding="utf-8"?>
<ds:datastoreItem xmlns:ds="http://schemas.openxmlformats.org/officeDocument/2006/customXml" ds:itemID="{2C1C2BCC-2D68-4C03-A502-B36AA5892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Table of Contents</vt:lpstr>
      <vt:lpstr>ECOS - INPUTS</vt:lpstr>
      <vt:lpstr>ECOS - CLASSIFIERS</vt:lpstr>
      <vt:lpstr>ECOS - EXTERNAL (2019 GRC)</vt:lpstr>
      <vt:lpstr>Peak Credit</vt:lpstr>
      <vt:lpstr>ROR</vt:lpstr>
      <vt:lpstr>Revenue Sensitive Items</vt:lpstr>
      <vt:lpstr>Proposed Rev</vt:lpstr>
      <vt:lpstr>Prop RW &amp; Spec Cont Rev</vt:lpstr>
      <vt:lpstr>Customer Counts</vt:lpstr>
      <vt:lpstr>Customer Deposits (235)</vt:lpstr>
      <vt:lpstr>Customer Advances (252)</vt:lpstr>
      <vt:lpstr>Proforma Revenue</vt:lpstr>
      <vt:lpstr>Other Op Rev (450-451)</vt:lpstr>
      <vt:lpstr>Other Op Rev Equip Rental (454)</vt:lpstr>
      <vt:lpstr>Records &amp; Collec (903)</vt:lpstr>
      <vt:lpstr>Uncollectibles (904)</vt:lpstr>
      <vt:lpstr>Dist Plant (360-368)</vt:lpstr>
      <vt:lpstr>Dist Accum Depr (360-368)</vt:lpstr>
      <vt:lpstr>NCP Dist Plant (360-362)</vt:lpstr>
      <vt:lpstr>NCP Dist OH-UG Plant (364-367)</vt:lpstr>
      <vt:lpstr>Dist Transformer Plant (368)</vt:lpstr>
      <vt:lpstr>Distribution Service (369)</vt:lpstr>
      <vt:lpstr>Meter Costs (370)</vt:lpstr>
      <vt:lpstr>Load Research Data - Summary</vt:lpstr>
      <vt:lpstr>Load Research Data - Dem 4CP</vt:lpstr>
      <vt:lpstr>Load Research Data -Energy</vt:lpstr>
      <vt:lpstr>BPA Delivered MWh</vt:lpstr>
      <vt:lpstr>'Customer Counts'!Print_Area</vt:lpstr>
      <vt:lpstr>'Customer Deposits (235)'!Print_Area</vt:lpstr>
      <vt:lpstr>'Dist Accum Depr (360-368)'!Print_Area</vt:lpstr>
      <vt:lpstr>'Dist Plant (360-368)'!Print_Area</vt:lpstr>
      <vt:lpstr>'Dist Transformer Plant (368)'!Print_Area</vt:lpstr>
      <vt:lpstr>'Distribution Service (369)'!Print_Area</vt:lpstr>
      <vt:lpstr>'ECOS - CLASSIFIERS'!Print_Area</vt:lpstr>
      <vt:lpstr>'ECOS - EXTERNAL (2019 GRC)'!Print_Area</vt:lpstr>
      <vt:lpstr>'ECOS - INPUTS'!Print_Area</vt:lpstr>
      <vt:lpstr>'Load Research Data - Summary'!Print_Area</vt:lpstr>
      <vt:lpstr>'NCP Dist OH-UG Plant (364-367)'!Print_Area</vt:lpstr>
      <vt:lpstr>'NCP Dist Plant (360-362)'!Print_Area</vt:lpstr>
      <vt:lpstr>'Other Op Rev (450-451)'!Print_Area</vt:lpstr>
      <vt:lpstr>'Other Op Rev Equip Rental (454)'!Print_Area</vt:lpstr>
      <vt:lpstr>'Proforma Revenue'!Print_Area</vt:lpstr>
      <vt:lpstr>'Prop RW &amp; Spec Cont Rev'!Print_Area</vt:lpstr>
      <vt:lpstr>'Proposed Rev'!Print_Area</vt:lpstr>
      <vt:lpstr>'Records &amp; Collec (903)'!Print_Area</vt:lpstr>
      <vt:lpstr>'Table of Contents'!Print_Area</vt:lpstr>
      <vt:lpstr>'Uncollectibles (904)'!Print_Area</vt:lpstr>
      <vt:lpstr>'ECOS - EXTERNAL (2019 GRC)'!Print_Titles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Agers, Donna</dc:creator>
  <cp:lastModifiedBy>rml</cp:lastModifiedBy>
  <cp:lastPrinted>2019-11-06T18:31:42Z</cp:lastPrinted>
  <dcterms:created xsi:type="dcterms:W3CDTF">2019-11-06T18:37:00Z</dcterms:created>
  <dcterms:modified xsi:type="dcterms:W3CDTF">2019-12-21T00:06:13Z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{B52FC572-415D-4ED7-A6DF-F05951B1DA2D}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