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5.xml" ContentType="application/vnd.openxmlformats-officedocument.spreadsheetml.externalLink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A1DA27C0-D7F1-416C-A995-92B0B860A662}" xr6:coauthVersionLast="45" xr6:coauthVersionMax="45" xr10:uidLastSave="{00000000-0000-0000-0000-000000000000}"/>
  <bookViews>
    <workbookView xWindow="28680" yWindow="-120" windowWidth="29040" windowHeight="15840" tabRatio="879" xr2:uid="{00000000-000D-0000-FFFF-FFFF00000000}"/>
  </bookViews>
  <sheets>
    <sheet name="COC, Def, ConvF" sheetId="2" r:id="rId1"/>
    <sheet name="Staff CoC" sheetId="25" r:id="rId2"/>
    <sheet name="COC-Restating" sheetId="21" r:id="rId3"/>
    <sheet name="Summary" sheetId="24" r:id="rId4"/>
    <sheet name="Detailed Summary" sheetId="1" r:id="rId5"/>
    <sheet name="Common Adj" sheetId="6" r:id="rId6"/>
    <sheet name="Gas Adj" sheetId="22" r:id="rId7"/>
    <sheet name="Staff Green Direct" sheetId="27" r:id="rId8"/>
    <sheet name="Staff LNG" sheetId="31" r:id="rId9"/>
    <sheet name="DO NOT INCLUDE---&gt;" sheetId="32" r:id="rId10"/>
    <sheet name="Named Ranges G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E">'[1]Named Ranges E'!$C$4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E">'[1]Named Ranges E'!$C$3</definedName>
    <definedName name="FIT_GAS">'Named Ranges G'!$C$3</definedName>
    <definedName name="_xlnm.Print_Area" localSheetId="0">'COC, Def, ConvF'!$A$1:$P$37</definedName>
    <definedName name="_xlnm.Print_Area" localSheetId="5">'Common Adj'!$A$1:$HY$57</definedName>
    <definedName name="_xlnm.Print_Area" localSheetId="4">'Detailed Summary'!$A$1:$AY$62</definedName>
    <definedName name="_xlnm.Print_Area" localSheetId="7">'Staff Green Direct'!$A$1:$E$22</definedName>
    <definedName name="_xlnm.Print_Area" localSheetId="8">'Staff LNG'!$A$1:$F$26</definedName>
    <definedName name="_xlnm.Print_Area" localSheetId="3">Summary!$A$1:$I$62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G">'COC, Def, ConvF'!$A$2:$C$22</definedName>
    <definedName name="RY_G">'Named Ranges G'!$C$9</definedName>
    <definedName name="TESTYEAR_E">'[1]Named Ranges E'!$C$5</definedName>
    <definedName name="TESTYEAR_GAS">'Named Ranges G'!$C$5</definedName>
    <definedName name="UTN_G">'Common Adj'!$EJ$15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7" i="6" l="1"/>
  <c r="AB42" i="6"/>
  <c r="Y22" i="1" l="1"/>
  <c r="M15" i="22" l="1"/>
  <c r="F35" i="6"/>
  <c r="F34" i="6"/>
  <c r="F28" i="6"/>
  <c r="H27" i="6"/>
  <c r="F27" i="6"/>
  <c r="F26" i="6"/>
  <c r="H25" i="6"/>
  <c r="F25" i="6"/>
  <c r="F24" i="6"/>
  <c r="F23" i="6"/>
  <c r="H23" i="6" s="1"/>
  <c r="F19" i="6"/>
  <c r="F18" i="6"/>
  <c r="F17" i="6"/>
  <c r="F16" i="6"/>
  <c r="H15" i="6"/>
  <c r="F15" i="6"/>
  <c r="GH35" i="6" l="1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GJ32" i="6" l="1"/>
  <c r="GJ31" i="6"/>
  <c r="GJ30" i="6"/>
  <c r="GJ24" i="6"/>
  <c r="GJ23" i="6"/>
  <c r="GJ22" i="6"/>
  <c r="GJ18" i="6"/>
  <c r="GJ17" i="6"/>
  <c r="GJ16" i="6"/>
  <c r="O21" i="6"/>
  <c r="P19" i="6"/>
  <c r="O19" i="6"/>
  <c r="N19" i="6"/>
  <c r="P15" i="6"/>
  <c r="O15" i="6"/>
  <c r="M15" i="6"/>
  <c r="L15" i="6"/>
  <c r="C25" i="2" l="1"/>
  <c r="C24" i="2"/>
  <c r="C23" i="2"/>
  <c r="EK27" i="6" l="1"/>
  <c r="L51" i="6" l="1"/>
  <c r="L40" i="6"/>
  <c r="FT31" i="6" l="1"/>
  <c r="FT32" i="6"/>
  <c r="E25" i="31" l="1"/>
  <c r="F24" i="31"/>
  <c r="AV53" i="1" s="1"/>
  <c r="A24" i="31"/>
  <c r="F23" i="31"/>
  <c r="AV52" i="1" s="1"/>
  <c r="F22" i="31"/>
  <c r="A22" i="31"/>
  <c r="A20" i="31"/>
  <c r="E19" i="31"/>
  <c r="C18" i="31"/>
  <c r="D18" i="31" s="1"/>
  <c r="F18" i="31" s="1"/>
  <c r="F17" i="31"/>
  <c r="AV34" i="1" s="1"/>
  <c r="A17" i="31"/>
  <c r="F16" i="31"/>
  <c r="AV33" i="1" s="1"/>
  <c r="F15" i="31"/>
  <c r="AV27" i="1" s="1"/>
  <c r="A15" i="31"/>
  <c r="B8" i="31"/>
  <c r="B7" i="31"/>
  <c r="F25" i="31" l="1"/>
  <c r="C35" i="31" s="1"/>
  <c r="AV51" i="1"/>
  <c r="AV57" i="1" s="1"/>
  <c r="AV46" i="1" s="1"/>
  <c r="C30" i="31"/>
  <c r="AV40" i="1"/>
  <c r="F19" i="31"/>
  <c r="D19" i="31"/>
  <c r="D25" i="31"/>
  <c r="C29" i="31"/>
  <c r="C31" i="31" l="1"/>
  <c r="AV42" i="1"/>
  <c r="AV44" i="1" s="1"/>
  <c r="C17" i="27"/>
  <c r="E17" i="27" s="1"/>
  <c r="X53" i="1" s="1"/>
  <c r="C16" i="27"/>
  <c r="E16" i="27" s="1"/>
  <c r="X52" i="1" s="1"/>
  <c r="C15" i="27"/>
  <c r="E15" i="27" s="1"/>
  <c r="X51" i="1" s="1"/>
  <c r="E28" i="27"/>
  <c r="D28" i="27"/>
  <c r="C28" i="27"/>
  <c r="D18" i="27"/>
  <c r="A16" i="27"/>
  <c r="A17" i="27" s="1"/>
  <c r="A18" i="27" s="1"/>
  <c r="A15" i="27"/>
  <c r="B8" i="27"/>
  <c r="B7" i="27"/>
  <c r="C18" i="27" l="1"/>
  <c r="E18" i="27"/>
  <c r="AX70" i="1" l="1"/>
  <c r="Y70" i="1"/>
  <c r="Z70" i="1" s="1"/>
  <c r="AY70" i="1" l="1"/>
  <c r="G13" i="2"/>
  <c r="G12" i="2"/>
  <c r="F13" i="2"/>
  <c r="F12" i="2"/>
  <c r="D16" i="25"/>
  <c r="D15" i="25"/>
  <c r="C16" i="25"/>
  <c r="E16" i="25" s="1"/>
  <c r="C15" i="25"/>
  <c r="E12" i="25"/>
  <c r="E11" i="25"/>
  <c r="E15" i="25" s="1"/>
  <c r="C13" i="25"/>
  <c r="A11" i="25"/>
  <c r="A12" i="25" s="1"/>
  <c r="A13" i="25" s="1"/>
  <c r="A14" i="25" s="1"/>
  <c r="A15" i="25" s="1"/>
  <c r="A16" i="25" s="1"/>
  <c r="A17" i="25" s="1"/>
  <c r="E17" i="25" l="1"/>
  <c r="E13" i="25"/>
  <c r="HV44" i="6" l="1"/>
  <c r="HV40" i="6"/>
  <c r="HV39" i="6"/>
  <c r="HV41" i="6" s="1"/>
  <c r="HF39" i="6" l="1"/>
  <c r="HF40" i="6" l="1"/>
  <c r="HF41" i="6"/>
  <c r="HF44" i="6" l="1"/>
  <c r="AX65" i="1" l="1"/>
  <c r="Y65" i="1"/>
  <c r="Z65" i="1" s="1"/>
  <c r="AY65" i="1" l="1"/>
  <c r="B65" i="1" l="1"/>
  <c r="AX56" i="1"/>
  <c r="AX55" i="1"/>
  <c r="AX38" i="1"/>
  <c r="AX36" i="1"/>
  <c r="AX32" i="1"/>
  <c r="AX24" i="1"/>
  <c r="AX22" i="1"/>
  <c r="AX15" i="1"/>
  <c r="Y56" i="1"/>
  <c r="Y38" i="1"/>
  <c r="Y37" i="1"/>
  <c r="Y36" i="1"/>
  <c r="Y24" i="1"/>
  <c r="Y15" i="1"/>
  <c r="AW42" i="1"/>
  <c r="AW44" i="1" s="1"/>
  <c r="AW57" i="1" l="1"/>
  <c r="X57" i="1"/>
  <c r="AW46" i="1" l="1"/>
  <c r="H12" i="2"/>
  <c r="H16" i="2" s="1"/>
  <c r="H13" i="2"/>
  <c r="H14" i="2" l="1"/>
  <c r="EL26" i="6" l="1"/>
  <c r="C36" i="31"/>
  <c r="N5" i="2"/>
  <c r="N4" i="2"/>
  <c r="N2" i="2" l="1"/>
  <c r="N13" i="2" l="1"/>
  <c r="N14" i="2" s="1"/>
  <c r="N15" i="2" s="1"/>
  <c r="HE18" i="6" l="1"/>
  <c r="HF22" i="6"/>
  <c r="HF24" i="6" s="1"/>
  <c r="HE22" i="6"/>
  <c r="HE24" i="6" s="1"/>
  <c r="X2" i="6" l="1"/>
  <c r="BZ14" i="6" l="1"/>
  <c r="BY14" i="6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U34" i="6" s="1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8" i="6"/>
  <c r="HN18" i="6"/>
  <c r="HM18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BT14" i="6"/>
  <c r="BR14" i="6"/>
  <c r="BQ14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AL37" i="1"/>
  <c r="FS32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CO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8" i="6"/>
  <c r="FZ28" i="6"/>
  <c r="FY28" i="6"/>
  <c r="GB27" i="6"/>
  <c r="FZ27" i="6"/>
  <c r="FY27" i="6"/>
  <c r="GB26" i="6"/>
  <c r="FZ26" i="6"/>
  <c r="FY26" i="6"/>
  <c r="GB25" i="6"/>
  <c r="FZ25" i="6"/>
  <c r="FY25" i="6"/>
  <c r="GB24" i="6"/>
  <c r="FZ24" i="6"/>
  <c r="FY24" i="6"/>
  <c r="GB22" i="6"/>
  <c r="FZ22" i="6"/>
  <c r="FY22" i="6"/>
  <c r="GB21" i="6"/>
  <c r="FZ21" i="6"/>
  <c r="FY21" i="6"/>
  <c r="GB20" i="6"/>
  <c r="FZ20" i="6"/>
  <c r="FY20" i="6"/>
  <c r="GB19" i="6"/>
  <c r="FZ19" i="6"/>
  <c r="FY19" i="6"/>
  <c r="GB18" i="6"/>
  <c r="FZ18" i="6"/>
  <c r="FY18" i="6"/>
  <c r="GB17" i="6"/>
  <c r="FZ17" i="6"/>
  <c r="FY17" i="6"/>
  <c r="GB16" i="6"/>
  <c r="FZ16" i="6"/>
  <c r="FY16" i="6"/>
  <c r="GB15" i="6"/>
  <c r="FZ15" i="6"/>
  <c r="FY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Q26" i="6"/>
  <c r="DO26" i="6"/>
  <c r="DM26" i="6"/>
  <c r="DP23" i="6"/>
  <c r="DN23" i="6"/>
  <c r="DM23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M26" i="6"/>
  <c r="BL26" i="6"/>
  <c r="BK26" i="6"/>
  <c r="BJ26" i="6"/>
  <c r="BI26" i="6"/>
  <c r="BM23" i="6"/>
  <c r="BL23" i="6"/>
  <c r="BK23" i="6"/>
  <c r="BJ23" i="6"/>
  <c r="BI23" i="6"/>
  <c r="BM22" i="6"/>
  <c r="BL22" i="6"/>
  <c r="BK22" i="6"/>
  <c r="BJ22" i="6"/>
  <c r="BI22" i="6"/>
  <c r="BM21" i="6"/>
  <c r="BL21" i="6"/>
  <c r="BK21" i="6"/>
  <c r="BJ21" i="6"/>
  <c r="BI21" i="6"/>
  <c r="BM20" i="6"/>
  <c r="BL20" i="6"/>
  <c r="BK20" i="6"/>
  <c r="BJ20" i="6"/>
  <c r="BI20" i="6"/>
  <c r="BM19" i="6"/>
  <c r="BL19" i="6"/>
  <c r="BK19" i="6"/>
  <c r="BJ19" i="6"/>
  <c r="BI19" i="6"/>
  <c r="BM18" i="6"/>
  <c r="BL18" i="6"/>
  <c r="BK18" i="6"/>
  <c r="BJ18" i="6"/>
  <c r="BI18" i="6"/>
  <c r="BM17" i="6"/>
  <c r="BL17" i="6"/>
  <c r="BK17" i="6"/>
  <c r="BJ17" i="6"/>
  <c r="BI17" i="6"/>
  <c r="BM16" i="6"/>
  <c r="BL16" i="6"/>
  <c r="BK16" i="6"/>
  <c r="BJ16" i="6"/>
  <c r="BI16" i="6"/>
  <c r="BM15" i="6"/>
  <c r="BL15" i="6"/>
  <c r="BK15" i="6"/>
  <c r="BJ15" i="6"/>
  <c r="BI15" i="6"/>
  <c r="BE19" i="6"/>
  <c r="BA15" i="6"/>
  <c r="AZ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HU35" i="6" l="1"/>
  <c r="HW35" i="6" s="1"/>
  <c r="HW34" i="6"/>
  <c r="DU24" i="6"/>
  <c r="HX29" i="6"/>
  <c r="HX30" i="6" s="1"/>
  <c r="HU29" i="6"/>
  <c r="HU30" i="6" s="1"/>
  <c r="HV29" i="6"/>
  <c r="HV30" i="6" s="1"/>
  <c r="HW29" i="6"/>
  <c r="HW30" i="6" s="1"/>
  <c r="U17" i="6"/>
  <c r="W14" i="6"/>
  <c r="E9" i="1"/>
  <c r="HU36" i="6" l="1"/>
  <c r="HW36" i="6" s="1"/>
  <c r="F9" i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T17" i="1" l="1"/>
  <c r="C24" i="22"/>
  <c r="G19" i="22" l="1"/>
  <c r="H15" i="22"/>
  <c r="F15" i="22"/>
  <c r="AT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L9" i="1" l="1"/>
  <c r="AM9" i="1" l="1"/>
  <c r="FU9" i="6"/>
  <c r="AN9" i="1" l="1"/>
  <c r="GC9" i="6"/>
  <c r="AO9" i="1" l="1"/>
  <c r="GK9" i="6"/>
  <c r="AP9" i="1" l="1"/>
  <c r="GS9" i="6"/>
  <c r="AQ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HY30" i="6" l="1"/>
  <c r="HV25" i="6"/>
  <c r="HU25" i="6"/>
  <c r="HY25" i="6"/>
  <c r="HW25" i="6"/>
  <c r="HX19" i="6"/>
  <c r="HX21" i="6" s="1"/>
  <c r="HU19" i="6"/>
  <c r="HU21" i="6" s="1"/>
  <c r="HY19" i="6"/>
  <c r="HY21" i="6" s="1"/>
  <c r="HU39" i="6" s="1"/>
  <c r="HU41" i="6" s="1"/>
  <c r="HW19" i="6"/>
  <c r="HW21" i="6" s="1"/>
  <c r="HV19" i="6"/>
  <c r="HV21" i="6" s="1"/>
  <c r="HX25" i="6"/>
  <c r="IG1" i="6"/>
  <c r="HW41" i="6" l="1"/>
  <c r="HD26" i="6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17" i="6"/>
  <c r="HH18" i="6"/>
  <c r="HI16" i="6"/>
  <c r="HI22" i="6" l="1"/>
  <c r="HI24" i="6" s="1"/>
  <c r="HI26" i="6" s="1"/>
  <c r="HE34" i="6"/>
  <c r="HI15" i="6"/>
  <c r="HI18" i="6" s="1"/>
  <c r="HE39" i="6" s="1"/>
  <c r="HE41" i="6" s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27" i="6" l="1"/>
  <c r="HG41" i="6"/>
  <c r="HE35" i="6"/>
  <c r="HG34" i="6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HE36" i="6" l="1"/>
  <c r="HG35" i="6"/>
  <c r="GI27" i="6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HG36" i="6" l="1"/>
  <c r="GH27" i="6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P41" i="1"/>
  <c r="GX16" i="6"/>
  <c r="GY15" i="6"/>
  <c r="GY16" i="6" s="1"/>
  <c r="HA15" i="6"/>
  <c r="HA16" i="6" s="1"/>
  <c r="AP53" i="1" s="1"/>
  <c r="AX41" i="1" l="1"/>
  <c r="K25" i="6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5" i="2" l="1"/>
  <c r="I4" i="2"/>
  <c r="HO16" i="6" l="1"/>
  <c r="HO14" i="6" l="1"/>
  <c r="HQ16" i="6"/>
  <c r="AR29" i="1" s="1"/>
  <c r="HQ14" i="6"/>
  <c r="AR27" i="1" s="1"/>
  <c r="HQ17" i="6"/>
  <c r="AR30" i="1" s="1"/>
  <c r="HO17" i="6"/>
  <c r="HO15" i="6"/>
  <c r="HQ15" i="6"/>
  <c r="AR28" i="1" l="1"/>
  <c r="AX28" i="1" s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S57" i="1" l="1"/>
  <c r="AS25" i="1"/>
  <c r="AS42" i="1" s="1"/>
  <c r="AS17" i="1"/>
  <c r="AS46" i="1" l="1"/>
  <c r="AS44" i="1"/>
  <c r="AB9" i="1" l="1"/>
  <c r="P9" i="6" s="1"/>
  <c r="AA57" i="1"/>
  <c r="AA46" i="1" s="1"/>
  <c r="AA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AL41" i="6"/>
  <c r="AK41" i="6"/>
  <c r="Y32" i="1" l="1"/>
  <c r="AM41" i="6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BR16" i="6" l="1"/>
  <c r="BR18" i="6" s="1"/>
  <c r="BT16" i="6"/>
  <c r="BT18" i="6" s="1"/>
  <c r="CG16" i="6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K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K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U53" i="1" s="1"/>
  <c r="Q38" i="22"/>
  <c r="AU52" i="1" s="1"/>
  <c r="AK2" i="1" l="1"/>
  <c r="J20" i="22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R57" i="1" l="1"/>
  <c r="AR46" i="1" s="1"/>
  <c r="AR25" i="1"/>
  <c r="AR17" i="1"/>
  <c r="AE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Y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J37" i="1" s="1"/>
  <c r="FD17" i="6"/>
  <c r="FD19" i="6" s="1"/>
  <c r="FC15" i="6"/>
  <c r="FC17" i="6" s="1"/>
  <c r="FC19" i="6" s="1"/>
  <c r="FA20" i="6"/>
  <c r="FB20" i="6"/>
  <c r="FD20" i="6" l="1"/>
  <c r="FC20" i="6"/>
  <c r="FE19" i="6"/>
  <c r="AJ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BT19" i="6" l="1"/>
  <c r="BT20" i="6" s="1"/>
  <c r="BR19" i="6"/>
  <c r="BR20" i="6" s="1"/>
  <c r="AQ19" i="6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Q57" i="1" l="1"/>
  <c r="AQ25" i="1"/>
  <c r="AQ42" i="1" s="1"/>
  <c r="AQ17" i="1"/>
  <c r="AP57" i="1"/>
  <c r="AP25" i="1"/>
  <c r="AP42" i="1" s="1"/>
  <c r="AP17" i="1"/>
  <c r="AO57" i="1"/>
  <c r="AO46" i="1" s="1"/>
  <c r="AO25" i="1"/>
  <c r="AO17" i="1"/>
  <c r="GZ1" i="6" l="1"/>
  <c r="AQ46" i="1"/>
  <c r="AP46" i="1"/>
  <c r="AI9" i="1"/>
  <c r="EG9" i="6" s="1"/>
  <c r="AQ44" i="1"/>
  <c r="AP44" i="1"/>
  <c r="HA1" i="6" l="1"/>
  <c r="AE25" i="1" l="1"/>
  <c r="AD25" i="1"/>
  <c r="AE17" i="1"/>
  <c r="AD17" i="1"/>
  <c r="AE43" i="1"/>
  <c r="AD43" i="1"/>
  <c r="AD57" i="1"/>
  <c r="AD46" i="1" s="1"/>
  <c r="AE57" i="1"/>
  <c r="AE46" i="1" s="1"/>
  <c r="F56" i="24" l="1"/>
  <c r="F55" i="24"/>
  <c r="F41" i="24"/>
  <c r="F38" i="24"/>
  <c r="F36" i="24"/>
  <c r="F32" i="24"/>
  <c r="F28" i="24"/>
  <c r="F24" i="24"/>
  <c r="F15" i="24"/>
  <c r="AK57" i="1"/>
  <c r="AK46" i="1" s="1"/>
  <c r="AI57" i="1"/>
  <c r="AI46" i="1" s="1"/>
  <c r="AH57" i="1"/>
  <c r="AH46" i="1" s="1"/>
  <c r="AG57" i="1"/>
  <c r="AG46" i="1" s="1"/>
  <c r="AF57" i="1"/>
  <c r="AF46" i="1" s="1"/>
  <c r="AJ57" i="1"/>
  <c r="AJ46" i="1" s="1"/>
  <c r="AC57" i="1"/>
  <c r="AC46" i="1" s="1"/>
  <c r="AB57" i="1"/>
  <c r="AB46" i="1" s="1"/>
  <c r="AN25" i="1"/>
  <c r="AM25" i="1"/>
  <c r="AL25" i="1"/>
  <c r="AK25" i="1"/>
  <c r="AK42" i="1" s="1"/>
  <c r="AI25" i="1"/>
  <c r="AH25" i="1"/>
  <c r="AG25" i="1"/>
  <c r="AF25" i="1"/>
  <c r="AJ25" i="1"/>
  <c r="AJ42" i="1" s="1"/>
  <c r="AC25" i="1"/>
  <c r="AN17" i="1"/>
  <c r="AM17" i="1"/>
  <c r="AL17" i="1"/>
  <c r="AK17" i="1"/>
  <c r="AI17" i="1"/>
  <c r="AH17" i="1"/>
  <c r="AG17" i="1"/>
  <c r="AF17" i="1"/>
  <c r="AJ17" i="1"/>
  <c r="AC17" i="1"/>
  <c r="AK44" i="1" l="1"/>
  <c r="AJ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D56" i="24" l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Z15" i="1" l="1"/>
  <c r="AY15" i="1" s="1"/>
  <c r="U42" i="1"/>
  <c r="F17" i="1"/>
  <c r="G17" i="1"/>
  <c r="I17" i="1"/>
  <c r="J17" i="1"/>
  <c r="K17" i="1"/>
  <c r="L17" i="1"/>
  <c r="M17" i="1"/>
  <c r="N17" i="1"/>
  <c r="O17" i="1"/>
  <c r="U44" i="1" l="1"/>
  <c r="D24" i="24" l="1"/>
  <c r="E24" i="24" s="1"/>
  <c r="G24" i="24" s="1"/>
  <c r="I24" i="24" s="1"/>
  <c r="D5" i="2"/>
  <c r="D4" i="2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F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F40" i="1" l="1"/>
  <c r="Q42" i="1"/>
  <c r="Q44" i="1" s="1"/>
  <c r="DI19" i="6"/>
  <c r="I8" i="6"/>
  <c r="I7" i="6"/>
  <c r="I5" i="6"/>
  <c r="AF42" i="1" l="1"/>
  <c r="AF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A9" i="1" l="1"/>
  <c r="H9" i="6" s="1"/>
  <c r="F9" i="6"/>
  <c r="Z24" i="1"/>
  <c r="AY24" i="1" s="1"/>
  <c r="Z38" i="1"/>
  <c r="AY38" i="1" s="1"/>
  <c r="Z36" i="1"/>
  <c r="AY36" i="1" s="1"/>
  <c r="Z56" i="1"/>
  <c r="AY56" i="1" s="1"/>
  <c r="G9" i="1" l="1"/>
  <c r="AC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D9" i="1" l="1"/>
  <c r="BU9" i="6" s="1"/>
  <c r="BS9" i="6"/>
  <c r="M9" i="1"/>
  <c r="AE9" i="1" l="1"/>
  <c r="CC9" i="6" s="1"/>
  <c r="CA9" i="6"/>
  <c r="N9" i="1"/>
  <c r="CI9" i="6" s="1"/>
  <c r="O9" i="1" l="1"/>
  <c r="P9" i="1" l="1"/>
  <c r="CY9" i="6" s="1"/>
  <c r="CQ9" i="6"/>
  <c r="F22" i="24"/>
  <c r="AR9" i="1" l="1"/>
  <c r="AS9" i="1" l="1"/>
  <c r="HY9" i="6" s="1"/>
  <c r="HQ9" i="6"/>
  <c r="D22" i="24"/>
  <c r="E22" i="24" l="1"/>
  <c r="Z22" i="1"/>
  <c r="AY22" i="1" s="1"/>
  <c r="G22" i="24" l="1"/>
  <c r="AU25" i="1"/>
  <c r="I22" i="24" l="1"/>
  <c r="BU15" i="6" l="1"/>
  <c r="AD33" i="1" s="1"/>
  <c r="BS15" i="6"/>
  <c r="L33" i="1" s="1"/>
  <c r="BQ16" i="6" l="1"/>
  <c r="BQ18" i="6" s="1"/>
  <c r="BQ19" i="6" s="1"/>
  <c r="BQ20" i="6" s="1"/>
  <c r="BS14" i="6"/>
  <c r="L39" i="1" s="1"/>
  <c r="BS16" i="6" l="1"/>
  <c r="BS18" i="6"/>
  <c r="BU14" i="6"/>
  <c r="BU16" i="6" l="1"/>
  <c r="BU18" i="6" s="1"/>
  <c r="BU19" i="6" s="1"/>
  <c r="AD39" i="1"/>
  <c r="BS19" i="6"/>
  <c r="L40" i="1" l="1"/>
  <c r="BU20" i="6"/>
  <c r="AD40" i="1"/>
  <c r="BS20" i="6"/>
  <c r="L42" i="1" l="1"/>
  <c r="L44" i="1" s="1"/>
  <c r="AD42" i="1"/>
  <c r="AD44" i="1" s="1"/>
  <c r="BU1" i="6" l="1"/>
  <c r="BS1" i="6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O30" i="1"/>
  <c r="GS19" i="6" l="1"/>
  <c r="AO40" i="1" s="1"/>
  <c r="GS20" i="6" l="1"/>
  <c r="AO42" i="1"/>
  <c r="AO44" i="1" s="1"/>
  <c r="GS1" i="6" l="1"/>
  <c r="M41" i="22" l="1"/>
  <c r="M20" i="22"/>
  <c r="N18" i="22"/>
  <c r="Q37" i="22"/>
  <c r="P41" i="22"/>
  <c r="AU51" i="1" l="1"/>
  <c r="Q41" i="22"/>
  <c r="N20" i="22"/>
  <c r="O18" i="22"/>
  <c r="O20" i="22" s="1"/>
  <c r="O41" i="22"/>
  <c r="N41" i="22"/>
  <c r="P20" i="22"/>
  <c r="Q18" i="22"/>
  <c r="AU34" i="1" l="1"/>
  <c r="Q20" i="22"/>
  <c r="AU57" i="1"/>
  <c r="P1" i="22" l="1"/>
  <c r="AU46" i="1"/>
  <c r="AM51" i="1" l="1"/>
  <c r="AM53" i="1"/>
  <c r="AM52" i="1" l="1"/>
  <c r="AM57" i="1" l="1"/>
  <c r="AM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HM19" i="6" l="1"/>
  <c r="HM21" i="6" s="1"/>
  <c r="HM22" i="6" s="1"/>
  <c r="HP19" i="6" l="1"/>
  <c r="HQ18" i="6"/>
  <c r="HO18" i="6"/>
  <c r="HO19" i="6" s="1"/>
  <c r="HN19" i="6"/>
  <c r="HN21" i="6" s="1"/>
  <c r="HN22" i="6" l="1"/>
  <c r="HO21" i="6"/>
  <c r="HO22" i="6" s="1"/>
  <c r="AR33" i="1"/>
  <c r="HQ19" i="6"/>
  <c r="HP21" i="6"/>
  <c r="HQ21" i="6" s="1"/>
  <c r="AR40" i="1" s="1"/>
  <c r="HP22" i="6" l="1"/>
  <c r="HQ22" i="6"/>
  <c r="AR42" i="1"/>
  <c r="AR44" i="1" s="1"/>
  <c r="HQ1" i="6" l="1"/>
  <c r="GA16" i="6" l="1"/>
  <c r="GC26" i="6" l="1"/>
  <c r="GA26" i="6"/>
  <c r="GC27" i="6" l="1"/>
  <c r="GA27" i="6"/>
  <c r="GA28" i="6" l="1"/>
  <c r="GC28" i="6"/>
  <c r="GA19" i="6" l="1"/>
  <c r="GC19" i="6"/>
  <c r="GA15" i="6"/>
  <c r="GA21" i="6"/>
  <c r="GC18" i="6" l="1"/>
  <c r="GA18" i="6"/>
  <c r="FY29" i="6"/>
  <c r="FY31" i="6" s="1"/>
  <c r="FY32" i="6" s="1"/>
  <c r="GA20" i="6" l="1"/>
  <c r="GA29" i="6" s="1"/>
  <c r="GC20" i="6"/>
  <c r="FZ29" i="6"/>
  <c r="FZ31" i="6" s="1"/>
  <c r="FZ32" i="6" s="1"/>
  <c r="W33" i="1" l="1"/>
  <c r="GA31" i="6"/>
  <c r="W40" i="1" s="1"/>
  <c r="GA32" i="6" l="1"/>
  <c r="W42" i="1"/>
  <c r="W44" i="1" s="1"/>
  <c r="GC21" i="6" l="1"/>
  <c r="GC29" i="6" s="1"/>
  <c r="GB29" i="6"/>
  <c r="GB31" i="6" s="1"/>
  <c r="GB32" i="6" s="1"/>
  <c r="GC31" i="6" l="1"/>
  <c r="AM40" i="1" s="1"/>
  <c r="AM33" i="1"/>
  <c r="GC32" i="6" l="1"/>
  <c r="AM42" i="1"/>
  <c r="AM44" i="1" s="1"/>
  <c r="GC1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I33" i="1"/>
  <c r="T33" i="1"/>
  <c r="EE23" i="6"/>
  <c r="T40" i="1" s="1"/>
  <c r="EG25" i="6" l="1"/>
  <c r="AI40" i="1"/>
  <c r="T42" i="1"/>
  <c r="T44" i="1" s="1"/>
  <c r="EE25" i="6"/>
  <c r="AI42" i="1" l="1"/>
  <c r="AI44" i="1" s="1"/>
  <c r="EE1" i="6"/>
  <c r="EG1" i="6" l="1"/>
  <c r="DW18" i="6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H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H40" i="1" s="1"/>
  <c r="AH42" i="1" l="1"/>
  <c r="AH44" i="1" s="1"/>
  <c r="DY34" i="6"/>
  <c r="DY1" i="6" l="1"/>
  <c r="DM24" i="6" l="1"/>
  <c r="DM27" i="6" s="1"/>
  <c r="DM29" i="6" s="1"/>
  <c r="DM30" i="6" s="1"/>
  <c r="DM31" i="6" s="1"/>
  <c r="DO16" i="6" l="1"/>
  <c r="DO17" i="6"/>
  <c r="DO20" i="6"/>
  <c r="R30" i="1" s="1"/>
  <c r="DO23" i="6"/>
  <c r="R33" i="1" s="1"/>
  <c r="DO19" i="6"/>
  <c r="R29" i="1" s="1"/>
  <c r="DO18" i="6"/>
  <c r="DO22" i="6"/>
  <c r="DO15" i="6" l="1"/>
  <c r="DO21" i="6"/>
  <c r="R31" i="1" s="1"/>
  <c r="DO24" i="6" l="1"/>
  <c r="R27" i="1"/>
  <c r="DN24" i="6"/>
  <c r="DQ19" i="6" l="1"/>
  <c r="AG29" i="1" s="1"/>
  <c r="DQ21" i="6"/>
  <c r="AG31" i="1" s="1"/>
  <c r="DQ17" i="6"/>
  <c r="DQ22" i="6"/>
  <c r="DQ23" i="6"/>
  <c r="AG33" i="1" s="1"/>
  <c r="DQ20" i="6"/>
  <c r="AG30" i="1" s="1"/>
  <c r="DQ16" i="6"/>
  <c r="AX31" i="1" l="1"/>
  <c r="F31" i="24" s="1"/>
  <c r="AX29" i="1"/>
  <c r="F29" i="24" s="1"/>
  <c r="DQ18" i="6"/>
  <c r="DQ15" i="6"/>
  <c r="DP24" i="6" l="1"/>
  <c r="DQ24" i="6"/>
  <c r="AG27" i="1"/>
  <c r="AX27" i="1" s="1"/>
  <c r="F27" i="24" l="1"/>
  <c r="AG39" i="1" l="1"/>
  <c r="DQ27" i="6"/>
  <c r="DQ29" i="6" s="1"/>
  <c r="R39" i="1"/>
  <c r="DN26" i="6"/>
  <c r="DP26" i="6" s="1"/>
  <c r="DN27" i="6"/>
  <c r="DO27" i="6"/>
  <c r="DO29" i="6" s="1"/>
  <c r="DO30" i="6" l="1"/>
  <c r="R40" i="1" s="1"/>
  <c r="DQ30" i="6"/>
  <c r="AG40" i="1" s="1"/>
  <c r="DN29" i="6"/>
  <c r="DN30" i="6" s="1"/>
  <c r="DN31" i="6" s="1"/>
  <c r="DP27" i="6"/>
  <c r="DP29" i="6" s="1"/>
  <c r="DP30" i="6" s="1"/>
  <c r="DP31" i="6" s="1"/>
  <c r="AG42" i="1" l="1"/>
  <c r="AG44" i="1" s="1"/>
  <c r="DO31" i="6"/>
  <c r="R42" i="1"/>
  <c r="R44" i="1" s="1"/>
  <c r="DQ31" i="6"/>
  <c r="DQ1" i="6" l="1"/>
  <c r="DO1" i="6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CQ16" i="6" l="1"/>
  <c r="CQ17" i="6" s="1"/>
  <c r="CO17" i="6"/>
  <c r="CO19" i="6" l="1"/>
  <c r="CQ19" i="6" s="1"/>
  <c r="O40" i="1" s="1"/>
  <c r="O33" i="1"/>
  <c r="O42" i="1" l="1"/>
  <c r="O44" i="1" s="1"/>
  <c r="CO20" i="6"/>
  <c r="CQ20" i="6"/>
  <c r="CQ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E33" i="1" l="1"/>
  <c r="CC20" i="6"/>
  <c r="AE40" i="1" s="1"/>
  <c r="CA20" i="6"/>
  <c r="M40" i="1" s="1"/>
  <c r="M33" i="1"/>
  <c r="CC22" i="6" l="1"/>
  <c r="CA22" i="6"/>
  <c r="M42" i="1"/>
  <c r="M44" i="1" s="1"/>
  <c r="AE42" i="1"/>
  <c r="AE44" i="1" s="1"/>
  <c r="CC1" i="6" l="1"/>
  <c r="CA1" i="6"/>
  <c r="AZ17" i="6" l="1"/>
  <c r="AZ18" i="6" l="1"/>
  <c r="AZ19" i="6" s="1"/>
  <c r="M12" i="2" l="1"/>
  <c r="BA17" i="6" l="1"/>
  <c r="K24" i="6"/>
  <c r="C38" i="6"/>
  <c r="L22" i="22"/>
  <c r="AI28" i="6"/>
  <c r="M14" i="2"/>
  <c r="BB15" i="6" l="1"/>
  <c r="J30" i="1" s="1"/>
  <c r="BC15" i="6"/>
  <c r="BD15" i="6" s="1"/>
  <c r="BD17" i="6" s="1"/>
  <c r="C40" i="6"/>
  <c r="AI30" i="6"/>
  <c r="K26" i="6"/>
  <c r="L26" i="22"/>
  <c r="J14" i="2"/>
  <c r="P22" i="22"/>
  <c r="AK28" i="6"/>
  <c r="M16" i="2"/>
  <c r="M18" i="2" s="1"/>
  <c r="BA18" i="6"/>
  <c r="BB17" i="6" l="1"/>
  <c r="M19" i="2"/>
  <c r="M20" i="2" s="1"/>
  <c r="BC17" i="6"/>
  <c r="P26" i="22"/>
  <c r="BB18" i="6"/>
  <c r="J40" i="1" s="1"/>
  <c r="BC18" i="6"/>
  <c r="BD18" i="6" s="1"/>
  <c r="BD19" i="6" s="1"/>
  <c r="AM28" i="6"/>
  <c r="P24" i="22"/>
  <c r="BA19" i="6"/>
  <c r="AK30" i="6"/>
  <c r="AM30" i="6" s="1"/>
  <c r="AN30" i="6" s="1"/>
  <c r="EK28" i="6" l="1"/>
  <c r="L41" i="6"/>
  <c r="L52" i="6"/>
  <c r="AV60" i="1"/>
  <c r="E20" i="27"/>
  <c r="C32" i="31"/>
  <c r="C37" i="31" s="1"/>
  <c r="HU37" i="6"/>
  <c r="HU42" i="6"/>
  <c r="HW42" i="6" s="1"/>
  <c r="HE42" i="6"/>
  <c r="HG42" i="6" s="1"/>
  <c r="HE37" i="6"/>
  <c r="AW60" i="1"/>
  <c r="X60" i="1"/>
  <c r="C60" i="1"/>
  <c r="Q60" i="1"/>
  <c r="N60" i="1"/>
  <c r="AB60" i="1"/>
  <c r="AL60" i="1"/>
  <c r="AT60" i="1"/>
  <c r="Z60" i="1"/>
  <c r="E60" i="24"/>
  <c r="AM60" i="1"/>
  <c r="T60" i="1"/>
  <c r="E60" i="1"/>
  <c r="AN60" i="1"/>
  <c r="BC19" i="6"/>
  <c r="AS60" i="1"/>
  <c r="AI60" i="1"/>
  <c r="D60" i="1"/>
  <c r="L60" i="1"/>
  <c r="D60" i="24"/>
  <c r="AX60" i="1"/>
  <c r="M60" i="1"/>
  <c r="AH60" i="1"/>
  <c r="AF60" i="1"/>
  <c r="AP60" i="1"/>
  <c r="Y60" i="1"/>
  <c r="P60" i="1"/>
  <c r="S60" i="1"/>
  <c r="AR60" i="1"/>
  <c r="J60" i="1"/>
  <c r="AE60" i="1"/>
  <c r="I60" i="24"/>
  <c r="O60" i="1"/>
  <c r="F60" i="24"/>
  <c r="AO60" i="1"/>
  <c r="K60" i="1"/>
  <c r="H60" i="24"/>
  <c r="AJ60" i="1"/>
  <c r="V60" i="1"/>
  <c r="C20" i="2"/>
  <c r="AY60" i="1"/>
  <c r="AC60" i="1"/>
  <c r="U60" i="1"/>
  <c r="AD60" i="1"/>
  <c r="G60" i="1"/>
  <c r="I60" i="1"/>
  <c r="G60" i="24"/>
  <c r="AU60" i="1"/>
  <c r="R60" i="1"/>
  <c r="AK60" i="1"/>
  <c r="AG60" i="1"/>
  <c r="AQ60" i="1"/>
  <c r="W60" i="1"/>
  <c r="F60" i="1"/>
  <c r="AA60" i="1"/>
  <c r="C60" i="24"/>
  <c r="H60" i="1"/>
  <c r="J42" i="1"/>
  <c r="J44" i="1" s="1"/>
  <c r="BB19" i="6"/>
  <c r="AN28" i="6"/>
  <c r="AN31" i="6" s="1"/>
  <c r="AM31" i="6"/>
  <c r="P28" i="22"/>
  <c r="P30" i="22" s="1"/>
  <c r="P31" i="22" s="1"/>
  <c r="P33" i="22" s="1"/>
  <c r="AK31" i="6"/>
  <c r="AK43" i="6" s="1"/>
  <c r="C33" i="31" l="1"/>
  <c r="HE44" i="6"/>
  <c r="HW37" i="6"/>
  <c r="HW44" i="6" s="1"/>
  <c r="HU44" i="6"/>
  <c r="HG37" i="6"/>
  <c r="HG44" i="6" s="1"/>
  <c r="AJ20" i="6"/>
  <c r="BB1" i="6"/>
  <c r="AM43" i="6"/>
  <c r="AK44" i="6"/>
  <c r="AM44" i="6" s="1"/>
  <c r="AN44" i="6" s="1"/>
  <c r="C39" i="31" l="1"/>
  <c r="AK45" i="6"/>
  <c r="AN43" i="6"/>
  <c r="AN45" i="6" s="1"/>
  <c r="AM45" i="6"/>
  <c r="V14" i="6" l="1"/>
  <c r="V17" i="6" l="1"/>
  <c r="F40" i="1"/>
  <c r="F42" i="1" l="1"/>
  <c r="F44" i="1" s="1"/>
  <c r="K27" i="1" l="1"/>
  <c r="Y27" i="1" l="1"/>
  <c r="K28" i="1"/>
  <c r="Y28" i="1" s="1"/>
  <c r="D28" i="24" l="1"/>
  <c r="D27" i="24"/>
  <c r="K29" i="1"/>
  <c r="Y29" i="1" l="1"/>
  <c r="D29" i="24" s="1"/>
  <c r="K30" i="1"/>
  <c r="K31" i="1" l="1"/>
  <c r="Y31" i="1" l="1"/>
  <c r="BI24" i="6"/>
  <c r="BI27" i="6" s="1"/>
  <c r="BI29" i="6" s="1"/>
  <c r="BI30" i="6" s="1"/>
  <c r="BJ24" i="6"/>
  <c r="D31" i="24" l="1"/>
  <c r="BL24" i="6"/>
  <c r="K33" i="1" l="1"/>
  <c r="BK24" i="6"/>
  <c r="BJ27" i="6"/>
  <c r="BJ29" i="6" s="1"/>
  <c r="BM24" i="6"/>
  <c r="BJ30" i="6" l="1"/>
  <c r="BK29" i="6"/>
  <c r="K40" i="1" s="1"/>
  <c r="BL29" i="6"/>
  <c r="K39" i="1"/>
  <c r="BL27" i="6"/>
  <c r="BL30" i="6" l="1"/>
  <c r="K42" i="1"/>
  <c r="K44" i="1" s="1"/>
  <c r="BK27" i="6"/>
  <c r="BK30" i="6" s="1"/>
  <c r="BM27" i="6"/>
  <c r="BM29" i="6" s="1"/>
  <c r="BM30" i="6" s="1"/>
  <c r="BK1" i="6" l="1"/>
  <c r="FU31" i="6" l="1"/>
  <c r="FU16" i="6" l="1"/>
  <c r="AL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AL20" i="6" l="1"/>
  <c r="AJ25" i="6"/>
  <c r="AJ29" i="6" l="1"/>
  <c r="AJ30" i="6"/>
  <c r="AJ28" i="6"/>
  <c r="H14" i="1"/>
  <c r="AL25" i="6"/>
  <c r="AJ31" i="6" l="1"/>
  <c r="AJ43" i="6" s="1"/>
  <c r="H17" i="1"/>
  <c r="AL30" i="6"/>
  <c r="AL29" i="6"/>
  <c r="AL28" i="6"/>
  <c r="AJ44" i="6" l="1"/>
  <c r="AJ45" i="6" s="1"/>
  <c r="H39" i="1"/>
  <c r="H33" i="1"/>
  <c r="H30" i="1"/>
  <c r="AL31" i="6"/>
  <c r="AL43" i="6" s="1"/>
  <c r="AL44" i="6" l="1"/>
  <c r="H40" i="1" l="1"/>
  <c r="AL45" i="6"/>
  <c r="H42" i="1" l="1"/>
  <c r="H44" i="1" s="1"/>
  <c r="AL1" i="6" l="1"/>
  <c r="FT33" i="6"/>
  <c r="FT35" i="6" s="1"/>
  <c r="FT37" i="6" s="1"/>
  <c r="FU32" i="6"/>
  <c r="FU33" i="6" s="1"/>
  <c r="FU35" i="6" s="1"/>
  <c r="FU37" i="6" s="1"/>
  <c r="FU38" i="6" s="1"/>
  <c r="AL40" i="1" l="1"/>
  <c r="AL42" i="1" l="1"/>
  <c r="AL44" i="1" s="1"/>
  <c r="FT38" i="6"/>
  <c r="FU1" i="6" l="1"/>
  <c r="FU21" i="6" l="1"/>
  <c r="AL51" i="1" l="1"/>
  <c r="FU23" i="6"/>
  <c r="AL53" i="1" s="1"/>
  <c r="FU22" i="6" l="1"/>
  <c r="FT24" i="6"/>
  <c r="FT26" i="6" s="1"/>
  <c r="AL52" i="1" l="1"/>
  <c r="FU24" i="6"/>
  <c r="FU26" i="6" s="1"/>
  <c r="AL57" i="1" l="1"/>
  <c r="FT1" i="6" l="1"/>
  <c r="AL46" i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T34" i="1" s="1"/>
  <c r="AT52" i="1"/>
  <c r="AX34" i="1" l="1"/>
  <c r="F24" i="22"/>
  <c r="H24" i="22"/>
  <c r="AT40" i="1" s="1"/>
  <c r="AT42" i="1" l="1"/>
  <c r="AT44" i="1" s="1"/>
  <c r="F34" i="24"/>
  <c r="E17" i="22" l="1"/>
  <c r="D17" i="22"/>
  <c r="D19" i="22" s="1"/>
  <c r="H17" i="22" l="1"/>
  <c r="F17" i="22"/>
  <c r="F19" i="22" s="1"/>
  <c r="E19" i="22"/>
  <c r="AT53" i="1" l="1"/>
  <c r="H19" i="22"/>
  <c r="AT57" i="1" l="1"/>
  <c r="G1" i="22" l="1"/>
  <c r="AT46" i="1"/>
  <c r="H1" i="22" l="1"/>
  <c r="C40" i="1" l="1"/>
  <c r="C32" i="1"/>
  <c r="C32" i="24" l="1"/>
  <c r="E32" i="24" s="1"/>
  <c r="G32" i="24" s="1"/>
  <c r="I32" i="24" s="1"/>
  <c r="Z32" i="1"/>
  <c r="C40" i="24"/>
  <c r="C14" i="1"/>
  <c r="C37" i="1"/>
  <c r="C23" i="1"/>
  <c r="C28" i="1"/>
  <c r="C29" i="1"/>
  <c r="C16" i="1"/>
  <c r="C27" i="1"/>
  <c r="AY32" i="1" l="1"/>
  <c r="C23" i="24"/>
  <c r="C25" i="1"/>
  <c r="C27" i="24"/>
  <c r="E27" i="24" s="1"/>
  <c r="G27" i="24" s="1"/>
  <c r="I27" i="24" s="1"/>
  <c r="Z27" i="1"/>
  <c r="C28" i="24"/>
  <c r="E28" i="24" s="1"/>
  <c r="G28" i="24" s="1"/>
  <c r="I28" i="24" s="1"/>
  <c r="Z28" i="1"/>
  <c r="C37" i="24"/>
  <c r="E37" i="24" s="1"/>
  <c r="Z37" i="1"/>
  <c r="C16" i="24"/>
  <c r="C29" i="24"/>
  <c r="E29" i="24" s="1"/>
  <c r="G29" i="24" s="1"/>
  <c r="I29" i="24" s="1"/>
  <c r="Z29" i="1"/>
  <c r="C14" i="24"/>
  <c r="C17" i="1"/>
  <c r="C31" i="1"/>
  <c r="AY28" i="1" l="1"/>
  <c r="AY27" i="1"/>
  <c r="AY29" i="1"/>
  <c r="C17" i="24"/>
  <c r="C31" i="24"/>
  <c r="E31" i="24" s="1"/>
  <c r="G31" i="24" s="1"/>
  <c r="I31" i="24" s="1"/>
  <c r="Z31" i="1"/>
  <c r="C25" i="24"/>
  <c r="AY31" i="1" l="1"/>
  <c r="C41" i="1"/>
  <c r="C39" i="1"/>
  <c r="C39" i="24" l="1"/>
  <c r="C41" i="24"/>
  <c r="Z41" i="1"/>
  <c r="C33" i="1"/>
  <c r="C34" i="1"/>
  <c r="C35" i="1"/>
  <c r="C30" i="1"/>
  <c r="AY41" i="1" l="1"/>
  <c r="C30" i="24"/>
  <c r="C42" i="1"/>
  <c r="C44" i="1" s="1"/>
  <c r="C35" i="24"/>
  <c r="C34" i="24"/>
  <c r="E41" i="24"/>
  <c r="C33" i="24"/>
  <c r="G41" i="24" l="1"/>
  <c r="C42" i="24"/>
  <c r="C44" i="24" s="1"/>
  <c r="C67" i="24" s="1"/>
  <c r="I41" i="24" l="1"/>
  <c r="F36" i="6" l="1"/>
  <c r="D23" i="1" s="1"/>
  <c r="Y23" i="1" l="1"/>
  <c r="Y25" i="1" s="1"/>
  <c r="D25" i="1"/>
  <c r="Z23" i="1" l="1"/>
  <c r="Z25" i="1" s="1"/>
  <c r="D23" i="24"/>
  <c r="E23" i="24" s="1"/>
  <c r="D25" i="24" l="1"/>
  <c r="E25" i="24"/>
  <c r="H20" i="6"/>
  <c r="AA14" i="1" l="1"/>
  <c r="M26" i="22"/>
  <c r="N26" i="22" s="1"/>
  <c r="N15" i="22"/>
  <c r="M23" i="22"/>
  <c r="N23" i="22" s="1"/>
  <c r="M22" i="22"/>
  <c r="Q23" i="22" l="1"/>
  <c r="AU33" i="1" s="1"/>
  <c r="O23" i="22"/>
  <c r="O15" i="22"/>
  <c r="Q15" i="22"/>
  <c r="AU14" i="1" s="1"/>
  <c r="O26" i="22"/>
  <c r="Q26" i="22"/>
  <c r="AU39" i="1" s="1"/>
  <c r="M24" i="22"/>
  <c r="M28" i="22" s="1"/>
  <c r="M30" i="22" s="1"/>
  <c r="N22" i="22"/>
  <c r="M31" i="22" l="1"/>
  <c r="M33" i="22" s="1"/>
  <c r="N30" i="22"/>
  <c r="N31" i="22" s="1"/>
  <c r="N33" i="22" s="1"/>
  <c r="AU17" i="1"/>
  <c r="N24" i="22"/>
  <c r="N28" i="22" s="1"/>
  <c r="O22" i="22"/>
  <c r="O24" i="22" s="1"/>
  <c r="O28" i="22" s="1"/>
  <c r="O30" i="22" s="1"/>
  <c r="O31" i="22" s="1"/>
  <c r="O33" i="22" s="1"/>
  <c r="Q22" i="22"/>
  <c r="Q24" i="22" l="1"/>
  <c r="Q28" i="22" s="1"/>
  <c r="Q30" i="22" s="1"/>
  <c r="Q31" i="22" s="1"/>
  <c r="AU30" i="1"/>
  <c r="F29" i="6" l="1"/>
  <c r="D16" i="1" s="1"/>
  <c r="Y16" i="1" s="1"/>
  <c r="Q33" i="22"/>
  <c r="AU40" i="1"/>
  <c r="H29" i="6" l="1"/>
  <c r="AA16" i="1" s="1"/>
  <c r="AX16" i="1" s="1"/>
  <c r="AU42" i="1"/>
  <c r="AU44" i="1" s="1"/>
  <c r="D16" i="24"/>
  <c r="E16" i="24" s="1"/>
  <c r="Z16" i="1"/>
  <c r="H31" i="6" l="1"/>
  <c r="H39" i="6" s="1"/>
  <c r="Q1" i="22"/>
  <c r="A1" i="22" s="1"/>
  <c r="AY16" i="1"/>
  <c r="AA17" i="1"/>
  <c r="H40" i="6" l="1"/>
  <c r="AA39" i="1" s="1"/>
  <c r="H38" i="6"/>
  <c r="AA33" i="1"/>
  <c r="F16" i="24"/>
  <c r="AA30" i="1" l="1"/>
  <c r="H41" i="6"/>
  <c r="H43" i="6" s="1"/>
  <c r="H44" i="6" s="1"/>
  <c r="AA40" i="1" s="1"/>
  <c r="G16" i="24"/>
  <c r="AA42" i="1" l="1"/>
  <c r="AA44" i="1" s="1"/>
  <c r="I16" i="24"/>
  <c r="H45" i="6"/>
  <c r="H1" i="6" l="1"/>
  <c r="G16" i="2"/>
  <c r="AE18" i="6" l="1"/>
  <c r="H18" i="2"/>
  <c r="C13" i="2"/>
  <c r="AV59" i="1" s="1"/>
  <c r="AV61" i="1" s="1"/>
  <c r="AV62" i="1" s="1"/>
  <c r="AV71" i="1" l="1"/>
  <c r="AV66" i="1"/>
  <c r="AW59" i="1"/>
  <c r="AW61" i="1" s="1"/>
  <c r="AW62" i="1" s="1"/>
  <c r="X59" i="1"/>
  <c r="X61" i="1" s="1"/>
  <c r="X62" i="1" s="1"/>
  <c r="X71" i="1" s="1"/>
  <c r="W59" i="1"/>
  <c r="W61" i="1" s="1"/>
  <c r="W62" i="1" s="1"/>
  <c r="F59" i="24"/>
  <c r="I59" i="24"/>
  <c r="S59" i="1"/>
  <c r="S61" i="1" s="1"/>
  <c r="S62" i="1" s="1"/>
  <c r="V59" i="1"/>
  <c r="AP59" i="1"/>
  <c r="AP61" i="1" s="1"/>
  <c r="AP62" i="1" s="1"/>
  <c r="AG59" i="1"/>
  <c r="AG61" i="1" s="1"/>
  <c r="AG62" i="1" s="1"/>
  <c r="AK59" i="1"/>
  <c r="AK61" i="1" s="1"/>
  <c r="AK62" i="1" s="1"/>
  <c r="AB59" i="1"/>
  <c r="AF59" i="1"/>
  <c r="AF61" i="1" s="1"/>
  <c r="AF62" i="1" s="1"/>
  <c r="E59" i="1"/>
  <c r="M59" i="1"/>
  <c r="M61" i="1" s="1"/>
  <c r="M62" i="1" s="1"/>
  <c r="Z59" i="1"/>
  <c r="AA59" i="1"/>
  <c r="AA61" i="1" s="1"/>
  <c r="AA62" i="1" s="1"/>
  <c r="G59" i="24"/>
  <c r="Q59" i="1"/>
  <c r="Q61" i="1" s="1"/>
  <c r="Q62" i="1" s="1"/>
  <c r="AD59" i="1"/>
  <c r="AD61" i="1" s="1"/>
  <c r="AD62" i="1" s="1"/>
  <c r="AJ59" i="1"/>
  <c r="AJ61" i="1" s="1"/>
  <c r="AJ62" i="1" s="1"/>
  <c r="L59" i="1"/>
  <c r="L61" i="1" s="1"/>
  <c r="L62" i="1" s="1"/>
  <c r="J59" i="1"/>
  <c r="J61" i="1" s="1"/>
  <c r="J62" i="1" s="1"/>
  <c r="C59" i="24"/>
  <c r="AO59" i="1"/>
  <c r="AO61" i="1" s="1"/>
  <c r="AO62" i="1" s="1"/>
  <c r="AN59" i="1"/>
  <c r="AM59" i="1"/>
  <c r="AM61" i="1" s="1"/>
  <c r="AM62" i="1" s="1"/>
  <c r="K59" i="1"/>
  <c r="K61" i="1" s="1"/>
  <c r="K62" i="1" s="1"/>
  <c r="F59" i="1"/>
  <c r="F61" i="1" s="1"/>
  <c r="F62" i="1" s="1"/>
  <c r="AT59" i="1"/>
  <c r="AT61" i="1" s="1"/>
  <c r="AT62" i="1" s="1"/>
  <c r="D59" i="24"/>
  <c r="E59" i="24"/>
  <c r="T59" i="1"/>
  <c r="T61" i="1" s="1"/>
  <c r="T62" i="1" s="1"/>
  <c r="P59" i="1"/>
  <c r="P61" i="1" s="1"/>
  <c r="P62" i="1" s="1"/>
  <c r="AE59" i="1"/>
  <c r="AE61" i="1" s="1"/>
  <c r="AE62" i="1" s="1"/>
  <c r="AC59" i="1"/>
  <c r="AL59" i="1"/>
  <c r="AH59" i="1"/>
  <c r="AH61" i="1" s="1"/>
  <c r="AH62" i="1" s="1"/>
  <c r="Y59" i="1"/>
  <c r="U59" i="1"/>
  <c r="D59" i="1"/>
  <c r="I59" i="1"/>
  <c r="I61" i="1" s="1"/>
  <c r="I62" i="1" s="1"/>
  <c r="H59" i="24"/>
  <c r="AQ59" i="1"/>
  <c r="AQ61" i="1" s="1"/>
  <c r="AQ62" i="1" s="1"/>
  <c r="AY59" i="1"/>
  <c r="AX59" i="1"/>
  <c r="O59" i="1"/>
  <c r="O61" i="1" s="1"/>
  <c r="O62" i="1" s="1"/>
  <c r="N59" i="1"/>
  <c r="N61" i="1" s="1"/>
  <c r="N62" i="1" s="1"/>
  <c r="AS59" i="1"/>
  <c r="AS61" i="1" s="1"/>
  <c r="AS62" i="1" s="1"/>
  <c r="R59" i="1"/>
  <c r="R61" i="1" s="1"/>
  <c r="R62" i="1" s="1"/>
  <c r="AR59" i="1"/>
  <c r="AR61" i="1" s="1"/>
  <c r="AR62" i="1" s="1"/>
  <c r="AU59" i="1"/>
  <c r="AU61" i="1" s="1"/>
  <c r="AU62" i="1" s="1"/>
  <c r="AI59" i="1"/>
  <c r="AI61" i="1" s="1"/>
  <c r="AI62" i="1" s="1"/>
  <c r="H59" i="1"/>
  <c r="H61" i="1" s="1"/>
  <c r="H62" i="1" s="1"/>
  <c r="C59" i="1"/>
  <c r="C40" i="31" l="1"/>
  <c r="AV67" i="1"/>
  <c r="AS66" i="1"/>
  <c r="AS67" i="1" s="1"/>
  <c r="AS71" i="1"/>
  <c r="AJ66" i="1"/>
  <c r="AJ71" i="1"/>
  <c r="AA66" i="1"/>
  <c r="AA71" i="1"/>
  <c r="AF66" i="1"/>
  <c r="AF71" i="1"/>
  <c r="AP66" i="1"/>
  <c r="AP71" i="1"/>
  <c r="AU66" i="1"/>
  <c r="AU71" i="1"/>
  <c r="N66" i="1"/>
  <c r="N71" i="1"/>
  <c r="AQ66" i="1"/>
  <c r="AQ71" i="1"/>
  <c r="K66" i="1"/>
  <c r="K71" i="1"/>
  <c r="AD66" i="1"/>
  <c r="AD71" i="1"/>
  <c r="W66" i="1"/>
  <c r="W71" i="1"/>
  <c r="AO66" i="1"/>
  <c r="AO71" i="1"/>
  <c r="AR66" i="1"/>
  <c r="AR71" i="1"/>
  <c r="O66" i="1"/>
  <c r="O71" i="1"/>
  <c r="AE66" i="1"/>
  <c r="AE71" i="1"/>
  <c r="AM66" i="1"/>
  <c r="AM71" i="1"/>
  <c r="J66" i="1"/>
  <c r="J71" i="1"/>
  <c r="Q66" i="1"/>
  <c r="Q71" i="1"/>
  <c r="M66" i="1"/>
  <c r="M71" i="1"/>
  <c r="AK66" i="1"/>
  <c r="AK71" i="1"/>
  <c r="F66" i="1"/>
  <c r="F71" i="1"/>
  <c r="H66" i="1"/>
  <c r="H71" i="1"/>
  <c r="R66" i="1"/>
  <c r="R71" i="1"/>
  <c r="I66" i="1"/>
  <c r="I71" i="1"/>
  <c r="P66" i="1"/>
  <c r="P71" i="1"/>
  <c r="AT66" i="1"/>
  <c r="AT71" i="1"/>
  <c r="L66" i="1"/>
  <c r="L71" i="1"/>
  <c r="AG66" i="1"/>
  <c r="AG71" i="1"/>
  <c r="AW66" i="1"/>
  <c r="AW71" i="1"/>
  <c r="T66" i="1"/>
  <c r="T71" i="1"/>
  <c r="AI66" i="1"/>
  <c r="AI71" i="1"/>
  <c r="S66" i="1"/>
  <c r="S71" i="1"/>
  <c r="AH66" i="1"/>
  <c r="AH71" i="1"/>
  <c r="AL61" i="1"/>
  <c r="AL62" i="1" s="1"/>
  <c r="X66" i="1"/>
  <c r="GF34" i="6"/>
  <c r="HW45" i="6" l="1"/>
  <c r="AQ67" i="1"/>
  <c r="HG45" i="6"/>
  <c r="X67" i="1"/>
  <c r="E21" i="27"/>
  <c r="AL66" i="1"/>
  <c r="AL67" i="1" s="1"/>
  <c r="AL71" i="1"/>
  <c r="F20" i="6"/>
  <c r="D14" i="1" l="1"/>
  <c r="F31" i="6"/>
  <c r="F39" i="6" l="1"/>
  <c r="D33" i="1" s="1"/>
  <c r="F40" i="6"/>
  <c r="D39" i="1" s="1"/>
  <c r="F38" i="6"/>
  <c r="D17" i="1"/>
  <c r="F41" i="6" l="1"/>
  <c r="F43" i="6" s="1"/>
  <c r="D30" i="1"/>
  <c r="F44" i="6" l="1"/>
  <c r="D40" i="1" s="1"/>
  <c r="D42" i="1" l="1"/>
  <c r="D44" i="1" s="1"/>
  <c r="F45" i="6"/>
  <c r="D61" i="1" l="1"/>
  <c r="D62" i="1" s="1"/>
  <c r="G1" i="6"/>
  <c r="D66" i="1" l="1"/>
  <c r="D71" i="1"/>
  <c r="C26" i="2" l="1"/>
  <c r="P13" i="2" l="1"/>
  <c r="EK16" i="6" l="1"/>
  <c r="C53" i="1"/>
  <c r="C53" i="24" s="1"/>
  <c r="C54" i="1"/>
  <c r="C54" i="24" s="1"/>
  <c r="EK17" i="6"/>
  <c r="EL14" i="6"/>
  <c r="EK14" i="6" l="1"/>
  <c r="EM14" i="6" s="1"/>
  <c r="U51" i="1" s="1"/>
  <c r="Y51" i="1" s="1"/>
  <c r="C51" i="1"/>
  <c r="EL16" i="6"/>
  <c r="EN16" i="6" s="1"/>
  <c r="EO16" i="6" s="1"/>
  <c r="EL17" i="6"/>
  <c r="EN17" i="6" s="1"/>
  <c r="EO17" i="6" s="1"/>
  <c r="EN14" i="6"/>
  <c r="EK15" i="6"/>
  <c r="C52" i="1"/>
  <c r="C52" i="24" s="1"/>
  <c r="EL15" i="6"/>
  <c r="EN15" i="6" l="1"/>
  <c r="EO15" i="6" s="1"/>
  <c r="EM15" i="6"/>
  <c r="U52" i="1" s="1"/>
  <c r="EO14" i="6"/>
  <c r="EM16" i="6"/>
  <c r="U53" i="1" s="1"/>
  <c r="C51" i="24"/>
  <c r="EM17" i="6"/>
  <c r="U54" i="1" s="1"/>
  <c r="Y54" i="1" s="1"/>
  <c r="D54" i="24" l="1"/>
  <c r="E54" i="24" s="1"/>
  <c r="Z54" i="1"/>
  <c r="D51" i="24" l="1"/>
  <c r="Z51" i="1"/>
  <c r="E51" i="24" l="1"/>
  <c r="EK18" i="6" l="1"/>
  <c r="EL18" i="6" s="1"/>
  <c r="C55" i="1"/>
  <c r="EK20" i="6" l="1"/>
  <c r="EL20" i="6"/>
  <c r="EM18" i="6"/>
  <c r="EN18" i="6"/>
  <c r="C55" i="24"/>
  <c r="C57" i="1"/>
  <c r="C58" i="1" s="1"/>
  <c r="C57" i="24" l="1"/>
  <c r="EO18" i="6"/>
  <c r="EO20" i="6" s="1"/>
  <c r="EN20" i="6"/>
  <c r="C46" i="1"/>
  <c r="C61" i="1"/>
  <c r="C62" i="1" s="1"/>
  <c r="U55" i="1"/>
  <c r="EM20" i="6"/>
  <c r="EL25" i="6" s="1"/>
  <c r="EM25" i="6" l="1"/>
  <c r="EL27" i="6"/>
  <c r="U57" i="1"/>
  <c r="Y55" i="1"/>
  <c r="C66" i="1"/>
  <c r="C71" i="1"/>
  <c r="C46" i="24"/>
  <c r="C48" i="24" s="1"/>
  <c r="C61" i="24"/>
  <c r="C62" i="24" s="1"/>
  <c r="C48" i="1"/>
  <c r="EL28" i="6" l="1"/>
  <c r="EM28" i="6" s="1"/>
  <c r="EM27" i="6"/>
  <c r="C68" i="24"/>
  <c r="EM1" i="6"/>
  <c r="U61" i="1"/>
  <c r="U62" i="1" s="1"/>
  <c r="U66" i="1" s="1"/>
  <c r="U46" i="1"/>
  <c r="Z55" i="1"/>
  <c r="D55" i="24"/>
  <c r="EM29" i="6" l="1"/>
  <c r="U67" i="1"/>
  <c r="U71" i="1"/>
  <c r="AY55" i="1"/>
  <c r="E55" i="24"/>
  <c r="G55" i="24" l="1"/>
  <c r="I55" i="24" l="1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EV17" i="6"/>
  <c r="EW17" i="6" s="1"/>
  <c r="V35" i="1" l="1"/>
  <c r="ET14" i="6"/>
  <c r="Y35" i="1" l="1"/>
  <c r="Z35" i="1" s="1"/>
  <c r="EU14" i="6"/>
  <c r="EV14" i="6"/>
  <c r="D35" i="24" l="1"/>
  <c r="E35" i="24" s="1"/>
  <c r="EW14" i="6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Y34" i="1" s="1"/>
  <c r="ET31" i="6" l="1"/>
  <c r="ET26" i="6"/>
  <c r="EU29" i="6"/>
  <c r="V52" i="1" s="1"/>
  <c r="Y52" i="1" s="1"/>
  <c r="EU25" i="6"/>
  <c r="EU26" i="6" s="1"/>
  <c r="EW29" i="6"/>
  <c r="EW25" i="6"/>
  <c r="EW30" i="6" s="1"/>
  <c r="EV29" i="6"/>
  <c r="EV25" i="6"/>
  <c r="EV30" i="6" s="1"/>
  <c r="EW31" i="6" l="1"/>
  <c r="EV26" i="6"/>
  <c r="EV31" i="6"/>
  <c r="EW26" i="6"/>
  <c r="EU30" i="6"/>
  <c r="V40" i="1"/>
  <c r="D34" i="24"/>
  <c r="Z34" i="1"/>
  <c r="AY34" i="1" s="1"/>
  <c r="V42" i="1" l="1"/>
  <c r="V44" i="1" s="1"/>
  <c r="E34" i="24"/>
  <c r="Z52" i="1"/>
  <c r="D52" i="24"/>
  <c r="EU31" i="6"/>
  <c r="V53" i="1"/>
  <c r="Y53" i="1" l="1"/>
  <c r="Y57" i="1" s="1"/>
  <c r="EU1" i="6"/>
  <c r="E52" i="24"/>
  <c r="V57" i="1"/>
  <c r="G34" i="24"/>
  <c r="EV1" i="6" l="1"/>
  <c r="V46" i="1"/>
  <c r="V61" i="1"/>
  <c r="V62" i="1" s="1"/>
  <c r="I34" i="24"/>
  <c r="Z53" i="1"/>
  <c r="D53" i="24"/>
  <c r="Y46" i="1"/>
  <c r="V66" i="1" l="1"/>
  <c r="V71" i="1"/>
  <c r="E53" i="24"/>
  <c r="D57" i="24"/>
  <c r="D46" i="24" s="1"/>
  <c r="D68" i="24" s="1"/>
  <c r="Z57" i="1"/>
  <c r="Z46" i="1" l="1"/>
  <c r="E57" i="24"/>
  <c r="AC14" i="6" l="1"/>
  <c r="AC19" i="6" s="1"/>
  <c r="E46" i="24"/>
  <c r="E68" i="24" s="1"/>
  <c r="AD14" i="6"/>
  <c r="AD19" i="6" l="1"/>
  <c r="AD21" i="6" s="1"/>
  <c r="AC21" i="6"/>
  <c r="AC22" i="6" s="1"/>
  <c r="G40" i="1" l="1"/>
  <c r="AD22" i="6"/>
  <c r="AC42" i="6" s="1"/>
  <c r="AD42" i="6" s="1"/>
  <c r="AD43" i="6" s="1"/>
  <c r="G42" i="1" l="1"/>
  <c r="G44" i="1" s="1"/>
  <c r="AD1" i="6" l="1"/>
  <c r="G61" i="1"/>
  <c r="G62" i="1" s="1"/>
  <c r="G66" i="1" l="1"/>
  <c r="AD44" i="6" s="1"/>
  <c r="G71" i="1"/>
  <c r="GK32" i="6" l="1"/>
  <c r="GK31" i="6" l="1"/>
  <c r="AN37" i="1" l="1"/>
  <c r="AX37" i="1" s="1"/>
  <c r="F37" i="24" s="1"/>
  <c r="G37" i="24" s="1"/>
  <c r="I37" i="24" s="1"/>
  <c r="AY37" i="1" l="1"/>
  <c r="GK23" i="6"/>
  <c r="GK24" i="6"/>
  <c r="GK22" i="6" l="1"/>
  <c r="GJ25" i="6"/>
  <c r="GK25" i="6" l="1"/>
  <c r="AN54" i="1"/>
  <c r="AX54" i="1" s="1"/>
  <c r="F54" i="24" l="1"/>
  <c r="G54" i="24" s="1"/>
  <c r="I54" i="24" s="1"/>
  <c r="AY54" i="1"/>
  <c r="GK16" i="6" l="1"/>
  <c r="GK17" i="6"/>
  <c r="AN52" i="1" s="1"/>
  <c r="AX52" i="1" l="1"/>
  <c r="F52" i="24" s="1"/>
  <c r="G52" i="24" s="1"/>
  <c r="I52" i="24" s="1"/>
  <c r="GJ33" i="6"/>
  <c r="GJ35" i="6" s="1"/>
  <c r="GJ37" i="6" s="1"/>
  <c r="GK30" i="6"/>
  <c r="AN51" i="1"/>
  <c r="AX51" i="1" l="1"/>
  <c r="AY52" i="1"/>
  <c r="GK35" i="6"/>
  <c r="GK37" i="6"/>
  <c r="AN40" i="1" s="1"/>
  <c r="GK33" i="6"/>
  <c r="AN35" i="1"/>
  <c r="GK38" i="6" l="1"/>
  <c r="AN42" i="1"/>
  <c r="AN44" i="1" s="1"/>
  <c r="AX35" i="1"/>
  <c r="GJ38" i="6"/>
  <c r="AY51" i="1"/>
  <c r="F51" i="24"/>
  <c r="AY35" i="1" l="1"/>
  <c r="F35" i="24"/>
  <c r="GK1" i="6"/>
  <c r="G51" i="24"/>
  <c r="G35" i="24" l="1"/>
  <c r="I35" i="24" s="1"/>
  <c r="I51" i="24"/>
  <c r="GK18" i="6" l="1"/>
  <c r="GJ19" i="6"/>
  <c r="GJ27" i="6" s="1"/>
  <c r="AN53" i="1" l="1"/>
  <c r="AX53" i="1" s="1"/>
  <c r="GK19" i="6"/>
  <c r="GK27" i="6" l="1"/>
  <c r="AX57" i="1"/>
  <c r="AN57" i="1"/>
  <c r="GJ1" i="6" l="1"/>
  <c r="AN46" i="1"/>
  <c r="AN61" i="1"/>
  <c r="AN62" i="1" s="1"/>
  <c r="F53" i="24"/>
  <c r="AY53" i="1"/>
  <c r="AY57" i="1" s="1"/>
  <c r="AX46" i="1"/>
  <c r="AY46" i="1" l="1"/>
  <c r="G53" i="24"/>
  <c r="F57" i="24"/>
  <c r="F46" i="24" s="1"/>
  <c r="F68" i="24" s="1"/>
  <c r="AN66" i="1"/>
  <c r="AN71" i="1"/>
  <c r="AN67" i="1" l="1"/>
  <c r="I53" i="24"/>
  <c r="I57" i="24" s="1"/>
  <c r="I46" i="24" s="1"/>
  <c r="G57" i="24"/>
  <c r="G46" i="24" l="1"/>
  <c r="AE14" i="6"/>
  <c r="AF14" i="6" l="1"/>
  <c r="AE19" i="6"/>
  <c r="C12" i="2"/>
  <c r="C15" i="2" s="1"/>
  <c r="G68" i="24"/>
  <c r="AF19" i="6" l="1"/>
  <c r="AF21" i="6" s="1"/>
  <c r="AE21" i="6"/>
  <c r="AE22" i="6" s="1"/>
  <c r="AF22" i="6" l="1"/>
  <c r="AC47" i="6" s="1"/>
  <c r="AD47" i="6" s="1"/>
  <c r="AD48" i="6" s="1"/>
  <c r="AC40" i="1"/>
  <c r="AC42" i="1" l="1"/>
  <c r="AC44" i="1" s="1"/>
  <c r="AC61" i="1" l="1"/>
  <c r="AC62" i="1" s="1"/>
  <c r="AF1" i="6"/>
  <c r="AC66" i="1" l="1"/>
  <c r="AC71" i="1"/>
  <c r="AD49" i="6" l="1"/>
  <c r="P21" i="6"/>
  <c r="M48" i="6" l="1"/>
  <c r="N48" i="6" s="1"/>
  <c r="AB23" i="1"/>
  <c r="AX23" i="1" l="1"/>
  <c r="AB25" i="1"/>
  <c r="AX25" i="1" l="1"/>
  <c r="F23" i="24"/>
  <c r="AY23" i="1"/>
  <c r="AY25" i="1" s="1"/>
  <c r="M37" i="6"/>
  <c r="E14" i="1"/>
  <c r="F25" i="24" l="1"/>
  <c r="G23" i="24"/>
  <c r="E17" i="1"/>
  <c r="Y14" i="1"/>
  <c r="N37" i="6"/>
  <c r="P25" i="6"/>
  <c r="AB33" i="1" s="1"/>
  <c r="P24" i="6"/>
  <c r="P26" i="6"/>
  <c r="AB39" i="1" s="1"/>
  <c r="M47" i="6"/>
  <c r="P17" i="6"/>
  <c r="O17" i="6" s="1"/>
  <c r="AB14" i="1"/>
  <c r="O25" i="6" l="1"/>
  <c r="O24" i="6"/>
  <c r="O26" i="6"/>
  <c r="N47" i="6"/>
  <c r="AX39" i="1"/>
  <c r="N15" i="6"/>
  <c r="N17" i="6" s="1"/>
  <c r="AX14" i="1"/>
  <c r="AB17" i="1"/>
  <c r="P27" i="6"/>
  <c r="AB30" i="1"/>
  <c r="I23" i="24"/>
  <c r="I25" i="24" s="1"/>
  <c r="G25" i="24"/>
  <c r="AX33" i="1"/>
  <c r="Y17" i="1"/>
  <c r="Z14" i="1"/>
  <c r="D14" i="24"/>
  <c r="Z17" i="1" l="1"/>
  <c r="D17" i="24"/>
  <c r="E14" i="24"/>
  <c r="AX30" i="1"/>
  <c r="O27" i="6"/>
  <c r="O29" i="6" s="1"/>
  <c r="O31" i="6" s="1"/>
  <c r="O32" i="6" s="1"/>
  <c r="F33" i="24"/>
  <c r="F39" i="24"/>
  <c r="P29" i="6"/>
  <c r="M49" i="6"/>
  <c r="M17" i="6"/>
  <c r="M19" i="6" s="1"/>
  <c r="L17" i="6"/>
  <c r="L19" i="6" s="1"/>
  <c r="AX17" i="1"/>
  <c r="F14" i="24"/>
  <c r="F17" i="24" s="1"/>
  <c r="AY14" i="1"/>
  <c r="AY17" i="1" s="1"/>
  <c r="M25" i="6" l="1"/>
  <c r="M24" i="6"/>
  <c r="M26" i="6"/>
  <c r="F30" i="24"/>
  <c r="L25" i="6"/>
  <c r="L24" i="6"/>
  <c r="L26" i="6"/>
  <c r="N49" i="6"/>
  <c r="E17" i="24"/>
  <c r="G14" i="24"/>
  <c r="P31" i="6"/>
  <c r="N25" i="6" l="1"/>
  <c r="E33" i="1" s="1"/>
  <c r="Y33" i="1" s="1"/>
  <c r="N24" i="6"/>
  <c r="M27" i="6"/>
  <c r="M29" i="6" s="1"/>
  <c r="M31" i="6" s="1"/>
  <c r="M32" i="6" s="1"/>
  <c r="G17" i="24"/>
  <c r="M50" i="6"/>
  <c r="AB40" i="1"/>
  <c r="L27" i="6"/>
  <c r="L29" i="6" s="1"/>
  <c r="P32" i="6"/>
  <c r="N26" i="6"/>
  <c r="E39" i="1" s="1"/>
  <c r="AX40" i="1" l="1"/>
  <c r="AB42" i="1"/>
  <c r="AB44" i="1" s="1"/>
  <c r="N50" i="6"/>
  <c r="N51" i="6" s="1"/>
  <c r="N52" i="6" s="1"/>
  <c r="M51" i="6"/>
  <c r="M52" i="6" s="1"/>
  <c r="Y39" i="1"/>
  <c r="L31" i="6"/>
  <c r="L32" i="6" s="1"/>
  <c r="Z33" i="1"/>
  <c r="D33" i="24"/>
  <c r="E33" i="24" s="1"/>
  <c r="G33" i="24" s="1"/>
  <c r="E30" i="1"/>
  <c r="N27" i="6"/>
  <c r="AY33" i="1" l="1"/>
  <c r="M38" i="6"/>
  <c r="N29" i="6"/>
  <c r="D39" i="24"/>
  <c r="E39" i="24" s="1"/>
  <c r="G39" i="24" s="1"/>
  <c r="Z39" i="1"/>
  <c r="P1" i="6"/>
  <c r="AB61" i="1"/>
  <c r="AB62" i="1" s="1"/>
  <c r="Y30" i="1"/>
  <c r="F40" i="24"/>
  <c r="F42" i="24" s="1"/>
  <c r="F44" i="24" s="1"/>
  <c r="F61" i="24" s="1"/>
  <c r="F62" i="24" s="1"/>
  <c r="AX42" i="1"/>
  <c r="AX44" i="1" s="1"/>
  <c r="AY39" i="1" l="1"/>
  <c r="Z30" i="1"/>
  <c r="D30" i="24"/>
  <c r="AX61" i="1"/>
  <c r="AX62" i="1" s="1"/>
  <c r="AX71" i="1" s="1"/>
  <c r="F67" i="24"/>
  <c r="AB66" i="1"/>
  <c r="AB71" i="1"/>
  <c r="N31" i="6"/>
  <c r="N32" i="6" s="1"/>
  <c r="N38" i="6"/>
  <c r="AY30" i="1" l="1"/>
  <c r="X74" i="1"/>
  <c r="M39" i="6"/>
  <c r="E40" i="1"/>
  <c r="AB67" i="1"/>
  <c r="AX66" i="1"/>
  <c r="N53" i="6"/>
  <c r="E30" i="24"/>
  <c r="N39" i="6" l="1"/>
  <c r="N40" i="6" s="1"/>
  <c r="N41" i="6" s="1"/>
  <c r="N55" i="6" s="1"/>
  <c r="M40" i="6"/>
  <c r="M41" i="6" s="1"/>
  <c r="G30" i="24"/>
  <c r="Y40" i="1"/>
  <c r="E42" i="1"/>
  <c r="E44" i="1" s="1"/>
  <c r="E45" i="1" s="1"/>
  <c r="F45" i="1" s="1"/>
  <c r="E61" i="1" l="1"/>
  <c r="E62" i="1" s="1"/>
  <c r="Y42" i="1"/>
  <c r="Y44" i="1" s="1"/>
  <c r="D40" i="24"/>
  <c r="Z40" i="1"/>
  <c r="E66" i="1" l="1"/>
  <c r="E71" i="1"/>
  <c r="Z42" i="1"/>
  <c r="Z44" i="1" s="1"/>
  <c r="AY40" i="1"/>
  <c r="AY42" i="1" s="1"/>
  <c r="AY44" i="1" s="1"/>
  <c r="E40" i="24"/>
  <c r="D42" i="24"/>
  <c r="D44" i="24" s="1"/>
  <c r="D61" i="24" s="1"/>
  <c r="D62" i="24" s="1"/>
  <c r="Y61" i="1"/>
  <c r="Y62" i="1" s="1"/>
  <c r="Y71" i="1" s="1"/>
  <c r="D67" i="24" l="1"/>
  <c r="Y66" i="1"/>
  <c r="Z66" i="1" s="1"/>
  <c r="AY66" i="1" s="1"/>
  <c r="X73" i="1"/>
  <c r="X75" i="1" s="1"/>
  <c r="G40" i="24"/>
  <c r="G42" i="24" s="1"/>
  <c r="G44" i="24" s="1"/>
  <c r="G67" i="24" s="1"/>
  <c r="E42" i="24"/>
  <c r="E44" i="24" s="1"/>
  <c r="E67" i="24" s="1"/>
  <c r="E67" i="1"/>
  <c r="N42" i="6"/>
  <c r="AY48" i="1"/>
  <c r="AY61" i="1"/>
  <c r="AY62" i="1" s="1"/>
  <c r="AY71" i="1" s="1"/>
  <c r="Z61" i="1"/>
  <c r="Z62" i="1" s="1"/>
  <c r="Z71" i="1" s="1"/>
  <c r="Z48" i="1"/>
  <c r="E61" i="24" l="1"/>
  <c r="E62" i="24" s="1"/>
  <c r="E65" i="24" s="1"/>
  <c r="E48" i="24"/>
  <c r="G48" i="24"/>
  <c r="C17" i="2"/>
  <c r="C18" i="2" s="1"/>
  <c r="C21" i="2" s="1"/>
  <c r="G61" i="24"/>
  <c r="G62" i="24" s="1"/>
  <c r="G65" i="24" l="1"/>
  <c r="H14" i="24"/>
  <c r="H40" i="24"/>
  <c r="I40" i="24" s="1"/>
  <c r="H30" i="24"/>
  <c r="H39" i="24"/>
  <c r="I39" i="24" s="1"/>
  <c r="C28" i="2"/>
  <c r="H33" i="24"/>
  <c r="I33" i="24" s="1"/>
  <c r="H42" i="24" l="1"/>
  <c r="I30" i="24"/>
  <c r="I42" i="24" s="1"/>
  <c r="H17" i="24"/>
  <c r="I14" i="24"/>
  <c r="I17" i="24" s="1"/>
  <c r="AY68" i="1" l="1"/>
  <c r="I44" i="24"/>
  <c r="H44" i="24"/>
  <c r="H61" i="24" s="1"/>
  <c r="H62" i="24" s="1"/>
  <c r="I11" i="24"/>
  <c r="I61" i="24" l="1"/>
  <c r="I62" i="24" s="1"/>
  <c r="I48" i="24"/>
  <c r="P15" i="2" l="1"/>
  <c r="C32" i="2" s="1"/>
  <c r="C36" i="2" l="1"/>
  <c r="C30" i="2"/>
</calcChain>
</file>

<file path=xl/sharedStrings.xml><?xml version="1.0" encoding="utf-8"?>
<sst xmlns="http://schemas.openxmlformats.org/spreadsheetml/2006/main" count="1647" uniqueCount="630">
  <si>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</si>
  <si>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</si>
  <si>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</si>
  <si>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</si>
  <si>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</si>
  <si>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</si>
  <si>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</si>
  <si>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</si>
  <si>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</si>
  <si>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</si>
  <si>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</si>
  <si>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</si>
  <si>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</si>
  <si>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</si>
  <si>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</si>
  <si>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</si>
  <si>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</si>
  <si>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</si>
  <si>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</si>
  <si>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</si>
  <si>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</si>
  <si>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</si>
  <si>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</si>
  <si>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</si>
  <si>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</si>
  <si>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</si>
  <si>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</si>
  <si>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</si>
  <si>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</si>
  <si>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</si>
  <si>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</si>
  <si>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</si>
  <si>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</si>
  <si>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</si>
  <si>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</si>
  <si>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</si>
  <si>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</si>
  <si>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</si>
  <si>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</si>
  <si>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</si>
  <si>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</si>
  <si>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</si>
  <si>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</si>
  <si>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</si>
  <si>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</si>
  <si>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</si>
  <si>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</si>
  <si>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</si>
  <si>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</si>
  <si>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</si>
  <si>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</si>
  <si>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</si>
  <si>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</si>
  <si>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</si>
  <si>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</si>
  <si>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</si>
  <si>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</si>
  <si>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</si>
  <si>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</si>
  <si>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</si>
  <si>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</si>
  <si>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</si>
  <si>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</si>
  <si>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</si>
  <si>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</si>
  <si>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</si>
  <si>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</si>
  <si>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</si>
  <si>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</si>
  <si>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</si>
  <si>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</si>
  <si>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</si>
  <si>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</si>
  <si>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</si>
  <si>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</si>
  <si>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</si>
  <si>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</si>
  <si>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</si>
  <si>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</si>
  <si>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</si>
  <si>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</si>
  <si>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</si>
  <si>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</si>
  <si>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</si>
  <si>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</si>
  <si>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</si>
  <si>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</si>
  <si>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</si>
  <si>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</si>
  <si>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</si>
  <si>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</si>
  <si>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</si>
  <si>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</si>
  <si>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</si>
  <si>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</si>
  <si>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</si>
  <si>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</si>
  <si>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</si>
  <si>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</si>
  <si>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</si>
  <si>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</si>
  <si>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</si>
  <si>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</si>
  <si>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</si>
  <si>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</si>
  <si>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</si>
  <si>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</si>
  <si>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</si>
  <si>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</si>
  <si>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</si>
  <si>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</si>
  <si>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</si>
  <si>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</si>
  <si>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</si>
  <si>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</si>
  <si>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</si>
  <si>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</si>
  <si>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</si>
  <si>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</si>
  <si>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</si>
  <si>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</si>
  <si>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</si>
  <si>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</si>
  <si>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</si>
  <si>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</si>
  <si>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</si>
  <si>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</si>
  <si>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</si>
  <si>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</si>
  <si>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</si>
  <si>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</si>
  <si>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</si>
  <si>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</si>
  <si>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</si>
  <si>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</si>
  <si>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</si>
  <si>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</si>
  <si>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</si>
  <si>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</si>
  <si>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</si>
  <si>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</si>
  <si>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</si>
  <si>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</si>
  <si>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</si>
  <si>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</si>
  <si>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</si>
  <si>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</si>
  <si>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</si>
  <si>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</si>
  <si>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</si>
  <si>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</si>
  <si>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</si>
  <si>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</si>
  <si>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</si>
  <si>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</si>
  <si>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</si>
  <si>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</si>
  <si>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</si>
  <si>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</si>
  <si>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</si>
  <si>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</si>
  <si>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</si>
  <si>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</si>
  <si>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</si>
  <si>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</si>
  <si>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</si>
  <si>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</si>
  <si>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</si>
  <si>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</si>
  <si>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</si>
  <si>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</si>
  <si>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</si>
  <si>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</si>
  <si>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</si>
  <si>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</si>
  <si>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</si>
  <si>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</si>
  <si>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</si>
  <si>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</si>
  <si>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</si>
  <si>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</si>
  <si>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</si>
  <si>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</si>
  <si>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</si>
  <si>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</si>
  <si>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</si>
  <si>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</si>
  <si>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</si>
  <si>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</si>
  <si>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</si>
  <si>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</si>
  <si>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</si>
  <si>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</si>
  <si>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</si>
  <si>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</si>
  <si>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</si>
  <si>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</si>
  <si>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</si>
  <si>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</si>
  <si>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</si>
  <si>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</si>
  <si>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</si>
  <si>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</si>
  <si>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</si>
  <si>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</si>
  <si>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</si>
  <si>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</si>
  <si>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</si>
  <si>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</si>
  <si>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</si>
  <si>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</si>
  <si>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</si>
  <si>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</si>
  <si>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</si>
  <si>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</si>
  <si>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</si>
  <si>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</si>
  <si>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</si>
  <si>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</si>
  <si>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</si>
  <si>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</si>
  <si>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</si>
  <si>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</si>
  <si>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</si>
  <si>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</si>
  <si>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</si>
  <si>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</si>
  <si>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</si>
  <si>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</si>
  <si>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</si>
  <si>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</si>
  <si>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</si>
  <si>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</si>
  <si>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</si>
  <si>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</si>
  <si>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</si>
  <si>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</si>
  <si>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</si>
  <si>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</si>
  <si>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</si>
  <si>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</si>
  <si>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</si>
  <si>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</si>
  <si>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</si>
  <si>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</si>
  <si>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</si>
  <si>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</si>
  <si>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</si>
  <si>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</si>
  <si>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</si>
  <si>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</si>
  <si>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</si>
  <si>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</si>
  <si>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</si>
  <si>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</si>
  <si>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</si>
  <si>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</si>
  <si>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</si>
  <si>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</si>
  <si>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</si>
  <si>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</si>
  <si>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</si>
  <si>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</si>
  <si>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</si>
  <si>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</si>
  <si>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</si>
  <si>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</si>
  <si>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</si>
  <si>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</si>
  <si>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</si>
  <si>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</si>
  <si>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</si>
  <si>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</si>
  <si>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</si>
  <si>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</si>
  <si>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</si>
  <si>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</si>
  <si>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</si>
  <si>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</si>
  <si>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</si>
  <si>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</si>
  <si>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</si>
  <si>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</si>
  <si>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</si>
  <si>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</si>
  <si>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</si>
  <si>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</si>
  <si>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</si>
  <si>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</si>
  <si>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</si>
  <si>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</si>
  <si>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</si>
  <si>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</si>
  <si>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</si>
  <si>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</si>
  <si>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</si>
  <si>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</si>
  <si>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</si>
  <si>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</si>
  <si>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</si>
  <si>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</si>
  <si>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</si>
  <si>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</si>
  <si>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</si>
  <si>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</si>
  <si>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</si>
  <si>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</si>
  <si>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</si>
  <si>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</si>
  <si>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</si>
  <si>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</si>
  <si>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</si>
  <si>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</si>
  <si>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</si>
  <si>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</si>
  <si>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</si>
  <si>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</si>
  <si>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</si>
  <si>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</si>
  <si>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</si>
  <si>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</si>
  <si>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</si>
  <si>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</si>
  <si>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</si>
  <si>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</si>
  <si>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</si>
  <si>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</si>
  <si>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</si>
  <si>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</si>
  <si>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</si>
  <si>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</si>
  <si>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</si>
  <si>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</si>
  <si>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</si>
  <si>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</si>
  <si>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</si>
  <si>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</si>
  <si>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</si>
  <si>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</si>
  <si>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</si>
  <si>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</si>
  <si>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</si>
  <si>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</si>
  <si>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</si>
  <si>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</si>
  <si>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</si>
  <si>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</si>
  <si>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</si>
  <si>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</si>
  <si>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</si>
  <si>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</si>
  <si>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</si>
  <si>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</si>
  <si>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</si>
  <si>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</si>
  <si>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</si>
  <si>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</si>
  <si>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</si>
  <si>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</si>
  <si>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</si>
  <si>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</si>
  <si>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</si>
  <si>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</si>
  <si>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</si>
  <si>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</si>
  <si>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</si>
  <si>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</si>
  <si>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</si>
  <si>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</si>
  <si>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</si>
  <si>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</si>
  <si>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</si>
  <si>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</si>
  <si>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</si>
  <si>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</si>
  <si>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</si>
  <si>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</si>
  <si>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</si>
  <si>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</si>
  <si>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</si>
  <si>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</si>
  <si>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</si>
  <si>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</si>
  <si>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</si>
  <si>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</si>
  <si>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</si>
  <si>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</si>
  <si>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</si>
  <si>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</si>
  <si>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</si>
  <si>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</si>
  <si>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</si>
  <si>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</si>
  <si>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</si>
  <si>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</si>
  <si>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</si>
  <si>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</si>
  <si>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</si>
  <si>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</si>
  <si>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</si>
  <si>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</si>
  <si>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</si>
  <si>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</si>
  <si>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</si>
  <si>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</si>
  <si>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</si>
  <si>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</si>
  <si>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</si>
  <si>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</si>
  <si>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</si>
  <si>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</si>
  <si>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</si>
  <si>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</si>
  <si>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</si>
  <si>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</si>
  <si>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</si>
  <si>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</si>
  <si>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</si>
  <si>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</si>
  <si>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</si>
  <si>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</si>
  <si>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</si>
  <si>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</si>
  <si>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</si>
  <si>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</si>
  <si>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</si>
  <si>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</si>
  <si>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</si>
  <si>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</si>
  <si>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</si>
  <si>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</si>
  <si>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</si>
  <si>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</si>
  <si>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</si>
  <si>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</si>
  <si>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</si>
  <si>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</si>
  <si>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</si>
  <si>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</si>
  <si>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w = a + v</t>
  </si>
  <si>
    <t>an</t>
  </si>
  <si>
    <t>ar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</si>
  <si>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</si>
  <si>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</si>
  <si>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</si>
  <si>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</si>
  <si>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</si>
  <si>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</si>
  <si>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</si>
  <si>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</si>
  <si>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</si>
  <si>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</si>
  <si>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</si>
  <si>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</si>
  <si>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</si>
  <si>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</si>
  <si>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</si>
  <si>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</si>
  <si>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</si>
  <si>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</si>
  <si>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</si>
  <si>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</si>
  <si>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</si>
  <si>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</si>
  <si>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</si>
  <si>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</si>
  <si>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</si>
  <si>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</si>
  <si>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</si>
  <si>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</si>
  <si>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</si>
  <si>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</si>
  <si>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</si>
  <si>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</si>
  <si>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</si>
  <si>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</si>
  <si>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</si>
  <si>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</si>
  <si>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</si>
  <si>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</si>
  <si>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</si>
  <si>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</si>
  <si>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</si>
  <si>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</si>
  <si>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</si>
  <si>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</si>
  <si>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</si>
  <si>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</si>
  <si>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</si>
  <si>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</si>
  <si>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</si>
  <si>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</si>
  <si>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</si>
  <si>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</si>
  <si>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</si>
  <si>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</si>
  <si>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</si>
  <si>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</si>
  <si>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</si>
  <si>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</si>
  <si>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</si>
  <si>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</si>
  <si>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</si>
  <si>
    <t>UTC Staff Adjustment</t>
  </si>
  <si>
    <t xml:space="preserve">Staff </t>
  </si>
  <si>
    <t>EDIT</t>
  </si>
  <si>
    <t>as ∑ x thru ar and Staff Adjustments</t>
  </si>
  <si>
    <t>Remove Rate Base Associated with Green Direct</t>
  </si>
  <si>
    <t>PSE Response to Staff DR No. 71</t>
  </si>
  <si>
    <t>In UE-180544, the estimated billing system updates is $570,000, built in the Green Direct rates.</t>
  </si>
  <si>
    <t>Staff</t>
  </si>
  <si>
    <t xml:space="preserve">GREEN </t>
  </si>
  <si>
    <t>DIRECT</t>
  </si>
  <si>
    <t>v = ∑ b through u and Staff Adjustments</t>
  </si>
  <si>
    <t>PSE As Filed</t>
  </si>
  <si>
    <t>Difference</t>
  </si>
  <si>
    <t>Check</t>
  </si>
  <si>
    <t>NOI</t>
  </si>
  <si>
    <t>Rate Base</t>
  </si>
  <si>
    <t>Rev Impact due to NOI</t>
  </si>
  <si>
    <t>Combined Rev Impact</t>
  </si>
  <si>
    <t>PSE</t>
  </si>
  <si>
    <t>RoR</t>
  </si>
  <si>
    <t>Return</t>
  </si>
  <si>
    <t>Rev Impact due to rate base</t>
  </si>
  <si>
    <t>Staff Recommendation</t>
  </si>
  <si>
    <t>Remove the entire adjustment</t>
  </si>
  <si>
    <t>Depreciation Expense</t>
  </si>
  <si>
    <t>PUGET SOUND ENERGY, INC.</t>
  </si>
  <si>
    <t>Utility Capital Structure</t>
  </si>
  <si>
    <t>Proposed Cost of Capital and Rate of Return</t>
  </si>
  <si>
    <t>Line</t>
  </si>
  <si>
    <t>No.</t>
  </si>
  <si>
    <t>PSE Model at 9.2% RoE</t>
  </si>
  <si>
    <t>Gas</t>
  </si>
  <si>
    <t>Common</t>
  </si>
  <si>
    <t>Plant in Service</t>
  </si>
  <si>
    <t>Accumulated Depreciation</t>
  </si>
  <si>
    <t>Accumulated Deferred FIT</t>
  </si>
  <si>
    <t>Total Rate Base</t>
  </si>
  <si>
    <t>Impact on Revenue Requirement</t>
  </si>
  <si>
    <t>Green Direct Software Rate Base</t>
  </si>
  <si>
    <t xml:space="preserve">Electric </t>
  </si>
  <si>
    <t>Accumulated DFIT</t>
  </si>
  <si>
    <t>Source: PSE Response to Staff DR No. 123</t>
  </si>
  <si>
    <t>Remove Tacoma LNG Expense and Rate Base</t>
  </si>
  <si>
    <t>Income Statement</t>
  </si>
  <si>
    <t xml:space="preserve">Other Power Supply Expense </t>
  </si>
  <si>
    <t>Admin &amp; General Expense</t>
  </si>
  <si>
    <t xml:space="preserve">Increase (Decrease) FIT @ </t>
  </si>
  <si>
    <t xml:space="preserve">Accumulated Deferred FIT </t>
  </si>
  <si>
    <t>Double Check</t>
  </si>
  <si>
    <t>Reduce expense</t>
  </si>
  <si>
    <t>Increase FIT</t>
  </si>
  <si>
    <t>Increase NOI</t>
  </si>
  <si>
    <t>Converstion Factor</t>
  </si>
  <si>
    <t>Revenue Impact due to NOI adjustment</t>
  </si>
  <si>
    <t>Reduce rate base</t>
  </si>
  <si>
    <t>Rate of Return</t>
  </si>
  <si>
    <t>Revenue Impact due to RB adjustment</t>
  </si>
  <si>
    <t>Total Revenue Impact</t>
  </si>
  <si>
    <t>Tacoma LNG</t>
  </si>
  <si>
    <t>as</t>
  </si>
  <si>
    <t>at</t>
  </si>
  <si>
    <t>check</t>
  </si>
  <si>
    <t>Temperature Normalization Restating</t>
  </si>
  <si>
    <t>PSE Initial</t>
  </si>
  <si>
    <t>Gross Revenue</t>
  </si>
  <si>
    <t>Revenue Sensitive Expenses</t>
  </si>
  <si>
    <t>Increase (Decrease) NOI</t>
  </si>
  <si>
    <t>Temperature Normalization Pro Forma</t>
  </si>
  <si>
    <t>Staff recommendation</t>
  </si>
  <si>
    <t>Purchase gas cost</t>
  </si>
  <si>
    <t>Combined Revenue Impact</t>
  </si>
  <si>
    <t>Placeholder</t>
  </si>
  <si>
    <r>
      <t xml:space="preserve">NET REVENUE CHANGE REQUESTED </t>
    </r>
    <r>
      <rPr>
        <strike/>
        <sz val="11"/>
        <rFont val="Times New Roman"/>
        <family val="1"/>
      </rPr>
      <t>EXH. JAP-15</t>
    </r>
  </si>
  <si>
    <t>Staff Revised</t>
  </si>
  <si>
    <t>12.05G</t>
  </si>
  <si>
    <t>12.03G</t>
  </si>
  <si>
    <t xml:space="preserve">Source: </t>
  </si>
  <si>
    <t>PSE Respone to UTC Staff Data Request No. 170</t>
  </si>
  <si>
    <t>Staff-12.03G</t>
  </si>
  <si>
    <t>PUGET SOUND ENERGY-GAS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</si>
  <si>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</si>
  <si>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PUGET SOUND ENERGY - GAS</t>
  </si>
  <si>
    <t>PSE Initial Filing</t>
  </si>
  <si>
    <t>Restating</t>
  </si>
  <si>
    <t>Pro Forma</t>
  </si>
  <si>
    <t>Staff-12.05G</t>
  </si>
  <si>
    <t>Source:Exh. SEF-8G page 1 of 2</t>
  </si>
  <si>
    <t>Source:Exh. SEF-8G page 2 of 2</t>
  </si>
  <si>
    <t>Source:Exh. SEF-6G page 1 of 29</t>
  </si>
  <si>
    <t>Source: Exh. SEF-6G page 2 of 29</t>
  </si>
  <si>
    <t>Source:Exh. SEF-6G page 3 of 29</t>
  </si>
  <si>
    <t>Source: Exh. SEF-6G page 4 of 29</t>
  </si>
  <si>
    <t>Source:Exh. SEF-6G page 5 of 29</t>
  </si>
  <si>
    <t>Source:Exh. SEF-6G page 6 of 29</t>
  </si>
  <si>
    <t>Source: Exh. SEF-6G page 7 of 29</t>
  </si>
  <si>
    <t>Source:Exh. SEF-6G page 8 of 29</t>
  </si>
  <si>
    <t>Source:Exh. SEF-6G page 9 of 29</t>
  </si>
  <si>
    <t>Source:Exh. SEF-6G page 10 of 29</t>
  </si>
  <si>
    <t>Source:Exh. SEF-6G page 11 of 29</t>
  </si>
  <si>
    <t>Source:Exh. SEF-6G page 12 of 29</t>
  </si>
  <si>
    <t>Source:Exh. SEF-6G page 13 of 29</t>
  </si>
  <si>
    <t>Source:Exh. SEF-6G page 14 of 29</t>
  </si>
  <si>
    <t>Source: Exh. SEF-6G page 15 of 29</t>
  </si>
  <si>
    <t>Source: Exh. SEF-6G page 16 of 29</t>
  </si>
  <si>
    <t>Source: Exh. SEF-6G page 17 of 29</t>
  </si>
  <si>
    <t>Source: Exh. SEF-6G page 18 of 29</t>
  </si>
  <si>
    <t>Source: Exh. SEF-6G page 19 of 29</t>
  </si>
  <si>
    <t>Source: Exh. SEF-6G page 20 of 29</t>
  </si>
  <si>
    <t>Source: Exh. SEF-6G page 21 of 29</t>
  </si>
  <si>
    <t>Source: Exh. SEF-6G page 22 of 29</t>
  </si>
  <si>
    <t>Source: Exh. SEF-6G page 23 of 29</t>
  </si>
  <si>
    <t>Source: Exh. SEF-6G page 24 of 29</t>
  </si>
  <si>
    <t>Source: Exh. SEF-6G page 25 of 29</t>
  </si>
  <si>
    <t>Source: Exh. SEF-6G page 26 of 29</t>
  </si>
  <si>
    <t>Source: Exh. SEF-6G page 27 of 29</t>
  </si>
  <si>
    <t>Source: Exh. SEF-6G page 28 of 29</t>
  </si>
  <si>
    <t>Source: Exh. SEF-6G page 29 of 29</t>
  </si>
  <si>
    <t>Source: EXH. SEF-4G page 2 of 5</t>
  </si>
  <si>
    <t>Source: EXH. SEF-4G page 3 of 5</t>
  </si>
  <si>
    <t>source: EXH. SEF-4G page 5 of 5</t>
  </si>
  <si>
    <t>source: EXH. SEF-4G page 4 of 5</t>
  </si>
  <si>
    <t>source: EXH. SEF-4G page 1 of 5</t>
  </si>
  <si>
    <t>source:</t>
  </si>
  <si>
    <t>for informational only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</si>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</sst>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&quot; As of &quot;mmmm\ d\,\ yyyy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1"/>
      <color theme="0" tint="-0.499984740745262"/>
      <name val="Times New Roman"/>
      <family val="1"/>
    </font>
    <font>
      <sz val="11"/>
      <color theme="7" tint="-0.249977111117893"/>
      <name val="Times New Roman"/>
      <family val="1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sz val="11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  <font>
      <sz val="10"/>
      <color theme="0" tint="-0.34998626667073579"/>
      <name val="Times New Roman"/>
      <family val="1"/>
    </font>
    <font>
      <sz val="11"/>
      <color rgb="FFCC00CC"/>
      <name val="Calibri"/>
      <family val="2"/>
      <scheme val="minor"/>
    </font>
    <font>
      <b/>
      <sz val="12"/>
      <color rgb="FFCC00CC"/>
      <name val="Arial"/>
      <family val="2"/>
    </font>
    <font>
      <b/>
      <sz val="11"/>
      <color rgb="FFCC00CC"/>
      <name val="Calibri"/>
      <family val="2"/>
      <scheme val="minor"/>
    </font>
    <font>
      <sz val="10"/>
      <name val="Geneva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B050"/>
      <name val="Times New Roman"/>
      <family val="1"/>
    </font>
    <font>
      <b/>
      <sz val="10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trike/>
      <sz val="12"/>
      <name val="Times New Roman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165" fontId="25" fillId="0" borderId="0">
      <alignment horizontal="left" wrapText="1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39" fillId="0" borderId="0"/>
    <xf numFmtId="0" fontId="39" fillId="0" borderId="0"/>
    <xf numFmtId="37" fontId="39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763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8" fontId="18" fillId="0" borderId="27" xfId="0" applyNumberFormat="1" applyFont="1" applyFill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centerContinuous"/>
    </xf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7" fillId="0" borderId="0" xfId="0" applyFont="1"/>
    <xf numFmtId="0" fontId="18" fillId="0" borderId="0" xfId="0" applyFont="1" applyAlignment="1">
      <alignment horizontal="center" vertical="top" wrapText="1"/>
    </xf>
    <xf numFmtId="0" fontId="18" fillId="0" borderId="23" xfId="0" applyFont="1" applyFill="1" applyBorder="1" applyAlignment="1">
      <alignment horizontal="center" wrapText="1"/>
    </xf>
    <xf numFmtId="168" fontId="18" fillId="4" borderId="0" xfId="3" applyNumberFormat="1" applyFont="1" applyFill="1"/>
    <xf numFmtId="0" fontId="18" fillId="4" borderId="0" xfId="0" applyFont="1" applyFill="1"/>
    <xf numFmtId="168" fontId="18" fillId="0" borderId="0" xfId="3" applyNumberFormat="1" applyFont="1"/>
    <xf numFmtId="168" fontId="17" fillId="4" borderId="0" xfId="3" applyNumberFormat="1" applyFont="1" applyFill="1"/>
    <xf numFmtId="0" fontId="18" fillId="2" borderId="0" xfId="0" applyFont="1" applyFill="1"/>
    <xf numFmtId="168" fontId="18" fillId="2" borderId="0" xfId="0" applyNumberFormat="1" applyFont="1" applyFill="1"/>
    <xf numFmtId="168" fontId="17" fillId="2" borderId="0" xfId="0" applyNumberFormat="1" applyFont="1" applyFill="1"/>
    <xf numFmtId="0" fontId="30" fillId="0" borderId="0" xfId="0" applyFont="1" applyFill="1"/>
    <xf numFmtId="168" fontId="30" fillId="0" borderId="0" xfId="0" applyNumberFormat="1" applyFont="1" applyFill="1"/>
    <xf numFmtId="44" fontId="18" fillId="0" borderId="0" xfId="0" applyNumberFormat="1" applyFont="1" applyFill="1"/>
    <xf numFmtId="169" fontId="18" fillId="0" borderId="0" xfId="0" applyNumberFormat="1" applyFont="1" applyFill="1"/>
    <xf numFmtId="0" fontId="31" fillId="0" borderId="0" xfId="0" applyFont="1"/>
    <xf numFmtId="0" fontId="32" fillId="0" borderId="0" xfId="0" applyFont="1" applyAlignment="1">
      <alignment horizontal="left" vertical="top"/>
    </xf>
    <xf numFmtId="168" fontId="32" fillId="0" borderId="0" xfId="3" applyNumberFormat="1" applyFont="1" applyAlignment="1">
      <alignment horizontal="left" indent="1"/>
    </xf>
    <xf numFmtId="0" fontId="31" fillId="0" borderId="0" xfId="0" applyFont="1" applyAlignment="1">
      <alignment vertical="top"/>
    </xf>
    <xf numFmtId="168" fontId="31" fillId="0" borderId="0" xfId="0" applyNumberFormat="1" applyFont="1"/>
    <xf numFmtId="42" fontId="31" fillId="0" borderId="0" xfId="0" applyNumberFormat="1" applyFont="1"/>
    <xf numFmtId="168" fontId="31" fillId="0" borderId="0" xfId="3" applyNumberFormat="1" applyFont="1"/>
    <xf numFmtId="10" fontId="31" fillId="0" borderId="0" xfId="5" applyNumberFormat="1" applyFont="1"/>
    <xf numFmtId="43" fontId="31" fillId="0" borderId="0" xfId="3" applyFont="1"/>
    <xf numFmtId="0" fontId="31" fillId="0" borderId="0" xfId="0" applyFont="1" applyAlignment="1">
      <alignment horizontal="center" vertical="center"/>
    </xf>
    <xf numFmtId="41" fontId="24" fillId="0" borderId="0" xfId="0" applyNumberFormat="1" applyFont="1" applyFill="1"/>
    <xf numFmtId="0" fontId="9" fillId="0" borderId="0" xfId="0" applyFont="1" applyFill="1"/>
    <xf numFmtId="0" fontId="13" fillId="0" borderId="0" xfId="0" applyFont="1" applyFill="1"/>
    <xf numFmtId="43" fontId="31" fillId="0" borderId="0" xfId="3" applyNumberFormat="1" applyFont="1" applyAlignment="1">
      <alignment horizontal="right"/>
    </xf>
    <xf numFmtId="0" fontId="33" fillId="0" borderId="0" xfId="0" applyFont="1"/>
    <xf numFmtId="0" fontId="34" fillId="0" borderId="0" xfId="0" applyFont="1" applyFill="1"/>
    <xf numFmtId="0" fontId="9" fillId="0" borderId="18" xfId="0" applyFont="1" applyFill="1" applyBorder="1"/>
    <xf numFmtId="0" fontId="9" fillId="0" borderId="21" xfId="0" applyFont="1" applyFill="1" applyBorder="1" applyAlignment="1">
      <alignment horizontal="right"/>
    </xf>
    <xf numFmtId="0" fontId="35" fillId="0" borderId="0" xfId="0" applyFont="1"/>
    <xf numFmtId="42" fontId="35" fillId="0" borderId="0" xfId="0" applyNumberFormat="1" applyFont="1" applyBorder="1"/>
    <xf numFmtId="165" fontId="37" fillId="0" borderId="0" xfId="1" applyFont="1" applyFill="1" applyAlignment="1"/>
    <xf numFmtId="0" fontId="36" fillId="0" borderId="0" xfId="0" applyFont="1" applyFill="1"/>
    <xf numFmtId="0" fontId="38" fillId="0" borderId="0" xfId="0" applyFont="1" applyFill="1" applyAlignment="1">
      <alignment horizontal="center" vertical="center"/>
    </xf>
    <xf numFmtId="10" fontId="1" fillId="0" borderId="0" xfId="6" applyFont="1"/>
    <xf numFmtId="0" fontId="40" fillId="0" borderId="0" xfId="7" applyFont="1" applyBorder="1" applyAlignment="1" applyProtection="1">
      <alignment horizontal="centerContinuous" vertical="center" wrapText="1"/>
    </xf>
    <xf numFmtId="10" fontId="41" fillId="0" borderId="0" xfId="6" applyFont="1" applyAlignment="1">
      <alignment horizontal="centerContinuous"/>
    </xf>
    <xf numFmtId="10" fontId="40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89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43" fillId="0" borderId="0" xfId="6" applyFont="1"/>
    <xf numFmtId="1" fontId="3" fillId="0" borderId="27" xfId="6" applyNumberFormat="1" applyFont="1" applyBorder="1" applyAlignment="1" applyProtection="1">
      <alignment horizontal="center"/>
    </xf>
    <xf numFmtId="37" fontId="44" fillId="0" borderId="27" xfId="8" applyFont="1" applyBorder="1" applyAlignment="1" applyProtection="1">
      <alignment horizontal="center"/>
    </xf>
    <xf numFmtId="37" fontId="44" fillId="0" borderId="0" xfId="8" applyFont="1" applyAlignment="1" applyProtection="1">
      <alignment horizontal="center"/>
    </xf>
    <xf numFmtId="10" fontId="43" fillId="0" borderId="0" xfId="6" applyFont="1" applyFill="1" applyAlignment="1">
      <alignment horizontal="center"/>
    </xf>
    <xf numFmtId="10" fontId="43" fillId="0" borderId="0" xfId="9" applyNumberFormat="1" applyFont="1" applyFill="1" applyAlignment="1">
      <alignment horizontal="center"/>
    </xf>
    <xf numFmtId="10" fontId="41" fillId="0" borderId="0" xfId="6" applyFont="1" applyAlignment="1">
      <alignment horizontal="center"/>
    </xf>
    <xf numFmtId="10" fontId="43" fillId="0" borderId="27" xfId="6" applyFont="1" applyFill="1" applyBorder="1" applyAlignment="1" applyProtection="1">
      <alignment horizontal="center"/>
    </xf>
    <xf numFmtId="10" fontId="41" fillId="0" borderId="0" xfId="6" applyFont="1" applyAlignment="1" applyProtection="1">
      <alignment horizontal="center"/>
    </xf>
    <xf numFmtId="10" fontId="45" fillId="0" borderId="0" xfId="6" applyFont="1" applyFill="1" applyAlignment="1" applyProtection="1">
      <alignment horizontal="center"/>
    </xf>
    <xf numFmtId="10" fontId="45" fillId="0" borderId="0" xfId="6" applyFont="1" applyAlignment="1" applyProtection="1">
      <alignment horizontal="center"/>
    </xf>
    <xf numFmtId="10" fontId="43" fillId="0" borderId="0" xfId="6" applyFont="1" applyAlignment="1" applyProtection="1">
      <alignment horizontal="left"/>
    </xf>
    <xf numFmtId="10" fontId="43" fillId="0" borderId="0" xfId="6" applyFont="1" applyFill="1" applyAlignment="1" applyProtection="1">
      <alignment horizontal="left"/>
    </xf>
    <xf numFmtId="10" fontId="43" fillId="0" borderId="0" xfId="10" applyNumberFormat="1" applyFont="1" applyAlignment="1" applyProtection="1">
      <alignment horizontal="center"/>
    </xf>
    <xf numFmtId="10" fontId="43" fillId="0" borderId="0" xfId="6" applyFont="1" applyAlignment="1">
      <alignment horizontal="center"/>
    </xf>
    <xf numFmtId="10" fontId="43" fillId="0" borderId="0" xfId="6" applyNumberFormat="1" applyFont="1" applyAlignment="1" applyProtection="1"/>
    <xf numFmtId="10" fontId="43" fillId="0" borderId="27" xfId="10" applyNumberFormat="1" applyFont="1" applyBorder="1" applyAlignment="1" applyProtection="1">
      <alignment horizontal="center"/>
    </xf>
    <xf numFmtId="10" fontId="43" fillId="0" borderId="27" xfId="6" applyFont="1" applyBorder="1" applyAlignment="1">
      <alignment horizontal="center"/>
    </xf>
    <xf numFmtId="10" fontId="46" fillId="0" borderId="0" xfId="6" applyNumberFormat="1" applyFont="1" applyFill="1" applyAlignment="1" applyProtection="1"/>
    <xf numFmtId="10" fontId="41" fillId="0" borderId="0" xfId="6" applyFont="1"/>
    <xf numFmtId="5" fontId="43" fillId="0" borderId="0" xfId="6" applyNumberFormat="1" applyFont="1" applyAlignment="1"/>
    <xf numFmtId="10" fontId="43" fillId="0" borderId="0" xfId="6" applyFont="1" applyBorder="1" applyAlignment="1" applyProtection="1"/>
    <xf numFmtId="10" fontId="43" fillId="0" borderId="0" xfId="6" applyNumberFormat="1" applyFont="1" applyAlignment="1"/>
    <xf numFmtId="10" fontId="43" fillId="0" borderId="0" xfId="9" applyNumberFormat="1" applyFont="1" applyAlignment="1">
      <alignment horizontal="center"/>
    </xf>
    <xf numFmtId="10" fontId="43" fillId="0" borderId="27" xfId="9" applyNumberFormat="1" applyFont="1" applyFill="1" applyBorder="1" applyAlignment="1">
      <alignment horizontal="center"/>
    </xf>
    <xf numFmtId="0" fontId="18" fillId="5" borderId="0" xfId="0" applyFont="1" applyFill="1"/>
    <xf numFmtId="168" fontId="18" fillId="5" borderId="0" xfId="3" applyNumberFormat="1" applyFont="1" applyFill="1"/>
    <xf numFmtId="168" fontId="17" fillId="5" borderId="0" xfId="3" applyNumberFormat="1" applyFont="1" applyFill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168" fontId="32" fillId="0" borderId="0" xfId="0" applyNumberFormat="1" applyFont="1"/>
    <xf numFmtId="42" fontId="32" fillId="0" borderId="0" xfId="0" applyNumberFormat="1" applyFont="1"/>
    <xf numFmtId="43" fontId="32" fillId="0" borderId="0" xfId="3" applyFont="1"/>
    <xf numFmtId="10" fontId="32" fillId="0" borderId="0" xfId="5" applyNumberFormat="1" applyFont="1"/>
    <xf numFmtId="168" fontId="32" fillId="0" borderId="0" xfId="3" applyNumberFormat="1" applyFont="1"/>
    <xf numFmtId="43" fontId="32" fillId="0" borderId="0" xfId="3" applyNumberFormat="1" applyFont="1" applyAlignment="1">
      <alignment horizontal="right"/>
    </xf>
    <xf numFmtId="42" fontId="17" fillId="0" borderId="0" xfId="0" applyNumberFormat="1" applyFont="1" applyFill="1"/>
    <xf numFmtId="0" fontId="9" fillId="0" borderId="0" xfId="0" applyFont="1"/>
    <xf numFmtId="0" fontId="47" fillId="0" borderId="0" xfId="0" applyFont="1"/>
    <xf numFmtId="0" fontId="48" fillId="0" borderId="0" xfId="0" applyFont="1"/>
    <xf numFmtId="43" fontId="4" fillId="0" borderId="0" xfId="0" applyNumberFormat="1" applyFont="1"/>
    <xf numFmtId="169" fontId="1" fillId="0" borderId="0" xfId="0" applyNumberFormat="1" applyFont="1" applyFill="1" applyAlignment="1">
      <alignment horizontal="left" wrapText="1"/>
    </xf>
    <xf numFmtId="10" fontId="32" fillId="0" borderId="0" xfId="3" applyNumberFormat="1" applyFont="1"/>
    <xf numFmtId="168" fontId="32" fillId="0" borderId="0" xfId="3" applyNumberFormat="1" applyFont="1" applyAlignment="1">
      <alignment horizontal="right"/>
    </xf>
    <xf numFmtId="168" fontId="20" fillId="6" borderId="0" xfId="0" applyNumberFormat="1" applyFont="1" applyFill="1"/>
    <xf numFmtId="168" fontId="18" fillId="6" borderId="0" xfId="0" applyNumberFormat="1" applyFont="1" applyFill="1"/>
    <xf numFmtId="41" fontId="10" fillId="0" borderId="0" xfId="0" applyNumberFormat="1" applyFont="1"/>
    <xf numFmtId="41" fontId="10" fillId="0" borderId="0" xfId="0" applyNumberFormat="1" applyFont="1" applyFill="1"/>
    <xf numFmtId="41" fontId="10" fillId="7" borderId="0" xfId="0" applyNumberFormat="1" applyFont="1" applyFill="1"/>
    <xf numFmtId="9" fontId="18" fillId="0" borderId="26" xfId="0" applyNumberFormat="1" applyFont="1" applyFill="1" applyBorder="1"/>
    <xf numFmtId="41" fontId="10" fillId="7" borderId="0" xfId="0" applyNumberFormat="1" applyFont="1" applyFill="1" applyBorder="1" applyAlignment="1"/>
    <xf numFmtId="41" fontId="29" fillId="0" borderId="26" xfId="0" applyNumberFormat="1" applyFont="1" applyFill="1" applyBorder="1"/>
    <xf numFmtId="0" fontId="24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10" fillId="0" borderId="0" xfId="0" applyFont="1" applyFill="1" applyBorder="1" applyAlignment="1">
      <alignment horizontal="centerContinuous"/>
    </xf>
    <xf numFmtId="186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/>
    <xf numFmtId="0" fontId="9" fillId="0" borderId="27" xfId="0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27" xfId="0" quotePrefix="1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44" fontId="10" fillId="0" borderId="0" xfId="4" applyFont="1" applyFill="1"/>
    <xf numFmtId="42" fontId="10" fillId="0" borderId="0" xfId="0" applyNumberFormat="1" applyFont="1" applyFill="1"/>
    <xf numFmtId="169" fontId="10" fillId="0" borderId="0" xfId="0" applyNumberFormat="1" applyFont="1" applyFill="1"/>
    <xf numFmtId="168" fontId="10" fillId="0" borderId="0" xfId="3" applyNumberFormat="1" applyFont="1" applyFill="1"/>
    <xf numFmtId="43" fontId="10" fillId="0" borderId="0" xfId="3" applyFont="1" applyFill="1"/>
    <xf numFmtId="167" fontId="10" fillId="0" borderId="0" xfId="0" applyNumberFormat="1" applyFont="1" applyFill="1" applyBorder="1" applyAlignment="1" applyProtection="1">
      <alignment horizontal="left"/>
      <protection locked="0"/>
    </xf>
    <xf numFmtId="168" fontId="10" fillId="0" borderId="0" xfId="3" applyNumberFormat="1" applyFont="1" applyFill="1" applyBorder="1"/>
    <xf numFmtId="43" fontId="10" fillId="0" borderId="4" xfId="3" applyFont="1" applyFill="1" applyBorder="1"/>
    <xf numFmtId="42" fontId="10" fillId="0" borderId="30" xfId="0" applyNumberFormat="1" applyFont="1" applyFill="1" applyBorder="1"/>
    <xf numFmtId="168" fontId="10" fillId="0" borderId="4" xfId="3" applyNumberFormat="1" applyFont="1" applyFill="1" applyBorder="1"/>
    <xf numFmtId="169" fontId="10" fillId="0" borderId="0" xfId="0" applyNumberFormat="1" applyFont="1"/>
    <xf numFmtId="44" fontId="10" fillId="0" borderId="0" xfId="0" applyNumberFormat="1" applyFont="1"/>
    <xf numFmtId="0" fontId="10" fillId="0" borderId="4" xfId="0" applyFont="1" applyFill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10" fontId="10" fillId="0" borderId="9" xfId="0" applyNumberFormat="1" applyFont="1" applyBorder="1"/>
    <xf numFmtId="168" fontId="10" fillId="0" borderId="9" xfId="3" applyNumberFormat="1" applyFont="1" applyBorder="1"/>
    <xf numFmtId="168" fontId="10" fillId="0" borderId="9" xfId="3" applyNumberFormat="1" applyFont="1" applyBorder="1" applyAlignment="1">
      <alignment horizontal="right"/>
    </xf>
    <xf numFmtId="168" fontId="10" fillId="0" borderId="0" xfId="0" applyNumberFormat="1" applyFont="1"/>
    <xf numFmtId="0" fontId="9" fillId="0" borderId="9" xfId="0" applyFont="1" applyBorder="1"/>
    <xf numFmtId="168" fontId="9" fillId="0" borderId="9" xfId="0" applyNumberFormat="1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89" fontId="12" fillId="7" borderId="0" xfId="6" applyNumberFormat="1" applyFont="1" applyFill="1" applyBorder="1" applyAlignment="1" applyProtection="1">
      <alignment horizontal="centerContinuous" vertical="center" wrapText="1"/>
    </xf>
    <xf numFmtId="10" fontId="3" fillId="7" borderId="0" xfId="6" applyFont="1" applyFill="1" applyBorder="1" applyAlignment="1">
      <alignment horizontal="left" vertical="top" wrapText="1"/>
    </xf>
    <xf numFmtId="189" fontId="3" fillId="7" borderId="0" xfId="6" applyNumberFormat="1" applyFont="1" applyFill="1" applyBorder="1" applyAlignment="1" applyProtection="1">
      <alignment horizontal="centerContinuous" vertical="center" wrapText="1"/>
    </xf>
    <xf numFmtId="10" fontId="43" fillId="7" borderId="27" xfId="6" applyFont="1" applyFill="1" applyBorder="1" applyAlignment="1">
      <alignment horizontal="center"/>
    </xf>
    <xf numFmtId="10" fontId="45" fillId="7" borderId="0" xfId="6" applyFont="1" applyFill="1" applyAlignment="1" applyProtection="1">
      <alignment horizontal="center"/>
    </xf>
    <xf numFmtId="0" fontId="17" fillId="7" borderId="0" xfId="0" applyFont="1" applyFill="1" applyAlignment="1">
      <alignment horizontal="left"/>
    </xf>
    <xf numFmtId="0" fontId="51" fillId="0" borderId="0" xfId="0" applyFont="1" applyAlignment="1">
      <alignment horizontal="centerContinuous"/>
    </xf>
    <xf numFmtId="10" fontId="18" fillId="7" borderId="7" xfId="0" applyNumberFormat="1" applyFont="1" applyFill="1" applyBorder="1"/>
    <xf numFmtId="0" fontId="24" fillId="7" borderId="0" xfId="0" applyFont="1" applyFill="1" applyAlignment="1">
      <alignment horizontal="center" vertical="center"/>
    </xf>
    <xf numFmtId="179" fontId="24" fillId="7" borderId="0" xfId="0" applyNumberFormat="1" applyFont="1" applyFill="1" applyAlignment="1" applyProtection="1">
      <alignment horizontal="center"/>
      <protection locked="0"/>
    </xf>
    <xf numFmtId="0" fontId="9" fillId="7" borderId="0" xfId="0" applyNumberFormat="1" applyFont="1" applyFill="1" applyAlignment="1">
      <alignment horizontal="center"/>
    </xf>
    <xf numFmtId="0" fontId="9" fillId="7" borderId="0" xfId="0" applyNumberFormat="1" applyFont="1" applyFill="1" applyAlignment="1">
      <alignment horizontal="center" wrapText="1"/>
    </xf>
    <xf numFmtId="180" fontId="24" fillId="7" borderId="0" xfId="0" applyNumberFormat="1" applyFont="1" applyFill="1" applyAlignment="1" applyProtection="1">
      <alignment horizontal="center"/>
      <protection locked="0"/>
    </xf>
    <xf numFmtId="0" fontId="17" fillId="7" borderId="0" xfId="0" applyFont="1" applyFill="1"/>
    <xf numFmtId="0" fontId="9" fillId="7" borderId="0" xfId="0" applyFont="1" applyFill="1"/>
    <xf numFmtId="42" fontId="1" fillId="7" borderId="0" xfId="0" applyNumberFormat="1" applyFont="1" applyFill="1" applyAlignment="1">
      <alignment horizontal="right"/>
    </xf>
    <xf numFmtId="10" fontId="18" fillId="7" borderId="0" xfId="0" applyNumberFormat="1" applyFont="1" applyFill="1"/>
    <xf numFmtId="0" fontId="13" fillId="7" borderId="0" xfId="0" applyFont="1" applyFill="1" applyBorder="1"/>
    <xf numFmtId="41" fontId="4" fillId="7" borderId="0" xfId="0" applyNumberFormat="1" applyFont="1" applyFill="1" applyBorder="1"/>
    <xf numFmtId="0" fontId="32" fillId="0" borderId="0" xfId="0" applyFont="1" applyFill="1"/>
    <xf numFmtId="41" fontId="32" fillId="0" borderId="0" xfId="0" applyNumberFormat="1" applyFont="1" applyFill="1"/>
    <xf numFmtId="0" fontId="32" fillId="0" borderId="0" xfId="0" applyFont="1" applyFill="1" applyAlignment="1">
      <alignment horizontal="center" vertical="center"/>
    </xf>
    <xf numFmtId="169" fontId="32" fillId="0" borderId="0" xfId="4" applyNumberFormat="1" applyFont="1" applyFill="1"/>
    <xf numFmtId="168" fontId="32" fillId="0" borderId="0" xfId="3" applyNumberFormat="1" applyFont="1" applyFill="1"/>
    <xf numFmtId="168" fontId="32" fillId="0" borderId="27" xfId="3" applyNumberFormat="1" applyFont="1" applyFill="1" applyBorder="1"/>
    <xf numFmtId="169" fontId="32" fillId="0" borderId="0" xfId="0" applyNumberFormat="1" applyFont="1" applyFill="1"/>
    <xf numFmtId="169" fontId="32" fillId="0" borderId="27" xfId="4" applyNumberFormat="1" applyFont="1" applyFill="1" applyBorder="1"/>
    <xf numFmtId="0" fontId="32" fillId="0" borderId="0" xfId="0" applyNumberFormat="1" applyFont="1" applyFill="1" applyAlignment="1"/>
    <xf numFmtId="0" fontId="32" fillId="0" borderId="0" xfId="0" applyFont="1" applyFill="1" applyAlignment="1">
      <alignment horizontal="left" wrapText="1"/>
    </xf>
    <xf numFmtId="42" fontId="1" fillId="7" borderId="0" xfId="0" applyNumberFormat="1" applyFont="1" applyFill="1" applyBorder="1" applyAlignment="1"/>
    <xf numFmtId="41" fontId="1" fillId="7" borderId="0" xfId="0" applyNumberFormat="1" applyFont="1" applyFill="1" applyBorder="1" applyAlignment="1"/>
    <xf numFmtId="41" fontId="1" fillId="7" borderId="26" xfId="0" applyNumberFormat="1" applyFont="1" applyFill="1" applyBorder="1" applyAlignment="1"/>
    <xf numFmtId="42" fontId="1" fillId="7" borderId="4" xfId="0" applyNumberFormat="1" applyFont="1" applyFill="1" applyBorder="1" applyAlignment="1"/>
    <xf numFmtId="42" fontId="16" fillId="7" borderId="0" xfId="0" applyNumberFormat="1" applyFont="1" applyFill="1" applyBorder="1" applyAlignment="1"/>
    <xf numFmtId="0" fontId="1" fillId="7" borderId="0" xfId="0" applyNumberFormat="1" applyFont="1" applyFill="1" applyAlignment="1"/>
    <xf numFmtId="42" fontId="1" fillId="7" borderId="8" xfId="0" applyNumberFormat="1" applyFont="1" applyFill="1" applyBorder="1" applyAlignment="1"/>
    <xf numFmtId="41" fontId="16" fillId="7" borderId="0" xfId="0" applyNumberFormat="1" applyFont="1" applyFill="1" applyBorder="1" applyAlignment="1"/>
    <xf numFmtId="41" fontId="1" fillId="7" borderId="27" xfId="0" applyNumberFormat="1" applyFont="1" applyFill="1" applyBorder="1" applyAlignment="1" applyProtection="1">
      <protection locked="0"/>
    </xf>
    <xf numFmtId="169" fontId="1" fillId="7" borderId="8" xfId="0" applyNumberFormat="1" applyFont="1" applyFill="1" applyBorder="1" applyAlignment="1"/>
    <xf numFmtId="0" fontId="52" fillId="0" borderId="0" xfId="0" applyFont="1" applyAlignment="1">
      <alignment horizontal="centerContinuous"/>
    </xf>
    <xf numFmtId="0" fontId="52" fillId="0" borderId="0" xfId="0" quotePrefix="1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NumberFormat="1" applyFont="1" applyFill="1" applyAlignment="1"/>
    <xf numFmtId="0" fontId="52" fillId="0" borderId="27" xfId="0" applyNumberFormat="1" applyFont="1" applyFill="1" applyBorder="1" applyAlignment="1"/>
    <xf numFmtId="0" fontId="52" fillId="0" borderId="27" xfId="0" quotePrefix="1" applyNumberFormat="1" applyFont="1" applyFill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  <protection locked="0"/>
    </xf>
    <xf numFmtId="17" fontId="54" fillId="0" borderId="0" xfId="0" applyNumberFormat="1" applyFont="1" applyFill="1" applyBorder="1" applyAlignment="1">
      <alignment horizontal="left"/>
    </xf>
    <xf numFmtId="0" fontId="29" fillId="0" borderId="0" xfId="0" applyFont="1"/>
    <xf numFmtId="42" fontId="54" fillId="0" borderId="0" xfId="0" applyNumberFormat="1" applyFont="1" applyFill="1" applyAlignment="1">
      <alignment horizontal="right"/>
    </xf>
    <xf numFmtId="0" fontId="29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10" fontId="29" fillId="0" borderId="0" xfId="0" applyNumberFormat="1" applyFont="1" applyFill="1"/>
    <xf numFmtId="168" fontId="29" fillId="0" borderId="26" xfId="0" applyNumberFormat="1" applyFont="1" applyFill="1" applyBorder="1"/>
    <xf numFmtId="43" fontId="29" fillId="0" borderId="26" xfId="0" applyNumberFormat="1" applyFont="1" applyFill="1" applyBorder="1"/>
    <xf numFmtId="9" fontId="29" fillId="0" borderId="0" xfId="0" applyNumberFormat="1" applyFont="1"/>
    <xf numFmtId="168" fontId="29" fillId="0" borderId="0" xfId="0" applyNumberFormat="1" applyFont="1" applyFill="1"/>
    <xf numFmtId="168" fontId="29" fillId="0" borderId="8" xfId="0" applyNumberFormat="1" applyFont="1" applyFill="1" applyBorder="1"/>
    <xf numFmtId="174" fontId="54" fillId="0" borderId="0" xfId="0" applyNumberFormat="1" applyFont="1" applyFill="1" applyBorder="1" applyAlignment="1"/>
    <xf numFmtId="3" fontId="55" fillId="0" borderId="0" xfId="0" applyNumberFormat="1" applyFont="1" applyAlignment="1"/>
    <xf numFmtId="0" fontId="18" fillId="0" borderId="0" xfId="0" applyFont="1" applyAlignment="1">
      <alignment horizontal="right"/>
    </xf>
    <xf numFmtId="168" fontId="18" fillId="0" borderId="24" xfId="0" applyNumberFormat="1" applyFont="1" applyFill="1" applyBorder="1"/>
    <xf numFmtId="0" fontId="9" fillId="0" borderId="0" xfId="0" applyFont="1" applyFill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/>
      <protection locked="0"/>
    </xf>
    <xf numFmtId="185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>
      <alignment horizontal="centerContinuous"/>
    </xf>
    <xf numFmtId="187" fontId="52" fillId="0" borderId="0" xfId="0" applyNumberFormat="1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169" fontId="10" fillId="0" borderId="34" xfId="0" applyNumberFormat="1" applyFont="1" applyBorder="1"/>
    <xf numFmtId="184" fontId="10" fillId="0" borderId="34" xfId="3" applyNumberFormat="1" applyFont="1" applyBorder="1"/>
    <xf numFmtId="0" fontId="10" fillId="0" borderId="34" xfId="0" applyFont="1" applyBorder="1"/>
    <xf numFmtId="10" fontId="10" fillId="0" borderId="34" xfId="5" applyNumberFormat="1" applyFont="1" applyBorder="1"/>
    <xf numFmtId="169" fontId="10" fillId="0" borderId="34" xfId="0" applyNumberFormat="1" applyFont="1" applyBorder="1" applyAlignment="1">
      <alignment horizontal="right"/>
    </xf>
    <xf numFmtId="0" fontId="10" fillId="0" borderId="35" xfId="0" applyFont="1" applyBorder="1"/>
    <xf numFmtId="43" fontId="10" fillId="0" borderId="36" xfId="3" applyFont="1" applyBorder="1"/>
    <xf numFmtId="0" fontId="18" fillId="7" borderId="0" xfId="0" applyFont="1" applyFill="1" applyAlignment="1">
      <alignment horizontal="centerContinuous"/>
    </xf>
    <xf numFmtId="0" fontId="18" fillId="7" borderId="0" xfId="0" applyFont="1" applyFill="1"/>
    <xf numFmtId="0" fontId="4" fillId="7" borderId="0" xfId="0" applyFont="1" applyFill="1"/>
    <xf numFmtId="0" fontId="13" fillId="7" borderId="0" xfId="0" applyFont="1" applyFill="1"/>
    <xf numFmtId="42" fontId="56" fillId="0" borderId="0" xfId="0" applyNumberFormat="1" applyFont="1"/>
    <xf numFmtId="41" fontId="56" fillId="0" borderId="0" xfId="0" applyNumberFormat="1" applyFont="1" applyFill="1"/>
    <xf numFmtId="41" fontId="56" fillId="0" borderId="0" xfId="0" applyNumberFormat="1" applyFont="1" applyFill="1" applyBorder="1"/>
    <xf numFmtId="41" fontId="57" fillId="0" borderId="8" xfId="0" applyNumberFormat="1" applyFont="1" applyFill="1" applyBorder="1"/>
    <xf numFmtId="41" fontId="49" fillId="0" borderId="0" xfId="0" applyNumberFormat="1" applyFont="1"/>
    <xf numFmtId="41" fontId="56" fillId="0" borderId="0" xfId="0" applyNumberFormat="1" applyFont="1"/>
    <xf numFmtId="41" fontId="56" fillId="0" borderId="26" xfId="0" applyNumberFormat="1" applyFont="1" applyFill="1" applyBorder="1"/>
    <xf numFmtId="41" fontId="56" fillId="0" borderId="26" xfId="0" applyNumberFormat="1" applyFont="1" applyFill="1" applyBorder="1" applyAlignment="1"/>
    <xf numFmtId="41" fontId="49" fillId="0" borderId="26" xfId="0" applyNumberFormat="1" applyFont="1" applyBorder="1"/>
    <xf numFmtId="41" fontId="58" fillId="0" borderId="26" xfId="0" applyNumberFormat="1" applyFont="1" applyFill="1" applyBorder="1" applyAlignment="1"/>
    <xf numFmtId="41" fontId="56" fillId="0" borderId="0" xfId="0" applyNumberFormat="1" applyFont="1" applyFill="1" applyBorder="1" applyAlignment="1"/>
    <xf numFmtId="41" fontId="56" fillId="0" borderId="27" xfId="0" applyNumberFormat="1" applyFont="1" applyFill="1" applyBorder="1" applyAlignment="1" applyProtection="1">
      <protection locked="0"/>
    </xf>
    <xf numFmtId="42" fontId="56" fillId="0" borderId="8" xfId="0" applyNumberFormat="1" applyFont="1" applyFill="1" applyBorder="1" applyAlignment="1"/>
    <xf numFmtId="42" fontId="56" fillId="0" borderId="0" xfId="0" applyNumberFormat="1" applyFont="1" applyBorder="1"/>
    <xf numFmtId="41" fontId="56" fillId="0" borderId="5" xfId="0" applyNumberFormat="1" applyFont="1" applyBorder="1"/>
    <xf numFmtId="0" fontId="56" fillId="0" borderId="0" xfId="0" applyFont="1"/>
    <xf numFmtId="42" fontId="56" fillId="0" borderId="4" xfId="0" applyNumberFormat="1" applyFont="1" applyBorder="1"/>
    <xf numFmtId="42" fontId="56" fillId="0" borderId="8" xfId="0" applyNumberFormat="1" applyFont="1" applyBorder="1"/>
    <xf numFmtId="42" fontId="4" fillId="2" borderId="4" xfId="0" applyNumberFormat="1" applyFont="1" applyFill="1" applyBorder="1"/>
    <xf numFmtId="42" fontId="4" fillId="8" borderId="0" xfId="0" applyNumberFormat="1" applyFont="1" applyFill="1"/>
    <xf numFmtId="42" fontId="29" fillId="2" borderId="4" xfId="0" applyNumberFormat="1" applyFont="1" applyFill="1" applyBorder="1"/>
    <xf numFmtId="41" fontId="29" fillId="2" borderId="0" xfId="0" applyNumberFormat="1" applyFont="1" applyFill="1"/>
    <xf numFmtId="10" fontId="59" fillId="0" borderId="0" xfId="5" applyNumberFormat="1" applyFont="1" applyFill="1" applyBorder="1"/>
    <xf numFmtId="168" fontId="59" fillId="0" borderId="0" xfId="3" applyNumberFormat="1" applyFont="1" applyFill="1" applyBorder="1"/>
    <xf numFmtId="0" fontId="59" fillId="0" borderId="0" xfId="0" applyFont="1"/>
    <xf numFmtId="42" fontId="59" fillId="0" borderId="0" xfId="0" applyNumberFormat="1" applyFont="1"/>
    <xf numFmtId="0" fontId="4" fillId="8" borderId="0" xfId="0" applyFont="1" applyFill="1"/>
    <xf numFmtId="10" fontId="0" fillId="8" borderId="0" xfId="5" applyNumberFormat="1" applyFont="1" applyFill="1"/>
    <xf numFmtId="10" fontId="0" fillId="0" borderId="0" xfId="5" applyNumberFormat="1" applyFont="1"/>
    <xf numFmtId="0" fontId="4" fillId="2" borderId="0" xfId="0" applyFont="1" applyFill="1"/>
    <xf numFmtId="168" fontId="0" fillId="2" borderId="0" xfId="3" applyNumberFormat="1" applyFont="1" applyFill="1"/>
    <xf numFmtId="189" fontId="42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</cellXfs>
  <cellStyles count="11">
    <cellStyle name="Comma" xfId="3" builtinId="3"/>
    <cellStyle name="Comma 2" xfId="10" xr:uid="{00000000-0005-0000-0000-000001000000}"/>
    <cellStyle name="Currency" xfId="4" builtinId="4"/>
    <cellStyle name="Normal" xfId="0" builtinId="0"/>
    <cellStyle name="Normal 135" xfId="2" xr:uid="{00000000-0005-0000-0000-000004000000}"/>
    <cellStyle name="Normal 2" xfId="1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5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00CC"/>
      <color rgb="FFFF66CC"/>
      <color rgb="FFCCFF33"/>
      <color rgb="FF00FFFF"/>
      <color rgb="FF0000FF"/>
      <color rgb="FFFFCC00"/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ELECTRIC-MODE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G-RevEx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G%20Temp%20N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G-BadDeb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0G-DefdGainLoss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5-GAS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G-AMI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4.00G-GAS-MODEL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G-FedIncTax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G-PassThrough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Staff Smart Burn"/>
      <sheetName val="Staff Colstrip Outage"/>
      <sheetName val="Staff Green Direct"/>
      <sheetName val="Staff Shuffleton"/>
      <sheetName val="Common Adj"/>
      <sheetName val="Electric Adj"/>
      <sheetName val="Power Cost Bridge to A-1"/>
      <sheetName val="DO NOT INCLUDE---&gt;"/>
      <sheetName val="Named Ranges E"/>
      <sheetName val="FERC BS"/>
      <sheetName val="FERC IS"/>
      <sheetName val="Staff Colstrip Major Maintn"/>
      <sheetName val="Staff Colstrip 3 4 Common OM"/>
      <sheetName val="Staff Centralia PPA"/>
      <sheetName val="Staff Wind Expense"/>
    </sheetNames>
    <sheetDataSet>
      <sheetData sheetId="0"/>
      <sheetData sheetId="1">
        <row r="12">
          <cell r="M12">
            <v>8.4790000000000004E-3</v>
          </cell>
        </row>
      </sheetData>
      <sheetData sheetId="2">
        <row r="12">
          <cell r="E12">
            <v>2.9399999999999999E-2</v>
          </cell>
        </row>
      </sheetData>
      <sheetData sheetId="3"/>
      <sheetData sheetId="4"/>
      <sheetData sheetId="5">
        <row r="14">
          <cell r="AJ14">
            <v>2006645990.2612319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FS21">
            <v>11304151.202868855</v>
          </cell>
        </row>
      </sheetData>
      <sheetData sheetId="12">
        <row r="16">
          <cell r="M16">
            <v>1433345.375</v>
          </cell>
        </row>
      </sheetData>
      <sheetData sheetId="13"/>
      <sheetData sheetId="14"/>
      <sheetData sheetId="15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/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/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/>
      <sheetData sheetId="1">
        <row r="12">
          <cell r="D12">
            <v>60814.661506623946</v>
          </cell>
          <cell r="E12">
            <v>55965.26325353235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/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/>
      <sheetData sheetId="1">
        <row r="14">
          <cell r="D14">
            <v>2033423.3546339665</v>
          </cell>
          <cell r="E14">
            <v>3008677.465349237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/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/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E23">
            <v>0</v>
          </cell>
          <cell r="G23">
            <v>-6115339.9499999993</v>
          </cell>
        </row>
        <row r="24">
          <cell r="E24">
            <v>10523931</v>
          </cell>
        </row>
        <row r="25">
          <cell r="E25">
            <v>0</v>
          </cell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WN Gas Restating"/>
      <sheetName val="Weather Adj"/>
      <sheetName val="SystemWeatherAdj"/>
      <sheetName val="Weather Adj. For CBR"/>
    </sheetNames>
    <sheetDataSet>
      <sheetData sheetId="0">
        <row r="10">
          <cell r="D10">
            <v>248449022</v>
          </cell>
          <cell r="E10">
            <v>251792569.20523602</v>
          </cell>
          <cell r="G10">
            <v>301813553</v>
          </cell>
          <cell r="H10">
            <v>50020983.794763997</v>
          </cell>
        </row>
        <row r="14">
          <cell r="F14">
            <v>71805.349049671087</v>
          </cell>
          <cell r="G14">
            <v>39343788.777892798</v>
          </cell>
          <cell r="H14">
            <v>33936342.072315551</v>
          </cell>
        </row>
        <row r="16">
          <cell r="G16">
            <v>16256425.743188024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/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/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/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/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/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/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</sheetNames>
    <sheetDataSet>
      <sheetData sheetId="0">
        <row r="41">
          <cell r="I41">
            <v>-27935727.869143888</v>
          </cell>
          <cell r="L41">
            <v>6176333.0377688771</v>
          </cell>
          <cell r="O41">
            <v>-10597674.109657496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/>
      <sheetData sheetId="1"/>
      <sheetData sheetId="2"/>
      <sheetData sheetId="3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/>
      <sheetData sheetId="1">
        <row r="12">
          <cell r="D12">
            <v>-6029.4623969999993</v>
          </cell>
          <cell r="E12">
            <v>548500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/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D27"/>
          <cell r="E27"/>
          <cell r="F27"/>
          <cell r="G27">
            <v>348243.00000000006</v>
          </cell>
          <cell r="H27">
            <v>348243.00000000006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4408606.1080739992</v>
          </cell>
        </row>
        <row r="17">
          <cell r="D17">
            <v>0</v>
          </cell>
          <cell r="E17">
            <v>0</v>
          </cell>
          <cell r="G17">
            <v>-2449225.6155966669</v>
          </cell>
        </row>
        <row r="18">
          <cell r="D18">
            <v>0</v>
          </cell>
          <cell r="E18">
            <v>0</v>
          </cell>
          <cell r="G18">
            <v>128584.344818825</v>
          </cell>
        </row>
        <row r="22">
          <cell r="D22">
            <v>0</v>
          </cell>
          <cell r="E22">
            <v>0</v>
          </cell>
          <cell r="G22">
            <v>5642061.9118303973</v>
          </cell>
        </row>
        <row r="23">
          <cell r="D23">
            <v>0</v>
          </cell>
          <cell r="E23">
            <v>0</v>
          </cell>
          <cell r="G23">
            <v>-940343.6519717332</v>
          </cell>
        </row>
        <row r="24">
          <cell r="D24">
            <v>0</v>
          </cell>
          <cell r="E24">
            <v>0</v>
          </cell>
          <cell r="G24">
            <v>-987360.83457032021</v>
          </cell>
        </row>
        <row r="30">
          <cell r="D30">
            <v>0</v>
          </cell>
          <cell r="E30">
            <v>0</v>
          </cell>
          <cell r="G30">
            <v>1469535.3693580001</v>
          </cell>
        </row>
        <row r="31">
          <cell r="D31">
            <v>0</v>
          </cell>
          <cell r="E31">
            <v>0</v>
          </cell>
          <cell r="G31">
            <v>1880687.3039434666</v>
          </cell>
        </row>
        <row r="32">
          <cell r="D32">
            <v>0</v>
          </cell>
          <cell r="E32">
            <v>0</v>
          </cell>
          <cell r="G32">
            <v>0</v>
          </cell>
        </row>
        <row r="35">
          <cell r="D35">
            <v>0</v>
          </cell>
          <cell r="E35">
            <v>0</v>
          </cell>
        </row>
        <row r="50">
          <cell r="F50">
            <v>-3783396.1710946038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  <cell r="E19"/>
        </row>
        <row r="20">
          <cell r="D20">
            <v>308145.35000000003</v>
          </cell>
        </row>
        <row r="29">
          <cell r="E29"/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O1" zoomScale="85" zoomScaleNormal="85" zoomScaleSheetLayoutView="85" workbookViewId="0">
      <selection activeCell="T36" sqref="T36"/>
    </sheetView>
  </sheetViews>
  <sheetFormatPr defaultColWidth="9.140625" defaultRowHeight="1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>
      <c r="C1" s="407" t="s">
        <v>502</v>
      </c>
      <c r="F1" s="280"/>
      <c r="G1" s="355" t="s">
        <v>480</v>
      </c>
      <c r="H1" s="356"/>
      <c r="L1" s="355" t="s">
        <v>499</v>
      </c>
      <c r="M1" s="356"/>
      <c r="N1" s="5"/>
      <c r="O1" s="5"/>
      <c r="P1" s="407" t="s">
        <v>498</v>
      </c>
    </row>
    <row r="2" spans="1:16">
      <c r="A2" s="339" t="str">
        <f>Comp_GAS</f>
        <v>PUGET SOUND ENERGY - NATURAL GAS</v>
      </c>
      <c r="B2" s="339"/>
      <c r="C2" s="339"/>
      <c r="D2" s="339" t="str">
        <f>Comp_GAS</f>
        <v>PUGET SOUND ENERGY - NATURAL GAS</v>
      </c>
      <c r="E2" s="339"/>
      <c r="F2" s="339"/>
      <c r="G2" s="339"/>
      <c r="H2" s="339"/>
      <c r="I2" s="339" t="str">
        <f>Comp_GAS</f>
        <v>PUGET SOUND ENERGY - NATURAL GAS</v>
      </c>
      <c r="J2" s="339"/>
      <c r="K2" s="340"/>
      <c r="L2" s="340"/>
      <c r="M2" s="340"/>
      <c r="N2" s="339" t="str">
        <f>Comp_GAS</f>
        <v>PUGET SOUND ENERGY - NATURAL GAS</v>
      </c>
      <c r="O2" s="133"/>
      <c r="P2" s="133"/>
    </row>
    <row r="3" spans="1:16">
      <c r="A3" s="339" t="s">
        <v>435</v>
      </c>
      <c r="B3" s="339"/>
      <c r="C3" s="339"/>
      <c r="D3" s="339" t="s">
        <v>435</v>
      </c>
      <c r="E3" s="339"/>
      <c r="F3" s="339"/>
      <c r="G3" s="339"/>
      <c r="H3" s="339"/>
      <c r="I3" s="339" t="s">
        <v>435</v>
      </c>
      <c r="J3" s="339"/>
      <c r="K3" s="340"/>
      <c r="L3" s="340"/>
      <c r="M3" s="340"/>
      <c r="N3" s="339" t="s">
        <v>435</v>
      </c>
      <c r="O3" s="133"/>
      <c r="P3" s="133"/>
    </row>
    <row r="4" spans="1:16">
      <c r="A4" s="339" t="str">
        <f>CASE_GAS</f>
        <v>2019 GENERAL RATE CASE</v>
      </c>
      <c r="B4" s="339"/>
      <c r="C4" s="339"/>
      <c r="D4" s="339" t="str">
        <f>CASE_GAS</f>
        <v>2019 GENERAL RATE CASE</v>
      </c>
      <c r="E4" s="339"/>
      <c r="F4" s="339"/>
      <c r="G4" s="339"/>
      <c r="H4" s="339"/>
      <c r="I4" s="339" t="str">
        <f>CASE_GAS</f>
        <v>2019 GENERAL RATE CASE</v>
      </c>
      <c r="J4" s="339"/>
      <c r="K4" s="340"/>
      <c r="L4" s="340"/>
      <c r="M4" s="340"/>
      <c r="N4" s="339" t="str">
        <f>CASE_GAS</f>
        <v>2019 GENERAL RATE CASE</v>
      </c>
      <c r="O4" s="133"/>
      <c r="P4" s="133"/>
    </row>
    <row r="5" spans="1:16">
      <c r="A5" s="339" t="str">
        <f>TESTYEAR_GAS</f>
        <v>12 MONTHS ENDED DECEMBER 31, 2018</v>
      </c>
      <c r="B5" s="339"/>
      <c r="C5" s="339"/>
      <c r="D5" s="339" t="str">
        <f>TESTYEAR_GAS</f>
        <v>12 MONTHS ENDED DECEMBER 31, 2018</v>
      </c>
      <c r="E5" s="339"/>
      <c r="F5" s="339"/>
      <c r="G5" s="339"/>
      <c r="H5" s="339"/>
      <c r="I5" s="339" t="str">
        <f>TESTYEAR_GAS</f>
        <v>12 MONTHS ENDED DECEMBER 31, 2018</v>
      </c>
      <c r="J5" s="339"/>
      <c r="K5" s="340"/>
      <c r="L5" s="340"/>
      <c r="M5" s="340"/>
      <c r="N5" s="339" t="str">
        <f>TESTYEAR_GAS</f>
        <v>12 MONTHS ENDED DECEMBER 31, 2018</v>
      </c>
      <c r="O5" s="133"/>
      <c r="P5" s="133"/>
    </row>
    <row r="6" spans="1:16" s="278" customFormat="1" ht="14.25">
      <c r="A6" s="341" t="s">
        <v>66</v>
      </c>
      <c r="B6" s="339"/>
      <c r="C6" s="339"/>
      <c r="D6" s="341"/>
      <c r="E6" s="341" t="s">
        <v>437</v>
      </c>
      <c r="F6" s="339"/>
      <c r="G6" s="339"/>
      <c r="H6" s="339"/>
      <c r="I6" s="341" t="s">
        <v>65</v>
      </c>
      <c r="J6" s="341"/>
      <c r="K6" s="339"/>
      <c r="L6" s="339"/>
      <c r="M6" s="339"/>
      <c r="N6" s="490" t="s">
        <v>66</v>
      </c>
      <c r="O6" s="133"/>
      <c r="P6" s="133"/>
    </row>
    <row r="7" spans="1:16">
      <c r="B7" s="340"/>
      <c r="C7" s="340"/>
      <c r="D7" s="716"/>
      <c r="E7" s="638" t="s">
        <v>525</v>
      </c>
      <c r="F7" s="715"/>
      <c r="G7" s="715"/>
      <c r="H7" s="715"/>
      <c r="I7" s="340"/>
      <c r="J7" s="340"/>
      <c r="K7" s="340"/>
      <c r="L7" s="340"/>
      <c r="M7" s="340"/>
      <c r="N7" s="717"/>
      <c r="O7" s="638" t="s">
        <v>525</v>
      </c>
      <c r="P7" s="715"/>
    </row>
    <row r="8" spans="1:16">
      <c r="I8" s="340"/>
      <c r="J8" s="340"/>
      <c r="K8" s="340"/>
      <c r="L8" s="340"/>
      <c r="N8" s="5"/>
      <c r="O8" s="5"/>
      <c r="P8" s="5"/>
    </row>
    <row r="9" spans="1:16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>
      <c r="A10" s="412" t="s">
        <v>37</v>
      </c>
      <c r="B10" s="412" t="s">
        <v>60</v>
      </c>
      <c r="C10" s="413"/>
      <c r="D10" s="412" t="s">
        <v>37</v>
      </c>
      <c r="E10" s="412" t="s">
        <v>60</v>
      </c>
      <c r="F10" s="270" t="s">
        <v>268</v>
      </c>
      <c r="G10" s="270" t="s">
        <v>237</v>
      </c>
      <c r="H10" s="270" t="s">
        <v>237</v>
      </c>
      <c r="I10" s="412" t="s">
        <v>37</v>
      </c>
      <c r="J10" s="412" t="s">
        <v>60</v>
      </c>
      <c r="K10" s="412"/>
      <c r="L10" s="413"/>
      <c r="M10" s="413"/>
      <c r="N10" s="412" t="s">
        <v>37</v>
      </c>
      <c r="O10" s="412" t="s">
        <v>60</v>
      </c>
      <c r="P10" s="412" t="s">
        <v>495</v>
      </c>
    </row>
    <row r="11" spans="1:16">
      <c r="N11" s="5"/>
      <c r="O11" s="5"/>
      <c r="P11" s="5"/>
    </row>
    <row r="12" spans="1:16">
      <c r="A12" s="285">
        <v>1</v>
      </c>
      <c r="B12" s="292" t="s">
        <v>61</v>
      </c>
      <c r="C12" s="328">
        <f>Summary!G46</f>
        <v>2071089382.2087018</v>
      </c>
      <c r="D12" s="285">
        <v>1</v>
      </c>
      <c r="E12" s="292" t="s">
        <v>163</v>
      </c>
      <c r="F12" s="342">
        <f>'Staff CoC'!C11</f>
        <v>0.51500000000000001</v>
      </c>
      <c r="G12" s="342">
        <f>'Staff CoC'!D11</f>
        <v>5.5728155339805824E-2</v>
      </c>
      <c r="H12" s="338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500</v>
      </c>
      <c r="P12" s="738">
        <v>82842811.061796457</v>
      </c>
    </row>
    <row r="13" spans="1:16">
      <c r="A13" s="285">
        <f t="shared" ref="A13:A36" si="0">A12+1</f>
        <v>2</v>
      </c>
      <c r="B13" s="286" t="s">
        <v>24</v>
      </c>
      <c r="C13" s="342">
        <f>+H14</f>
        <v>7.3300000000000004E-2</v>
      </c>
      <c r="D13" s="285">
        <f t="shared" ref="D13:D18" si="1">D12+1</f>
        <v>2</v>
      </c>
      <c r="E13" s="292" t="s">
        <v>67</v>
      </c>
      <c r="F13" s="342">
        <f>'Staff CoC'!C12</f>
        <v>0.48499999999999999</v>
      </c>
      <c r="G13" s="342">
        <f>'Staff CoC'!D12</f>
        <v>9.1999999999999998E-2</v>
      </c>
      <c r="H13" s="338">
        <f>ROUND(F13*G13,4)</f>
        <v>4.4600000000000001E-2</v>
      </c>
      <c r="I13" s="285">
        <f t="shared" ref="I13:I20" si="2">I12+1</f>
        <v>2</v>
      </c>
      <c r="J13" s="286" t="s">
        <v>70</v>
      </c>
      <c r="K13" s="292"/>
      <c r="L13" s="292"/>
      <c r="M13" s="195">
        <f>+'[2]4.01 G'!$E$14</f>
        <v>2E-3</v>
      </c>
      <c r="N13" s="114">
        <f>N12+1</f>
        <v>2</v>
      </c>
      <c r="O13" s="154" t="s">
        <v>496</v>
      </c>
      <c r="P13" s="148">
        <f>C26</f>
        <v>-32357068.941032507</v>
      </c>
    </row>
    <row r="14" spans="1:16">
      <c r="A14" s="285">
        <f t="shared" si="0"/>
        <v>3</v>
      </c>
      <c r="B14" s="286"/>
      <c r="C14" s="344"/>
      <c r="D14" s="285">
        <f t="shared" si="1"/>
        <v>3</v>
      </c>
      <c r="E14" s="292" t="s">
        <v>54</v>
      </c>
      <c r="F14" s="345">
        <f>SUM(F12:F13)</f>
        <v>1</v>
      </c>
      <c r="G14" s="346"/>
      <c r="H14" s="640">
        <f>SUM(H12:H13)</f>
        <v>7.3300000000000004E-2</v>
      </c>
      <c r="I14" s="285">
        <f t="shared" si="2"/>
        <v>3</v>
      </c>
      <c r="J14" s="286" t="str">
        <f>"STATE UTILITY TAX ( "&amp;M14*100&amp;"% - ( LINE 1 * "&amp;M14*100&amp;"% )  )"</f>
        <v>STATE UTILITY TAX ( 3.8323% - ( LINE 1 * 3.8323% )  )</v>
      </c>
      <c r="L14" s="347">
        <f>+'[2]4.01 G'!$D$15</f>
        <v>3.8519999999999999E-2</v>
      </c>
      <c r="M14" s="348">
        <f>ROUND(L14-(L14*M12),6)</f>
        <v>3.8323000000000003E-2</v>
      </c>
      <c r="N14" s="114">
        <f>N13+1</f>
        <v>3</v>
      </c>
      <c r="O14" s="5"/>
      <c r="P14" s="272"/>
    </row>
    <row r="15" spans="1:16" ht="15.75" thickBot="1">
      <c r="A15" s="285">
        <f t="shared" si="0"/>
        <v>4</v>
      </c>
      <c r="B15" s="292" t="s">
        <v>62</v>
      </c>
      <c r="C15" s="330">
        <f>+C13*C12</f>
        <v>151810851.71589786</v>
      </c>
      <c r="D15" s="285">
        <f t="shared" si="1"/>
        <v>4</v>
      </c>
      <c r="E15" s="292"/>
      <c r="I15" s="285">
        <f t="shared" si="2"/>
        <v>4</v>
      </c>
      <c r="J15" s="286"/>
      <c r="K15" s="292"/>
      <c r="L15" s="292"/>
      <c r="M15" s="84"/>
      <c r="N15" s="114">
        <f>N14+1</f>
        <v>4</v>
      </c>
      <c r="O15" s="5" t="s">
        <v>497</v>
      </c>
      <c r="P15" s="737">
        <f>SUM(P12:P14)</f>
        <v>50485742.12076395</v>
      </c>
    </row>
    <row r="16" spans="1:16" ht="15.75" thickTop="1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8">
        <f>+F12</f>
        <v>0.51500000000000001</v>
      </c>
      <c r="G16" s="338">
        <f>G12*0.79</f>
        <v>4.40252427184466E-2</v>
      </c>
      <c r="H16" s="338">
        <f>ROUND(H12*0.79,4)</f>
        <v>2.2700000000000001E-2</v>
      </c>
      <c r="I16" s="285">
        <f t="shared" si="2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3"/>
      <c r="P16" t="s">
        <v>626</v>
      </c>
    </row>
    <row r="17" spans="1:20">
      <c r="A17" s="285">
        <f t="shared" si="0"/>
        <v>6</v>
      </c>
      <c r="B17" s="286" t="s">
        <v>63</v>
      </c>
      <c r="C17" s="330">
        <f>Summary!G44</f>
        <v>98480853.422898769</v>
      </c>
      <c r="D17" s="285">
        <f t="shared" si="1"/>
        <v>6</v>
      </c>
      <c r="E17" s="292" t="s">
        <v>67</v>
      </c>
      <c r="F17" s="338">
        <f>+F13</f>
        <v>0.48499999999999999</v>
      </c>
      <c r="G17" s="338">
        <f>+G13</f>
        <v>9.1999999999999998E-2</v>
      </c>
      <c r="H17" s="338">
        <f>ROUND(F17*G17,4)</f>
        <v>4.4600000000000001E-2</v>
      </c>
      <c r="I17" s="285">
        <f t="shared" si="2"/>
        <v>6</v>
      </c>
      <c r="J17" s="292"/>
      <c r="K17" s="292"/>
      <c r="L17" s="292"/>
      <c r="M17" s="195"/>
      <c r="N17" s="343"/>
    </row>
    <row r="18" spans="1:20">
      <c r="A18" s="285">
        <f t="shared" si="0"/>
        <v>7</v>
      </c>
      <c r="B18" s="286" t="s">
        <v>64</v>
      </c>
      <c r="C18" s="349">
        <f>+C15-C17</f>
        <v>53329998.292999089</v>
      </c>
      <c r="D18" s="285">
        <f t="shared" si="1"/>
        <v>7</v>
      </c>
      <c r="E18" s="292" t="s">
        <v>68</v>
      </c>
      <c r="F18" s="345">
        <f>SUM(F16:F17)</f>
        <v>1</v>
      </c>
      <c r="G18" s="346"/>
      <c r="H18" s="345">
        <f>SUM(H16:H17)</f>
        <v>6.7299999999999999E-2</v>
      </c>
      <c r="I18" s="285">
        <f t="shared" si="2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3"/>
    </row>
    <row r="19" spans="1:20">
      <c r="A19" s="285">
        <f t="shared" si="0"/>
        <v>8</v>
      </c>
      <c r="B19" s="292"/>
      <c r="D19" s="285"/>
      <c r="I19" s="285">
        <f t="shared" si="2"/>
        <v>8</v>
      </c>
      <c r="J19" s="286" t="str">
        <f>"FEDERAL INCOME TAX ( LINE "&amp;I18&amp;"  * "&amp;FIT_GAS*100&amp;"% )"</f>
        <v>FEDERAL INCOME TAX ( LINE 7  * 21% )</v>
      </c>
      <c r="K19" s="292"/>
      <c r="L19" s="350">
        <f>+FIT_GAS</f>
        <v>0.21</v>
      </c>
      <c r="M19" s="195">
        <f>ROUND((M18)*FIT_GAS,6)</f>
        <v>0.200456</v>
      </c>
      <c r="N19" s="343"/>
      <c r="O19" s="134" t="s">
        <v>627</v>
      </c>
      <c r="P19" s="5"/>
      <c r="Q19" s="741"/>
      <c r="R19" s="742"/>
      <c r="S19" s="743"/>
      <c r="T19" s="744"/>
    </row>
    <row r="20" spans="1:20" ht="15.75" thickBot="1">
      <c r="A20" s="285">
        <f t="shared" si="0"/>
        <v>9</v>
      </c>
      <c r="B20" s="292" t="s">
        <v>65</v>
      </c>
      <c r="C20" s="408">
        <f>+M20</f>
        <v>0.75409700000000002</v>
      </c>
      <c r="D20" s="285"/>
      <c r="I20" s="285">
        <f t="shared" si="2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1">
        <f>ROUND(1-M19-M16,6)</f>
        <v>0.75409700000000002</v>
      </c>
      <c r="N20" s="343"/>
      <c r="O20" s="745" t="s">
        <v>628</v>
      </c>
      <c r="P20" s="745"/>
      <c r="Q20" s="746"/>
      <c r="R20" s="742"/>
      <c r="S20" s="742"/>
      <c r="T20" s="742"/>
    </row>
    <row r="21" spans="1:20" ht="15.75" thickTop="1">
      <c r="A21" s="285">
        <f t="shared" si="0"/>
        <v>10</v>
      </c>
      <c r="B21" s="279" t="s">
        <v>494</v>
      </c>
      <c r="C21" s="590">
        <f>ROUND(+C18/C20,0)</f>
        <v>70720343</v>
      </c>
      <c r="D21" s="285"/>
      <c r="I21" s="285"/>
      <c r="K21" s="343"/>
      <c r="L21" s="343"/>
      <c r="M21" s="343"/>
      <c r="N21" s="343"/>
      <c r="O21" s="748" t="s">
        <v>629</v>
      </c>
      <c r="P21" s="749"/>
      <c r="Q21" s="749"/>
      <c r="R21" s="742"/>
      <c r="S21" s="742"/>
      <c r="T21" s="742"/>
    </row>
    <row r="22" spans="1:20">
      <c r="A22" s="114">
        <f t="shared" si="0"/>
        <v>11</v>
      </c>
      <c r="B22" s="279" t="s">
        <v>479</v>
      </c>
      <c r="C22" s="344"/>
      <c r="D22" s="285"/>
      <c r="I22" s="285"/>
      <c r="K22" s="343"/>
      <c r="L22" s="352"/>
      <c r="M22" s="353"/>
      <c r="O22" s="743"/>
      <c r="P22" s="744"/>
      <c r="Q22" s="747"/>
      <c r="R22" s="747"/>
      <c r="S22"/>
      <c r="T22"/>
    </row>
    <row r="23" spans="1:20">
      <c r="A23" s="114">
        <f t="shared" si="0"/>
        <v>12</v>
      </c>
      <c r="B23" s="387" t="s">
        <v>471</v>
      </c>
      <c r="C23" s="294">
        <f>+'[3]Combined Impacts'!$O$41</f>
        <v>-10597674.109657496</v>
      </c>
      <c r="D23" s="285"/>
    </row>
    <row r="24" spans="1:20">
      <c r="A24" s="114">
        <f t="shared" si="0"/>
        <v>13</v>
      </c>
      <c r="B24" s="387" t="s">
        <v>467</v>
      </c>
      <c r="C24" s="294">
        <f>+'[3]Combined Impacts'!$I$41</f>
        <v>-27935727.869143888</v>
      </c>
      <c r="D24" s="285"/>
    </row>
    <row r="25" spans="1:20">
      <c r="A25" s="114">
        <f t="shared" si="0"/>
        <v>14</v>
      </c>
      <c r="B25" s="387" t="s">
        <v>468</v>
      </c>
      <c r="C25" s="294">
        <f>+'[3]Combined Impacts'!$L$41</f>
        <v>6176333.0377688771</v>
      </c>
      <c r="E25"/>
      <c r="F25"/>
      <c r="G25"/>
      <c r="H25"/>
    </row>
    <row r="26" spans="1:20">
      <c r="A26" s="114">
        <f t="shared" si="0"/>
        <v>15</v>
      </c>
      <c r="B26" s="279" t="s">
        <v>469</v>
      </c>
      <c r="C26" s="349">
        <f>SUM(C23:C25)</f>
        <v>-32357068.941032507</v>
      </c>
      <c r="E26"/>
      <c r="F26"/>
      <c r="G26"/>
      <c r="H26"/>
    </row>
    <row r="27" spans="1:20">
      <c r="A27" s="114">
        <f t="shared" si="0"/>
        <v>16</v>
      </c>
      <c r="C27" s="344"/>
      <c r="E27"/>
      <c r="F27"/>
      <c r="G27"/>
      <c r="H27"/>
    </row>
    <row r="28" spans="1:20">
      <c r="A28" s="114">
        <f t="shared" si="0"/>
        <v>17</v>
      </c>
      <c r="B28" s="279" t="s">
        <v>470</v>
      </c>
      <c r="C28" s="588">
        <f>C21+C26</f>
        <v>38363274.058967493</v>
      </c>
      <c r="E28"/>
      <c r="F28"/>
      <c r="G28"/>
      <c r="H28"/>
    </row>
    <row r="29" spans="1:20">
      <c r="A29" s="114">
        <f t="shared" si="0"/>
        <v>18</v>
      </c>
      <c r="C29" s="586"/>
      <c r="E29"/>
      <c r="F29"/>
      <c r="G29"/>
      <c r="H29"/>
    </row>
    <row r="30" spans="1:20">
      <c r="A30" s="114">
        <f t="shared" si="0"/>
        <v>19</v>
      </c>
      <c r="B30" s="279" t="s">
        <v>491</v>
      </c>
      <c r="C30" s="740">
        <f>C32-C28</f>
        <v>12122468.061796457</v>
      </c>
      <c r="D30"/>
      <c r="E30"/>
      <c r="F30"/>
      <c r="G30"/>
      <c r="H30"/>
    </row>
    <row r="31" spans="1:20">
      <c r="A31" s="114">
        <f t="shared" si="0"/>
        <v>20</v>
      </c>
      <c r="C31" t="s">
        <v>626</v>
      </c>
      <c r="E31"/>
      <c r="F31"/>
      <c r="G31"/>
      <c r="H31"/>
    </row>
    <row r="32" spans="1:20">
      <c r="A32" s="114">
        <f t="shared" si="0"/>
        <v>21</v>
      </c>
      <c r="B32" s="279" t="s">
        <v>501</v>
      </c>
      <c r="C32" s="740">
        <f>'COC, Def, ConvF'!P15</f>
        <v>50485742.12076395</v>
      </c>
      <c r="D32"/>
      <c r="E32"/>
      <c r="F32"/>
      <c r="G32"/>
      <c r="H32"/>
    </row>
    <row r="33" spans="1:5">
      <c r="A33" s="114">
        <f t="shared" si="0"/>
        <v>22</v>
      </c>
      <c r="C33" t="s">
        <v>626</v>
      </c>
    </row>
    <row r="34" spans="1:5">
      <c r="A34" s="114">
        <f t="shared" si="0"/>
        <v>23</v>
      </c>
      <c r="B34" s="279" t="s">
        <v>490</v>
      </c>
      <c r="C34" s="587">
        <v>0</v>
      </c>
      <c r="D34" s="280"/>
      <c r="E34" s="280"/>
    </row>
    <row r="35" spans="1:5">
      <c r="A35" s="114">
        <f t="shared" si="0"/>
        <v>24</v>
      </c>
      <c r="C35" s="477"/>
      <c r="D35" s="280"/>
      <c r="E35" s="280"/>
    </row>
    <row r="36" spans="1:5" ht="15.75" thickBot="1">
      <c r="A36" s="114">
        <f t="shared" si="0"/>
        <v>25</v>
      </c>
      <c r="B36" s="279" t="s">
        <v>575</v>
      </c>
      <c r="C36" s="739">
        <f>C32+C34</f>
        <v>50485742.12076395</v>
      </c>
      <c r="D36"/>
      <c r="E36" s="280"/>
    </row>
    <row r="37" spans="1:5" ht="15.75" thickTop="1">
      <c r="C37" t="s">
        <v>626</v>
      </c>
    </row>
  </sheetData>
  <pageMargins left="0.7" right="0.7" top="0.9" bottom="0.75" header="0.3" footer="0.3"/>
  <pageSetup scale="50" orientation="portrait" r:id="rId1"/>
  <headerFooter>
    <oddHeader xml:space="preserve">&amp;R&amp;"Times New Roman,Regular"Exh. JL-3r
Dockets UE 190529 / UG-190530 and
UE-190274 / UG-190275 (consol.)
Page &amp;P of &amp;N &amp;"-,Regular"
</oddHeader>
  </headerFooter>
  <colBreaks count="3" manualBreakCount="3">
    <brk id="3" max="1048575" man="1"/>
    <brk id="8" max="36" man="1"/>
    <brk id="13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C9"/>
  <sheetViews>
    <sheetView workbookViewId="0">
      <selection activeCell="A28" sqref="A28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72</v>
      </c>
      <c r="C3" s="6">
        <v>0.21</v>
      </c>
    </row>
    <row r="4" spans="2:3">
      <c r="B4" t="s">
        <v>73</v>
      </c>
      <c r="C4" t="s">
        <v>160</v>
      </c>
    </row>
    <row r="5" spans="2:3">
      <c r="B5" t="s">
        <v>74</v>
      </c>
      <c r="C5" t="s">
        <v>195</v>
      </c>
    </row>
    <row r="6" spans="2:3">
      <c r="B6" t="s">
        <v>75</v>
      </c>
      <c r="C6" t="s">
        <v>308</v>
      </c>
    </row>
    <row r="7" spans="2:3">
      <c r="B7" t="s">
        <v>77</v>
      </c>
      <c r="C7" t="s">
        <v>76</v>
      </c>
    </row>
    <row r="8" spans="2:3">
      <c r="B8" t="s">
        <v>89</v>
      </c>
      <c r="C8" t="s">
        <v>431</v>
      </c>
    </row>
    <row r="9" spans="2:3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="85" zoomScaleNormal="93" zoomScaleSheetLayoutView="85" workbookViewId="0">
      <selection activeCell="C19" sqref="C19"/>
    </sheetView>
  </sheetViews>
  <sheetFormatPr defaultColWidth="9.140625" defaultRowHeight="15"/>
  <cols>
    <col min="1" max="1" width="9.140625" style="529"/>
    <col min="2" max="2" width="42.42578125" style="529" bestFit="1" customWidth="1"/>
    <col min="3" max="5" width="19.7109375" style="529" customWidth="1"/>
    <col min="6" max="16384" width="9.140625" style="529"/>
  </cols>
  <sheetData>
    <row r="1" spans="1:6" ht="15.75">
      <c r="A1" s="528"/>
    </row>
    <row r="2" spans="1:6" ht="15.75" customHeight="1">
      <c r="A2" s="531"/>
      <c r="B2" s="532" t="s">
        <v>528</v>
      </c>
      <c r="C2" s="532"/>
      <c r="D2" s="532"/>
      <c r="E2" s="532"/>
      <c r="F2" s="532"/>
    </row>
    <row r="3" spans="1:6" ht="15.75" customHeight="1">
      <c r="A3" s="533"/>
      <c r="B3" s="534" t="s">
        <v>160</v>
      </c>
      <c r="C3" s="535"/>
      <c r="D3" s="535"/>
      <c r="E3" s="535"/>
      <c r="F3" s="535"/>
    </row>
    <row r="4" spans="1:6" ht="15.75" customHeight="1">
      <c r="A4" s="531"/>
      <c r="B4" s="534" t="s">
        <v>529</v>
      </c>
      <c r="C4" s="534"/>
      <c r="D4" s="534"/>
      <c r="E4" s="534"/>
      <c r="F4" s="534"/>
    </row>
    <row r="5" spans="1:6" ht="15.75">
      <c r="A5" s="531"/>
      <c r="B5" s="750" t="s">
        <v>530</v>
      </c>
      <c r="C5" s="750"/>
      <c r="D5" s="750"/>
      <c r="E5" s="750"/>
      <c r="F5" s="750"/>
    </row>
    <row r="6" spans="1:6">
      <c r="A6" s="633"/>
      <c r="B6" s="634" t="s">
        <v>525</v>
      </c>
      <c r="C6" s="635"/>
      <c r="D6" s="635"/>
      <c r="E6" s="635"/>
      <c r="F6" s="536"/>
    </row>
    <row r="7" spans="1:6">
      <c r="A7" s="537"/>
      <c r="B7" s="531"/>
      <c r="C7" s="185"/>
      <c r="D7" s="531"/>
      <c r="E7" s="531"/>
      <c r="F7" s="531"/>
    </row>
    <row r="8" spans="1:6">
      <c r="A8" s="538" t="s">
        <v>531</v>
      </c>
      <c r="B8" s="539"/>
      <c r="C8" s="539"/>
      <c r="D8" s="539"/>
      <c r="E8" s="539"/>
      <c r="F8" s="539"/>
    </row>
    <row r="9" spans="1:6">
      <c r="A9" s="540" t="s">
        <v>532</v>
      </c>
      <c r="B9" s="412" t="s">
        <v>60</v>
      </c>
      <c r="C9" s="541"/>
      <c r="D9" s="541"/>
      <c r="E9" s="541"/>
      <c r="F9" s="542"/>
    </row>
    <row r="10" spans="1:6">
      <c r="A10" s="114"/>
      <c r="B10" s="539"/>
      <c r="C10" s="539"/>
      <c r="D10" s="539"/>
      <c r="E10" s="539"/>
      <c r="F10" s="539"/>
    </row>
    <row r="11" spans="1:6">
      <c r="A11" s="114">
        <f t="shared" ref="A11:A17" si="0">A10+1</f>
        <v>1</v>
      </c>
      <c r="B11" s="154" t="s">
        <v>163</v>
      </c>
      <c r="C11" s="543">
        <v>0.51500000000000001</v>
      </c>
      <c r="D11" s="544">
        <v>5.5728155339805824E-2</v>
      </c>
      <c r="E11" s="544">
        <f>ROUND(C11*D11, 4)</f>
        <v>2.87E-2</v>
      </c>
      <c r="F11" s="545"/>
    </row>
    <row r="12" spans="1:6">
      <c r="A12" s="114">
        <f t="shared" si="0"/>
        <v>2</v>
      </c>
      <c r="B12" s="154" t="s">
        <v>67</v>
      </c>
      <c r="C12" s="546">
        <v>0.48499999999999999</v>
      </c>
      <c r="D12" s="636">
        <v>9.1999999999999998E-2</v>
      </c>
      <c r="E12" s="563">
        <f>ROUND(C12*D12, 4)</f>
        <v>4.4600000000000001E-2</v>
      </c>
      <c r="F12" s="547"/>
    </row>
    <row r="13" spans="1:6">
      <c r="A13" s="114">
        <f t="shared" si="0"/>
        <v>3</v>
      </c>
      <c r="B13" s="154" t="s">
        <v>54</v>
      </c>
      <c r="C13" s="548">
        <f>SUM(C11:C12)</f>
        <v>1</v>
      </c>
      <c r="D13" s="548"/>
      <c r="E13" s="637">
        <f>SUM(E11:E12)</f>
        <v>7.3300000000000004E-2</v>
      </c>
      <c r="F13" s="549"/>
    </row>
    <row r="14" spans="1:6">
      <c r="A14" s="114">
        <f t="shared" si="0"/>
        <v>4</v>
      </c>
      <c r="B14" s="550"/>
      <c r="C14" s="551"/>
      <c r="D14" s="551"/>
      <c r="E14" s="551"/>
      <c r="F14" s="550"/>
    </row>
    <row r="15" spans="1:6">
      <c r="A15" s="114">
        <f t="shared" si="0"/>
        <v>5</v>
      </c>
      <c r="B15" s="154" t="s">
        <v>270</v>
      </c>
      <c r="C15" s="552">
        <f>C11</f>
        <v>0.51500000000000001</v>
      </c>
      <c r="D15" s="562">
        <f>D11*0.79</f>
        <v>4.40252427184466E-2</v>
      </c>
      <c r="E15" s="553">
        <f>ROUND(E11*0.79,4)</f>
        <v>2.2700000000000001E-2</v>
      </c>
      <c r="F15" s="554"/>
    </row>
    <row r="16" spans="1:6">
      <c r="A16" s="114">
        <f t="shared" si="0"/>
        <v>6</v>
      </c>
      <c r="B16" s="154" t="s">
        <v>67</v>
      </c>
      <c r="C16" s="555">
        <f>C12</f>
        <v>0.48499999999999999</v>
      </c>
      <c r="D16" s="555">
        <f>D12</f>
        <v>9.1999999999999998E-2</v>
      </c>
      <c r="E16" s="556">
        <f>ROUND(C16*D16, 4)</f>
        <v>4.4600000000000001E-2</v>
      </c>
      <c r="F16" s="554"/>
    </row>
    <row r="17" spans="1:6">
      <c r="A17" s="114">
        <f t="shared" si="0"/>
        <v>7</v>
      </c>
      <c r="B17" s="154" t="s">
        <v>68</v>
      </c>
      <c r="C17" s="549">
        <v>1</v>
      </c>
      <c r="D17" s="557"/>
      <c r="E17" s="549">
        <f>SUM(E15:E16)</f>
        <v>6.7299999999999999E-2</v>
      </c>
      <c r="F17" s="554"/>
    </row>
    <row r="18" spans="1:6">
      <c r="A18" s="114"/>
      <c r="B18" s="558"/>
      <c r="C18" s="559"/>
      <c r="D18" s="554"/>
      <c r="E18" s="560"/>
      <c r="F18" s="561"/>
    </row>
    <row r="19" spans="1:6">
      <c r="A19" s="114"/>
      <c r="B19" s="539"/>
      <c r="C19" s="559"/>
      <c r="D19" s="554"/>
      <c r="E19" s="560"/>
      <c r="F19" s="561"/>
    </row>
    <row r="30" spans="1:6" s="530" customFormat="1"/>
  </sheetData>
  <mergeCells count="1">
    <mergeCell ref="B5:F5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view="pageBreakPreview" zoomScale="85" zoomScaleNormal="115" zoomScaleSheetLayoutView="85" workbookViewId="0">
      <selection activeCell="C19" sqref="C19"/>
    </sheetView>
  </sheetViews>
  <sheetFormatPr defaultColWidth="9.140625" defaultRowHeight="1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>
      <c r="C1" s="698" t="s">
        <v>625</v>
      </c>
      <c r="D1" s="355" t="s">
        <v>481</v>
      </c>
      <c r="E1" s="356"/>
    </row>
    <row r="2" spans="1:5">
      <c r="A2" s="339" t="str">
        <f>Comp_GAS</f>
        <v>PUGET SOUND ENERGY - NATURAL GAS</v>
      </c>
      <c r="B2" s="339"/>
      <c r="C2" s="339"/>
      <c r="D2" s="339"/>
      <c r="E2" s="339"/>
    </row>
    <row r="3" spans="1:5">
      <c r="A3" s="339" t="s">
        <v>435</v>
      </c>
      <c r="B3" s="339"/>
      <c r="C3" s="339"/>
      <c r="D3" s="339"/>
      <c r="E3" s="339"/>
    </row>
    <row r="4" spans="1:5">
      <c r="A4" s="339" t="str">
        <f>CASE_GAS</f>
        <v>2019 GENERAL RATE CASE</v>
      </c>
      <c r="B4" s="339"/>
      <c r="C4" s="339"/>
      <c r="D4" s="339"/>
      <c r="E4" s="339"/>
    </row>
    <row r="5" spans="1:5">
      <c r="A5" s="339" t="str">
        <f>TESTYEAR_GAS</f>
        <v>12 MONTHS ENDED DECEMBER 31, 2018</v>
      </c>
      <c r="B5" s="339"/>
      <c r="C5" s="339"/>
      <c r="D5" s="339"/>
      <c r="E5" s="339"/>
    </row>
    <row r="6" spans="1:5">
      <c r="A6" s="639" t="s">
        <v>436</v>
      </c>
      <c r="B6" s="639"/>
      <c r="C6" s="339"/>
      <c r="D6" s="339"/>
      <c r="E6" s="339"/>
    </row>
    <row r="8" spans="1:5">
      <c r="A8" s="4" t="s">
        <v>36</v>
      </c>
      <c r="B8" s="4"/>
      <c r="C8" s="277" t="s">
        <v>266</v>
      </c>
      <c r="D8" s="5"/>
      <c r="E8" s="277" t="s">
        <v>267</v>
      </c>
    </row>
    <row r="9" spans="1: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>
      <c r="A11" s="285">
        <v>1</v>
      </c>
      <c r="B11" s="292" t="s">
        <v>163</v>
      </c>
      <c r="C11" s="342">
        <v>0.51</v>
      </c>
      <c r="D11" s="342">
        <v>5.7647058823529412E-2</v>
      </c>
      <c r="E11" s="338">
        <f>ROUND(C11*D11,4)</f>
        <v>2.9399999999999999E-2</v>
      </c>
    </row>
    <row r="12" spans="1:5">
      <c r="A12" s="285">
        <f t="shared" ref="A12:A17" si="0">A11+1</f>
        <v>2</v>
      </c>
      <c r="B12" s="292" t="s">
        <v>67</v>
      </c>
      <c r="C12" s="342">
        <v>0.49</v>
      </c>
      <c r="D12" s="342">
        <v>9.5000000000000001E-2</v>
      </c>
      <c r="E12" s="338">
        <f>ROUND(C12*D12,4)</f>
        <v>4.6600000000000003E-2</v>
      </c>
    </row>
    <row r="13" spans="1:5">
      <c r="A13" s="285">
        <f t="shared" si="0"/>
        <v>3</v>
      </c>
      <c r="B13" s="292" t="s">
        <v>54</v>
      </c>
      <c r="C13" s="354">
        <f>SUM(C11:C12)</f>
        <v>1</v>
      </c>
      <c r="D13" s="346"/>
      <c r="E13" s="345">
        <f>SUM(E11:E12)</f>
        <v>7.5999999999999998E-2</v>
      </c>
    </row>
    <row r="14" spans="1:5">
      <c r="A14" s="285">
        <f t="shared" si="0"/>
        <v>4</v>
      </c>
      <c r="B14" s="292"/>
    </row>
    <row r="15" spans="1:5">
      <c r="A15" s="285">
        <f t="shared" si="0"/>
        <v>5</v>
      </c>
      <c r="B15" s="292" t="s">
        <v>270</v>
      </c>
      <c r="C15" s="338">
        <f>+C11</f>
        <v>0.51</v>
      </c>
      <c r="D15" s="338">
        <f>D11*0.79</f>
        <v>4.5541176470588238E-2</v>
      </c>
      <c r="E15" s="338">
        <f>ROUND(E11*0.79,4)</f>
        <v>2.3199999999999998E-2</v>
      </c>
    </row>
    <row r="16" spans="1:5">
      <c r="A16" s="285">
        <f t="shared" si="0"/>
        <v>6</v>
      </c>
      <c r="B16" s="292" t="s">
        <v>67</v>
      </c>
      <c r="C16" s="338">
        <f>+C12</f>
        <v>0.49</v>
      </c>
      <c r="D16" s="338">
        <f>+D12</f>
        <v>9.5000000000000001E-2</v>
      </c>
      <c r="E16" s="338">
        <f>ROUND(C16*D16,4)</f>
        <v>4.6600000000000003E-2</v>
      </c>
    </row>
    <row r="17" spans="1:5">
      <c r="A17" s="285">
        <f t="shared" si="0"/>
        <v>7</v>
      </c>
      <c r="B17" s="292" t="s">
        <v>68</v>
      </c>
      <c r="C17" s="354">
        <f>SUM(C15:C16)</f>
        <v>1</v>
      </c>
      <c r="D17" s="346"/>
      <c r="E17" s="345">
        <f>SUM(E15:E16)</f>
        <v>6.9800000000000001E-2</v>
      </c>
    </row>
    <row r="20" spans="1:5">
      <c r="A20" s="494"/>
    </row>
  </sheetData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4"/>
  <sheetViews>
    <sheetView view="pageBreakPreview" zoomScale="85" zoomScaleNormal="85" zoomScaleSheetLayoutView="85" workbookViewId="0">
      <pane xSplit="2" ySplit="11" topLeftCell="C34" activePane="bottomRight" state="frozen"/>
      <selection activeCell="C19" sqref="C19"/>
      <selection pane="topRight" activeCell="C19" sqref="C19"/>
      <selection pane="bottomLeft" activeCell="C19" sqref="C19"/>
      <selection pane="bottomRight" activeCell="F54" sqref="F54"/>
    </sheetView>
  </sheetViews>
  <sheetFormatPr defaultColWidth="9.140625" defaultRowHeight="15"/>
  <cols>
    <col min="1" max="1" width="4.5703125" style="279" bestFit="1" customWidth="1"/>
    <col min="2" max="2" width="47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1" width="14.28515625" style="279" bestFit="1" customWidth="1"/>
    <col min="12" max="16384" width="9.140625" style="279"/>
  </cols>
  <sheetData>
    <row r="1" spans="1:9">
      <c r="A1" s="278" t="s">
        <v>38</v>
      </c>
      <c r="C1" s="278"/>
      <c r="H1" s="355" t="s">
        <v>624</v>
      </c>
      <c r="I1" s="356"/>
    </row>
    <row r="2" spans="1:9">
      <c r="A2" s="278" t="s">
        <v>430</v>
      </c>
      <c r="C2" s="278"/>
    </row>
    <row r="3" spans="1:9">
      <c r="A3" s="278" t="s">
        <v>196</v>
      </c>
      <c r="C3" s="278"/>
    </row>
    <row r="4" spans="1:9">
      <c r="A4" s="278" t="str">
        <f>CASE_GAS</f>
        <v>2019 GENERAL RATE CASE</v>
      </c>
      <c r="C4" s="278"/>
    </row>
    <row r="5" spans="1:9">
      <c r="A5" s="278" t="str">
        <f>TESTYEAR_GAS</f>
        <v>12 MONTHS ENDED DECEMBER 31, 2018</v>
      </c>
      <c r="C5" s="278"/>
    </row>
    <row r="6" spans="1:9">
      <c r="C6" s="281"/>
      <c r="D6" s="281"/>
      <c r="E6" s="281"/>
      <c r="F6" s="281"/>
    </row>
    <row r="9" spans="1:9">
      <c r="C9" s="282" t="s">
        <v>33</v>
      </c>
      <c r="D9" s="282"/>
      <c r="E9" s="282" t="s">
        <v>82</v>
      </c>
      <c r="F9" s="282"/>
      <c r="G9" s="282" t="s">
        <v>55</v>
      </c>
      <c r="H9" s="4" t="s">
        <v>472</v>
      </c>
      <c r="I9" s="282" t="s">
        <v>56</v>
      </c>
    </row>
    <row r="10" spans="1:9" ht="13.7" customHeight="1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473</v>
      </c>
      <c r="I10" s="282" t="s">
        <v>58</v>
      </c>
    </row>
    <row r="11" spans="1:9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474</v>
      </c>
      <c r="I11" s="283" t="str">
        <f>IF(H17&lt;0,"DECREASE","INCREASE")</f>
        <v>INCREASE</v>
      </c>
    </row>
    <row r="12" spans="1:9">
      <c r="C12" s="284" t="s">
        <v>197</v>
      </c>
      <c r="D12" s="284" t="s">
        <v>198</v>
      </c>
      <c r="E12" s="284" t="s">
        <v>432</v>
      </c>
      <c r="F12" s="284" t="s">
        <v>199</v>
      </c>
      <c r="G12" s="277" t="s">
        <v>433</v>
      </c>
      <c r="H12" s="284" t="s">
        <v>201</v>
      </c>
      <c r="I12" s="277" t="s">
        <v>434</v>
      </c>
    </row>
    <row r="13" spans="1:9">
      <c r="A13" s="285">
        <v>1</v>
      </c>
      <c r="B13" s="286" t="s">
        <v>0</v>
      </c>
      <c r="G13" s="280"/>
    </row>
    <row r="14" spans="1:9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Summary'!Y14</f>
        <v>-152862576.1966967</v>
      </c>
      <c r="E14" s="287">
        <f>SUM(C14:D14)</f>
        <v>723795099.47330308</v>
      </c>
      <c r="F14" s="287">
        <f>+'Detailed Summary'!AX14</f>
        <v>27006792.182243671</v>
      </c>
      <c r="G14" s="287">
        <f>SUM(E14:F14)</f>
        <v>750801891.65554678</v>
      </c>
      <c r="H14" s="287">
        <f>'COC, Def, ConvF'!C21</f>
        <v>70720343</v>
      </c>
      <c r="I14" s="287">
        <f>SUM(G14:H14)</f>
        <v>821522234.65554678</v>
      </c>
    </row>
    <row r="15" spans="1:9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Summary'!Y15</f>
        <v>0</v>
      </c>
      <c r="E15" s="288">
        <f>SUM(C15:D15)</f>
        <v>0</v>
      </c>
      <c r="F15" s="288">
        <f>+'Detailed Summary'!AX15</f>
        <v>0</v>
      </c>
      <c r="G15" s="288">
        <f>SUM(E15:F15)</f>
        <v>0</v>
      </c>
      <c r="H15" s="288"/>
      <c r="I15" s="288">
        <f>SUM(G15:H15)</f>
        <v>0</v>
      </c>
    </row>
    <row r="16" spans="1:9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Summary'!Y16</f>
        <v>46115261.559999995</v>
      </c>
      <c r="E16" s="288">
        <f>SUM(C16:D16)</f>
        <v>20205262.979999997</v>
      </c>
      <c r="F16" s="288">
        <f>+'Detailed Summary'!AX16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-106747314.6366967</v>
      </c>
      <c r="E17" s="289">
        <f t="shared" si="1"/>
        <v>744000362.4533031</v>
      </c>
      <c r="F17" s="289">
        <f t="shared" si="1"/>
        <v>17151823.17224367</v>
      </c>
      <c r="G17" s="289">
        <f t="shared" si="1"/>
        <v>761152185.62554681</v>
      </c>
      <c r="H17" s="289">
        <f t="shared" si="1"/>
        <v>70720343</v>
      </c>
      <c r="I17" s="289">
        <f t="shared" si="1"/>
        <v>831872528.62554681</v>
      </c>
    </row>
    <row r="18" spans="1:10" s="291" customFormat="1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>
      <c r="A19" s="285">
        <f t="shared" si="0"/>
        <v>7</v>
      </c>
      <c r="B19" s="286" t="s">
        <v>4</v>
      </c>
      <c r="F19" s="288"/>
      <c r="G19" s="288"/>
      <c r="I19" s="280"/>
    </row>
    <row r="20" spans="1:10">
      <c r="A20" s="285">
        <f t="shared" si="0"/>
        <v>8</v>
      </c>
      <c r="B20" s="292"/>
      <c r="G20" s="280"/>
      <c r="I20" s="280"/>
    </row>
    <row r="21" spans="1:10">
      <c r="A21" s="285">
        <f t="shared" si="0"/>
        <v>9</v>
      </c>
      <c r="B21" s="286" t="s">
        <v>247</v>
      </c>
      <c r="G21" s="280"/>
      <c r="I21" s="280"/>
    </row>
    <row r="22" spans="1:10">
      <c r="A22" s="285">
        <f t="shared" si="0"/>
        <v>10</v>
      </c>
      <c r="B22" s="286"/>
      <c r="C22" s="293">
        <f>+'Detailed Summary'!C22</f>
        <v>0</v>
      </c>
      <c r="D22" s="293">
        <f>+'Detailed Summary'!Y22</f>
        <v>0</v>
      </c>
      <c r="E22" s="293">
        <f>SUM(C22:D22)</f>
        <v>0</v>
      </c>
      <c r="F22" s="293">
        <f>+'Detailed Summary'!AX22</f>
        <v>0</v>
      </c>
      <c r="G22" s="293">
        <f>SUM(E22:F22)</f>
        <v>0</v>
      </c>
      <c r="H22" s="294"/>
      <c r="I22" s="293">
        <f>SUM(G22:H22)</f>
        <v>0</v>
      </c>
    </row>
    <row r="23" spans="1:10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Summary'!Y23</f>
        <v>-20106832.814327635</v>
      </c>
      <c r="E23" s="288">
        <f>SUM(C23:D23)</f>
        <v>276592219.24567121</v>
      </c>
      <c r="F23" s="288">
        <f>+'Detailed Summary'!AX23</f>
        <v>16256425.743188024</v>
      </c>
      <c r="G23" s="288">
        <f>SUM(E23:F23)</f>
        <v>292848644.98885924</v>
      </c>
      <c r="H23" s="295"/>
      <c r="I23" s="288">
        <f>SUM(G23:H23)</f>
        <v>292848644.98885924</v>
      </c>
    </row>
    <row r="24" spans="1:10">
      <c r="A24" s="285">
        <f t="shared" si="0"/>
        <v>12</v>
      </c>
      <c r="B24" s="292"/>
      <c r="C24" s="288">
        <f>+'Detailed Summary'!C24</f>
        <v>0</v>
      </c>
      <c r="D24" s="288">
        <f>+'Detailed Summary'!Y24</f>
        <v>0</v>
      </c>
      <c r="E24" s="288">
        <f>SUM(C24:D24)</f>
        <v>0</v>
      </c>
      <c r="F24" s="288">
        <f>+'Detailed Summary'!AX24</f>
        <v>0</v>
      </c>
      <c r="G24" s="288">
        <f>SUM(E24:F24)</f>
        <v>0</v>
      </c>
      <c r="H24" s="295"/>
      <c r="I24" s="288">
        <f>SUM(G24:H24)</f>
        <v>0</v>
      </c>
    </row>
    <row r="25" spans="1:10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16256425.743188024</v>
      </c>
      <c r="G25" s="296">
        <f t="shared" si="2"/>
        <v>292848644.98885924</v>
      </c>
      <c r="H25" s="289">
        <f t="shared" si="2"/>
        <v>0</v>
      </c>
      <c r="I25" s="296">
        <f t="shared" si="2"/>
        <v>292848644.98885924</v>
      </c>
      <c r="J25" s="297"/>
    </row>
    <row r="26" spans="1:10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Summary'!Y27</f>
        <v>18583.731398664269</v>
      </c>
      <c r="E27" s="293">
        <f t="shared" ref="E27:E41" si="3">SUM(C27:D27)</f>
        <v>6061388.8613986634</v>
      </c>
      <c r="F27" s="293">
        <f>+'Detailed Summary'!AX27</f>
        <v>109078.46203954893</v>
      </c>
      <c r="G27" s="293">
        <f t="shared" ref="G27:G41" si="4">SUM(E27:F27)</f>
        <v>6170467.3234382123</v>
      </c>
      <c r="H27" s="294"/>
      <c r="I27" s="293">
        <f t="shared" ref="I27:I41" si="5">SUM(G27:H27)</f>
        <v>6170467.3234382123</v>
      </c>
    </row>
    <row r="28" spans="1:10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Summary'!Y28</f>
        <v>0</v>
      </c>
      <c r="E28" s="288">
        <f t="shared" si="3"/>
        <v>2110.77</v>
      </c>
      <c r="F28" s="288">
        <f>+'Detailed Summary'!AX28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Summary'!Y29</f>
        <v>523457.26844154485</v>
      </c>
      <c r="E29" s="288">
        <f t="shared" si="3"/>
        <v>60697625.368441522</v>
      </c>
      <c r="F29" s="288">
        <f>+'Detailed Summary'!AX29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Summary'!Y30</f>
        <v>-141267.22852370405</v>
      </c>
      <c r="E30" s="288">
        <f t="shared" si="3"/>
        <v>29666184.391476292</v>
      </c>
      <c r="F30" s="288">
        <f>+'Detailed Summary'!AX30</f>
        <v>31954.18212386925</v>
      </c>
      <c r="G30" s="288">
        <f t="shared" si="4"/>
        <v>29698138.573600162</v>
      </c>
      <c r="H30" s="295">
        <f>'COC, Def, ConvF'!C21*'COC, Def, ConvF'!M12</f>
        <v>362371.03753199999</v>
      </c>
      <c r="I30" s="288">
        <f t="shared" si="5"/>
        <v>30060509.611132164</v>
      </c>
    </row>
    <row r="31" spans="1:10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Summary'!Y31</f>
        <v>-4811195.0053552855</v>
      </c>
      <c r="E31" s="288">
        <f t="shared" si="3"/>
        <v>1763236.0746447137</v>
      </c>
      <c r="F31" s="288">
        <f>+'Detailed Summary'!AX31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Summary'!Y32</f>
        <v>-14625833.34</v>
      </c>
      <c r="E32" s="288">
        <f t="shared" si="3"/>
        <v>0</v>
      </c>
      <c r="F32" s="288">
        <f>+'Detailed Summary'!AX32</f>
        <v>0</v>
      </c>
      <c r="G32" s="288">
        <f t="shared" si="4"/>
        <v>0</v>
      </c>
      <c r="H32" s="295"/>
      <c r="I32" s="288">
        <f t="shared" si="5"/>
        <v>0</v>
      </c>
    </row>
    <row r="33" spans="1:9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Summary'!Y33</f>
        <v>2450908.8961780556</v>
      </c>
      <c r="E33" s="288">
        <f t="shared" si="3"/>
        <v>59700443.446178049</v>
      </c>
      <c r="F33" s="288">
        <f>+'Detailed Summary'!AX33</f>
        <v>827791.68148955947</v>
      </c>
      <c r="G33" s="288">
        <f t="shared" si="4"/>
        <v>60528235.127667606</v>
      </c>
      <c r="H33" s="295">
        <f>'COC, Def, ConvF'!C21*'COC, Def, ConvF'!M13</f>
        <v>141440.68600000002</v>
      </c>
      <c r="I33" s="288">
        <f t="shared" si="5"/>
        <v>60669675.813667603</v>
      </c>
    </row>
    <row r="34" spans="1:9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Summary'!Y34</f>
        <v>4136955.6219727392</v>
      </c>
      <c r="E34" s="288">
        <f t="shared" si="3"/>
        <v>121094686.13197264</v>
      </c>
      <c r="F34" s="288">
        <f>+'Detailed Summary'!AX34</f>
        <v>-143303.93064422742</v>
      </c>
      <c r="G34" s="288">
        <f t="shared" si="4"/>
        <v>120951382.20132841</v>
      </c>
      <c r="H34" s="295"/>
      <c r="I34" s="288">
        <f t="shared" si="5"/>
        <v>120951382.20132841</v>
      </c>
    </row>
    <row r="35" spans="1:9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Summary'!Y35</f>
        <v>8190016.0321619846</v>
      </c>
      <c r="E35" s="288">
        <f t="shared" si="3"/>
        <v>34307585.992161989</v>
      </c>
      <c r="F35" s="288">
        <f>+'Detailed Summary'!AX35</f>
        <v>1469535.3693580001</v>
      </c>
      <c r="G35" s="288">
        <f t="shared" si="4"/>
        <v>35777121.361519992</v>
      </c>
      <c r="H35" s="295"/>
      <c r="I35" s="288">
        <f t="shared" si="5"/>
        <v>35777121.361519992</v>
      </c>
    </row>
    <row r="36" spans="1:9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Summary'!Y36</f>
        <v>0</v>
      </c>
      <c r="E36" s="288">
        <f t="shared" si="3"/>
        <v>0</v>
      </c>
      <c r="F36" s="288">
        <f>+'Detailed Summary'!AX36</f>
        <v>0</v>
      </c>
      <c r="G36" s="288">
        <f t="shared" si="4"/>
        <v>0</v>
      </c>
      <c r="H36" s="295"/>
      <c r="I36" s="288">
        <f t="shared" si="5"/>
        <v>0</v>
      </c>
    </row>
    <row r="37" spans="1:9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Summary'!Y37</f>
        <v>0</v>
      </c>
      <c r="E37" s="288">
        <f t="shared" si="3"/>
        <v>8769360.9199999981</v>
      </c>
      <c r="F37" s="288">
        <f>+'Detailed Summary'!AX37</f>
        <v>4711511.7652601469</v>
      </c>
      <c r="G37" s="288">
        <f t="shared" si="4"/>
        <v>13480872.685260145</v>
      </c>
      <c r="H37" s="295"/>
      <c r="I37" s="288">
        <f t="shared" si="5"/>
        <v>13480872.685260145</v>
      </c>
    </row>
    <row r="38" spans="1:9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Summary'!Y38</f>
        <v>0</v>
      </c>
      <c r="E38" s="288">
        <f t="shared" si="3"/>
        <v>0</v>
      </c>
      <c r="F38" s="288">
        <f>+'Detailed Summary'!AX38</f>
        <v>0</v>
      </c>
      <c r="G38" s="288">
        <f t="shared" si="4"/>
        <v>0</v>
      </c>
      <c r="H38" s="295"/>
      <c r="I38" s="288">
        <f t="shared" si="5"/>
        <v>0</v>
      </c>
    </row>
    <row r="39" spans="1:9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Summary'!Y39</f>
        <v>-66036387.923020393</v>
      </c>
      <c r="E39" s="288">
        <f t="shared" si="3"/>
        <v>35440908.846979603</v>
      </c>
      <c r="F39" s="288">
        <f>+'Detailed Summary'!AX39</f>
        <v>897818.64543753664</v>
      </c>
      <c r="G39" s="288">
        <f t="shared" si="4"/>
        <v>36338727.492417142</v>
      </c>
      <c r="H39" s="295">
        <f>'COC, Def, ConvF'!C21*'COC, Def, ConvF'!M14</f>
        <v>2710215.7047890001</v>
      </c>
      <c r="I39" s="288">
        <f t="shared" si="5"/>
        <v>39048943.19720614</v>
      </c>
    </row>
    <row r="40" spans="1:9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Summary'!Y40</f>
        <v>-27609398.067420814</v>
      </c>
      <c r="E40" s="288">
        <f t="shared" si="3"/>
        <v>4334760.8125791848</v>
      </c>
      <c r="F40" s="288">
        <f>+'Detailed Summary'!AX40</f>
        <v>-1381172.9662143367</v>
      </c>
      <c r="G40" s="288">
        <f t="shared" si="4"/>
        <v>2953587.8463648483</v>
      </c>
      <c r="H40" s="295">
        <f>'COC, Def, ConvF'!C21*'COC, Def, ConvF'!M19</f>
        <v>14176317.076407999</v>
      </c>
      <c r="I40" s="288">
        <f t="shared" si="5"/>
        <v>17129904.922772847</v>
      </c>
    </row>
    <row r="41" spans="1:9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Summary'!Y41</f>
        <v>10081450.108688122</v>
      </c>
      <c r="E41" s="288">
        <f t="shared" si="3"/>
        <v>523319.51868812554</v>
      </c>
      <c r="F41" s="288">
        <f>+'Detailed Summary'!AX41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-107929542.71980673</v>
      </c>
      <c r="E42" s="296">
        <f t="shared" si="6"/>
        <v>638953830.3801918</v>
      </c>
      <c r="F42" s="296">
        <f t="shared" si="6"/>
        <v>23717501.822455939</v>
      </c>
      <c r="G42" s="296">
        <f t="shared" si="6"/>
        <v>662671332.20264804</v>
      </c>
      <c r="H42" s="296">
        <f t="shared" si="6"/>
        <v>17390344.504728999</v>
      </c>
      <c r="I42" s="296">
        <f t="shared" si="6"/>
        <v>680061676.70737708</v>
      </c>
    </row>
    <row r="43" spans="1:9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1182228.0831100345</v>
      </c>
      <c r="E44" s="300">
        <f t="shared" si="7"/>
        <v>105046532.0731113</v>
      </c>
      <c r="F44" s="300">
        <f t="shared" si="7"/>
        <v>-6565678.6502122693</v>
      </c>
      <c r="G44" s="300">
        <f t="shared" si="7"/>
        <v>98480853.422898769</v>
      </c>
      <c r="H44" s="300">
        <f t="shared" si="7"/>
        <v>53329998.495270997</v>
      </c>
      <c r="I44" s="300">
        <f t="shared" si="7"/>
        <v>151810851.91816974</v>
      </c>
    </row>
    <row r="45" spans="1:9" ht="15.75" thickTop="1">
      <c r="A45" s="285">
        <f t="shared" si="0"/>
        <v>33</v>
      </c>
      <c r="G45" s="280"/>
      <c r="I45" s="280"/>
    </row>
    <row r="46" spans="1:9" s="297" customFormat="1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141697963.49800536</v>
      </c>
      <c r="E46" s="293">
        <f>E57</f>
        <v>2092950106.7571149</v>
      </c>
      <c r="F46" s="293">
        <f>F57</f>
        <v>-21860724.548413388</v>
      </c>
      <c r="G46" s="293">
        <f>G57</f>
        <v>2071089382.2087018</v>
      </c>
      <c r="H46" s="293"/>
      <c r="I46" s="293">
        <f>I57</f>
        <v>2071089382.2087018</v>
      </c>
    </row>
    <row r="47" spans="1:9">
      <c r="A47" s="285">
        <f t="shared" si="0"/>
        <v>35</v>
      </c>
      <c r="B47" s="292"/>
      <c r="G47" s="280"/>
      <c r="I47" s="280"/>
    </row>
    <row r="48" spans="1:9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5.0190652769966801E-2</v>
      </c>
      <c r="F48" s="301"/>
      <c r="G48" s="301">
        <f>+G44/G46</f>
        <v>4.7550267153547189E-2</v>
      </c>
      <c r="H48" s="288"/>
      <c r="I48" s="301">
        <f>+I44/I46</f>
        <v>7.3300000097664492E-2</v>
      </c>
    </row>
    <row r="49" spans="1:11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11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11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Summary'!Y51</f>
        <v>200226769.56947351</v>
      </c>
      <c r="E51" s="293">
        <f t="shared" ref="E51:E56" si="8">SUM(C51:D51)</f>
        <v>4300827048.9467049</v>
      </c>
      <c r="F51" s="293">
        <f>+'Detailed Summary'!AX51</f>
        <v>-19711279.372437537</v>
      </c>
      <c r="G51" s="293">
        <f t="shared" ref="G51:G56" si="9">SUM(E51:F51)</f>
        <v>4281115769.5742674</v>
      </c>
      <c r="H51" s="293"/>
      <c r="I51" s="293">
        <f t="shared" ref="I51:I56" si="10">SUM(G51:H51)</f>
        <v>4281115769.5742674</v>
      </c>
      <c r="K51" s="337"/>
    </row>
    <row r="52" spans="1:11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Summary'!Y52</f>
        <v>-67842753.331441611</v>
      </c>
      <c r="E52" s="288">
        <f t="shared" si="8"/>
        <v>-1637637926.6516845</v>
      </c>
      <c r="F52" s="288">
        <f>+'Detailed Summary'!AX52</f>
        <v>-8813466.0339430198</v>
      </c>
      <c r="G52" s="288">
        <f t="shared" si="9"/>
        <v>-1646451392.6856275</v>
      </c>
      <c r="H52" s="288"/>
      <c r="I52" s="288">
        <f t="shared" si="10"/>
        <v>-1646451392.6856275</v>
      </c>
      <c r="K52" s="499"/>
    </row>
    <row r="53" spans="1:11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Summary'!Y53</f>
        <v>6355141.8032483803</v>
      </c>
      <c r="E53" s="288">
        <f t="shared" si="8"/>
        <v>-597677158.88554668</v>
      </c>
      <c r="F53" s="288">
        <f>+'Detailed Summary'!AX53</f>
        <v>1962302.5981085044</v>
      </c>
      <c r="G53" s="288">
        <f t="shared" si="9"/>
        <v>-595714856.28743815</v>
      </c>
      <c r="H53" s="288"/>
      <c r="I53" s="288">
        <f t="shared" si="10"/>
        <v>-595714856.28743815</v>
      </c>
    </row>
    <row r="54" spans="1:11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Summary'!Y54</f>
        <v>2958805.4567250796</v>
      </c>
      <c r="E54" s="288">
        <f t="shared" si="8"/>
        <v>-26993656.705525</v>
      </c>
      <c r="F54" s="288">
        <f>+'Detailed Summary'!AX54</f>
        <v>4701718.2598586641</v>
      </c>
      <c r="G54" s="288">
        <f t="shared" si="9"/>
        <v>-22291938.445666336</v>
      </c>
      <c r="H54" s="288"/>
      <c r="I54" s="288">
        <f t="shared" si="10"/>
        <v>-22291938.445666336</v>
      </c>
    </row>
    <row r="55" spans="1:11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Summary'!Y55</f>
        <v>0</v>
      </c>
      <c r="E55" s="288">
        <f t="shared" si="8"/>
        <v>54431800.053166389</v>
      </c>
      <c r="F55" s="288">
        <f>+'Detailed Summary'!AX55</f>
        <v>0</v>
      </c>
      <c r="G55" s="288">
        <f t="shared" si="9"/>
        <v>54431800.053166389</v>
      </c>
      <c r="H55" s="288"/>
      <c r="I55" s="288">
        <f t="shared" si="10"/>
        <v>54431800.053166389</v>
      </c>
    </row>
    <row r="56" spans="1:11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Summary'!Y56</f>
        <v>0</v>
      </c>
      <c r="E56" s="288">
        <f t="shared" si="8"/>
        <v>0</v>
      </c>
      <c r="F56" s="288">
        <f>+'Detailed Summary'!AX56</f>
        <v>0</v>
      </c>
      <c r="G56" s="288">
        <f t="shared" si="9"/>
        <v>0</v>
      </c>
      <c r="H56" s="288"/>
      <c r="I56" s="288">
        <f t="shared" si="10"/>
        <v>0</v>
      </c>
    </row>
    <row r="57" spans="1:11" ht="15.75" thickBot="1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141697963.49800536</v>
      </c>
      <c r="E57" s="303">
        <f>SUM(E51:E56)</f>
        <v>2092950106.7571149</v>
      </c>
      <c r="F57" s="304">
        <f>SUM(F51:F56)</f>
        <v>-21860724.548413388</v>
      </c>
      <c r="G57" s="303">
        <f>SUM(G51:G56)</f>
        <v>2071089382.2087018</v>
      </c>
      <c r="H57" s="303"/>
      <c r="I57" s="303">
        <f>SUM(I51:I56)</f>
        <v>2071089382.2087018</v>
      </c>
    </row>
    <row r="58" spans="1:11" ht="15.75" thickTop="1">
      <c r="A58" s="285">
        <f t="shared" si="0"/>
        <v>46</v>
      </c>
    </row>
    <row r="59" spans="1:11">
      <c r="A59" s="285">
        <f t="shared" si="0"/>
        <v>47</v>
      </c>
      <c r="B59" s="292" t="s">
        <v>155</v>
      </c>
      <c r="C59" s="305">
        <f>+'COC, Def, ConvF'!$C$13</f>
        <v>7.3300000000000004E-2</v>
      </c>
      <c r="D59" s="305">
        <f>+'COC, Def, ConvF'!$C$13</f>
        <v>7.3300000000000004E-2</v>
      </c>
      <c r="E59" s="305">
        <f>+'COC, Def, ConvF'!$C$13</f>
        <v>7.3300000000000004E-2</v>
      </c>
      <c r="F59" s="305">
        <f>+'COC, Def, ConvF'!$C$13</f>
        <v>7.3300000000000004E-2</v>
      </c>
      <c r="G59" s="305">
        <f>+'COC, Def, ConvF'!$C$13</f>
        <v>7.3300000000000004E-2</v>
      </c>
      <c r="H59" s="305">
        <f>+'COC, Def, ConvF'!$C$13</f>
        <v>7.3300000000000004E-2</v>
      </c>
      <c r="I59" s="305">
        <f>+'COC, Def, ConvF'!$C$13</f>
        <v>7.3300000000000004E-2</v>
      </c>
    </row>
    <row r="60" spans="1:11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11">
      <c r="A61" s="285">
        <f t="shared" si="0"/>
        <v>49</v>
      </c>
      <c r="B61" s="292" t="s">
        <v>177</v>
      </c>
      <c r="C61" s="297">
        <f t="shared" ref="C61:I61" si="11">+C44-(C57*C59)</f>
        <v>-39162478.110891521</v>
      </c>
      <c r="D61" s="297">
        <f t="shared" si="11"/>
        <v>-9204232.6412937585</v>
      </c>
      <c r="E61" s="297">
        <f t="shared" si="11"/>
        <v>-48366710.752185225</v>
      </c>
      <c r="F61" s="297">
        <f t="shared" si="11"/>
        <v>-4963287.540813568</v>
      </c>
      <c r="G61" s="297">
        <f t="shared" si="11"/>
        <v>-53329998.292999089</v>
      </c>
      <c r="H61" s="297">
        <f t="shared" si="11"/>
        <v>53329998.495270997</v>
      </c>
      <c r="I61" s="297">
        <f t="shared" si="11"/>
        <v>0.20227187871932983</v>
      </c>
    </row>
    <row r="62" spans="1:11">
      <c r="A62" s="285">
        <f t="shared" si="0"/>
        <v>50</v>
      </c>
      <c r="B62" s="292" t="s">
        <v>178</v>
      </c>
      <c r="C62" s="297">
        <f t="shared" ref="C62:I62" si="12">-C61/C60</f>
        <v>51932945.113017984</v>
      </c>
      <c r="D62" s="297">
        <f t="shared" si="12"/>
        <v>12205634.873622039</v>
      </c>
      <c r="E62" s="297">
        <f t="shared" si="12"/>
        <v>64138579.986639947</v>
      </c>
      <c r="F62" s="297">
        <f t="shared" si="12"/>
        <v>6581762.7451290321</v>
      </c>
      <c r="G62" s="297">
        <f t="shared" si="12"/>
        <v>70720342.731769368</v>
      </c>
      <c r="H62" s="297">
        <f t="shared" si="12"/>
        <v>-70720343</v>
      </c>
      <c r="I62" s="297">
        <f t="shared" si="12"/>
        <v>-0.26823058402212158</v>
      </c>
    </row>
    <row r="63" spans="1:11">
      <c r="B63" s="292"/>
    </row>
    <row r="64" spans="1:11" ht="15.75" thickBot="1"/>
    <row r="65" spans="1:8">
      <c r="B65" s="307" t="s">
        <v>309</v>
      </c>
      <c r="C65" s="308"/>
      <c r="D65" s="308"/>
      <c r="E65" s="309">
        <f>+C62+D62-E62</f>
        <v>7.4505805969238281E-8</v>
      </c>
      <c r="F65" s="308"/>
      <c r="G65" s="310">
        <f>+E62+F62-G62</f>
        <v>-3.8743019104003906E-7</v>
      </c>
    </row>
    <row r="66" spans="1:8">
      <c r="B66" s="311" t="s">
        <v>310</v>
      </c>
      <c r="C66" s="312"/>
      <c r="D66" s="312"/>
      <c r="E66" s="312"/>
      <c r="F66" s="312"/>
      <c r="G66" s="313"/>
    </row>
    <row r="67" spans="1:8">
      <c r="B67" s="311" t="s">
        <v>311</v>
      </c>
      <c r="C67" s="314">
        <f>+'Detailed Summary'!C44-C44</f>
        <v>0</v>
      </c>
      <c r="D67" s="314">
        <f>'Detailed Summary'!Y44-D44</f>
        <v>0</v>
      </c>
      <c r="E67" s="314">
        <f>'Detailed Summary'!Z44-E44</f>
        <v>0</v>
      </c>
      <c r="F67" s="314">
        <f>'Detailed Summary'!AX44-F44</f>
        <v>0</v>
      </c>
      <c r="G67" s="315">
        <f>'Detailed Summary'!AY44-G44</f>
        <v>0</v>
      </c>
      <c r="H67" s="279"/>
    </row>
    <row r="68" spans="1:8" ht="15.75" thickBot="1">
      <c r="B68" s="316" t="s">
        <v>312</v>
      </c>
      <c r="C68" s="317">
        <f>+'Detailed Summary'!C46-C46</f>
        <v>0</v>
      </c>
      <c r="D68" s="317">
        <f>'Detailed Summary'!Y46-D46</f>
        <v>0</v>
      </c>
      <c r="E68" s="317">
        <f>'Detailed Summary'!Z46-E46</f>
        <v>0</v>
      </c>
      <c r="F68" s="317">
        <f>'Detailed Summary'!AX46-F46</f>
        <v>0</v>
      </c>
      <c r="G68" s="318">
        <f>'Detailed Summary'!AY46-G46</f>
        <v>0</v>
      </c>
      <c r="H68" s="279"/>
    </row>
    <row r="69" spans="1:8">
      <c r="C69" s="279"/>
      <c r="D69" s="279"/>
      <c r="E69" s="279"/>
      <c r="F69" s="279"/>
      <c r="H69" s="279"/>
    </row>
    <row r="70" spans="1:8">
      <c r="C70" s="279"/>
      <c r="D70" s="279"/>
      <c r="E70" s="279"/>
      <c r="F70" s="279"/>
      <c r="H70" s="279"/>
    </row>
    <row r="71" spans="1:8">
      <c r="C71" s="279"/>
      <c r="D71" s="279"/>
      <c r="E71" s="279"/>
      <c r="F71" s="279"/>
      <c r="H71" s="279"/>
    </row>
    <row r="72" spans="1:8">
      <c r="C72" s="279"/>
      <c r="D72" s="279"/>
      <c r="E72" s="279"/>
      <c r="F72" s="279"/>
      <c r="H72" s="279"/>
    </row>
    <row r="73" spans="1:8">
      <c r="C73" s="279"/>
      <c r="D73" s="279"/>
      <c r="E73" s="279"/>
      <c r="F73" s="279"/>
      <c r="H73" s="279"/>
    </row>
    <row r="74" spans="1:8">
      <c r="C74" s="279"/>
      <c r="D74" s="279"/>
      <c r="E74" s="279"/>
      <c r="F74" s="279"/>
      <c r="H74" s="279"/>
    </row>
    <row r="75" spans="1:8">
      <c r="C75" s="279"/>
      <c r="D75" s="279"/>
      <c r="E75" s="279"/>
      <c r="F75" s="279"/>
      <c r="H75" s="279"/>
    </row>
    <row r="76" spans="1:8">
      <c r="A76" s="279">
        <v>4</v>
      </c>
      <c r="C76" s="279"/>
      <c r="D76" s="279"/>
      <c r="E76" s="279"/>
      <c r="F76" s="279"/>
      <c r="H76" s="279"/>
    </row>
    <row r="77" spans="1:8">
      <c r="C77" s="279"/>
      <c r="D77" s="279"/>
      <c r="E77" s="279"/>
      <c r="F77" s="279"/>
      <c r="H77" s="279"/>
    </row>
    <row r="78" spans="1:8">
      <c r="C78" s="279"/>
      <c r="D78" s="279"/>
      <c r="E78" s="279"/>
      <c r="F78" s="279"/>
      <c r="H78" s="279"/>
    </row>
    <row r="79" spans="1:8">
      <c r="C79" s="279"/>
      <c r="D79" s="279"/>
      <c r="E79" s="279"/>
      <c r="F79" s="279"/>
      <c r="H79" s="279"/>
    </row>
    <row r="80" spans="1:8">
      <c r="C80" s="279"/>
      <c r="D80" s="279"/>
      <c r="E80" s="279"/>
      <c r="F80" s="279"/>
      <c r="H80" s="279"/>
    </row>
    <row r="81" spans="3:8">
      <c r="C81" s="279"/>
      <c r="D81" s="279"/>
      <c r="E81" s="279"/>
      <c r="F81" s="279"/>
      <c r="H81" s="279"/>
    </row>
    <row r="82" spans="3:8">
      <c r="C82" s="279"/>
      <c r="D82" s="279"/>
      <c r="E82" s="279"/>
      <c r="F82" s="279"/>
      <c r="H82" s="279"/>
    </row>
    <row r="83" spans="3:8">
      <c r="C83" s="279"/>
      <c r="D83" s="279"/>
      <c r="E83" s="279"/>
      <c r="F83" s="279"/>
      <c r="H83" s="279"/>
    </row>
    <row r="84" spans="3:8">
      <c r="C84" s="279"/>
      <c r="D84" s="279"/>
      <c r="E84" s="279"/>
      <c r="F84" s="279"/>
      <c r="H84" s="279"/>
    </row>
    <row r="85" spans="3:8">
      <c r="C85" s="279"/>
      <c r="D85" s="279"/>
      <c r="E85" s="279"/>
      <c r="F85" s="279"/>
      <c r="H85" s="279"/>
    </row>
    <row r="86" spans="3:8">
      <c r="C86" s="279"/>
      <c r="D86" s="279"/>
      <c r="E86" s="279"/>
      <c r="F86" s="279"/>
      <c r="H86" s="279"/>
    </row>
    <row r="87" spans="3:8">
      <c r="C87" s="279"/>
      <c r="D87" s="279"/>
      <c r="E87" s="279"/>
      <c r="F87" s="279"/>
      <c r="H87" s="279"/>
    </row>
    <row r="88" spans="3:8">
      <c r="C88" s="279"/>
      <c r="D88" s="279"/>
      <c r="E88" s="279"/>
      <c r="F88" s="279"/>
      <c r="H88" s="279"/>
    </row>
    <row r="89" spans="3:8">
      <c r="C89" s="279"/>
      <c r="D89" s="279"/>
      <c r="E89" s="279"/>
      <c r="F89" s="279"/>
      <c r="H89" s="279"/>
    </row>
    <row r="90" spans="3:8">
      <c r="C90" s="279"/>
      <c r="D90" s="279"/>
      <c r="E90" s="279"/>
      <c r="F90" s="279"/>
      <c r="H90" s="279"/>
    </row>
    <row r="91" spans="3:8">
      <c r="C91" s="279"/>
      <c r="D91" s="279"/>
      <c r="E91" s="279"/>
      <c r="F91" s="279"/>
      <c r="H91" s="279"/>
    </row>
    <row r="92" spans="3:8">
      <c r="C92" s="279"/>
      <c r="D92" s="279"/>
      <c r="E92" s="279"/>
      <c r="F92" s="279"/>
      <c r="H92" s="279"/>
    </row>
    <row r="93" spans="3:8">
      <c r="C93" s="279"/>
      <c r="D93" s="279"/>
      <c r="E93" s="279"/>
      <c r="F93" s="279"/>
      <c r="H93" s="279"/>
    </row>
    <row r="94" spans="3:8">
      <c r="C94" s="279"/>
      <c r="D94" s="279"/>
      <c r="E94" s="279"/>
      <c r="F94" s="279"/>
      <c r="H94" s="279"/>
    </row>
    <row r="95" spans="3:8">
      <c r="C95" s="279"/>
      <c r="D95" s="279"/>
      <c r="E95" s="279"/>
      <c r="F95" s="279"/>
      <c r="H95" s="279"/>
    </row>
    <row r="96" spans="3:8">
      <c r="C96" s="279"/>
      <c r="D96" s="279"/>
      <c r="E96" s="279"/>
      <c r="F96" s="279"/>
      <c r="H96" s="279"/>
    </row>
    <row r="97" spans="3:8">
      <c r="C97" s="279"/>
      <c r="D97" s="279"/>
      <c r="E97" s="279"/>
      <c r="F97" s="279"/>
      <c r="H97" s="279"/>
    </row>
    <row r="98" spans="3:8">
      <c r="C98" s="279"/>
      <c r="D98" s="279"/>
      <c r="E98" s="279"/>
      <c r="F98" s="279"/>
      <c r="H98" s="279"/>
    </row>
    <row r="99" spans="3:8">
      <c r="C99" s="279"/>
      <c r="D99" s="279"/>
      <c r="E99" s="279"/>
      <c r="F99" s="279"/>
      <c r="H99" s="279"/>
    </row>
    <row r="100" spans="3:8">
      <c r="C100" s="279"/>
      <c r="D100" s="279"/>
      <c r="E100" s="279"/>
      <c r="F100" s="279"/>
      <c r="H100" s="279"/>
    </row>
    <row r="101" spans="3:8">
      <c r="C101" s="279"/>
      <c r="D101" s="279"/>
      <c r="E101" s="279"/>
      <c r="F101" s="279"/>
      <c r="H101" s="279"/>
    </row>
    <row r="102" spans="3:8">
      <c r="C102" s="279"/>
      <c r="D102" s="279"/>
      <c r="E102" s="279"/>
      <c r="F102" s="279"/>
      <c r="H102" s="279"/>
    </row>
    <row r="103" spans="3:8">
      <c r="C103" s="279"/>
      <c r="D103" s="279"/>
      <c r="E103" s="279"/>
      <c r="F103" s="279"/>
      <c r="H103" s="279"/>
    </row>
    <row r="104" spans="3:8">
      <c r="C104" s="279"/>
      <c r="D104" s="279"/>
      <c r="E104" s="279"/>
      <c r="F104" s="279"/>
      <c r="H104" s="279"/>
    </row>
    <row r="105" spans="3:8">
      <c r="C105" s="279"/>
      <c r="D105" s="279"/>
      <c r="E105" s="279"/>
      <c r="F105" s="279"/>
      <c r="H105" s="279"/>
    </row>
    <row r="106" spans="3:8">
      <c r="C106" s="279"/>
      <c r="D106" s="279"/>
      <c r="E106" s="279"/>
      <c r="F106" s="279"/>
      <c r="H106" s="279"/>
    </row>
    <row r="107" spans="3:8">
      <c r="C107" s="279"/>
      <c r="D107" s="279"/>
      <c r="E107" s="279"/>
      <c r="F107" s="279"/>
      <c r="H107" s="279"/>
    </row>
    <row r="108" spans="3:8">
      <c r="C108" s="279"/>
      <c r="D108" s="279"/>
      <c r="E108" s="279"/>
      <c r="F108" s="279"/>
      <c r="H108" s="279"/>
    </row>
    <row r="109" spans="3:8">
      <c r="C109" s="279"/>
      <c r="D109" s="279"/>
      <c r="E109" s="279"/>
      <c r="F109" s="279"/>
      <c r="H109" s="279"/>
    </row>
    <row r="110" spans="3:8">
      <c r="C110" s="279"/>
      <c r="D110" s="279"/>
      <c r="E110" s="279"/>
      <c r="F110" s="279"/>
      <c r="H110" s="279"/>
    </row>
    <row r="111" spans="3:8">
      <c r="C111" s="279"/>
      <c r="D111" s="279"/>
      <c r="E111" s="279"/>
      <c r="F111" s="279"/>
      <c r="H111" s="279"/>
    </row>
    <row r="112" spans="3:8">
      <c r="C112" s="279"/>
      <c r="D112" s="279"/>
      <c r="E112" s="279"/>
      <c r="F112" s="279"/>
      <c r="H112" s="279"/>
    </row>
    <row r="113" spans="3:8">
      <c r="C113" s="279"/>
      <c r="D113" s="279"/>
      <c r="E113" s="279"/>
      <c r="F113" s="279"/>
      <c r="H113" s="279"/>
    </row>
    <row r="114" spans="3:8">
      <c r="C114" s="279"/>
      <c r="D114" s="279"/>
      <c r="E114" s="279"/>
      <c r="F114" s="279"/>
      <c r="H114" s="279"/>
    </row>
    <row r="115" spans="3:8">
      <c r="C115" s="279"/>
      <c r="D115" s="279"/>
      <c r="E115" s="279"/>
      <c r="F115" s="279"/>
      <c r="H115" s="279"/>
    </row>
    <row r="116" spans="3:8">
      <c r="C116" s="279"/>
      <c r="D116" s="279"/>
      <c r="E116" s="279"/>
      <c r="F116" s="279"/>
      <c r="H116" s="279"/>
    </row>
    <row r="117" spans="3:8">
      <c r="C117" s="279"/>
      <c r="D117" s="279"/>
      <c r="E117" s="279"/>
      <c r="F117" s="279"/>
      <c r="H117" s="279"/>
    </row>
    <row r="118" spans="3:8">
      <c r="C118" s="279"/>
      <c r="D118" s="279"/>
      <c r="E118" s="279"/>
      <c r="F118" s="279"/>
      <c r="H118" s="279"/>
    </row>
    <row r="119" spans="3:8">
      <c r="C119" s="279"/>
      <c r="D119" s="279"/>
      <c r="E119" s="279"/>
      <c r="F119" s="279"/>
      <c r="H119" s="279"/>
    </row>
    <row r="120" spans="3:8">
      <c r="C120" s="279"/>
      <c r="D120" s="279"/>
      <c r="E120" s="279"/>
      <c r="F120" s="279"/>
      <c r="H120" s="279"/>
    </row>
    <row r="121" spans="3:8">
      <c r="C121" s="279"/>
      <c r="D121" s="279"/>
      <c r="E121" s="279"/>
      <c r="F121" s="279"/>
      <c r="H121" s="279"/>
    </row>
    <row r="122" spans="3:8">
      <c r="C122" s="279"/>
      <c r="D122" s="279"/>
      <c r="E122" s="279"/>
      <c r="F122" s="279"/>
      <c r="H122" s="279"/>
    </row>
    <row r="123" spans="3:8">
      <c r="C123" s="279"/>
      <c r="D123" s="279"/>
      <c r="E123" s="279"/>
      <c r="F123" s="279"/>
      <c r="H123" s="279"/>
    </row>
    <row r="124" spans="3:8">
      <c r="C124" s="279"/>
      <c r="D124" s="279"/>
      <c r="E124" s="279"/>
      <c r="F124" s="279"/>
      <c r="H124" s="279"/>
    </row>
    <row r="125" spans="3:8">
      <c r="C125" s="279"/>
      <c r="D125" s="279"/>
      <c r="E125" s="279"/>
      <c r="F125" s="279"/>
      <c r="H125" s="279"/>
    </row>
    <row r="126" spans="3:8">
      <c r="C126" s="279"/>
      <c r="D126" s="279"/>
      <c r="E126" s="279"/>
      <c r="F126" s="279"/>
      <c r="H126" s="279"/>
    </row>
    <row r="127" spans="3:8">
      <c r="C127" s="279"/>
      <c r="D127" s="279"/>
      <c r="E127" s="279"/>
      <c r="F127" s="279"/>
      <c r="H127" s="279"/>
    </row>
    <row r="128" spans="3:8">
      <c r="C128" s="279"/>
      <c r="D128" s="279"/>
      <c r="E128" s="279"/>
      <c r="F128" s="279"/>
      <c r="H128" s="279"/>
    </row>
    <row r="129" spans="3:8">
      <c r="C129" s="279"/>
      <c r="D129" s="279"/>
      <c r="E129" s="279"/>
      <c r="F129" s="279"/>
      <c r="H129" s="279"/>
    </row>
    <row r="130" spans="3:8">
      <c r="C130" s="279"/>
      <c r="D130" s="279"/>
      <c r="E130" s="279"/>
      <c r="F130" s="279"/>
      <c r="H130" s="279"/>
    </row>
    <row r="131" spans="3:8">
      <c r="C131" s="279"/>
      <c r="D131" s="279"/>
      <c r="E131" s="279"/>
      <c r="F131" s="279"/>
      <c r="H131" s="279"/>
    </row>
    <row r="132" spans="3:8">
      <c r="C132" s="279"/>
      <c r="D132" s="279"/>
      <c r="E132" s="279"/>
      <c r="F132" s="279"/>
      <c r="H132" s="279"/>
    </row>
    <row r="133" spans="3:8">
      <c r="C133" s="279"/>
      <c r="D133" s="279"/>
      <c r="E133" s="279"/>
      <c r="F133" s="279"/>
      <c r="H133" s="279"/>
    </row>
    <row r="134" spans="3:8">
      <c r="C134" s="279"/>
      <c r="D134" s="279"/>
      <c r="E134" s="279"/>
      <c r="F134" s="279"/>
      <c r="H134" s="279"/>
    </row>
    <row r="135" spans="3:8">
      <c r="C135" s="279"/>
      <c r="D135" s="279"/>
      <c r="E135" s="279"/>
      <c r="F135" s="279"/>
      <c r="H135" s="279"/>
    </row>
    <row r="136" spans="3:8">
      <c r="C136" s="279"/>
      <c r="D136" s="279"/>
      <c r="E136" s="279"/>
      <c r="F136" s="279"/>
      <c r="H136" s="279"/>
    </row>
    <row r="137" spans="3:8">
      <c r="C137" s="279"/>
      <c r="D137" s="279"/>
      <c r="E137" s="279"/>
      <c r="F137" s="279"/>
      <c r="H137" s="279"/>
    </row>
    <row r="138" spans="3:8">
      <c r="C138" s="279"/>
      <c r="D138" s="279"/>
      <c r="E138" s="279"/>
      <c r="F138" s="279"/>
      <c r="H138" s="279"/>
    </row>
    <row r="139" spans="3:8">
      <c r="C139" s="279"/>
      <c r="D139" s="279"/>
      <c r="E139" s="279"/>
      <c r="F139" s="279"/>
      <c r="H139" s="279"/>
    </row>
    <row r="140" spans="3:8">
      <c r="C140" s="279"/>
      <c r="D140" s="279"/>
      <c r="E140" s="279"/>
      <c r="F140" s="279"/>
      <c r="H140" s="279"/>
    </row>
    <row r="141" spans="3:8">
      <c r="C141" s="279"/>
      <c r="D141" s="279"/>
      <c r="E141" s="279"/>
      <c r="F141" s="279"/>
      <c r="H141" s="279"/>
    </row>
    <row r="142" spans="3:8">
      <c r="C142" s="279"/>
      <c r="D142" s="279"/>
      <c r="E142" s="279"/>
      <c r="F142" s="279"/>
      <c r="H142" s="279"/>
    </row>
    <row r="143" spans="3:8">
      <c r="C143" s="279"/>
      <c r="D143" s="279"/>
      <c r="E143" s="279"/>
      <c r="F143" s="279"/>
      <c r="H143" s="279"/>
    </row>
    <row r="144" spans="3:8">
      <c r="C144" s="279"/>
      <c r="D144" s="279"/>
      <c r="E144" s="279"/>
      <c r="F144" s="279"/>
      <c r="H144" s="279"/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141"/>
  <sheetViews>
    <sheetView view="pageBreakPreview" zoomScale="85" zoomScaleNormal="80" zoomScaleSheetLayoutView="85" workbookViewId="0">
      <pane xSplit="2" ySplit="12" topLeftCell="AN40" activePane="bottomRight" state="frozen"/>
      <selection activeCell="C19" sqref="C19"/>
      <selection pane="topRight" activeCell="C19" sqref="C19"/>
      <selection pane="bottomLeft" activeCell="C19" sqref="C19"/>
      <selection pane="bottomRight" activeCell="AV53" sqref="AV53"/>
    </sheetView>
  </sheetViews>
  <sheetFormatPr defaultColWidth="9.140625" defaultRowHeight="15" outlineLevelCol="1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0" width="15.28515625" style="280" customWidth="1" outlineLevel="1"/>
    <col min="21" max="22" width="20.42578125" style="280" bestFit="1" customWidth="1" outlineLevel="1"/>
    <col min="23" max="24" width="15.28515625" style="280" customWidth="1" outlineLevel="1"/>
    <col min="25" max="25" width="19.140625" style="280" bestFit="1" customWidth="1"/>
    <col min="26" max="26" width="17.140625" style="280" customWidth="1"/>
    <col min="27" max="27" width="15.28515625" style="280" customWidth="1" outlineLevel="1"/>
    <col min="28" max="28" width="20.85546875" style="280" customWidth="1" outlineLevel="1"/>
    <col min="29" max="35" width="15.28515625" style="280" customWidth="1" outlineLevel="1"/>
    <col min="36" max="36" width="17.42578125" style="280" customWidth="1" outlineLevel="1"/>
    <col min="37" max="37" width="15.28515625" style="280" customWidth="1" outlineLevel="1"/>
    <col min="38" max="38" width="20.140625" style="280" bestFit="1" customWidth="1" outlineLevel="1"/>
    <col min="39" max="41" width="15.28515625" style="280" customWidth="1" outlineLevel="1"/>
    <col min="42" max="42" width="16.85546875" style="280" customWidth="1" outlineLevel="1"/>
    <col min="43" max="49" width="15.28515625" style="280" customWidth="1" outlineLevel="1"/>
    <col min="50" max="50" width="15.28515625" style="280" customWidth="1"/>
    <col min="51" max="51" width="18.140625" style="280" bestFit="1" customWidth="1"/>
    <col min="52" max="52" width="14.85546875" style="280" bestFit="1" customWidth="1"/>
    <col min="53" max="53" width="19.140625" style="280" bestFit="1" customWidth="1"/>
    <col min="54" max="54" width="14.85546875" style="280" bestFit="1" customWidth="1"/>
    <col min="55" max="55" width="15" style="280" bestFit="1" customWidth="1"/>
    <col min="56" max="56" width="15.85546875" style="280" bestFit="1" customWidth="1"/>
    <col min="57" max="57" width="13.85546875" style="280" bestFit="1" customWidth="1"/>
    <col min="58" max="59" width="15.85546875" style="280" bestFit="1" customWidth="1"/>
    <col min="60" max="60" width="12" style="280" bestFit="1" customWidth="1"/>
    <col min="61" max="16384" width="9.140625" style="280"/>
  </cols>
  <sheetData>
    <row r="1" spans="1:51">
      <c r="A1" s="414" t="s">
        <v>38</v>
      </c>
      <c r="C1" s="414"/>
      <c r="L1" s="415" t="s">
        <v>620</v>
      </c>
      <c r="M1" s="416"/>
      <c r="Y1" s="415" t="s">
        <v>621</v>
      </c>
      <c r="Z1" s="416"/>
      <c r="AA1" s="414"/>
      <c r="AB1" s="414"/>
      <c r="AC1" s="414"/>
      <c r="AD1" s="414"/>
      <c r="AE1" s="414"/>
      <c r="AH1" s="414"/>
      <c r="AI1" s="414"/>
      <c r="AJ1" s="414"/>
      <c r="AK1" s="415" t="s">
        <v>623</v>
      </c>
      <c r="AL1" s="416"/>
      <c r="AM1" s="414"/>
      <c r="AO1" s="414"/>
      <c r="AR1" s="414"/>
      <c r="AS1" s="414"/>
      <c r="AT1" s="414"/>
      <c r="AU1" s="414"/>
      <c r="AV1" s="414"/>
      <c r="AW1" s="414"/>
      <c r="AX1" s="415" t="s">
        <v>622</v>
      </c>
      <c r="AY1" s="416"/>
    </row>
    <row r="2" spans="1:51">
      <c r="A2" s="414" t="s">
        <v>430</v>
      </c>
      <c r="C2" s="414"/>
      <c r="W2" s="414"/>
      <c r="X2" s="414"/>
      <c r="Z2" s="414"/>
      <c r="AA2" s="414"/>
      <c r="AB2" s="414"/>
      <c r="AC2" s="414"/>
      <c r="AD2" s="414"/>
      <c r="AE2" s="414"/>
      <c r="AH2" s="414"/>
      <c r="AI2" s="414"/>
      <c r="AJ2" s="414"/>
      <c r="AK2" s="576">
        <f>AU53</f>
        <v>-729618.36065856554</v>
      </c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</row>
    <row r="3" spans="1:51">
      <c r="A3" s="414" t="s">
        <v>196</v>
      </c>
      <c r="C3" s="414"/>
    </row>
    <row r="4" spans="1:51">
      <c r="A4" s="414" t="str">
        <f>CASE_GAS</f>
        <v>2019 GENERAL RATE CASE</v>
      </c>
      <c r="C4" s="414"/>
    </row>
    <row r="5" spans="1:51">
      <c r="A5" s="414" t="str">
        <f>TESTYEAR_GAS</f>
        <v>12 MONTHS ENDED DECEMBER 31, 2018</v>
      </c>
      <c r="C5" s="414"/>
      <c r="W5" s="414"/>
      <c r="X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</row>
    <row r="6" spans="1:51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X6" s="319"/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319" t="s">
        <v>158</v>
      </c>
      <c r="AT6" s="417" t="s">
        <v>245</v>
      </c>
      <c r="AU6" s="417" t="s">
        <v>245</v>
      </c>
      <c r="AV6" s="417"/>
      <c r="AW6" s="417"/>
    </row>
    <row r="7" spans="1:51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320"/>
      <c r="Y7" s="418"/>
      <c r="Z7" s="418"/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  <c r="AU7" s="320" t="s">
        <v>78</v>
      </c>
      <c r="AV7" s="320"/>
      <c r="AW7" s="320"/>
    </row>
    <row r="8" spans="1:51">
      <c r="E8" s="641" t="s">
        <v>576</v>
      </c>
      <c r="G8" s="641" t="s">
        <v>576</v>
      </c>
      <c r="L8" s="280" t="s">
        <v>271</v>
      </c>
      <c r="M8" s="280" t="s">
        <v>271</v>
      </c>
      <c r="U8" s="641" t="s">
        <v>576</v>
      </c>
      <c r="V8" s="592" t="s">
        <v>576</v>
      </c>
      <c r="X8" s="641" t="s">
        <v>510</v>
      </c>
      <c r="AB8" s="641" t="s">
        <v>576</v>
      </c>
      <c r="AC8" s="641" t="s">
        <v>576</v>
      </c>
      <c r="AD8" s="280" t="s">
        <v>271</v>
      </c>
      <c r="AE8" s="280" t="s">
        <v>271</v>
      </c>
      <c r="AL8" s="592"/>
      <c r="AN8" s="641" t="s">
        <v>576</v>
      </c>
      <c r="AQ8" s="641" t="s">
        <v>576</v>
      </c>
      <c r="AS8" s="641" t="s">
        <v>576</v>
      </c>
      <c r="AV8" s="641" t="s">
        <v>504</v>
      </c>
      <c r="AW8" s="700" t="s">
        <v>504</v>
      </c>
    </row>
    <row r="9" spans="1:51" ht="15" customHeight="1">
      <c r="C9" s="282" t="s">
        <v>33</v>
      </c>
      <c r="D9" s="321">
        <v>6.01</v>
      </c>
      <c r="E9" s="642">
        <f>+D9+0.01</f>
        <v>6.02</v>
      </c>
      <c r="F9" s="321">
        <f>+E9+0.01</f>
        <v>6.0299999999999994</v>
      </c>
      <c r="G9" s="642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642">
        <v>6.18</v>
      </c>
      <c r="V9" s="321">
        <v>6.19</v>
      </c>
      <c r="W9" s="321">
        <v>6.23</v>
      </c>
      <c r="X9" s="642" t="s">
        <v>578</v>
      </c>
      <c r="Y9" s="419" t="s">
        <v>54</v>
      </c>
      <c r="Z9" s="419" t="s">
        <v>82</v>
      </c>
      <c r="AA9" s="322">
        <f>+D9</f>
        <v>6.01</v>
      </c>
      <c r="AB9" s="645">
        <f>+E9</f>
        <v>6.02</v>
      </c>
      <c r="AC9" s="645">
        <f>+G9</f>
        <v>6.0399999999999991</v>
      </c>
      <c r="AD9" s="322">
        <f>+L9</f>
        <v>6.0899999999999981</v>
      </c>
      <c r="AE9" s="322">
        <f>+M9</f>
        <v>6.0999999999999979</v>
      </c>
      <c r="AF9" s="322">
        <v>6.14</v>
      </c>
      <c r="AG9" s="322">
        <v>6.15</v>
      </c>
      <c r="AH9" s="322">
        <v>6.16</v>
      </c>
      <c r="AI9" s="322">
        <f>+AH9+0.01</f>
        <v>6.17</v>
      </c>
      <c r="AJ9" s="322">
        <v>6.2</v>
      </c>
      <c r="AK9" s="322">
        <v>6.21</v>
      </c>
      <c r="AL9" s="322">
        <f t="shared" ref="AL9:AS9" si="1">+AK9+0.01</f>
        <v>6.22</v>
      </c>
      <c r="AM9" s="322">
        <f t="shared" si="1"/>
        <v>6.2299999999999995</v>
      </c>
      <c r="AN9" s="645">
        <f t="shared" si="1"/>
        <v>6.2399999999999993</v>
      </c>
      <c r="AO9" s="322">
        <f t="shared" si="1"/>
        <v>6.2499999999999991</v>
      </c>
      <c r="AP9" s="322">
        <f t="shared" si="1"/>
        <v>6.2599999999999989</v>
      </c>
      <c r="AQ9" s="645">
        <f t="shared" si="1"/>
        <v>6.2699999999999987</v>
      </c>
      <c r="AR9" s="322">
        <f t="shared" si="1"/>
        <v>6.2799999999999985</v>
      </c>
      <c r="AS9" s="645">
        <f t="shared" si="1"/>
        <v>6.2899999999999983</v>
      </c>
      <c r="AT9" s="322" t="s">
        <v>423</v>
      </c>
      <c r="AU9" s="322" t="s">
        <v>425</v>
      </c>
      <c r="AV9" s="645" t="s">
        <v>577</v>
      </c>
      <c r="AW9" s="701" t="s">
        <v>574</v>
      </c>
      <c r="AX9" s="420" t="s">
        <v>54</v>
      </c>
      <c r="AY9" s="420" t="s">
        <v>181</v>
      </c>
    </row>
    <row r="10" spans="1:51" ht="15" customHeight="1">
      <c r="A10" s="282" t="s">
        <v>36</v>
      </c>
      <c r="B10" s="282" t="s">
        <v>60</v>
      </c>
      <c r="C10" s="282" t="s">
        <v>34</v>
      </c>
      <c r="D10" s="282" t="s">
        <v>39</v>
      </c>
      <c r="E10" s="643" t="s">
        <v>216</v>
      </c>
      <c r="F10" s="282" t="s">
        <v>40</v>
      </c>
      <c r="G10" s="643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453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643" t="s">
        <v>225</v>
      </c>
      <c r="V10" s="282" t="s">
        <v>225</v>
      </c>
      <c r="W10" s="282" t="s">
        <v>226</v>
      </c>
      <c r="X10" s="643" t="s">
        <v>511</v>
      </c>
      <c r="Y10" s="421" t="s">
        <v>179</v>
      </c>
      <c r="Z10" s="421" t="s">
        <v>34</v>
      </c>
      <c r="AA10" s="282" t="s">
        <v>39</v>
      </c>
      <c r="AB10" s="643" t="s">
        <v>216</v>
      </c>
      <c r="AC10" s="643" t="s">
        <v>456</v>
      </c>
      <c r="AD10" s="282" t="s">
        <v>222</v>
      </c>
      <c r="AE10" s="282" t="s">
        <v>44</v>
      </c>
      <c r="AF10" s="282" t="s">
        <v>45</v>
      </c>
      <c r="AG10" s="282" t="s">
        <v>46</v>
      </c>
      <c r="AH10" s="282" t="s">
        <v>47</v>
      </c>
      <c r="AI10" s="282" t="s">
        <v>48</v>
      </c>
      <c r="AJ10" s="282" t="s">
        <v>457</v>
      </c>
      <c r="AK10" s="282" t="s">
        <v>238</v>
      </c>
      <c r="AL10" s="4"/>
      <c r="AM10" s="282" t="s">
        <v>226</v>
      </c>
      <c r="AN10" s="643"/>
      <c r="AO10" s="282" t="s">
        <v>227</v>
      </c>
      <c r="AP10" s="282" t="s">
        <v>316</v>
      </c>
      <c r="AQ10" s="643" t="s">
        <v>318</v>
      </c>
      <c r="AR10" s="282" t="s">
        <v>349</v>
      </c>
      <c r="AS10" s="643"/>
      <c r="AT10" s="282" t="s">
        <v>421</v>
      </c>
      <c r="AU10" s="282" t="s">
        <v>424</v>
      </c>
      <c r="AV10" s="643" t="s">
        <v>561</v>
      </c>
      <c r="AW10" s="282" t="s">
        <v>505</v>
      </c>
      <c r="AX10" s="421" t="s">
        <v>180</v>
      </c>
      <c r="AY10" s="421" t="s">
        <v>34</v>
      </c>
    </row>
    <row r="11" spans="1:51" ht="15" customHeight="1">
      <c r="A11" s="282" t="s">
        <v>37</v>
      </c>
      <c r="C11" s="282" t="s">
        <v>35</v>
      </c>
      <c r="D11" s="282" t="s">
        <v>42</v>
      </c>
      <c r="E11" s="643" t="s">
        <v>228</v>
      </c>
      <c r="F11" s="324" t="s">
        <v>43</v>
      </c>
      <c r="G11" s="64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454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643" t="s">
        <v>61</v>
      </c>
      <c r="V11" s="282" t="s">
        <v>13</v>
      </c>
      <c r="W11" s="282" t="s">
        <v>235</v>
      </c>
      <c r="X11" s="643" t="s">
        <v>512</v>
      </c>
      <c r="Y11" s="421" t="s">
        <v>57</v>
      </c>
      <c r="Z11" s="421" t="s">
        <v>59</v>
      </c>
      <c r="AA11" s="282" t="s">
        <v>42</v>
      </c>
      <c r="AB11" s="643" t="s">
        <v>228</v>
      </c>
      <c r="AC11" s="644" t="s">
        <v>455</v>
      </c>
      <c r="AD11" s="324" t="s">
        <v>233</v>
      </c>
      <c r="AE11" s="324" t="s">
        <v>49</v>
      </c>
      <c r="AF11" s="325" t="s">
        <v>51</v>
      </c>
      <c r="AG11" s="282" t="s">
        <v>53</v>
      </c>
      <c r="AH11" s="282" t="s">
        <v>52</v>
      </c>
      <c r="AI11" s="282" t="s">
        <v>49</v>
      </c>
      <c r="AJ11" s="282" t="s">
        <v>50</v>
      </c>
      <c r="AK11" s="282" t="s">
        <v>159</v>
      </c>
      <c r="AL11" s="282" t="s">
        <v>185</v>
      </c>
      <c r="AM11" s="282" t="s">
        <v>235</v>
      </c>
      <c r="AN11" s="643" t="s">
        <v>273</v>
      </c>
      <c r="AO11" s="282" t="s">
        <v>236</v>
      </c>
      <c r="AP11" s="282" t="s">
        <v>317</v>
      </c>
      <c r="AQ11" s="643" t="s">
        <v>319</v>
      </c>
      <c r="AR11" s="282" t="s">
        <v>350</v>
      </c>
      <c r="AS11" s="643" t="s">
        <v>400</v>
      </c>
      <c r="AT11" s="282" t="s">
        <v>422</v>
      </c>
      <c r="AU11" s="282" t="s">
        <v>272</v>
      </c>
      <c r="AV11" s="643"/>
      <c r="AW11" s="282"/>
      <c r="AX11" s="421" t="s">
        <v>57</v>
      </c>
      <c r="AY11" s="421" t="s">
        <v>59</v>
      </c>
    </row>
    <row r="12" spans="1:51" ht="45">
      <c r="C12" s="285" t="s">
        <v>197</v>
      </c>
      <c r="D12" s="281" t="s">
        <v>198</v>
      </c>
      <c r="E12" s="281" t="s">
        <v>465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320</v>
      </c>
      <c r="R12" s="281" t="s">
        <v>321</v>
      </c>
      <c r="S12" s="281" t="s">
        <v>322</v>
      </c>
      <c r="T12" s="281" t="s">
        <v>323</v>
      </c>
      <c r="U12" s="281" t="s">
        <v>324</v>
      </c>
      <c r="V12" s="281" t="s">
        <v>325</v>
      </c>
      <c r="W12" s="281" t="s">
        <v>438</v>
      </c>
      <c r="X12" s="281"/>
      <c r="Y12" s="496" t="s">
        <v>513</v>
      </c>
      <c r="Z12" s="422" t="s">
        <v>439</v>
      </c>
      <c r="AA12" s="281" t="s">
        <v>210</v>
      </c>
      <c r="AB12" s="281" t="s">
        <v>211</v>
      </c>
      <c r="AC12" s="281" t="s">
        <v>212</v>
      </c>
      <c r="AD12" s="281" t="s">
        <v>326</v>
      </c>
      <c r="AE12" s="281" t="s">
        <v>327</v>
      </c>
      <c r="AF12" s="281" t="s">
        <v>328</v>
      </c>
      <c r="AG12" s="281" t="s">
        <v>329</v>
      </c>
      <c r="AH12" s="281" t="s">
        <v>330</v>
      </c>
      <c r="AI12" s="281" t="s">
        <v>331</v>
      </c>
      <c r="AJ12" s="281" t="s">
        <v>332</v>
      </c>
      <c r="AK12" s="281" t="s">
        <v>334</v>
      </c>
      <c r="AL12" s="281" t="s">
        <v>335</v>
      </c>
      <c r="AM12" s="281" t="s">
        <v>333</v>
      </c>
      <c r="AN12" s="281" t="s">
        <v>336</v>
      </c>
      <c r="AO12" s="281" t="s">
        <v>337</v>
      </c>
      <c r="AP12" s="281" t="s">
        <v>213</v>
      </c>
      <c r="AQ12" s="281" t="s">
        <v>440</v>
      </c>
      <c r="AR12" s="281" t="s">
        <v>214</v>
      </c>
      <c r="AS12" s="281" t="s">
        <v>215</v>
      </c>
      <c r="AT12" s="281" t="s">
        <v>466</v>
      </c>
      <c r="AU12" s="281" t="s">
        <v>441</v>
      </c>
      <c r="AV12" s="281" t="s">
        <v>562</v>
      </c>
      <c r="AW12" s="281" t="s">
        <v>563</v>
      </c>
      <c r="AX12" s="496" t="s">
        <v>506</v>
      </c>
      <c r="AY12" s="422" t="s">
        <v>482</v>
      </c>
    </row>
    <row r="13" spans="1:51">
      <c r="A13" s="285">
        <v>1</v>
      </c>
      <c r="B13" s="286" t="s">
        <v>0</v>
      </c>
      <c r="Y13" s="423"/>
      <c r="Z13" s="423"/>
      <c r="AU13" s="293"/>
      <c r="AV13" s="293"/>
      <c r="AW13" s="293"/>
      <c r="AX13" s="423"/>
      <c r="AY13" s="423"/>
    </row>
    <row r="14" spans="1:51">
      <c r="A14" s="285">
        <f t="shared" ref="A14:A45" si="2">A13+1</f>
        <v>2</v>
      </c>
      <c r="B14" s="286" t="s">
        <v>1</v>
      </c>
      <c r="C14" s="287">
        <f>+'[4]Allocated (CBR)'!$C$9</f>
        <v>876657675.66999984</v>
      </c>
      <c r="D14" s="287">
        <f>+'Common Adj'!F20</f>
        <v>-47098325.766164944</v>
      </c>
      <c r="E14" s="287">
        <f>'Common Adj'!N19</f>
        <v>71805.349049671087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424">
        <f>SUM(D14:X14)</f>
        <v>-152862576.1966967</v>
      </c>
      <c r="Z14" s="424">
        <f>+Y14+C14</f>
        <v>723795099.47330308</v>
      </c>
      <c r="AA14" s="287">
        <f>'Common Adj'!H20</f>
        <v>50971.28</v>
      </c>
      <c r="AB14" s="287">
        <f>+'Common Adj'!P19</f>
        <v>33936342.072315551</v>
      </c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>
        <f>'Gas Adj'!Q15</f>
        <v>-6980521.1700718822</v>
      </c>
      <c r="AV14" s="287"/>
      <c r="AW14" s="287"/>
      <c r="AX14" s="424">
        <f>SUM(AA14:AW14)</f>
        <v>27006792.182243671</v>
      </c>
      <c r="AY14" s="424">
        <f>+AX14+Z14</f>
        <v>750801891.65554678</v>
      </c>
    </row>
    <row r="15" spans="1:51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426">
        <f>SUM(D15:X15)</f>
        <v>0</v>
      </c>
      <c r="Z15" s="426">
        <f>+Y15+C15</f>
        <v>0</v>
      </c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426">
        <f>SUM(AA15:AW15)</f>
        <v>0</v>
      </c>
      <c r="AY15" s="426">
        <f>+AX15+Z15</f>
        <v>0</v>
      </c>
    </row>
    <row r="16" spans="1:51">
      <c r="A16" s="285">
        <f t="shared" si="2"/>
        <v>4</v>
      </c>
      <c r="B16" s="286" t="s">
        <v>2</v>
      </c>
      <c r="C16" s="288">
        <f>+'[4]Allocated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426">
        <f>SUM(D16:X16)</f>
        <v>46115261.559999995</v>
      </c>
      <c r="Z16" s="426">
        <f>+Y16+C16</f>
        <v>20205262.979999997</v>
      </c>
      <c r="AA16" s="288">
        <f>+'Common Adj'!H29</f>
        <v>-9854969.0099999998</v>
      </c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426">
        <f>SUM(AA16:AW16)</f>
        <v>-9854969.0099999998</v>
      </c>
      <c r="AY16" s="426">
        <f>+AX16+Z16</f>
        <v>10350293.969999997</v>
      </c>
    </row>
    <row r="17" spans="1:60">
      <c r="A17" s="285">
        <f t="shared" si="2"/>
        <v>5</v>
      </c>
      <c r="B17" s="286" t="s">
        <v>3</v>
      </c>
      <c r="C17" s="289">
        <f t="shared" ref="C17:AD17" si="3">SUM(C14:C16)</f>
        <v>850747677.08999979</v>
      </c>
      <c r="D17" s="289">
        <f t="shared" si="3"/>
        <v>-44406847.206164941</v>
      </c>
      <c r="E17" s="289">
        <f>SUM(E14:E16)</f>
        <v>71805.349049671087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54"/>
      <c r="Y17" s="427">
        <f t="shared" si="3"/>
        <v>-106747314.6366967</v>
      </c>
      <c r="Z17" s="427">
        <f t="shared" si="3"/>
        <v>744000362.4533031</v>
      </c>
      <c r="AA17" s="289">
        <f>SUM(AA14:AA16)</f>
        <v>-9803997.7300000004</v>
      </c>
      <c r="AB17" s="289">
        <f>SUM(AB14:AB16)</f>
        <v>33936342.072315551</v>
      </c>
      <c r="AC17" s="289">
        <f t="shared" si="3"/>
        <v>0</v>
      </c>
      <c r="AD17" s="289">
        <f t="shared" si="3"/>
        <v>0</v>
      </c>
      <c r="AE17" s="289">
        <f t="shared" ref="AE17:AY17" si="4">SUM(AE14:AE16)</f>
        <v>0</v>
      </c>
      <c r="AF17" s="289">
        <f t="shared" si="4"/>
        <v>0</v>
      </c>
      <c r="AG17" s="289">
        <f t="shared" si="4"/>
        <v>0</v>
      </c>
      <c r="AH17" s="289">
        <f t="shared" si="4"/>
        <v>0</v>
      </c>
      <c r="AI17" s="289">
        <f t="shared" si="4"/>
        <v>0</v>
      </c>
      <c r="AJ17" s="289">
        <f>SUM(AJ14:AJ16)</f>
        <v>0</v>
      </c>
      <c r="AK17" s="289">
        <f t="shared" si="4"/>
        <v>0</v>
      </c>
      <c r="AL17" s="289">
        <f t="shared" si="4"/>
        <v>0</v>
      </c>
      <c r="AM17" s="289">
        <f t="shared" si="4"/>
        <v>0</v>
      </c>
      <c r="AN17" s="289">
        <f t="shared" si="4"/>
        <v>0</v>
      </c>
      <c r="AO17" s="289">
        <f t="shared" si="4"/>
        <v>0</v>
      </c>
      <c r="AP17" s="289">
        <f t="shared" si="4"/>
        <v>0</v>
      </c>
      <c r="AQ17" s="289">
        <f t="shared" si="4"/>
        <v>0</v>
      </c>
      <c r="AR17" s="289">
        <f t="shared" si="4"/>
        <v>0</v>
      </c>
      <c r="AS17" s="289">
        <f>SUM(AS14:AS16)</f>
        <v>0</v>
      </c>
      <c r="AT17" s="289">
        <f>SUM(AT14:AT16)</f>
        <v>0</v>
      </c>
      <c r="AU17" s="289">
        <f t="shared" si="4"/>
        <v>-6980521.1700718822</v>
      </c>
      <c r="AV17" s="454"/>
      <c r="AW17" s="454"/>
      <c r="AX17" s="427">
        <f>SUM(AX14:AX16)</f>
        <v>17151823.17224367</v>
      </c>
      <c r="AY17" s="427">
        <f t="shared" si="4"/>
        <v>761152185.62554681</v>
      </c>
    </row>
    <row r="18" spans="1:60" s="428" customFormat="1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426"/>
      <c r="Z18" s="426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426"/>
      <c r="AY18" s="426"/>
      <c r="AZ18" s="280"/>
      <c r="BA18" s="280"/>
      <c r="BB18" s="280"/>
      <c r="BC18" s="280"/>
      <c r="BD18" s="280"/>
      <c r="BE18" s="280"/>
      <c r="BF18" s="280"/>
      <c r="BG18" s="280"/>
      <c r="BH18" s="280"/>
    </row>
    <row r="19" spans="1:60">
      <c r="A19" s="285">
        <f t="shared" si="2"/>
        <v>7</v>
      </c>
      <c r="B19" s="286" t="s">
        <v>4</v>
      </c>
      <c r="Y19" s="423"/>
      <c r="Z19" s="423"/>
      <c r="AX19" s="423"/>
      <c r="AY19" s="423"/>
    </row>
    <row r="20" spans="1:60">
      <c r="A20" s="285">
        <f t="shared" si="2"/>
        <v>8</v>
      </c>
      <c r="B20" s="292"/>
      <c r="Y20" s="423"/>
      <c r="Z20" s="423"/>
      <c r="AX20" s="423"/>
      <c r="AY20" s="423"/>
    </row>
    <row r="21" spans="1:60">
      <c r="A21" s="285">
        <f t="shared" si="2"/>
        <v>9</v>
      </c>
      <c r="B21" s="286" t="s">
        <v>247</v>
      </c>
      <c r="C21" s="287"/>
      <c r="Y21" s="423"/>
      <c r="Z21" s="423"/>
      <c r="AX21" s="423"/>
      <c r="AY21" s="423"/>
    </row>
    <row r="22" spans="1:60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425">
        <f>SUM(D22:X22)</f>
        <v>0</v>
      </c>
      <c r="Z22" s="425">
        <f>+Y22+C22</f>
        <v>0</v>
      </c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425">
        <f>SUM(AA22:AW22)</f>
        <v>0</v>
      </c>
      <c r="AY22" s="425">
        <f>+AX22+Z22</f>
        <v>0</v>
      </c>
    </row>
    <row r="23" spans="1:60">
      <c r="A23" s="285">
        <f t="shared" si="2"/>
        <v>11</v>
      </c>
      <c r="B23" s="286" t="s">
        <v>248</v>
      </c>
      <c r="C23" s="293">
        <f>+'[4]Allocated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426">
        <f>SUM(D23:X23)</f>
        <v>-20106832.814327635</v>
      </c>
      <c r="Z23" s="426">
        <f>+Y23+C23</f>
        <v>276592219.24567121</v>
      </c>
      <c r="AA23" s="288"/>
      <c r="AB23" s="288">
        <f>+'Common Adj'!P21</f>
        <v>16256425.743188024</v>
      </c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426">
        <f>SUM(AA23:AW23)</f>
        <v>16256425.743188024</v>
      </c>
      <c r="AY23" s="426">
        <f>+AX23+Z23</f>
        <v>292848644.98885924</v>
      </c>
    </row>
    <row r="24" spans="1:60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426">
        <f>SUM(D24:X24)</f>
        <v>0</v>
      </c>
      <c r="Z24" s="426">
        <f>+Y24+C24</f>
        <v>0</v>
      </c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426">
        <f>SUM(AA24:AW24)</f>
        <v>0</v>
      </c>
      <c r="AY24" s="426">
        <f>+AX24+Z24</f>
        <v>0</v>
      </c>
    </row>
    <row r="25" spans="1:60">
      <c r="A25" s="285">
        <f t="shared" si="2"/>
        <v>13</v>
      </c>
      <c r="B25" s="286" t="s">
        <v>5</v>
      </c>
      <c r="C25" s="296">
        <f t="shared" ref="C25:AD25" si="5">SUM(C21:C24)</f>
        <v>296699052.05999887</v>
      </c>
      <c r="D25" s="296">
        <f t="shared" si="5"/>
        <v>-43597128.774327636</v>
      </c>
      <c r="E25" s="296">
        <f>SUM(E21:E24)</f>
        <v>0</v>
      </c>
      <c r="F25" s="296">
        <f t="shared" si="5"/>
        <v>0</v>
      </c>
      <c r="G25" s="296">
        <f t="shared" si="5"/>
        <v>0</v>
      </c>
      <c r="H25" s="296">
        <f t="shared" si="5"/>
        <v>23490295.960000001</v>
      </c>
      <c r="I25" s="296">
        <f t="shared" si="5"/>
        <v>0</v>
      </c>
      <c r="J25" s="296">
        <f t="shared" si="5"/>
        <v>0</v>
      </c>
      <c r="K25" s="296">
        <f t="shared" si="5"/>
        <v>0</v>
      </c>
      <c r="L25" s="296">
        <f t="shared" si="5"/>
        <v>0</v>
      </c>
      <c r="M25" s="296">
        <f t="shared" si="5"/>
        <v>0</v>
      </c>
      <c r="N25" s="296">
        <f t="shared" si="5"/>
        <v>0</v>
      </c>
      <c r="O25" s="296">
        <f t="shared" si="5"/>
        <v>0</v>
      </c>
      <c r="P25" s="296">
        <f t="shared" si="5"/>
        <v>0</v>
      </c>
      <c r="Q25" s="296">
        <f t="shared" si="5"/>
        <v>0</v>
      </c>
      <c r="R25" s="296">
        <f t="shared" si="5"/>
        <v>0</v>
      </c>
      <c r="S25" s="296">
        <f t="shared" si="5"/>
        <v>0</v>
      </c>
      <c r="T25" s="296">
        <f t="shared" si="5"/>
        <v>0</v>
      </c>
      <c r="U25" s="296">
        <f t="shared" si="5"/>
        <v>0</v>
      </c>
      <c r="V25" s="296">
        <f t="shared" si="5"/>
        <v>0</v>
      </c>
      <c r="W25" s="296">
        <f t="shared" si="5"/>
        <v>0</v>
      </c>
      <c r="X25" s="329"/>
      <c r="Y25" s="429">
        <f>SUM(Y21:Y24)</f>
        <v>-20106832.814327635</v>
      </c>
      <c r="Z25" s="429">
        <f t="shared" si="5"/>
        <v>276592219.24567121</v>
      </c>
      <c r="AA25" s="296">
        <f>SUM(AA21:AA24)</f>
        <v>0</v>
      </c>
      <c r="AB25" s="296">
        <f>SUM(AB21:AB24)</f>
        <v>16256425.743188024</v>
      </c>
      <c r="AC25" s="296">
        <f t="shared" si="5"/>
        <v>0</v>
      </c>
      <c r="AD25" s="296">
        <f t="shared" si="5"/>
        <v>0</v>
      </c>
      <c r="AE25" s="296">
        <f t="shared" ref="AE25:AY25" si="6">SUM(AE21:AE24)</f>
        <v>0</v>
      </c>
      <c r="AF25" s="296">
        <f t="shared" si="6"/>
        <v>0</v>
      </c>
      <c r="AG25" s="296">
        <f t="shared" si="6"/>
        <v>0</v>
      </c>
      <c r="AH25" s="296">
        <f t="shared" si="6"/>
        <v>0</v>
      </c>
      <c r="AI25" s="296">
        <f t="shared" si="6"/>
        <v>0</v>
      </c>
      <c r="AJ25" s="296">
        <f>SUM(AJ21:AJ24)</f>
        <v>0</v>
      </c>
      <c r="AK25" s="296">
        <f t="shared" si="6"/>
        <v>0</v>
      </c>
      <c r="AL25" s="296">
        <f t="shared" si="6"/>
        <v>0</v>
      </c>
      <c r="AM25" s="296">
        <f t="shared" si="6"/>
        <v>0</v>
      </c>
      <c r="AN25" s="296">
        <f t="shared" si="6"/>
        <v>0</v>
      </c>
      <c r="AO25" s="296">
        <f t="shared" si="6"/>
        <v>0</v>
      </c>
      <c r="AP25" s="296">
        <f t="shared" si="6"/>
        <v>0</v>
      </c>
      <c r="AQ25" s="296">
        <f t="shared" si="6"/>
        <v>0</v>
      </c>
      <c r="AR25" s="296">
        <f t="shared" si="6"/>
        <v>0</v>
      </c>
      <c r="AS25" s="296">
        <f>SUM(AS21:AS24)</f>
        <v>0</v>
      </c>
      <c r="AT25" s="329"/>
      <c r="AU25" s="296">
        <f t="shared" si="6"/>
        <v>0</v>
      </c>
      <c r="AV25" s="329"/>
      <c r="AW25" s="329"/>
      <c r="AX25" s="429">
        <f>SUM(AX21:AX24)</f>
        <v>16256425.743188024</v>
      </c>
      <c r="AY25" s="429">
        <f t="shared" si="6"/>
        <v>292848644.98885924</v>
      </c>
    </row>
    <row r="26" spans="1:60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425"/>
      <c r="Z26" s="425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425"/>
      <c r="AY26" s="425"/>
    </row>
    <row r="27" spans="1:60">
      <c r="A27" s="285">
        <f t="shared" si="2"/>
        <v>15</v>
      </c>
      <c r="B27" s="298" t="s">
        <v>6</v>
      </c>
      <c r="C27" s="293">
        <f>+'[4]Allocated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293"/>
      <c r="Y27" s="426">
        <f t="shared" ref="Y27:Y41" si="7">SUM(D27:X27)</f>
        <v>18583.731398664269</v>
      </c>
      <c r="Z27" s="425">
        <f t="shared" ref="Z27:Z41" si="8">+Y27+C27</f>
        <v>6061388.8613986634</v>
      </c>
      <c r="AA27" s="293"/>
      <c r="AB27" s="293"/>
      <c r="AC27" s="293"/>
      <c r="AD27" s="293"/>
      <c r="AE27" s="293"/>
      <c r="AF27" s="293"/>
      <c r="AG27" s="288">
        <f>+'Common Adj'!DQ15+'Common Adj'!DQ16+'Common Adj'!DQ17</f>
        <v>110731.68203954893</v>
      </c>
      <c r="AH27" s="288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>
        <f>'Common Adj'!HQ14</f>
        <v>44.329999999999927</v>
      </c>
      <c r="AS27" s="293"/>
      <c r="AT27" s="293"/>
      <c r="AU27" s="293"/>
      <c r="AV27" s="293">
        <f>'Staff LNG'!F15</f>
        <v>-1697.5500000000002</v>
      </c>
      <c r="AW27" s="293"/>
      <c r="AX27" s="426">
        <f t="shared" ref="AX27:AX41" si="9">SUM(AA27:AW27)</f>
        <v>109078.46203954893</v>
      </c>
      <c r="AY27" s="425">
        <f t="shared" ref="AY27:AY41" si="10">+AX27+Z27</f>
        <v>6170467.3234382123</v>
      </c>
    </row>
    <row r="28" spans="1:60">
      <c r="A28" s="285">
        <f t="shared" si="2"/>
        <v>16</v>
      </c>
      <c r="B28" s="286" t="s">
        <v>7</v>
      </c>
      <c r="C28" s="331">
        <f>+'[4]Allocated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426">
        <f t="shared" si="7"/>
        <v>0</v>
      </c>
      <c r="Z28" s="426">
        <f t="shared" si="8"/>
        <v>2110.77</v>
      </c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>
        <f>'Common Adj'!HQ15</f>
        <v>57.75</v>
      </c>
      <c r="AS28" s="288"/>
      <c r="AT28" s="288"/>
      <c r="AU28" s="288"/>
      <c r="AV28" s="288"/>
      <c r="AW28" s="288"/>
      <c r="AX28" s="426">
        <f t="shared" si="9"/>
        <v>57.75</v>
      </c>
      <c r="AY28" s="426">
        <f t="shared" si="10"/>
        <v>2168.52</v>
      </c>
    </row>
    <row r="29" spans="1:60">
      <c r="A29" s="285">
        <f t="shared" si="2"/>
        <v>17</v>
      </c>
      <c r="B29" s="286" t="s">
        <v>8</v>
      </c>
      <c r="C29" s="331">
        <f>+'[4]Allocated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288"/>
      <c r="Y29" s="426">
        <f t="shared" si="7"/>
        <v>523457.26844154485</v>
      </c>
      <c r="Z29" s="426">
        <f t="shared" si="8"/>
        <v>60697625.368441522</v>
      </c>
      <c r="AA29" s="288"/>
      <c r="AB29" s="288"/>
      <c r="AC29" s="288"/>
      <c r="AD29" s="288"/>
      <c r="AE29" s="288"/>
      <c r="AF29" s="288"/>
      <c r="AG29" s="288">
        <f>+'Common Adj'!DQ19</f>
        <v>1350205.8821382411</v>
      </c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>
        <f>'Common Adj'!HQ16</f>
        <v>278617.51000000164</v>
      </c>
      <c r="AS29" s="288"/>
      <c r="AT29" s="288"/>
      <c r="AU29" s="288"/>
      <c r="AV29" s="288"/>
      <c r="AW29" s="288"/>
      <c r="AX29" s="426">
        <f t="shared" si="9"/>
        <v>1628823.3921382427</v>
      </c>
      <c r="AY29" s="426">
        <f t="shared" si="10"/>
        <v>62326448.760579765</v>
      </c>
    </row>
    <row r="30" spans="1:60">
      <c r="A30" s="285">
        <f t="shared" si="2"/>
        <v>18</v>
      </c>
      <c r="B30" s="286" t="s">
        <v>9</v>
      </c>
      <c r="C30" s="331">
        <f>+'[4]Allocated (CBR)'!C27</f>
        <v>29807451.619999997</v>
      </c>
      <c r="D30" s="288">
        <f>+'Common Adj'!F38</f>
        <v>-227540.68508438917</v>
      </c>
      <c r="E30" s="288">
        <f>+'Common Adj'!N24</f>
        <v>367.93060853051793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288"/>
      <c r="Y30" s="426">
        <f t="shared" si="7"/>
        <v>-141267.22852370405</v>
      </c>
      <c r="Z30" s="426">
        <f t="shared" si="8"/>
        <v>29666184.391476292</v>
      </c>
      <c r="AA30" s="288">
        <f>+'Common Adj'!H38</f>
        <v>-50235.68436852</v>
      </c>
      <c r="AB30" s="288">
        <f>+'Common Adj'!P24</f>
        <v>173889.81677854489</v>
      </c>
      <c r="AC30" s="288"/>
      <c r="AD30" s="288"/>
      <c r="AE30" s="288">
        <f>-M30</f>
        <v>0</v>
      </c>
      <c r="AF30" s="288"/>
      <c r="AG30" s="288">
        <f>+'Common Adj'!DQ20</f>
        <v>274377.34146429319</v>
      </c>
      <c r="AH30" s="288"/>
      <c r="AI30" s="288"/>
      <c r="AJ30" s="288"/>
      <c r="AK30" s="288"/>
      <c r="AL30" s="288"/>
      <c r="AM30" s="288"/>
      <c r="AN30" s="288"/>
      <c r="AO30" s="288">
        <f>'Common Adj'!GS15</f>
        <v>-435567.581275</v>
      </c>
      <c r="AP30" s="288"/>
      <c r="AQ30" s="288"/>
      <c r="AR30" s="288">
        <f>'Common Adj'!HQ17</f>
        <v>105258.47999999952</v>
      </c>
      <c r="AS30" s="288"/>
      <c r="AT30" s="288"/>
      <c r="AU30" s="288">
        <f>'Gas Adj'!Q22</f>
        <v>-35768.190475448326</v>
      </c>
      <c r="AV30" s="288"/>
      <c r="AW30" s="288"/>
      <c r="AX30" s="426">
        <f t="shared" si="9"/>
        <v>31954.18212386925</v>
      </c>
      <c r="AY30" s="426">
        <f t="shared" si="10"/>
        <v>29698138.573600162</v>
      </c>
    </row>
    <row r="31" spans="1:60">
      <c r="A31" s="285">
        <f t="shared" si="2"/>
        <v>19</v>
      </c>
      <c r="B31" s="286" t="s">
        <v>10</v>
      </c>
      <c r="C31" s="331">
        <f>+'[4]Allocated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288"/>
      <c r="Y31" s="426">
        <f t="shared" si="7"/>
        <v>-4811195.0053552855</v>
      </c>
      <c r="Z31" s="426">
        <f t="shared" si="8"/>
        <v>1763236.0746447137</v>
      </c>
      <c r="AA31" s="288"/>
      <c r="AB31" s="288"/>
      <c r="AC31" s="288"/>
      <c r="AD31" s="288"/>
      <c r="AE31" s="288"/>
      <c r="AF31" s="288"/>
      <c r="AG31" s="288">
        <f>+'Common Adj'!DQ21</f>
        <v>31612.10595257883</v>
      </c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426">
        <f t="shared" si="9"/>
        <v>31612.10595257883</v>
      </c>
      <c r="AY31" s="426">
        <f t="shared" si="10"/>
        <v>1794848.1805972925</v>
      </c>
    </row>
    <row r="32" spans="1:60">
      <c r="A32" s="285">
        <f t="shared" si="2"/>
        <v>20</v>
      </c>
      <c r="B32" s="286" t="s">
        <v>11</v>
      </c>
      <c r="C32" s="331">
        <f>+'[4]Allocated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426">
        <f t="shared" si="7"/>
        <v>-14625833.34</v>
      </c>
      <c r="Z32" s="426">
        <f t="shared" si="8"/>
        <v>0</v>
      </c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426">
        <f t="shared" si="9"/>
        <v>0</v>
      </c>
      <c r="AY32" s="426">
        <f t="shared" si="10"/>
        <v>0</v>
      </c>
    </row>
    <row r="33" spans="1:51">
      <c r="A33" s="285">
        <f t="shared" si="2"/>
        <v>21</v>
      </c>
      <c r="B33" s="286" t="s">
        <v>12</v>
      </c>
      <c r="C33" s="331">
        <f>+'[4]Allocated (CBR)'!C30</f>
        <v>57249534.549999997</v>
      </c>
      <c r="D33" s="288">
        <f>+'Common Adj'!F39</f>
        <v>-88813.694412329889</v>
      </c>
      <c r="E33" s="288">
        <f>+'Common Adj'!N25</f>
        <v>143.6106980993427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288"/>
      <c r="Y33" s="426">
        <f t="shared" si="7"/>
        <v>2450908.8961780556</v>
      </c>
      <c r="Z33" s="426">
        <f t="shared" si="8"/>
        <v>59700443.446178049</v>
      </c>
      <c r="AA33" s="288">
        <f>+'Common Adj'!H39</f>
        <v>-19607.995460000002</v>
      </c>
      <c r="AB33" s="288">
        <f>+'Common Adj'!P25</f>
        <v>67872.684144631101</v>
      </c>
      <c r="AC33" s="288"/>
      <c r="AD33" s="288">
        <f>+'Common Adj'!BU15</f>
        <v>-54197.611339999828</v>
      </c>
      <c r="AE33" s="288">
        <f>+'Common Adj'!CC18</f>
        <v>4849.3982530915964</v>
      </c>
      <c r="AF33" s="288">
        <f>'Common Adj'!DI16</f>
        <v>30987.620973575831</v>
      </c>
      <c r="AG33" s="288">
        <f>+'Common Adj'!DQ23</f>
        <v>552918.51170147955</v>
      </c>
      <c r="AH33" s="288">
        <f>+'Common Adj'!DY26</f>
        <v>117536.2105541807</v>
      </c>
      <c r="AI33" s="288">
        <f>'Common Adj'!EG19</f>
        <v>390546.4051953943</v>
      </c>
      <c r="AJ33" s="288"/>
      <c r="AK33" s="288"/>
      <c r="AL33" s="288"/>
      <c r="AM33" s="288">
        <f>+'Common Adj'!GC29</f>
        <v>-169824.88682564982</v>
      </c>
      <c r="AN33" s="288"/>
      <c r="AO33" s="288"/>
      <c r="AP33" s="288"/>
      <c r="AQ33" s="288"/>
      <c r="AR33" s="288">
        <f>'Common Adj'!HQ18</f>
        <v>600.87663299999986</v>
      </c>
      <c r="AS33" s="288"/>
      <c r="AT33" s="288"/>
      <c r="AU33" s="288">
        <f>'Gas Adj'!Q23</f>
        <v>-13961.042340143764</v>
      </c>
      <c r="AV33" s="288">
        <f>'Staff LNG'!F16</f>
        <v>-79928.489999999991</v>
      </c>
      <c r="AW33" s="288"/>
      <c r="AX33" s="426">
        <f t="shared" si="9"/>
        <v>827791.68148955947</v>
      </c>
      <c r="AY33" s="426">
        <f t="shared" si="10"/>
        <v>60528235.127667606</v>
      </c>
    </row>
    <row r="34" spans="1:51">
      <c r="A34" s="285">
        <f t="shared" si="2"/>
        <v>22</v>
      </c>
      <c r="B34" s="286" t="s">
        <v>13</v>
      </c>
      <c r="C34" s="331">
        <f>+'[4]Allocated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288"/>
      <c r="Y34" s="426">
        <f t="shared" si="7"/>
        <v>4136955.6219727392</v>
      </c>
      <c r="Z34" s="426">
        <f t="shared" si="8"/>
        <v>121094686.13197264</v>
      </c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>
        <f>SUM('Common Adj'!FT29:FT30)</f>
        <v>608662.83430810564</v>
      </c>
      <c r="AM34" s="288"/>
      <c r="AO34" s="288"/>
      <c r="AP34" s="288"/>
      <c r="AQ34" s="288"/>
      <c r="AR34" s="288"/>
      <c r="AT34" s="288">
        <f>'Gas Adj'!H22</f>
        <v>-39543.813052333338</v>
      </c>
      <c r="AU34" s="288">
        <f>'Gas Adj'!Q18</f>
        <v>0</v>
      </c>
      <c r="AV34" s="288">
        <f>'Staff LNG'!F17</f>
        <v>-712422.95189999975</v>
      </c>
      <c r="AW34" s="288"/>
      <c r="AX34" s="426">
        <f t="shared" si="9"/>
        <v>-143303.93064422742</v>
      </c>
      <c r="AY34" s="426">
        <f t="shared" si="10"/>
        <v>120951382.20132841</v>
      </c>
    </row>
    <row r="35" spans="1:51">
      <c r="A35" s="285">
        <f t="shared" si="2"/>
        <v>23</v>
      </c>
      <c r="B35" s="286" t="s">
        <v>14</v>
      </c>
      <c r="C35" s="331">
        <f>+'[4]Allocated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288"/>
      <c r="Y35" s="426">
        <f t="shared" si="7"/>
        <v>8190016.0321619846</v>
      </c>
      <c r="Z35" s="426">
        <f t="shared" si="8"/>
        <v>34307585.992161989</v>
      </c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>
        <f>'Common Adj'!GK30</f>
        <v>1469535.3693580001</v>
      </c>
      <c r="AO35" s="288"/>
      <c r="AP35" s="288"/>
      <c r="AQ35" s="288"/>
      <c r="AR35" s="288"/>
      <c r="AS35" s="288"/>
      <c r="AT35" s="288"/>
      <c r="AU35" s="288"/>
      <c r="AV35" s="288"/>
      <c r="AW35" s="288"/>
      <c r="AX35" s="426">
        <f t="shared" si="9"/>
        <v>1469535.3693580001</v>
      </c>
      <c r="AY35" s="426">
        <f t="shared" si="10"/>
        <v>35777121.361519992</v>
      </c>
    </row>
    <row r="36" spans="1:51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426">
        <f t="shared" si="7"/>
        <v>0</v>
      </c>
      <c r="Z36" s="426">
        <f t="shared" si="8"/>
        <v>0</v>
      </c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426">
        <f t="shared" si="9"/>
        <v>0</v>
      </c>
      <c r="AY36" s="426">
        <f t="shared" si="10"/>
        <v>0</v>
      </c>
    </row>
    <row r="37" spans="1:51">
      <c r="A37" s="285">
        <f t="shared" si="2"/>
        <v>25</v>
      </c>
      <c r="B37" s="286" t="s">
        <v>16</v>
      </c>
      <c r="C37" s="331">
        <f>+'[4]Allocated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426">
        <f t="shared" si="7"/>
        <v>0</v>
      </c>
      <c r="Z37" s="426">
        <f t="shared" si="8"/>
        <v>8769360.9199999981</v>
      </c>
      <c r="AA37" s="288"/>
      <c r="AB37" s="288"/>
      <c r="AC37" s="288"/>
      <c r="AD37" s="288"/>
      <c r="AE37" s="288"/>
      <c r="AF37" s="288"/>
      <c r="AG37" s="288"/>
      <c r="AH37" s="288"/>
      <c r="AI37" s="288"/>
      <c r="AJ37" s="288">
        <f>'Common Adj'!FE17</f>
        <v>-91958.276666666628</v>
      </c>
      <c r="AK37" s="288">
        <f>'Common Adj'!FM15</f>
        <v>856890.67156689428</v>
      </c>
      <c r="AL37" s="288">
        <f>SUM('Common Adj'!FT31+'Common Adj'!FT32)</f>
        <v>2065892.0664164524</v>
      </c>
      <c r="AM37" s="288"/>
      <c r="AN37" s="288">
        <f>'Common Adj'!GK31+'Common Adj'!GK32</f>
        <v>1880687.3039434666</v>
      </c>
      <c r="AO37" s="288"/>
      <c r="AP37" s="288"/>
      <c r="AQ37" s="288"/>
      <c r="AR37" s="288"/>
      <c r="AS37" s="288"/>
      <c r="AT37" s="288"/>
      <c r="AU37" s="288"/>
      <c r="AV37" s="288"/>
      <c r="AW37" s="288"/>
      <c r="AX37" s="426">
        <f t="shared" si="9"/>
        <v>4711511.7652601469</v>
      </c>
      <c r="AY37" s="426">
        <f t="shared" si="10"/>
        <v>13480872.685260145</v>
      </c>
    </row>
    <row r="38" spans="1:51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426">
        <f t="shared" si="7"/>
        <v>0</v>
      </c>
      <c r="Z38" s="426">
        <f t="shared" si="8"/>
        <v>0</v>
      </c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426">
        <f t="shared" si="9"/>
        <v>0</v>
      </c>
      <c r="AY38" s="426">
        <f t="shared" si="10"/>
        <v>0</v>
      </c>
    </row>
    <row r="39" spans="1:51">
      <c r="A39" s="285">
        <f t="shared" si="2"/>
        <v>27</v>
      </c>
      <c r="B39" s="286" t="s">
        <v>18</v>
      </c>
      <c r="C39" s="331">
        <f>+'[4]Allocated (CBR)'!C36</f>
        <v>101477296.77</v>
      </c>
      <c r="D39" s="288">
        <f>+'Common Adj'!F40</f>
        <v>-1701803.6054818591</v>
      </c>
      <c r="E39" s="288">
        <f>+'Common Adj'!N26</f>
        <v>2751.7963916305453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288"/>
      <c r="Y39" s="426">
        <f t="shared" si="7"/>
        <v>-66036387.923020393</v>
      </c>
      <c r="Z39" s="426">
        <f t="shared" si="8"/>
        <v>35440908.846979603</v>
      </c>
      <c r="AA39" s="288">
        <f>+'Common Adj'!H40</f>
        <v>-375718.60500679002</v>
      </c>
      <c r="AB39" s="288">
        <f>+'Common Adj'!P26</f>
        <v>1300542.4372373489</v>
      </c>
      <c r="AC39" s="288"/>
      <c r="AD39" s="288">
        <f>+'Common Adj'!BU14</f>
        <v>142661.06778199971</v>
      </c>
      <c r="AE39" s="288"/>
      <c r="AF39" s="288"/>
      <c r="AG39" s="288">
        <f>+'Common Adj'!DQ26</f>
        <v>97848.25822564293</v>
      </c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>
        <f>'Gas Adj'!Q26</f>
        <v>-267514.51280066476</v>
      </c>
      <c r="AV39" s="288"/>
      <c r="AW39" s="288"/>
      <c r="AX39" s="426">
        <f t="shared" si="9"/>
        <v>897818.64543753664</v>
      </c>
      <c r="AY39" s="426">
        <f t="shared" si="10"/>
        <v>36338727.492417142</v>
      </c>
    </row>
    <row r="40" spans="1:51">
      <c r="A40" s="285">
        <f t="shared" si="2"/>
        <v>28</v>
      </c>
      <c r="B40" s="286" t="s">
        <v>19</v>
      </c>
      <c r="C40" s="331">
        <f>+'[4]Allocated (CBR)'!C37</f>
        <v>31944158.879999999</v>
      </c>
      <c r="D40" s="288">
        <f>+'Common Adj'!F44</f>
        <v>253772.30615966723</v>
      </c>
      <c r="E40" s="288">
        <f>+'Common Adj'!N31</f>
        <v>14393.822383796241</v>
      </c>
      <c r="F40" s="288">
        <f>'Common Adj'!V14</f>
        <v>-11297868.699383605</v>
      </c>
      <c r="G40" s="288">
        <f>++'Common Adj'!AD21</f>
        <v>-12921873.959118428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288"/>
      <c r="Y40" s="426">
        <f t="shared" si="7"/>
        <v>-27609398.067420814</v>
      </c>
      <c r="Z40" s="426">
        <f t="shared" si="8"/>
        <v>4334760.8125791848</v>
      </c>
      <c r="AA40" s="288">
        <f>+'Common Adj'!H44</f>
        <v>-1965271.4434845848</v>
      </c>
      <c r="AB40" s="288">
        <f>+'Common Adj'!P31</f>
        <v>3388898.3921030704</v>
      </c>
      <c r="AC40" s="288">
        <f>'Common Adj'!AF21</f>
        <v>439418.25254658196</v>
      </c>
      <c r="AD40" s="288">
        <f>+'Common Adj'!BU19</f>
        <v>-18577.325852819973</v>
      </c>
      <c r="AE40" s="288">
        <f>+'Common Adj'!CC20</f>
        <v>-1018.3736331492352</v>
      </c>
      <c r="AF40" s="288">
        <f>'Common Adj'!DI18</f>
        <v>-6507.4004044509247</v>
      </c>
      <c r="AG40" s="288">
        <f>+'Common Adj'!DQ30</f>
        <v>-507715.69411957473</v>
      </c>
      <c r="AH40" s="288">
        <f>+'Common Adj'!DY32</f>
        <v>-24682.604216377938</v>
      </c>
      <c r="AI40" s="288">
        <f>'Common Adj'!EG23</f>
        <v>-82014.745091032804</v>
      </c>
      <c r="AJ40" s="288">
        <f>'Common Adj'!FE19</f>
        <v>19311.238099999991</v>
      </c>
      <c r="AK40" s="288">
        <f>'Common Adj'!FM18</f>
        <v>-179947.0410290478</v>
      </c>
      <c r="AL40" s="288">
        <f>+'Common Adj'!FT37</f>
        <v>-561656.52915215725</v>
      </c>
      <c r="AM40" s="288">
        <f>+'Common Adj'!GC31</f>
        <v>35663.226233386464</v>
      </c>
      <c r="AN40" s="288">
        <f>'Common Adj'!GK37</f>
        <v>-703546.76139330794</v>
      </c>
      <c r="AO40" s="288">
        <f>'Common Adj'!GS19</f>
        <v>91469.192067750002</v>
      </c>
      <c r="AP40" s="288"/>
      <c r="AQ40" s="288"/>
      <c r="AR40" s="288">
        <f>'Common Adj'!HQ21</f>
        <v>-80761.578792930581</v>
      </c>
      <c r="AS40" s="288"/>
      <c r="AT40" s="288">
        <f>'Gas Adj'!H24</f>
        <v>8304.2007409900016</v>
      </c>
      <c r="AU40" s="288">
        <f>'Gas Adj'!Q31</f>
        <v>-1399288.2591356812</v>
      </c>
      <c r="AV40" s="288">
        <f>'Staff LNG'!F18</f>
        <v>166750.28829899995</v>
      </c>
      <c r="AW40" s="288"/>
      <c r="AX40" s="426">
        <f t="shared" si="9"/>
        <v>-1381172.9662143367</v>
      </c>
      <c r="AY40" s="426">
        <f t="shared" si="10"/>
        <v>2953587.8463648483</v>
      </c>
    </row>
    <row r="41" spans="1:51">
      <c r="A41" s="285">
        <f t="shared" si="2"/>
        <v>29</v>
      </c>
      <c r="B41" s="292" t="s">
        <v>20</v>
      </c>
      <c r="C41" s="331">
        <f>+'[4]Allocated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426">
        <f t="shared" si="7"/>
        <v>10081450.108688122</v>
      </c>
      <c r="Z41" s="426">
        <f t="shared" si="8"/>
        <v>523319.51868812554</v>
      </c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>
        <f>'Common Adj'!HA20</f>
        <v>-722630.37767299998</v>
      </c>
      <c r="AQ41" s="288"/>
      <c r="AR41" s="288"/>
      <c r="AS41" s="288"/>
      <c r="AT41" s="288"/>
      <c r="AU41" s="288"/>
      <c r="AV41" s="288"/>
      <c r="AW41" s="288"/>
      <c r="AX41" s="426">
        <f t="shared" si="9"/>
        <v>-722630.37767299998</v>
      </c>
      <c r="AY41" s="426">
        <f t="shared" si="10"/>
        <v>-199310.85898487445</v>
      </c>
    </row>
    <row r="42" spans="1:51">
      <c r="A42" s="285">
        <f t="shared" si="2"/>
        <v>30</v>
      </c>
      <c r="B42" s="286" t="s">
        <v>21</v>
      </c>
      <c r="C42" s="296">
        <f t="shared" ref="C42:AD42" si="11">SUM(C25:C41)</f>
        <v>746883373.09999859</v>
      </c>
      <c r="D42" s="296">
        <f t="shared" si="11"/>
        <v>-45361514.45314654</v>
      </c>
      <c r="E42" s="296">
        <f>SUM(E25:E41)</f>
        <v>17657.160082056645</v>
      </c>
      <c r="F42" s="296">
        <f t="shared" si="11"/>
        <v>-1216418.5906954836</v>
      </c>
      <c r="G42" s="296">
        <f>SUM(G25:G41)</f>
        <v>-12921873.959118428</v>
      </c>
      <c r="H42" s="296">
        <f t="shared" si="11"/>
        <v>-61000154.13376648</v>
      </c>
      <c r="I42" s="296">
        <f t="shared" si="11"/>
        <v>1256319.1261336696</v>
      </c>
      <c r="J42" s="296">
        <f t="shared" si="11"/>
        <v>125428.75474144239</v>
      </c>
      <c r="K42" s="296">
        <f t="shared" si="11"/>
        <v>187098.30484735657</v>
      </c>
      <c r="L42" s="296">
        <f t="shared" si="11"/>
        <v>-69886.13058918016</v>
      </c>
      <c r="M42" s="296">
        <f t="shared" si="11"/>
        <v>-3831.0246199423614</v>
      </c>
      <c r="N42" s="296">
        <f t="shared" si="11"/>
        <v>204503.64267608413</v>
      </c>
      <c r="O42" s="296">
        <f t="shared" si="11"/>
        <v>438078.27529363008</v>
      </c>
      <c r="P42" s="296">
        <f t="shared" si="11"/>
        <v>770450.7474650637</v>
      </c>
      <c r="Q42" s="296">
        <f t="shared" si="11"/>
        <v>52646.119560989835</v>
      </c>
      <c r="R42" s="296">
        <f t="shared" si="11"/>
        <v>359399.40979334083</v>
      </c>
      <c r="S42" s="296">
        <f t="shared" si="11"/>
        <v>4190.3865716636919</v>
      </c>
      <c r="T42" s="296">
        <f t="shared" si="11"/>
        <v>10645.339606916785</v>
      </c>
      <c r="U42" s="296">
        <f t="shared" si="11"/>
        <v>0</v>
      </c>
      <c r="V42" s="296">
        <f t="shared" si="11"/>
        <v>9738307.6067664325</v>
      </c>
      <c r="W42" s="296">
        <f>SUM(W25:W41)</f>
        <v>-520589.30140931718</v>
      </c>
      <c r="X42" s="329"/>
      <c r="Y42" s="429">
        <f>SUM(Y25:Y41)</f>
        <v>-107929542.71980673</v>
      </c>
      <c r="Z42" s="429">
        <f>SUM(Z25:Z41)</f>
        <v>638953830.3801918</v>
      </c>
      <c r="AA42" s="296">
        <f>SUM(AA25:AA41)</f>
        <v>-2410833.728319895</v>
      </c>
      <c r="AB42" s="296">
        <f>SUM(AB25:AB41)</f>
        <v>21187629.073451616</v>
      </c>
      <c r="AC42" s="296">
        <f>SUM(AC25:AC41)</f>
        <v>439418.25254658196</v>
      </c>
      <c r="AD42" s="296">
        <f t="shared" si="11"/>
        <v>69886.130589179898</v>
      </c>
      <c r="AE42" s="296">
        <f t="shared" ref="AE42:AW42" si="12">SUM(AE25:AE41)</f>
        <v>3831.0246199423614</v>
      </c>
      <c r="AF42" s="296">
        <f t="shared" si="12"/>
        <v>24480.220569124907</v>
      </c>
      <c r="AG42" s="296">
        <f t="shared" si="12"/>
        <v>1909978.0874022099</v>
      </c>
      <c r="AH42" s="296">
        <f t="shared" si="12"/>
        <v>92853.606337802761</v>
      </c>
      <c r="AI42" s="296">
        <f t="shared" si="12"/>
        <v>308531.66010436148</v>
      </c>
      <c r="AJ42" s="296">
        <f>SUM(AJ25:AJ41)</f>
        <v>-72647.038566666641</v>
      </c>
      <c r="AK42" s="296">
        <f t="shared" si="12"/>
        <v>676943.63053784647</v>
      </c>
      <c r="AL42" s="296">
        <f t="shared" si="12"/>
        <v>2112898.3715724009</v>
      </c>
      <c r="AM42" s="296">
        <f t="shared" si="12"/>
        <v>-134161.66059226336</v>
      </c>
      <c r="AN42" s="296">
        <f t="shared" si="12"/>
        <v>2646675.911908159</v>
      </c>
      <c r="AO42" s="296">
        <f t="shared" si="12"/>
        <v>-344098.38920724997</v>
      </c>
      <c r="AP42" s="296">
        <f t="shared" si="12"/>
        <v>-722630.37767299998</v>
      </c>
      <c r="AQ42" s="296">
        <f t="shared" si="12"/>
        <v>0</v>
      </c>
      <c r="AR42" s="296">
        <f t="shared" si="12"/>
        <v>303817.36784007057</v>
      </c>
      <c r="AS42" s="296">
        <f>SUM(AS25:AS41)</f>
        <v>0</v>
      </c>
      <c r="AT42" s="296">
        <f>SUM(AT30:AT41)</f>
        <v>-31239.612311343335</v>
      </c>
      <c r="AU42" s="296">
        <f t="shared" si="12"/>
        <v>-1716532.0047519379</v>
      </c>
      <c r="AV42" s="296">
        <f>SUM(AV25:AV41)</f>
        <v>-627298.7036009999</v>
      </c>
      <c r="AW42" s="296">
        <f t="shared" si="12"/>
        <v>0</v>
      </c>
      <c r="AX42" s="429">
        <f>SUM(AX25:AX41)</f>
        <v>23717501.822455939</v>
      </c>
      <c r="AY42" s="429">
        <f>SUM(AY25:AY41)</f>
        <v>662671332.20264804</v>
      </c>
    </row>
    <row r="43" spans="1:51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332"/>
      <c r="Y43" s="430"/>
      <c r="Z43" s="430"/>
      <c r="AA43" s="299"/>
      <c r="AB43" s="299"/>
      <c r="AC43" s="299"/>
      <c r="AD43" s="299">
        <f>+L43</f>
        <v>0</v>
      </c>
      <c r="AE43" s="299">
        <f>+M43</f>
        <v>0</v>
      </c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332"/>
      <c r="AU43" s="333"/>
      <c r="AV43" s="589"/>
      <c r="AW43" s="589"/>
      <c r="AX43" s="430"/>
      <c r="AY43" s="430"/>
    </row>
    <row r="44" spans="1:51" ht="15.75" thickBot="1">
      <c r="A44" s="285">
        <f t="shared" si="2"/>
        <v>32</v>
      </c>
      <c r="B44" s="292" t="s">
        <v>22</v>
      </c>
      <c r="C44" s="300">
        <f t="shared" ref="C44:AD44" si="13">+C17-C42</f>
        <v>103864303.9900012</v>
      </c>
      <c r="D44" s="300">
        <f t="shared" si="13"/>
        <v>954667.24698159844</v>
      </c>
      <c r="E44" s="300">
        <f>+E17-E42</f>
        <v>54148.188967614442</v>
      </c>
      <c r="F44" s="300">
        <f t="shared" si="13"/>
        <v>1216418.5906954836</v>
      </c>
      <c r="G44" s="300">
        <f>+G17-G42</f>
        <v>12921873.959118428</v>
      </c>
      <c r="H44" s="300">
        <f t="shared" si="13"/>
        <v>-1412118.6458149552</v>
      </c>
      <c r="I44" s="300">
        <f t="shared" si="13"/>
        <v>-1256319.1261336696</v>
      </c>
      <c r="J44" s="300">
        <f t="shared" si="13"/>
        <v>-125428.75474144239</v>
      </c>
      <c r="K44" s="300">
        <f t="shared" si="13"/>
        <v>-187098.30484735657</v>
      </c>
      <c r="L44" s="300">
        <f t="shared" si="13"/>
        <v>69886.13058918016</v>
      </c>
      <c r="M44" s="300">
        <f t="shared" si="13"/>
        <v>3831.0246199423614</v>
      </c>
      <c r="N44" s="300">
        <f t="shared" si="13"/>
        <v>-204503.64267608413</v>
      </c>
      <c r="O44" s="300">
        <f t="shared" si="13"/>
        <v>-438078.27529363008</v>
      </c>
      <c r="P44" s="300">
        <f t="shared" si="13"/>
        <v>-770450.7474650637</v>
      </c>
      <c r="Q44" s="300">
        <f t="shared" si="13"/>
        <v>-52646.119560989835</v>
      </c>
      <c r="R44" s="300">
        <f t="shared" si="13"/>
        <v>-359399.40979334083</v>
      </c>
      <c r="S44" s="300">
        <f t="shared" si="13"/>
        <v>-4190.3865716636919</v>
      </c>
      <c r="T44" s="300">
        <f t="shared" si="13"/>
        <v>-10645.339606916785</v>
      </c>
      <c r="U44" s="300">
        <f t="shared" si="13"/>
        <v>0</v>
      </c>
      <c r="V44" s="300">
        <f t="shared" si="13"/>
        <v>-9738307.6067664325</v>
      </c>
      <c r="W44" s="300">
        <f t="shared" si="13"/>
        <v>520589.30140931718</v>
      </c>
      <c r="X44" s="300"/>
      <c r="Y44" s="431">
        <f>+Y17-Y42</f>
        <v>1182228.0831100345</v>
      </c>
      <c r="Z44" s="431">
        <f>+Z17-Z42</f>
        <v>105046532.0731113</v>
      </c>
      <c r="AA44" s="300">
        <f>+AA17-AA42</f>
        <v>-7393164.0016801059</v>
      </c>
      <c r="AB44" s="300">
        <f>+AB17-AB42</f>
        <v>12748712.998863935</v>
      </c>
      <c r="AC44" s="300">
        <f>+AC17-AC42</f>
        <v>-439418.25254658196</v>
      </c>
      <c r="AD44" s="300">
        <f t="shared" si="13"/>
        <v>-69886.130589179898</v>
      </c>
      <c r="AE44" s="300">
        <f t="shared" ref="AE44:AW44" si="14">+AE17-AE42</f>
        <v>-3831.0246199423614</v>
      </c>
      <c r="AF44" s="300">
        <f t="shared" si="14"/>
        <v>-24480.220569124907</v>
      </c>
      <c r="AG44" s="300">
        <f t="shared" si="14"/>
        <v>-1909978.0874022099</v>
      </c>
      <c r="AH44" s="300">
        <f t="shared" si="14"/>
        <v>-92853.606337802761</v>
      </c>
      <c r="AI44" s="300">
        <f t="shared" si="14"/>
        <v>-308531.66010436148</v>
      </c>
      <c r="AJ44" s="300">
        <f>+AJ17-AJ42</f>
        <v>72647.038566666641</v>
      </c>
      <c r="AK44" s="300">
        <f t="shared" si="14"/>
        <v>-676943.63053784647</v>
      </c>
      <c r="AL44" s="300">
        <f t="shared" si="14"/>
        <v>-2112898.3715724009</v>
      </c>
      <c r="AM44" s="300">
        <f t="shared" si="14"/>
        <v>134161.66059226336</v>
      </c>
      <c r="AN44" s="300">
        <f t="shared" si="14"/>
        <v>-2646675.911908159</v>
      </c>
      <c r="AO44" s="300">
        <f t="shared" si="14"/>
        <v>344098.38920724997</v>
      </c>
      <c r="AP44" s="300">
        <f t="shared" si="14"/>
        <v>722630.37767299998</v>
      </c>
      <c r="AQ44" s="300">
        <f t="shared" si="14"/>
        <v>0</v>
      </c>
      <c r="AR44" s="300">
        <f t="shared" si="14"/>
        <v>-303817.36784007057</v>
      </c>
      <c r="AS44" s="300">
        <f>+AS17-AS42</f>
        <v>0</v>
      </c>
      <c r="AT44" s="300">
        <f>AT25-AT42</f>
        <v>31239.612311343335</v>
      </c>
      <c r="AU44" s="300">
        <f t="shared" si="14"/>
        <v>-5263989.1653199438</v>
      </c>
      <c r="AV44" s="300">
        <f>+AV17-AV42</f>
        <v>627298.7036009999</v>
      </c>
      <c r="AW44" s="300">
        <f t="shared" si="14"/>
        <v>0</v>
      </c>
      <c r="AX44" s="431">
        <f>+AX17-AX42</f>
        <v>-6565678.6502122693</v>
      </c>
      <c r="AY44" s="431">
        <f>+AY17-AY42</f>
        <v>98480853.422898769</v>
      </c>
    </row>
    <row r="45" spans="1:51" ht="15.75" thickTop="1">
      <c r="A45" s="285">
        <f t="shared" si="2"/>
        <v>33</v>
      </c>
      <c r="B45" s="432"/>
      <c r="C45" s="331"/>
      <c r="D45" s="331"/>
      <c r="E45" s="331">
        <f>E44+AB44</f>
        <v>12802861.187831551</v>
      </c>
      <c r="F45" s="331">
        <f>E45-'[5]Detailed Summary'!$E$47</f>
        <v>12802861.187831551</v>
      </c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Y45" s="423"/>
      <c r="Z45" s="423"/>
      <c r="AE45" s="334"/>
      <c r="AX45" s="423"/>
      <c r="AY45" s="423"/>
    </row>
    <row r="46" spans="1:51" s="294" customFormat="1">
      <c r="A46" s="285">
        <f t="shared" ref="A46:A62" si="15">A45+1</f>
        <v>34</v>
      </c>
      <c r="B46" s="286" t="s">
        <v>23</v>
      </c>
      <c r="C46" s="293">
        <f t="shared" ref="C46:AD46" si="16">C57</f>
        <v>1951252143.2591095</v>
      </c>
      <c r="D46" s="293">
        <f t="shared" si="16"/>
        <v>0</v>
      </c>
      <c r="E46" s="293">
        <f>E57</f>
        <v>0</v>
      </c>
      <c r="F46" s="293">
        <f t="shared" si="16"/>
        <v>0</v>
      </c>
      <c r="G46" s="293">
        <f t="shared" si="16"/>
        <v>0</v>
      </c>
      <c r="H46" s="293">
        <f t="shared" si="16"/>
        <v>0</v>
      </c>
      <c r="I46" s="293">
        <f t="shared" si="16"/>
        <v>0</v>
      </c>
      <c r="J46" s="293">
        <f t="shared" si="16"/>
        <v>0</v>
      </c>
      <c r="K46" s="293">
        <f t="shared" si="16"/>
        <v>0</v>
      </c>
      <c r="L46" s="293">
        <f t="shared" si="16"/>
        <v>0</v>
      </c>
      <c r="M46" s="293">
        <f t="shared" si="16"/>
        <v>0</v>
      </c>
      <c r="N46" s="293">
        <f t="shared" si="16"/>
        <v>0</v>
      </c>
      <c r="O46" s="293">
        <f t="shared" si="16"/>
        <v>0</v>
      </c>
      <c r="P46" s="293">
        <f t="shared" si="16"/>
        <v>0</v>
      </c>
      <c r="Q46" s="293">
        <f t="shared" si="16"/>
        <v>0</v>
      </c>
      <c r="R46" s="293">
        <f t="shared" si="16"/>
        <v>0</v>
      </c>
      <c r="S46" s="293">
        <f t="shared" si="16"/>
        <v>0</v>
      </c>
      <c r="T46" s="293">
        <f t="shared" si="16"/>
        <v>0</v>
      </c>
      <c r="U46" s="293">
        <f t="shared" si="16"/>
        <v>151541662.6247718</v>
      </c>
      <c r="V46" s="293">
        <f t="shared" si="16"/>
        <v>-9738307.6067664325</v>
      </c>
      <c r="W46" s="293">
        <f t="shared" si="16"/>
        <v>0</v>
      </c>
      <c r="X46" s="293"/>
      <c r="Y46" s="425">
        <f t="shared" si="16"/>
        <v>141697963.49800536</v>
      </c>
      <c r="Z46" s="425">
        <f t="shared" si="16"/>
        <v>2092950106.7571149</v>
      </c>
      <c r="AA46" s="293">
        <f>AA57</f>
        <v>0</v>
      </c>
      <c r="AB46" s="293">
        <f>AB57</f>
        <v>0</v>
      </c>
      <c r="AC46" s="293">
        <f t="shared" si="16"/>
        <v>0</v>
      </c>
      <c r="AD46" s="293">
        <f t="shared" si="16"/>
        <v>0</v>
      </c>
      <c r="AE46" s="293">
        <f t="shared" ref="AE46:AY46" si="17">AE57</f>
        <v>0</v>
      </c>
      <c r="AF46" s="293">
        <f t="shared" si="17"/>
        <v>0</v>
      </c>
      <c r="AG46" s="293">
        <f t="shared" si="17"/>
        <v>0</v>
      </c>
      <c r="AH46" s="293">
        <f t="shared" si="17"/>
        <v>0</v>
      </c>
      <c r="AI46" s="293">
        <f t="shared" si="17"/>
        <v>0</v>
      </c>
      <c r="AJ46" s="293">
        <f>AJ57</f>
        <v>0</v>
      </c>
      <c r="AK46" s="293">
        <f t="shared" si="17"/>
        <v>0</v>
      </c>
      <c r="AL46" s="293">
        <f t="shared" si="17"/>
        <v>13882662.572720129</v>
      </c>
      <c r="AM46" s="293">
        <f t="shared" si="17"/>
        <v>0</v>
      </c>
      <c r="AN46" s="293">
        <f t="shared" si="17"/>
        <v>5802322.2625845009</v>
      </c>
      <c r="AO46" s="293">
        <f t="shared" si="17"/>
        <v>0</v>
      </c>
      <c r="AP46" s="293">
        <f t="shared" si="17"/>
        <v>361315.18883649912</v>
      </c>
      <c r="AQ46" s="293">
        <f t="shared" si="17"/>
        <v>0</v>
      </c>
      <c r="AR46" s="293">
        <f t="shared" si="17"/>
        <v>0</v>
      </c>
      <c r="AS46" s="293">
        <f>AS57</f>
        <v>0</v>
      </c>
      <c r="AT46" s="293">
        <f>AT57</f>
        <v>-9327511.0024682488</v>
      </c>
      <c r="AU46" s="293">
        <f t="shared" si="17"/>
        <v>-6388043.7029168438</v>
      </c>
      <c r="AV46" s="293">
        <f>AV57</f>
        <v>-26191469.867169425</v>
      </c>
      <c r="AW46" s="293">
        <f>AW57</f>
        <v>0</v>
      </c>
      <c r="AX46" s="425">
        <f t="shared" si="17"/>
        <v>-21860724.548413388</v>
      </c>
      <c r="AY46" s="425">
        <f t="shared" si="17"/>
        <v>2071089382.2087018</v>
      </c>
    </row>
    <row r="47" spans="1:51">
      <c r="A47" s="285">
        <f t="shared" si="15"/>
        <v>35</v>
      </c>
      <c r="B47" s="292"/>
      <c r="G47"/>
      <c r="H47"/>
      <c r="Y47" s="423"/>
      <c r="Z47" s="423"/>
      <c r="AX47" s="423"/>
      <c r="AY47" s="423"/>
    </row>
    <row r="48" spans="1:51">
      <c r="A48" s="285">
        <f t="shared" si="15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426"/>
      <c r="Z48" s="435">
        <f>+Z44/Z46</f>
        <v>5.0190652769966801E-2</v>
      </c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426"/>
      <c r="AY48" s="435">
        <f>+AY44/AY46</f>
        <v>4.7550267153547189E-2</v>
      </c>
    </row>
    <row r="49" spans="1:52">
      <c r="A49" s="285">
        <f t="shared" si="15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426"/>
      <c r="Z49" s="426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426"/>
      <c r="AY49" s="426"/>
    </row>
    <row r="50" spans="1:52">
      <c r="A50" s="285">
        <f t="shared" si="15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426"/>
      <c r="Z50" s="426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426"/>
      <c r="AY50" s="426"/>
    </row>
    <row r="51" spans="1:52">
      <c r="A51" s="285">
        <f t="shared" si="15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293">
        <f>'Staff Green Direct'!E15</f>
        <v>-113323.24</v>
      </c>
      <c r="Y51" s="425">
        <f t="shared" ref="Y51:Y56" si="18">SUM(D51:X51)</f>
        <v>200226769.56947351</v>
      </c>
      <c r="Z51" s="425">
        <f t="shared" ref="Z51:Z56" si="19">+Y51+C51</f>
        <v>4300827048.9467049</v>
      </c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>
        <f>+'Common Adj'!FU16+'Common Adj'!FU21</f>
        <v>17491894.039488457</v>
      </c>
      <c r="AM51" s="293">
        <f>+'Common Adj'!GC37</f>
        <v>0</v>
      </c>
      <c r="AN51" s="293">
        <f>'Common Adj'!GK16</f>
        <v>4408606.1080739992</v>
      </c>
      <c r="AO51" s="293"/>
      <c r="AP51" s="293"/>
      <c r="AQ51" s="293"/>
      <c r="AR51" s="293"/>
      <c r="AS51" s="293"/>
      <c r="AT51" s="293">
        <f>'Gas Adj'!H15</f>
        <v>-9377979.3800000008</v>
      </c>
      <c r="AU51" s="293">
        <f>'Gas Adj'!Q37</f>
        <v>0</v>
      </c>
      <c r="AV51" s="293">
        <f>'Staff LNG'!F22</f>
        <v>-32233800.139999993</v>
      </c>
      <c r="AW51" s="293"/>
      <c r="AX51" s="425">
        <f t="shared" ref="AX51:AX56" si="20">SUM(AA51:AW51)</f>
        <v>-19711279.372437537</v>
      </c>
      <c r="AY51" s="425">
        <f t="shared" ref="AY51:AY56" si="21">+AX51+Z51</f>
        <v>4281115769.5742674</v>
      </c>
    </row>
    <row r="52" spans="1:52">
      <c r="A52" s="285">
        <f t="shared" si="15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288">
        <f>'Staff Green Direct'!E16</f>
        <v>0</v>
      </c>
      <c r="Y52" s="426">
        <f t="shared" si="18"/>
        <v>-67842753.331441611</v>
      </c>
      <c r="Z52" s="426">
        <f t="shared" si="19"/>
        <v>-1637637926.6516845</v>
      </c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>
        <f>+'Common Adj'!FU17+'Common Adj'!FU22</f>
        <v>-1856982.8054439093</v>
      </c>
      <c r="AM52" s="288">
        <f>+'Common Adj'!GC38</f>
        <v>0</v>
      </c>
      <c r="AN52" s="288">
        <f>'Common Adj'!GK17</f>
        <v>-2449225.6155966669</v>
      </c>
      <c r="AO52" s="288"/>
      <c r="AP52" s="288"/>
      <c r="AQ52" s="293"/>
      <c r="AR52" s="288"/>
      <c r="AS52" s="288"/>
      <c r="AT52" s="288">
        <f>'Gas Adj'!H16</f>
        <v>39543.813052333338</v>
      </c>
      <c r="AU52" s="293">
        <f>'Gas Adj'!Q38</f>
        <v>-5658425.3422582783</v>
      </c>
      <c r="AV52" s="293">
        <f>'Staff LNG'!F23</f>
        <v>1111623.9163034996</v>
      </c>
      <c r="AW52" s="293"/>
      <c r="AX52" s="426">
        <f t="shared" si="20"/>
        <v>-8813466.0339430198</v>
      </c>
      <c r="AY52" s="426">
        <f t="shared" si="21"/>
        <v>-1646451392.6856275</v>
      </c>
    </row>
    <row r="53" spans="1:52">
      <c r="A53" s="285">
        <f t="shared" si="15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288">
        <f>'Staff Green Direct'!E17</f>
        <v>7931.72</v>
      </c>
      <c r="Y53" s="426">
        <f t="shared" si="18"/>
        <v>6355141.8032483803</v>
      </c>
      <c r="Z53" s="426">
        <f t="shared" si="19"/>
        <v>-597677158.88554668</v>
      </c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>
        <f>+'Common Adj'!FU18+'Common Adj'!FU23</f>
        <v>-1752248.6613244195</v>
      </c>
      <c r="AM53" s="288">
        <f>+'Common Adj'!GC39</f>
        <v>0</v>
      </c>
      <c r="AN53" s="288">
        <f>'Common Adj'!GK18+'Common Adj'!GK24</f>
        <v>-858776.48975149519</v>
      </c>
      <c r="AO53" s="288"/>
      <c r="AP53" s="288">
        <f>'Common Adj'!HA16</f>
        <v>361315.18883649912</v>
      </c>
      <c r="AQ53" s="288"/>
      <c r="AR53" s="288"/>
      <c r="AS53" s="288"/>
      <c r="AT53" s="288">
        <f>'Gas Adj'!H17</f>
        <v>10924.564479418335</v>
      </c>
      <c r="AU53" s="293">
        <f>'Gas Adj'!Q39</f>
        <v>-729618.36065856554</v>
      </c>
      <c r="AV53" s="293">
        <f>'Staff LNG'!F24</f>
        <v>4930706.3565270668</v>
      </c>
      <c r="AW53" s="293"/>
      <c r="AX53" s="426">
        <f>SUM(AA53:AW53)</f>
        <v>1962302.5981085044</v>
      </c>
      <c r="AY53" s="426">
        <f t="shared" si="21"/>
        <v>-595714856.28743815</v>
      </c>
    </row>
    <row r="54" spans="1:52">
      <c r="A54" s="285">
        <f t="shared" si="15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288"/>
      <c r="Y54" s="426">
        <f t="shared" si="18"/>
        <v>2958805.4567250796</v>
      </c>
      <c r="Z54" s="426">
        <f t="shared" si="19"/>
        <v>-26993656.705525</v>
      </c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>
        <f>'Common Adj'!GK22+'Common Adj'!GK23</f>
        <v>4701718.2598586641</v>
      </c>
      <c r="AO54" s="288"/>
      <c r="AP54" s="288"/>
      <c r="AQ54" s="293"/>
      <c r="AR54" s="288"/>
      <c r="AS54" s="288"/>
      <c r="AT54" s="288"/>
      <c r="AU54" s="288"/>
      <c r="AV54" s="288"/>
      <c r="AW54" s="288"/>
      <c r="AX54" s="426">
        <f t="shared" si="20"/>
        <v>4701718.2598586641</v>
      </c>
      <c r="AY54" s="426">
        <f t="shared" si="21"/>
        <v>-22291938.445666336</v>
      </c>
    </row>
    <row r="55" spans="1:52">
      <c r="A55" s="285">
        <f t="shared" si="15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0</v>
      </c>
      <c r="V55" s="331"/>
      <c r="W55" s="288"/>
      <c r="X55" s="288"/>
      <c r="Y55" s="426">
        <f t="shared" si="18"/>
        <v>0</v>
      </c>
      <c r="Z55" s="426">
        <f t="shared" si="19"/>
        <v>54431800.053166389</v>
      </c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426">
        <f t="shared" si="20"/>
        <v>0</v>
      </c>
      <c r="AY55" s="426">
        <f t="shared" si="21"/>
        <v>54431800.053166389</v>
      </c>
    </row>
    <row r="56" spans="1:52">
      <c r="A56" s="285">
        <f t="shared" si="15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288"/>
      <c r="Y56" s="426">
        <f t="shared" si="18"/>
        <v>0</v>
      </c>
      <c r="Z56" s="426">
        <f t="shared" si="19"/>
        <v>0</v>
      </c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426">
        <f t="shared" si="20"/>
        <v>0</v>
      </c>
      <c r="AY56" s="426">
        <f t="shared" si="21"/>
        <v>0</v>
      </c>
    </row>
    <row r="57" spans="1:52" ht="15.75" thickBot="1">
      <c r="A57" s="285">
        <f t="shared" si="15"/>
        <v>45</v>
      </c>
      <c r="B57" s="292" t="s">
        <v>32</v>
      </c>
      <c r="C57" s="300">
        <f t="shared" ref="C57:AD57" si="22">SUM(C51:C56)</f>
        <v>1951252143.2591095</v>
      </c>
      <c r="D57" s="300">
        <f t="shared" si="22"/>
        <v>0</v>
      </c>
      <c r="E57" s="300">
        <f>SUM(E51:E56)</f>
        <v>0</v>
      </c>
      <c r="F57" s="300">
        <f t="shared" si="22"/>
        <v>0</v>
      </c>
      <c r="G57" s="300">
        <f t="shared" si="22"/>
        <v>0</v>
      </c>
      <c r="H57" s="300">
        <f t="shared" si="22"/>
        <v>0</v>
      </c>
      <c r="I57" s="300">
        <f t="shared" si="22"/>
        <v>0</v>
      </c>
      <c r="J57" s="300">
        <f t="shared" si="22"/>
        <v>0</v>
      </c>
      <c r="K57" s="300">
        <f t="shared" si="22"/>
        <v>0</v>
      </c>
      <c r="L57" s="300">
        <f t="shared" si="22"/>
        <v>0</v>
      </c>
      <c r="M57" s="300">
        <f t="shared" si="22"/>
        <v>0</v>
      </c>
      <c r="N57" s="300">
        <f t="shared" si="22"/>
        <v>0</v>
      </c>
      <c r="O57" s="300">
        <f t="shared" si="22"/>
        <v>0</v>
      </c>
      <c r="P57" s="300">
        <f t="shared" si="22"/>
        <v>0</v>
      </c>
      <c r="Q57" s="300">
        <f t="shared" si="22"/>
        <v>0</v>
      </c>
      <c r="R57" s="300">
        <f t="shared" si="22"/>
        <v>0</v>
      </c>
      <c r="S57" s="300">
        <f t="shared" si="22"/>
        <v>0</v>
      </c>
      <c r="T57" s="300">
        <f t="shared" si="22"/>
        <v>0</v>
      </c>
      <c r="U57" s="300">
        <f>SUM(U51:U56)</f>
        <v>151541662.6247718</v>
      </c>
      <c r="V57" s="300">
        <f t="shared" si="22"/>
        <v>-9738307.6067664325</v>
      </c>
      <c r="W57" s="300">
        <f>SUM(W51:W56)</f>
        <v>0</v>
      </c>
      <c r="X57" s="300">
        <f>SUM(X51:X56)</f>
        <v>-105391.52</v>
      </c>
      <c r="Y57" s="431">
        <f>SUM(Y51:Y56)</f>
        <v>141697963.49800536</v>
      </c>
      <c r="Z57" s="431">
        <f t="shared" si="22"/>
        <v>2092950106.7571149</v>
      </c>
      <c r="AA57" s="300">
        <f>SUM(AA51:AA56)</f>
        <v>0</v>
      </c>
      <c r="AB57" s="300">
        <f>SUM(AB51:AB56)</f>
        <v>0</v>
      </c>
      <c r="AC57" s="300">
        <f t="shared" si="22"/>
        <v>0</v>
      </c>
      <c r="AD57" s="300">
        <f t="shared" si="22"/>
        <v>0</v>
      </c>
      <c r="AE57" s="300">
        <f t="shared" ref="AE57:AY57" si="23">SUM(AE51:AE56)</f>
        <v>0</v>
      </c>
      <c r="AF57" s="300">
        <f t="shared" si="23"/>
        <v>0</v>
      </c>
      <c r="AG57" s="300">
        <f t="shared" si="23"/>
        <v>0</v>
      </c>
      <c r="AH57" s="300">
        <f t="shared" si="23"/>
        <v>0</v>
      </c>
      <c r="AI57" s="300">
        <f t="shared" si="23"/>
        <v>0</v>
      </c>
      <c r="AJ57" s="300">
        <f>SUM(AJ51:AJ56)</f>
        <v>0</v>
      </c>
      <c r="AK57" s="300">
        <f t="shared" si="23"/>
        <v>0</v>
      </c>
      <c r="AL57" s="300">
        <f t="shared" si="23"/>
        <v>13882662.572720129</v>
      </c>
      <c r="AM57" s="300">
        <f t="shared" si="23"/>
        <v>0</v>
      </c>
      <c r="AN57" s="300">
        <f t="shared" si="23"/>
        <v>5802322.2625845009</v>
      </c>
      <c r="AO57" s="300">
        <f t="shared" si="23"/>
        <v>0</v>
      </c>
      <c r="AP57" s="300">
        <f t="shared" si="23"/>
        <v>361315.18883649912</v>
      </c>
      <c r="AQ57" s="300">
        <f t="shared" si="23"/>
        <v>0</v>
      </c>
      <c r="AR57" s="300">
        <f t="shared" si="23"/>
        <v>0</v>
      </c>
      <c r="AS57" s="300">
        <f>SUM(AS51:AS56)</f>
        <v>0</v>
      </c>
      <c r="AT57" s="300">
        <f>SUM(AT51:AT56)</f>
        <v>-9327511.0024682488</v>
      </c>
      <c r="AU57" s="300">
        <f t="shared" si="23"/>
        <v>-6388043.7029168438</v>
      </c>
      <c r="AV57" s="300">
        <f>SUM(AV51:AV56)</f>
        <v>-26191469.867169425</v>
      </c>
      <c r="AW57" s="300">
        <f t="shared" si="23"/>
        <v>0</v>
      </c>
      <c r="AX57" s="431">
        <f>SUM(AX51:AX56)</f>
        <v>-21860724.548413388</v>
      </c>
      <c r="AY57" s="431">
        <f t="shared" si="23"/>
        <v>2071089382.2087018</v>
      </c>
      <c r="AZ57" s="293"/>
    </row>
    <row r="58" spans="1:52" ht="16.5" thickTop="1" thickBot="1">
      <c r="A58" s="285">
        <f t="shared" si="15"/>
        <v>46</v>
      </c>
      <c r="C58" s="433">
        <f>+'[6]Lead G'!$C$16-C57</f>
        <v>0</v>
      </c>
      <c r="G58" s="281" t="s">
        <v>240</v>
      </c>
      <c r="Y58" s="423"/>
      <c r="Z58" s="423"/>
      <c r="AX58" s="423"/>
      <c r="AY58" s="423"/>
    </row>
    <row r="59" spans="1:52" ht="15.75" thickBot="1">
      <c r="A59" s="285">
        <f t="shared" si="15"/>
        <v>47</v>
      </c>
      <c r="B59" s="292" t="s">
        <v>155</v>
      </c>
      <c r="C59" s="436">
        <f>+'COC, Def, ConvF'!$C$13</f>
        <v>7.3300000000000004E-2</v>
      </c>
      <c r="D59" s="436">
        <f>+'COC, Def, ConvF'!$C$13</f>
        <v>7.3300000000000004E-2</v>
      </c>
      <c r="E59" s="436">
        <f>+'COC, Def, ConvF'!$C$13</f>
        <v>7.3300000000000004E-2</v>
      </c>
      <c r="F59" s="436">
        <f>+'COC, Def, ConvF'!$C$13</f>
        <v>7.3300000000000004E-2</v>
      </c>
      <c r="G59" s="437">
        <f>+'COC-Restating'!E13</f>
        <v>7.5999999999999998E-2</v>
      </c>
      <c r="H59" s="436">
        <f>+'COC, Def, ConvF'!$C$13</f>
        <v>7.3300000000000004E-2</v>
      </c>
      <c r="I59" s="436">
        <f>+'COC, Def, ConvF'!$C$13</f>
        <v>7.3300000000000004E-2</v>
      </c>
      <c r="J59" s="436">
        <f>+'COC, Def, ConvF'!$C$13</f>
        <v>7.3300000000000004E-2</v>
      </c>
      <c r="K59" s="436">
        <f>+'COC, Def, ConvF'!$C$13</f>
        <v>7.3300000000000004E-2</v>
      </c>
      <c r="L59" s="436">
        <f>+'COC, Def, ConvF'!$C$13</f>
        <v>7.3300000000000004E-2</v>
      </c>
      <c r="M59" s="436">
        <f>+'COC, Def, ConvF'!$C$13</f>
        <v>7.3300000000000004E-2</v>
      </c>
      <c r="N59" s="436">
        <f>+'COC, Def, ConvF'!$C$13</f>
        <v>7.3300000000000004E-2</v>
      </c>
      <c r="O59" s="436">
        <f>+'COC, Def, ConvF'!$C$13</f>
        <v>7.3300000000000004E-2</v>
      </c>
      <c r="P59" s="436">
        <f>+'COC, Def, ConvF'!$C$13</f>
        <v>7.3300000000000004E-2</v>
      </c>
      <c r="Q59" s="436">
        <f>+'COC, Def, ConvF'!$C$13</f>
        <v>7.3300000000000004E-2</v>
      </c>
      <c r="R59" s="436">
        <f>+'COC, Def, ConvF'!$C$13</f>
        <v>7.3300000000000004E-2</v>
      </c>
      <c r="S59" s="436">
        <f>+'COC, Def, ConvF'!$C$13</f>
        <v>7.3300000000000004E-2</v>
      </c>
      <c r="T59" s="436">
        <f>+'COC, Def, ConvF'!$C$13</f>
        <v>7.3300000000000004E-2</v>
      </c>
      <c r="U59" s="436">
        <f>+'COC, Def, ConvF'!$C$13</f>
        <v>7.3300000000000004E-2</v>
      </c>
      <c r="V59" s="436">
        <f>+'COC, Def, ConvF'!$C$13</f>
        <v>7.3300000000000004E-2</v>
      </c>
      <c r="W59" s="436">
        <f>+'COC, Def, ConvF'!$C$13</f>
        <v>7.3300000000000004E-2</v>
      </c>
      <c r="X59" s="436">
        <f>+'COC, Def, ConvF'!$C$13</f>
        <v>7.3300000000000004E-2</v>
      </c>
      <c r="Y59" s="438">
        <f>+'COC, Def, ConvF'!$C$13</f>
        <v>7.3300000000000004E-2</v>
      </c>
      <c r="Z59" s="438">
        <f>+'COC, Def, ConvF'!$C$13</f>
        <v>7.3300000000000004E-2</v>
      </c>
      <c r="AA59" s="436">
        <f>+'COC, Def, ConvF'!$C$13</f>
        <v>7.3300000000000004E-2</v>
      </c>
      <c r="AB59" s="436">
        <f>+'COC, Def, ConvF'!$C$13</f>
        <v>7.3300000000000004E-2</v>
      </c>
      <c r="AC59" s="436">
        <f>+'COC, Def, ConvF'!$C$13</f>
        <v>7.3300000000000004E-2</v>
      </c>
      <c r="AD59" s="436">
        <f>+'COC, Def, ConvF'!$C$13</f>
        <v>7.3300000000000004E-2</v>
      </c>
      <c r="AE59" s="436">
        <f>+'COC, Def, ConvF'!$C$13</f>
        <v>7.3300000000000004E-2</v>
      </c>
      <c r="AF59" s="436">
        <f>+'COC, Def, ConvF'!$C$13</f>
        <v>7.3300000000000004E-2</v>
      </c>
      <c r="AG59" s="436">
        <f>+'COC, Def, ConvF'!$C$13</f>
        <v>7.3300000000000004E-2</v>
      </c>
      <c r="AH59" s="436">
        <f>+'COC, Def, ConvF'!$C$13</f>
        <v>7.3300000000000004E-2</v>
      </c>
      <c r="AI59" s="436">
        <f>+'COC, Def, ConvF'!$C$13</f>
        <v>7.3300000000000004E-2</v>
      </c>
      <c r="AJ59" s="436">
        <f>+'COC, Def, ConvF'!$C$13</f>
        <v>7.3300000000000004E-2</v>
      </c>
      <c r="AK59" s="436">
        <f>+'COC, Def, ConvF'!$C$13</f>
        <v>7.3300000000000004E-2</v>
      </c>
      <c r="AL59" s="436">
        <f>+'COC, Def, ConvF'!$C$13</f>
        <v>7.3300000000000004E-2</v>
      </c>
      <c r="AM59" s="436">
        <f>+'COC, Def, ConvF'!$C$13</f>
        <v>7.3300000000000004E-2</v>
      </c>
      <c r="AN59" s="436">
        <f>+'COC, Def, ConvF'!$C$13</f>
        <v>7.3300000000000004E-2</v>
      </c>
      <c r="AO59" s="436">
        <f>+'COC, Def, ConvF'!$C$13</f>
        <v>7.3300000000000004E-2</v>
      </c>
      <c r="AP59" s="436">
        <f>+'COC, Def, ConvF'!$C$13</f>
        <v>7.3300000000000004E-2</v>
      </c>
      <c r="AQ59" s="436">
        <f>+'COC, Def, ConvF'!$C$13</f>
        <v>7.3300000000000004E-2</v>
      </c>
      <c r="AR59" s="436">
        <f>+'COC, Def, ConvF'!$C$13</f>
        <v>7.3300000000000004E-2</v>
      </c>
      <c r="AS59" s="436">
        <f>+'COC, Def, ConvF'!$C$13</f>
        <v>7.3300000000000004E-2</v>
      </c>
      <c r="AT59" s="436">
        <f>+'COC, Def, ConvF'!$C$13</f>
        <v>7.3300000000000004E-2</v>
      </c>
      <c r="AU59" s="436">
        <f>+'COC, Def, ConvF'!$C$13</f>
        <v>7.3300000000000004E-2</v>
      </c>
      <c r="AV59" s="436">
        <f>+'COC, Def, ConvF'!$C$13</f>
        <v>7.3300000000000004E-2</v>
      </c>
      <c r="AW59" s="436">
        <f>+'COC, Def, ConvF'!$C$13</f>
        <v>7.3300000000000004E-2</v>
      </c>
      <c r="AX59" s="438">
        <f>+'COC, Def, ConvF'!$C$13</f>
        <v>7.3300000000000004E-2</v>
      </c>
      <c r="AY59" s="438">
        <f>+'COC, Def, ConvF'!$C$13</f>
        <v>7.3300000000000004E-2</v>
      </c>
    </row>
    <row r="60" spans="1:52">
      <c r="A60" s="285">
        <f t="shared" si="15"/>
        <v>48</v>
      </c>
      <c r="B60" s="292" t="s">
        <v>176</v>
      </c>
      <c r="C60" s="434">
        <f>+'COC, Def, ConvF'!$M$20</f>
        <v>0.75409700000000002</v>
      </c>
      <c r="D60" s="434">
        <f>+'COC, Def, ConvF'!$M$20</f>
        <v>0.75409700000000002</v>
      </c>
      <c r="E60" s="434">
        <f>+'COC, Def, ConvF'!$M$20</f>
        <v>0.75409700000000002</v>
      </c>
      <c r="F60" s="434">
        <f>+'COC, Def, ConvF'!$M$20</f>
        <v>0.75409700000000002</v>
      </c>
      <c r="G60" s="434">
        <f>+'COC, Def, ConvF'!$M$20</f>
        <v>0.75409700000000002</v>
      </c>
      <c r="H60" s="434">
        <f>+'COC, Def, ConvF'!$M$20</f>
        <v>0.75409700000000002</v>
      </c>
      <c r="I60" s="434">
        <f>+'COC, Def, ConvF'!$M$20</f>
        <v>0.75409700000000002</v>
      </c>
      <c r="J60" s="434">
        <f>+'COC, Def, ConvF'!$M$20</f>
        <v>0.75409700000000002</v>
      </c>
      <c r="K60" s="434">
        <f>+'COC, Def, ConvF'!$M$20</f>
        <v>0.75409700000000002</v>
      </c>
      <c r="L60" s="434">
        <f>+'COC, Def, ConvF'!$M$20</f>
        <v>0.75409700000000002</v>
      </c>
      <c r="M60" s="434">
        <f>+'COC, Def, ConvF'!$M$20</f>
        <v>0.75409700000000002</v>
      </c>
      <c r="N60" s="434">
        <f>+'COC, Def, ConvF'!$M$20</f>
        <v>0.75409700000000002</v>
      </c>
      <c r="O60" s="434">
        <f>+'COC, Def, ConvF'!$M$20</f>
        <v>0.75409700000000002</v>
      </c>
      <c r="P60" s="434">
        <f>+'COC, Def, ConvF'!$M$20</f>
        <v>0.75409700000000002</v>
      </c>
      <c r="Q60" s="434">
        <f>+'COC, Def, ConvF'!$M$20</f>
        <v>0.75409700000000002</v>
      </c>
      <c r="R60" s="434">
        <f>+'COC, Def, ConvF'!$M$20</f>
        <v>0.75409700000000002</v>
      </c>
      <c r="S60" s="434">
        <f>+'COC, Def, ConvF'!$M$20</f>
        <v>0.75409700000000002</v>
      </c>
      <c r="T60" s="434">
        <f>+'COC, Def, ConvF'!$M$20</f>
        <v>0.75409700000000002</v>
      </c>
      <c r="U60" s="434">
        <f>+'COC, Def, ConvF'!$M$20</f>
        <v>0.75409700000000002</v>
      </c>
      <c r="V60" s="434">
        <f>+'COC, Def, ConvF'!$M$20</f>
        <v>0.75409700000000002</v>
      </c>
      <c r="W60" s="434">
        <f>+'COC, Def, ConvF'!$M$20</f>
        <v>0.75409700000000002</v>
      </c>
      <c r="X60" s="434">
        <f>+'COC, Def, ConvF'!$M$20</f>
        <v>0.75409700000000002</v>
      </c>
      <c r="Y60" s="439">
        <f>+'COC, Def, ConvF'!$M$20</f>
        <v>0.75409700000000002</v>
      </c>
      <c r="Z60" s="439">
        <f>+'COC, Def, ConvF'!$M$20</f>
        <v>0.75409700000000002</v>
      </c>
      <c r="AA60" s="434">
        <f>+'COC, Def, ConvF'!$M$20</f>
        <v>0.75409700000000002</v>
      </c>
      <c r="AB60" s="434">
        <f>+'COC, Def, ConvF'!$M$20</f>
        <v>0.75409700000000002</v>
      </c>
      <c r="AC60" s="434">
        <f>+'COC, Def, ConvF'!$M$20</f>
        <v>0.75409700000000002</v>
      </c>
      <c r="AD60" s="434">
        <f>+'COC, Def, ConvF'!$M$20</f>
        <v>0.75409700000000002</v>
      </c>
      <c r="AE60" s="434">
        <f>+'COC, Def, ConvF'!$M$20</f>
        <v>0.75409700000000002</v>
      </c>
      <c r="AF60" s="434">
        <f>+'COC, Def, ConvF'!$M$20</f>
        <v>0.75409700000000002</v>
      </c>
      <c r="AG60" s="434">
        <f>+'COC, Def, ConvF'!$M$20</f>
        <v>0.75409700000000002</v>
      </c>
      <c r="AH60" s="434">
        <f>+'COC, Def, ConvF'!$M$20</f>
        <v>0.75409700000000002</v>
      </c>
      <c r="AI60" s="434">
        <f>+'COC, Def, ConvF'!$M$20</f>
        <v>0.75409700000000002</v>
      </c>
      <c r="AJ60" s="434">
        <f>+'COC, Def, ConvF'!$M$20</f>
        <v>0.75409700000000002</v>
      </c>
      <c r="AK60" s="434">
        <f>+'COC, Def, ConvF'!$M$20</f>
        <v>0.75409700000000002</v>
      </c>
      <c r="AL60" s="434">
        <f>+'COC, Def, ConvF'!$M$20</f>
        <v>0.75409700000000002</v>
      </c>
      <c r="AM60" s="434">
        <f>+'COC, Def, ConvF'!$M$20</f>
        <v>0.75409700000000002</v>
      </c>
      <c r="AN60" s="434">
        <f>+'COC, Def, ConvF'!$M$20</f>
        <v>0.75409700000000002</v>
      </c>
      <c r="AO60" s="434">
        <f>+'COC, Def, ConvF'!$M$20</f>
        <v>0.75409700000000002</v>
      </c>
      <c r="AP60" s="434">
        <f>+'COC, Def, ConvF'!$M$20</f>
        <v>0.75409700000000002</v>
      </c>
      <c r="AQ60" s="434">
        <f>+'COC, Def, ConvF'!$M$20</f>
        <v>0.75409700000000002</v>
      </c>
      <c r="AR60" s="434">
        <f>+'COC, Def, ConvF'!$M$20</f>
        <v>0.75409700000000002</v>
      </c>
      <c r="AS60" s="434">
        <f>+'COC, Def, ConvF'!$M$20</f>
        <v>0.75409700000000002</v>
      </c>
      <c r="AT60" s="434">
        <f>+'COC, Def, ConvF'!$M$20</f>
        <v>0.75409700000000002</v>
      </c>
      <c r="AU60" s="434">
        <f>+'COC, Def, ConvF'!$M$20</f>
        <v>0.75409700000000002</v>
      </c>
      <c r="AV60" s="434">
        <f>+'COC, Def, ConvF'!$M$20</f>
        <v>0.75409700000000002</v>
      </c>
      <c r="AW60" s="434">
        <f>+'COC, Def, ConvF'!$M$20</f>
        <v>0.75409700000000002</v>
      </c>
      <c r="AX60" s="439">
        <f>+'COC, Def, ConvF'!$M$20</f>
        <v>0.75409700000000002</v>
      </c>
      <c r="AY60" s="439">
        <f>+'COC, Def, ConvF'!$M$20</f>
        <v>0.75409700000000002</v>
      </c>
    </row>
    <row r="61" spans="1:52">
      <c r="A61" s="285">
        <f t="shared" si="15"/>
        <v>49</v>
      </c>
      <c r="B61" s="292" t="s">
        <v>177</v>
      </c>
      <c r="C61" s="294">
        <f t="shared" ref="C61:AD61" si="24">+C44-(C57*C59)</f>
        <v>-39162478.110891521</v>
      </c>
      <c r="D61" s="294">
        <f t="shared" si="24"/>
        <v>954667.24698159844</v>
      </c>
      <c r="E61" s="294">
        <f>+E44-(E57*E59)</f>
        <v>54148.188967614442</v>
      </c>
      <c r="F61" s="294">
        <f t="shared" si="24"/>
        <v>1216418.5906954836</v>
      </c>
      <c r="G61" s="294">
        <f>+G44-(G57*G59)</f>
        <v>12921873.959118428</v>
      </c>
      <c r="H61" s="294">
        <f t="shared" si="24"/>
        <v>-1412118.6458149552</v>
      </c>
      <c r="I61" s="294">
        <f t="shared" si="24"/>
        <v>-1256319.1261336696</v>
      </c>
      <c r="J61" s="294">
        <f t="shared" si="24"/>
        <v>-125428.75474144239</v>
      </c>
      <c r="K61" s="294">
        <f t="shared" si="24"/>
        <v>-187098.30484735657</v>
      </c>
      <c r="L61" s="294">
        <f t="shared" si="24"/>
        <v>69886.13058918016</v>
      </c>
      <c r="M61" s="294">
        <f t="shared" si="24"/>
        <v>3831.0246199423614</v>
      </c>
      <c r="N61" s="294">
        <f t="shared" si="24"/>
        <v>-204503.64267608413</v>
      </c>
      <c r="O61" s="294">
        <f t="shared" si="24"/>
        <v>-438078.27529363008</v>
      </c>
      <c r="P61" s="294">
        <f t="shared" si="24"/>
        <v>-770450.7474650637</v>
      </c>
      <c r="Q61" s="294">
        <f t="shared" si="24"/>
        <v>-52646.119560989835</v>
      </c>
      <c r="R61" s="294">
        <f t="shared" si="24"/>
        <v>-359399.40979334083</v>
      </c>
      <c r="S61" s="294">
        <f t="shared" si="24"/>
        <v>-4190.3865716636919</v>
      </c>
      <c r="T61" s="294">
        <f t="shared" si="24"/>
        <v>-10645.339606916785</v>
      </c>
      <c r="U61" s="294">
        <f t="shared" si="24"/>
        <v>-11108003.870395774</v>
      </c>
      <c r="V61" s="294">
        <f t="shared" si="24"/>
        <v>-9024489.6591904536</v>
      </c>
      <c r="W61" s="294">
        <f t="shared" si="24"/>
        <v>520589.30140931718</v>
      </c>
      <c r="X61" s="294">
        <f t="shared" ref="X61:AC61" si="25">+X44-(X57*X59)</f>
        <v>7725.1984160000011</v>
      </c>
      <c r="Y61" s="426">
        <f t="shared" si="25"/>
        <v>-9204232.6412937585</v>
      </c>
      <c r="Z61" s="426">
        <f t="shared" si="25"/>
        <v>-48366710.752185225</v>
      </c>
      <c r="AA61" s="294">
        <f t="shared" si="25"/>
        <v>-7393164.0016801059</v>
      </c>
      <c r="AB61" s="294">
        <f t="shared" si="25"/>
        <v>12748712.998863935</v>
      </c>
      <c r="AC61" s="294">
        <f t="shared" si="25"/>
        <v>-439418.25254658196</v>
      </c>
      <c r="AD61" s="294">
        <f t="shared" si="24"/>
        <v>-69886.130589179898</v>
      </c>
      <c r="AE61" s="294">
        <f t="shared" ref="AE61:AU61" si="26">+AE44-(AE57*AE59)</f>
        <v>-3831.0246199423614</v>
      </c>
      <c r="AF61" s="294">
        <f t="shared" si="26"/>
        <v>-24480.220569124907</v>
      </c>
      <c r="AG61" s="294">
        <f t="shared" si="26"/>
        <v>-1909978.0874022099</v>
      </c>
      <c r="AH61" s="294">
        <f t="shared" si="26"/>
        <v>-92853.606337802761</v>
      </c>
      <c r="AI61" s="294">
        <f t="shared" si="26"/>
        <v>-308531.66010436148</v>
      </c>
      <c r="AJ61" s="294">
        <f>+AJ44-(AJ57*AJ59)</f>
        <v>72647.038566666641</v>
      </c>
      <c r="AK61" s="294">
        <f t="shared" si="26"/>
        <v>-676943.63053784647</v>
      </c>
      <c r="AL61" s="294">
        <f>+AL44-(AL57*AL59)</f>
        <v>-3130497.5381527864</v>
      </c>
      <c r="AM61" s="294">
        <f t="shared" si="26"/>
        <v>134161.66059226336</v>
      </c>
      <c r="AN61" s="294">
        <f t="shared" si="26"/>
        <v>-3071986.1337556029</v>
      </c>
      <c r="AO61" s="294">
        <f t="shared" si="26"/>
        <v>344098.38920724997</v>
      </c>
      <c r="AP61" s="294">
        <f t="shared" si="26"/>
        <v>696145.97433128464</v>
      </c>
      <c r="AQ61" s="294">
        <f t="shared" si="26"/>
        <v>0</v>
      </c>
      <c r="AR61" s="294">
        <f t="shared" si="26"/>
        <v>-303817.36784007057</v>
      </c>
      <c r="AS61" s="294">
        <f>+AS44-(AS57*AS59)</f>
        <v>0</v>
      </c>
      <c r="AT61" s="294">
        <f>+AT44-(AT57*AT59)</f>
        <v>714946.16879226593</v>
      </c>
      <c r="AU61" s="294">
        <f t="shared" si="26"/>
        <v>-4795745.5618961388</v>
      </c>
      <c r="AV61" s="294">
        <f>+AV44-(AV57*AV59)</f>
        <v>2547133.4448645189</v>
      </c>
      <c r="AW61" s="294">
        <f>+AW44-(AW57*AW59)</f>
        <v>0</v>
      </c>
      <c r="AX61" s="426">
        <f>+AX44-(AX57*AX59)</f>
        <v>-4963287.540813568</v>
      </c>
      <c r="AY61" s="426">
        <f>+AY44-(AY57*AY59)</f>
        <v>-53329998.292999089</v>
      </c>
    </row>
    <row r="62" spans="1:52">
      <c r="A62" s="285">
        <f t="shared" si="15"/>
        <v>50</v>
      </c>
      <c r="B62" s="292" t="s">
        <v>178</v>
      </c>
      <c r="C62" s="294">
        <f t="shared" ref="C62:AD62" si="27">-C61/C60</f>
        <v>51932945.113017984</v>
      </c>
      <c r="D62" s="294">
        <f t="shared" si="27"/>
        <v>-1265974.0682983734</v>
      </c>
      <c r="E62" s="294">
        <f>-E61/E60</f>
        <v>-71805.336671030964</v>
      </c>
      <c r="F62" s="294">
        <f t="shared" si="27"/>
        <v>-1613079.7373487544</v>
      </c>
      <c r="G62" s="294">
        <f>-G61/G60</f>
        <v>-17135559.429514278</v>
      </c>
      <c r="H62" s="294">
        <f t="shared" si="27"/>
        <v>1872595.496089966</v>
      </c>
      <c r="I62" s="294">
        <f t="shared" si="27"/>
        <v>1665991.4124226321</v>
      </c>
      <c r="J62" s="294">
        <f t="shared" si="27"/>
        <v>166329.73575208811</v>
      </c>
      <c r="K62" s="294">
        <f t="shared" si="27"/>
        <v>248109.06932046748</v>
      </c>
      <c r="L62" s="294">
        <f t="shared" si="27"/>
        <v>-92675.2534344788</v>
      </c>
      <c r="M62" s="294">
        <f t="shared" si="27"/>
        <v>-5080.2809452130978</v>
      </c>
      <c r="N62" s="294">
        <f t="shared" si="27"/>
        <v>271190.10243520944</v>
      </c>
      <c r="O62" s="294">
        <f t="shared" si="27"/>
        <v>580930.93500389217</v>
      </c>
      <c r="P62" s="294">
        <f t="shared" si="27"/>
        <v>1021686.5303337153</v>
      </c>
      <c r="Q62" s="294">
        <f t="shared" si="27"/>
        <v>69813.458429074555</v>
      </c>
      <c r="R62" s="294">
        <f t="shared" si="27"/>
        <v>476595.72945302899</v>
      </c>
      <c r="S62" s="294">
        <f t="shared" si="27"/>
        <v>5556.8270019157908</v>
      </c>
      <c r="T62" s="294">
        <f t="shared" si="27"/>
        <v>14116.671471862088</v>
      </c>
      <c r="U62" s="294">
        <f t="shared" si="27"/>
        <v>14730205.623939326</v>
      </c>
      <c r="V62" s="294">
        <f t="shared" si="27"/>
        <v>11967279.619452741</v>
      </c>
      <c r="W62" s="294">
        <f t="shared" si="27"/>
        <v>-690347.92793144274</v>
      </c>
      <c r="X62" s="294">
        <f t="shared" ref="X62:AC62" si="28">-X61/X60</f>
        <v>-10244.303340286464</v>
      </c>
      <c r="Y62" s="699">
        <f t="shared" si="28"/>
        <v>12205634.873622039</v>
      </c>
      <c r="Z62" s="699">
        <f t="shared" si="28"/>
        <v>64138579.986639947</v>
      </c>
      <c r="AA62" s="294">
        <f t="shared" si="28"/>
        <v>9803996.0398729946</v>
      </c>
      <c r="AB62" s="294">
        <f t="shared" si="28"/>
        <v>-16905932.52441521</v>
      </c>
      <c r="AC62" s="294">
        <f t="shared" si="28"/>
        <v>582707.86456726643</v>
      </c>
      <c r="AD62" s="294">
        <f t="shared" si="27"/>
        <v>92675.253434478451</v>
      </c>
      <c r="AE62" s="294">
        <f t="shared" ref="AE62:AU62" si="29">-AE61/AE60</f>
        <v>5080.2809452130978</v>
      </c>
      <c r="AF62" s="294">
        <f t="shared" si="29"/>
        <v>32462.959763962601</v>
      </c>
      <c r="AG62" s="294">
        <f t="shared" si="29"/>
        <v>2532801.5990014677</v>
      </c>
      <c r="AH62" s="294">
        <f t="shared" si="29"/>
        <v>123132.17840384295</v>
      </c>
      <c r="AI62" s="294">
        <f t="shared" si="29"/>
        <v>409140.54837025137</v>
      </c>
      <c r="AJ62" s="294">
        <f>-AJ61/AJ60</f>
        <v>-96336.464097677934</v>
      </c>
      <c r="AK62" s="294">
        <f t="shared" si="29"/>
        <v>897687.73849762895</v>
      </c>
      <c r="AL62" s="294">
        <f t="shared" si="29"/>
        <v>4151319.4431920382</v>
      </c>
      <c r="AM62" s="294">
        <f t="shared" si="29"/>
        <v>-177910.34918884886</v>
      </c>
      <c r="AN62" s="294">
        <f t="shared" si="29"/>
        <v>4073728.0930113802</v>
      </c>
      <c r="AO62" s="294">
        <f t="shared" si="29"/>
        <v>-456305.20902118686</v>
      </c>
      <c r="AP62" s="294">
        <f t="shared" si="29"/>
        <v>-923151.762082709</v>
      </c>
      <c r="AQ62" s="294">
        <f t="shared" si="29"/>
        <v>0</v>
      </c>
      <c r="AR62" s="294">
        <f t="shared" si="29"/>
        <v>402888.97560933215</v>
      </c>
      <c r="AS62" s="294">
        <f>-AS61/AS60</f>
        <v>0</v>
      </c>
      <c r="AT62" s="294">
        <f>-AT61/AT60</f>
        <v>-948082.4997212108</v>
      </c>
      <c r="AU62" s="294">
        <f t="shared" si="29"/>
        <v>6359587.1113346675</v>
      </c>
      <c r="AV62" s="294">
        <f>-AV61/AV60</f>
        <v>-3377726.5323486486</v>
      </c>
      <c r="AW62" s="294">
        <f>-AW61/AW60</f>
        <v>0</v>
      </c>
      <c r="AX62" s="699">
        <f>-AX61/AX60</f>
        <v>6581762.7451290321</v>
      </c>
      <c r="AY62" s="699">
        <f>-AY61/AY60</f>
        <v>70720342.731769368</v>
      </c>
    </row>
    <row r="63" spans="1:52">
      <c r="B63" s="292"/>
    </row>
    <row r="64" spans="1:52">
      <c r="B64" s="498" t="s">
        <v>514</v>
      </c>
    </row>
    <row r="65" spans="2:70">
      <c r="B65" s="498" t="str">
        <f>B62</f>
        <v>Revenue Requirement or (Surplus)</v>
      </c>
      <c r="C65" s="497">
        <v>59436795.699151352</v>
      </c>
      <c r="D65" s="497">
        <v>-1265974.0682983734</v>
      </c>
      <c r="E65" s="497">
        <v>-42375.322624848421</v>
      </c>
      <c r="F65" s="497">
        <v>-1613079.7373487544</v>
      </c>
      <c r="G65" s="497">
        <v>-17129250.4559393</v>
      </c>
      <c r="H65" s="497">
        <v>1872595.496089966</v>
      </c>
      <c r="I65" s="497">
        <v>1665991.4124226321</v>
      </c>
      <c r="J65" s="497">
        <v>166329.73575208811</v>
      </c>
      <c r="K65" s="497">
        <v>248109.06932046748</v>
      </c>
      <c r="L65" s="497">
        <v>-92675.2534344788</v>
      </c>
      <c r="M65" s="497">
        <v>-5080.2809452130978</v>
      </c>
      <c r="N65" s="497">
        <v>271190.10243520944</v>
      </c>
      <c r="O65" s="497">
        <v>580930.93500389217</v>
      </c>
      <c r="P65" s="497">
        <v>1021686.5303337153</v>
      </c>
      <c r="Q65" s="497">
        <v>69813.458429074555</v>
      </c>
      <c r="R65" s="497">
        <v>476595.72945302899</v>
      </c>
      <c r="S65" s="497">
        <v>5556.8270019157908</v>
      </c>
      <c r="T65" s="497">
        <v>14116.671471862088</v>
      </c>
      <c r="U65" s="497">
        <v>15224467.741966328</v>
      </c>
      <c r="V65" s="497">
        <v>11929829.408061337</v>
      </c>
      <c r="W65" s="497">
        <v>-690347.92793144274</v>
      </c>
      <c r="X65" s="497">
        <v>0</v>
      </c>
      <c r="Y65" s="500">
        <f>SUM(D65:X65)</f>
        <v>12708430.071219105</v>
      </c>
      <c r="Z65" s="500">
        <f>Y65+C65</f>
        <v>72145225.770370454</v>
      </c>
      <c r="AA65" s="497">
        <v>9803996.0398729946</v>
      </c>
      <c r="AB65" s="497">
        <v>-17733862.980595365</v>
      </c>
      <c r="AC65" s="497">
        <v>244051.12868669769</v>
      </c>
      <c r="AD65" s="497">
        <v>92675.253434478451</v>
      </c>
      <c r="AE65" s="497">
        <v>5080.2809452130978</v>
      </c>
      <c r="AF65" s="497">
        <v>32462.959763962601</v>
      </c>
      <c r="AG65" s="497">
        <v>2532801.5990014677</v>
      </c>
      <c r="AH65" s="497">
        <v>123132.17840384295</v>
      </c>
      <c r="AI65" s="497">
        <v>409140.54837025137</v>
      </c>
      <c r="AJ65" s="497">
        <v>-96336.464097677934</v>
      </c>
      <c r="AK65" s="497">
        <v>897687.73849762895</v>
      </c>
      <c r="AL65" s="497">
        <v>4204707.4310250208</v>
      </c>
      <c r="AM65" s="497">
        <v>-177910.34918884886</v>
      </c>
      <c r="AN65" s="497">
        <v>7857124.2641059849</v>
      </c>
      <c r="AO65" s="497">
        <v>-456305.20902118686</v>
      </c>
      <c r="AP65" s="497">
        <v>-921762.26703415974</v>
      </c>
      <c r="AQ65" s="497">
        <v>764743.43545499246</v>
      </c>
      <c r="AR65" s="497">
        <v>402888.97560933215</v>
      </c>
      <c r="AS65" s="497">
        <v>647730.43255961244</v>
      </c>
      <c r="AT65" s="497">
        <v>-983952.92740777892</v>
      </c>
      <c r="AU65" s="497">
        <v>6335020.8728554556</v>
      </c>
      <c r="AV65" s="497">
        <v>0</v>
      </c>
      <c r="AW65" s="498">
        <v>0</v>
      </c>
      <c r="AX65" s="500">
        <f>SUM(AA65:AW65)</f>
        <v>13983112.94124192</v>
      </c>
      <c r="AY65" s="500">
        <f>AX65+Z65</f>
        <v>86128338.711612374</v>
      </c>
    </row>
    <row r="66" spans="2:70">
      <c r="B66" s="501" t="s">
        <v>515</v>
      </c>
      <c r="C66" s="584">
        <f>C62-C65</f>
        <v>-7503850.5861333683</v>
      </c>
      <c r="D66" s="502">
        <f t="shared" ref="D66:AW66" si="30">D62-D65</f>
        <v>0</v>
      </c>
      <c r="E66" s="585">
        <f t="shared" si="30"/>
        <v>-29430.014046182543</v>
      </c>
      <c r="F66" s="502">
        <f t="shared" si="30"/>
        <v>0</v>
      </c>
      <c r="G66" s="585">
        <f t="shared" si="30"/>
        <v>-6308.9735749773681</v>
      </c>
      <c r="H66" s="502">
        <f t="shared" si="30"/>
        <v>0</v>
      </c>
      <c r="I66" s="502">
        <f t="shared" si="30"/>
        <v>0</v>
      </c>
      <c r="J66" s="502">
        <f t="shared" si="30"/>
        <v>0</v>
      </c>
      <c r="K66" s="502">
        <f t="shared" si="30"/>
        <v>0</v>
      </c>
      <c r="L66" s="502">
        <f t="shared" si="30"/>
        <v>0</v>
      </c>
      <c r="M66" s="502">
        <f t="shared" si="30"/>
        <v>0</v>
      </c>
      <c r="N66" s="502">
        <f t="shared" si="30"/>
        <v>0</v>
      </c>
      <c r="O66" s="502">
        <f t="shared" si="30"/>
        <v>0</v>
      </c>
      <c r="P66" s="502">
        <f t="shared" si="30"/>
        <v>0</v>
      </c>
      <c r="Q66" s="502">
        <f t="shared" si="30"/>
        <v>0</v>
      </c>
      <c r="R66" s="502">
        <f t="shared" si="30"/>
        <v>0</v>
      </c>
      <c r="S66" s="502">
        <f t="shared" si="30"/>
        <v>0</v>
      </c>
      <c r="T66" s="502">
        <f t="shared" si="30"/>
        <v>0</v>
      </c>
      <c r="U66" s="585">
        <f>U62-U65</f>
        <v>-494262.11802700162</v>
      </c>
      <c r="V66" s="502">
        <f t="shared" si="30"/>
        <v>37450.211391404271</v>
      </c>
      <c r="W66" s="502">
        <f t="shared" si="30"/>
        <v>0</v>
      </c>
      <c r="X66" s="585">
        <f>X62-X65</f>
        <v>-10244.303340286464</v>
      </c>
      <c r="Y66" s="503">
        <f>SUM(D66:X66)</f>
        <v>-502795.19759704371</v>
      </c>
      <c r="Z66" s="503">
        <f>Y66+C66</f>
        <v>-8006645.7837304119</v>
      </c>
      <c r="AA66" s="502">
        <f t="shared" si="30"/>
        <v>0</v>
      </c>
      <c r="AB66" s="585">
        <f t="shared" si="30"/>
        <v>827930.45618015528</v>
      </c>
      <c r="AC66" s="585">
        <f t="shared" si="30"/>
        <v>338656.73588056874</v>
      </c>
      <c r="AD66" s="502">
        <f t="shared" si="30"/>
        <v>0</v>
      </c>
      <c r="AE66" s="502">
        <f t="shared" si="30"/>
        <v>0</v>
      </c>
      <c r="AF66" s="502">
        <f t="shared" si="30"/>
        <v>0</v>
      </c>
      <c r="AG66" s="502">
        <f t="shared" si="30"/>
        <v>0</v>
      </c>
      <c r="AH66" s="502">
        <f t="shared" si="30"/>
        <v>0</v>
      </c>
      <c r="AI66" s="502">
        <f t="shared" si="30"/>
        <v>0</v>
      </c>
      <c r="AJ66" s="502">
        <f t="shared" si="30"/>
        <v>0</v>
      </c>
      <c r="AK66" s="502">
        <f t="shared" si="30"/>
        <v>0</v>
      </c>
      <c r="AL66" s="502">
        <f>AL62-AL65</f>
        <v>-53387.987832982559</v>
      </c>
      <c r="AM66" s="502">
        <f t="shared" si="30"/>
        <v>0</v>
      </c>
      <c r="AN66" s="585">
        <f t="shared" si="30"/>
        <v>-3783396.1710946048</v>
      </c>
      <c r="AO66" s="502">
        <f t="shared" si="30"/>
        <v>0</v>
      </c>
      <c r="AP66" s="502">
        <f t="shared" si="30"/>
        <v>-1389.4950485492591</v>
      </c>
      <c r="AQ66" s="585">
        <f t="shared" si="30"/>
        <v>-764743.43545499246</v>
      </c>
      <c r="AR66" s="502">
        <f t="shared" si="30"/>
        <v>0</v>
      </c>
      <c r="AS66" s="585">
        <f t="shared" si="30"/>
        <v>-647730.43255961244</v>
      </c>
      <c r="AT66" s="502">
        <f t="shared" si="30"/>
        <v>35870.427686568117</v>
      </c>
      <c r="AU66" s="502">
        <f t="shared" si="30"/>
        <v>24566.238479211926</v>
      </c>
      <c r="AV66" s="585">
        <f>AV62-AV65</f>
        <v>-3377726.5323486486</v>
      </c>
      <c r="AW66" s="502">
        <f t="shared" si="30"/>
        <v>0</v>
      </c>
      <c r="AX66" s="503">
        <f>SUM(AA66:AW66)</f>
        <v>-7401350.1961128861</v>
      </c>
      <c r="AY66" s="503">
        <f>AX66+Z66</f>
        <v>-15407995.979843298</v>
      </c>
      <c r="BA66" s="294"/>
    </row>
    <row r="67" spans="2:70">
      <c r="B67" s="280" t="s">
        <v>516</v>
      </c>
      <c r="D67" s="293"/>
      <c r="E67" s="294">
        <f>E66-'Common Adj'!N41</f>
        <v>1.5279510989785194E-10</v>
      </c>
      <c r="U67" s="294">
        <f>U66-'Common Adj'!EM28</f>
        <v>0</v>
      </c>
      <c r="X67" s="294">
        <f>X66-'Staff Green Direct'!E20</f>
        <v>0</v>
      </c>
      <c r="AB67" s="294">
        <f>AB66-'Common Adj'!N52</f>
        <v>-1.0710209608078003E-8</v>
      </c>
      <c r="AL67" s="294">
        <f>AL66-'Common Adj'!FS56</f>
        <v>-53387.987832982559</v>
      </c>
      <c r="AN67" s="294">
        <f>AN66-'[7]Gas Lead '!$F$50</f>
        <v>0</v>
      </c>
      <c r="AQ67" s="294">
        <f>AQ66-'Common Adj'!HG44</f>
        <v>0</v>
      </c>
      <c r="AS67" s="294">
        <f>AS66-'Common Adj'!HW44</f>
        <v>0</v>
      </c>
      <c r="AV67" s="294">
        <f>AV66-'Staff LNG'!C39</f>
        <v>0</v>
      </c>
      <c r="AW67" s="294"/>
      <c r="AY67" s="504" t="s">
        <v>516</v>
      </c>
    </row>
    <row r="68" spans="2:70">
      <c r="AL68" s="293"/>
      <c r="AY68" s="505" t="e">
        <f>AY66-#REF!</f>
        <v>#REF!</v>
      </c>
    </row>
    <row r="69" spans="2:70">
      <c r="B69" s="498" t="s">
        <v>533</v>
      </c>
      <c r="AL69" s="507"/>
      <c r="AM69" s="507"/>
    </row>
    <row r="70" spans="2:70">
      <c r="B70" s="498" t="s">
        <v>178</v>
      </c>
      <c r="C70" s="497">
        <v>51932945.113017984</v>
      </c>
      <c r="D70" s="497">
        <v>-1265974.0682983734</v>
      </c>
      <c r="E70" s="497">
        <v>-42375.322624848421</v>
      </c>
      <c r="F70" s="497">
        <v>-1613079.7373487544</v>
      </c>
      <c r="G70" s="497">
        <v>-17129250.4559393</v>
      </c>
      <c r="H70" s="497">
        <v>1872595.496089966</v>
      </c>
      <c r="I70" s="497">
        <v>1665991.4124226321</v>
      </c>
      <c r="J70" s="497">
        <v>166329.73575208811</v>
      </c>
      <c r="K70" s="497">
        <v>248109.06932046748</v>
      </c>
      <c r="L70" s="497">
        <v>-92675.2534344788</v>
      </c>
      <c r="M70" s="497">
        <v>-5080.2809452130978</v>
      </c>
      <c r="N70" s="497">
        <v>271190.10243520944</v>
      </c>
      <c r="O70" s="497">
        <v>580930.93500389217</v>
      </c>
      <c r="P70" s="497">
        <v>1021686.5303337153</v>
      </c>
      <c r="Q70" s="497">
        <v>69813.458429074555</v>
      </c>
      <c r="R70" s="497">
        <v>476595.72945302899</v>
      </c>
      <c r="S70" s="497">
        <v>5556.8270019157908</v>
      </c>
      <c r="T70" s="497">
        <v>14116.671471862088</v>
      </c>
      <c r="U70" s="497">
        <v>14645058.8646474</v>
      </c>
      <c r="V70" s="497">
        <v>11967279.619452741</v>
      </c>
      <c r="W70" s="497">
        <v>-690347.92793144274</v>
      </c>
      <c r="X70" s="497">
        <v>0</v>
      </c>
      <c r="Y70" s="500">
        <f>SUM(D70:X70)</f>
        <v>12166471.405291582</v>
      </c>
      <c r="Z70" s="500">
        <f>Y70+C70</f>
        <v>64099416.518309563</v>
      </c>
      <c r="AA70" s="497">
        <v>9803996.0398729946</v>
      </c>
      <c r="AB70" s="497">
        <v>-17733862.980595365</v>
      </c>
      <c r="AC70" s="497">
        <v>244051.12868669769</v>
      </c>
      <c r="AD70" s="497">
        <v>92675.253434478451</v>
      </c>
      <c r="AE70" s="497">
        <v>5080.2809452130978</v>
      </c>
      <c r="AF70" s="497">
        <v>32462.959763962601</v>
      </c>
      <c r="AG70" s="497">
        <v>2532801.5990014677</v>
      </c>
      <c r="AH70" s="497">
        <v>123132.17840384295</v>
      </c>
      <c r="AI70" s="497">
        <v>409140.54837025137</v>
      </c>
      <c r="AJ70" s="497">
        <v>-96336.464097677934</v>
      </c>
      <c r="AK70" s="497">
        <v>897687.73849762895</v>
      </c>
      <c r="AL70" s="497">
        <v>4151319.4431920382</v>
      </c>
      <c r="AM70" s="497">
        <v>-177910.34918884886</v>
      </c>
      <c r="AN70" s="497">
        <v>7806291.0391036626</v>
      </c>
      <c r="AO70" s="497">
        <v>-456305.20902118686</v>
      </c>
      <c r="AP70" s="497">
        <v>-923151.762082709</v>
      </c>
      <c r="AQ70" s="497">
        <v>741874.6556717247</v>
      </c>
      <c r="AR70" s="497">
        <v>402888.97560933215</v>
      </c>
      <c r="AS70" s="497">
        <v>636963.61628734728</v>
      </c>
      <c r="AT70" s="497">
        <v>-948082.4997212108</v>
      </c>
      <c r="AU70" s="497">
        <v>6359587.1113346675</v>
      </c>
      <c r="AV70" s="497"/>
      <c r="AW70" s="497"/>
      <c r="AX70" s="500">
        <f>SUM(AA70:AW70)</f>
        <v>13904303.303468313</v>
      </c>
      <c r="AY70" s="500">
        <f>AX70+Z70</f>
        <v>78003719.82177788</v>
      </c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</row>
    <row r="71" spans="2:70">
      <c r="B71" s="564" t="s">
        <v>515</v>
      </c>
      <c r="C71" s="565">
        <f>C62-C70</f>
        <v>0</v>
      </c>
      <c r="D71" s="565">
        <f t="shared" ref="D71:AY71" si="31">D62-D70</f>
        <v>0</v>
      </c>
      <c r="E71" s="565">
        <f t="shared" si="31"/>
        <v>-29430.014046182543</v>
      </c>
      <c r="F71" s="565">
        <f t="shared" si="31"/>
        <v>0</v>
      </c>
      <c r="G71" s="565">
        <f t="shared" si="31"/>
        <v>-6308.9735749773681</v>
      </c>
      <c r="H71" s="565">
        <f t="shared" si="31"/>
        <v>0</v>
      </c>
      <c r="I71" s="565">
        <f t="shared" si="31"/>
        <v>0</v>
      </c>
      <c r="J71" s="565">
        <f t="shared" si="31"/>
        <v>0</v>
      </c>
      <c r="K71" s="565">
        <f t="shared" si="31"/>
        <v>0</v>
      </c>
      <c r="L71" s="565">
        <f t="shared" si="31"/>
        <v>0</v>
      </c>
      <c r="M71" s="565">
        <f t="shared" si="31"/>
        <v>0</v>
      </c>
      <c r="N71" s="565">
        <f t="shared" si="31"/>
        <v>0</v>
      </c>
      <c r="O71" s="565">
        <f t="shared" si="31"/>
        <v>0</v>
      </c>
      <c r="P71" s="565">
        <f t="shared" si="31"/>
        <v>0</v>
      </c>
      <c r="Q71" s="565">
        <f t="shared" si="31"/>
        <v>0</v>
      </c>
      <c r="R71" s="565">
        <f t="shared" si="31"/>
        <v>0</v>
      </c>
      <c r="S71" s="565">
        <f t="shared" si="31"/>
        <v>0</v>
      </c>
      <c r="T71" s="565">
        <f t="shared" si="31"/>
        <v>0</v>
      </c>
      <c r="U71" s="565">
        <f t="shared" si="31"/>
        <v>85146.759291926399</v>
      </c>
      <c r="V71" s="565">
        <f t="shared" si="31"/>
        <v>0</v>
      </c>
      <c r="W71" s="565">
        <f t="shared" si="31"/>
        <v>0</v>
      </c>
      <c r="X71" s="565">
        <f t="shared" si="31"/>
        <v>-10244.303340286464</v>
      </c>
      <c r="Y71" s="565">
        <f>Y62-Y70</f>
        <v>39163.468330457807</v>
      </c>
      <c r="Z71" s="565">
        <f t="shared" si="31"/>
        <v>39163.468330383301</v>
      </c>
      <c r="AA71" s="565">
        <f t="shared" si="31"/>
        <v>0</v>
      </c>
      <c r="AB71" s="565">
        <f t="shared" si="31"/>
        <v>827930.45618015528</v>
      </c>
      <c r="AC71" s="565">
        <f t="shared" si="31"/>
        <v>338656.73588056874</v>
      </c>
      <c r="AD71" s="565">
        <f t="shared" si="31"/>
        <v>0</v>
      </c>
      <c r="AE71" s="565">
        <f t="shared" si="31"/>
        <v>0</v>
      </c>
      <c r="AF71" s="565">
        <f t="shared" si="31"/>
        <v>0</v>
      </c>
      <c r="AG71" s="565">
        <f t="shared" si="31"/>
        <v>0</v>
      </c>
      <c r="AH71" s="565">
        <f t="shared" si="31"/>
        <v>0</v>
      </c>
      <c r="AI71" s="565">
        <f t="shared" si="31"/>
        <v>0</v>
      </c>
      <c r="AJ71" s="565">
        <f t="shared" si="31"/>
        <v>0</v>
      </c>
      <c r="AK71" s="565">
        <f t="shared" si="31"/>
        <v>0</v>
      </c>
      <c r="AL71" s="565">
        <f t="shared" si="31"/>
        <v>0</v>
      </c>
      <c r="AM71" s="565">
        <f t="shared" si="31"/>
        <v>0</v>
      </c>
      <c r="AN71" s="565">
        <f t="shared" si="31"/>
        <v>-3732562.9460922824</v>
      </c>
      <c r="AO71" s="565">
        <f t="shared" si="31"/>
        <v>0</v>
      </c>
      <c r="AP71" s="565">
        <f t="shared" si="31"/>
        <v>0</v>
      </c>
      <c r="AQ71" s="565">
        <f t="shared" si="31"/>
        <v>-741874.6556717247</v>
      </c>
      <c r="AR71" s="565">
        <f t="shared" si="31"/>
        <v>0</v>
      </c>
      <c r="AS71" s="565">
        <f t="shared" si="31"/>
        <v>-636963.61628734728</v>
      </c>
      <c r="AT71" s="565">
        <f t="shared" si="31"/>
        <v>0</v>
      </c>
      <c r="AU71" s="565">
        <f t="shared" si="31"/>
        <v>0</v>
      </c>
      <c r="AV71" s="565">
        <f>AV62-AV70</f>
        <v>-3377726.5323486486</v>
      </c>
      <c r="AW71" s="565">
        <f t="shared" si="31"/>
        <v>0</v>
      </c>
      <c r="AX71" s="566">
        <f t="shared" si="31"/>
        <v>-7322540.558339281</v>
      </c>
      <c r="AY71" s="566">
        <f t="shared" si="31"/>
        <v>-7283377.0900085121</v>
      </c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</row>
    <row r="72" spans="2:70">
      <c r="AL72" s="506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</row>
    <row r="73" spans="2:70">
      <c r="X73" s="294">
        <f>SUM(D71:X71)</f>
        <v>39163.468330480027</v>
      </c>
      <c r="BG73" s="342"/>
      <c r="BH73" s="342"/>
      <c r="BI73" s="342"/>
      <c r="BJ73" s="342"/>
      <c r="BK73" s="342"/>
      <c r="BL73" s="342"/>
      <c r="BM73" s="342"/>
      <c r="BN73" s="342"/>
      <c r="BO73" s="342"/>
      <c r="BP73" s="342"/>
      <c r="BQ73" s="342"/>
      <c r="BR73" s="342"/>
    </row>
    <row r="74" spans="2:70">
      <c r="E74" s="294"/>
      <c r="X74" s="294">
        <f>SUM(AA71:AW71)</f>
        <v>-7322540.5583392791</v>
      </c>
    </row>
    <row r="75" spans="2:70">
      <c r="X75" s="294">
        <f>SUM(X73:X74)</f>
        <v>-7283377.090008799</v>
      </c>
    </row>
    <row r="136" spans="17:17">
      <c r="Q136" s="440"/>
    </row>
    <row r="137" spans="17:17">
      <c r="Q137" s="335">
        <f>Q110</f>
        <v>0</v>
      </c>
    </row>
    <row r="138" spans="17:17">
      <c r="Q138" s="75">
        <f>Q112</f>
        <v>0</v>
      </c>
    </row>
    <row r="139" spans="17:17">
      <c r="Q139" s="440"/>
    </row>
    <row r="140" spans="17:17">
      <c r="Q140" s="336">
        <f>Q137-Q134</f>
        <v>0</v>
      </c>
    </row>
    <row r="141" spans="17:17">
      <c r="Q141" s="75">
        <f>Q138-Q135</f>
        <v>0</v>
      </c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9" max="1048575" man="1"/>
    <brk id="5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G78"/>
  <sheetViews>
    <sheetView view="pageBreakPreview" zoomScale="85" zoomScaleNormal="89" zoomScaleSheetLayoutView="85" workbookViewId="0">
      <pane xSplit="1" ySplit="1" topLeftCell="HG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0" width="18.140625" style="279" bestFit="1" customWidth="1"/>
    <col min="21" max="21" width="17.42578125" style="279" bestFit="1" customWidth="1"/>
    <col min="22" max="22" width="16" style="279" customWidth="1"/>
    <col min="23" max="23" width="17.42578125" style="279" bestFit="1" customWidth="1"/>
    <col min="24" max="24" width="16.7109375" style="279" customWidth="1"/>
    <col min="25" max="25" width="5.28515625" style="279" bestFit="1" customWidth="1"/>
    <col min="26" max="26" width="27.85546875" style="279" customWidth="1"/>
    <col min="27" max="27" width="5" style="279" bestFit="1" customWidth="1"/>
    <col min="28" max="28" width="14.42578125" style="279" customWidth="1"/>
    <col min="29" max="31" width="16.85546875" style="279" customWidth="1"/>
    <col min="32" max="32" width="24.85546875" style="279" customWidth="1"/>
    <col min="33" max="33" width="8.42578125" style="279" customWidth="1"/>
    <col min="34" max="34" width="60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9.28515625" style="279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2" width="17.7109375" style="279" customWidth="1"/>
    <col min="53" max="53" width="17.42578125" style="279" customWidth="1"/>
    <col min="54" max="54" width="16.28515625" style="279" bestFit="1" customWidth="1"/>
    <col min="55" max="55" width="17.7109375" style="279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37.42578125" style="279" customWidth="1"/>
    <col min="60" max="60" width="4.28515625" style="279" customWidth="1"/>
    <col min="61" max="61" width="17.85546875" style="279" customWidth="1"/>
    <col min="62" max="62" width="17.140625" style="279" customWidth="1"/>
    <col min="63" max="63" width="15.85546875" style="279" customWidth="1"/>
    <col min="64" max="64" width="17.85546875" style="279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7.85546875" style="279" customWidth="1"/>
    <col min="91" max="91" width="46.85546875" style="279" bestFit="1" customWidth="1"/>
    <col min="92" max="92" width="4.7109375" style="279" bestFit="1" customWidth="1"/>
    <col min="93" max="94" width="13.7109375" style="279" customWidth="1"/>
    <col min="95" max="95" width="16" style="279" customWidth="1"/>
    <col min="96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7.42578125" style="279" customWidth="1"/>
    <col min="102" max="102" width="16.85546875" style="279" customWidth="1"/>
    <col min="103" max="103" width="16.28515625" style="279" bestFit="1" customWidth="1"/>
    <col min="104" max="104" width="16.85546875" style="279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7.140625" style="279" customWidth="1"/>
    <col min="111" max="111" width="13.85546875" style="279" bestFit="1" customWidth="1"/>
    <col min="112" max="112" width="16.42578125" style="279" customWidth="1"/>
    <col min="113" max="113" width="16" style="279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9.85546875" style="279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5.140625" style="279" customWidth="1"/>
    <col min="136" max="136" width="12.140625" style="279" bestFit="1" customWidth="1"/>
    <col min="137" max="137" width="15.85546875" style="279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6.140625" style="279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2" width="9.28515625" style="279" bestFit="1" customWidth="1"/>
    <col min="173" max="173" width="13.7109375" style="279" customWidth="1"/>
    <col min="174" max="174" width="12.85546875" style="279" bestFit="1" customWidth="1"/>
    <col min="175" max="175" width="12.5703125" style="279" customWidth="1"/>
    <col min="176" max="176" width="12.7109375" style="279" bestFit="1" customWidth="1"/>
    <col min="177" max="177" width="15.42578125" style="279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1" width="16.5703125" style="279" customWidth="1"/>
    <col min="182" max="182" width="17.7109375" style="279" customWidth="1"/>
    <col min="183" max="183" width="15" style="279" customWidth="1"/>
    <col min="184" max="184" width="17.140625" style="279" customWidth="1"/>
    <col min="185" max="185" width="16.42578125" style="279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5" width="16.7109375" style="5" customWidth="1"/>
    <col min="206" max="206" width="17.140625" style="5" customWidth="1"/>
    <col min="207" max="207" width="13.7109375" style="5" bestFit="1" customWidth="1"/>
    <col min="208" max="208" width="16.85546875" style="5" customWidth="1"/>
    <col min="209" max="209" width="17.140625" style="5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7.85546875" style="279" customWidth="1"/>
    <col min="217" max="217" width="16.85546875" style="279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7.140625" style="279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3.5703125" style="279" customWidth="1"/>
    <col min="233" max="233" width="17.7109375" style="279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448" customFormat="1" ht="14.65" customHeight="1" thickBot="1">
      <c r="G1" s="448">
        <f>ROUND('Detailed Summary'!D44-F45,0)</f>
        <v>0</v>
      </c>
      <c r="H1" s="448">
        <f>ROUND('Detailed Summary'!AA44-H45,0)</f>
        <v>0</v>
      </c>
      <c r="P1" s="448">
        <f>ROUND(+'Detailed Summary'!AB44-P32,0)</f>
        <v>0</v>
      </c>
      <c r="AD1" s="448">
        <f>ROUND(+'Detailed Summary'!G44-AD22+AD24,0)</f>
        <v>0</v>
      </c>
      <c r="AF1" s="448">
        <f>ROUND(+'Detailed Summary'!AC44-AF22,0)</f>
        <v>0</v>
      </c>
      <c r="AL1" s="448">
        <f>ROUND(+'Detailed Summary'!H44-AL45,0)</f>
        <v>0</v>
      </c>
      <c r="AT1" s="448">
        <f>ROUND(+'Detailed Summary'!I44-AT21,0)</f>
        <v>0</v>
      </c>
      <c r="BB1" s="448">
        <f>ROUND(+'Detailed Summary'!J44-BB19,0)</f>
        <v>0</v>
      </c>
      <c r="BK1" s="448">
        <f>ROUND(+'Detailed Summary'!K44-BK30,0)</f>
        <v>0</v>
      </c>
      <c r="BS1" s="448">
        <f>ROUND(+'Detailed Summary'!L44-BS20,0)</f>
        <v>0</v>
      </c>
      <c r="BU1" s="448">
        <f>ROUND(+'Detailed Summary'!AD44-BU20,0)</f>
        <v>0</v>
      </c>
      <c r="CA1" s="448">
        <f>ROUND(+'Detailed Summary'!M44-CA22,0)</f>
        <v>0</v>
      </c>
      <c r="CC1" s="448">
        <f>ROUND(+'Detailed Summary'!AE44-CC22,0)</f>
        <v>0</v>
      </c>
      <c r="CI1" s="448">
        <f>ROUND(+'Detailed Summary'!N44-CI16,0)</f>
        <v>0</v>
      </c>
      <c r="CQ1" s="448">
        <f>ROUND(+'Detailed Summary'!O44-CQ20,0)</f>
        <v>0</v>
      </c>
      <c r="CY1" s="448">
        <f>ROUND(+'Detailed Summary'!P44-CY19,0)</f>
        <v>0</v>
      </c>
      <c r="DG1" s="448">
        <f>ROUND(+'Detailed Summary'!AF44-DI19,0)</f>
        <v>0</v>
      </c>
      <c r="DO1" s="448">
        <f>ROUND(+'Detailed Summary'!R44-DO31,0)</f>
        <v>0</v>
      </c>
      <c r="DQ1" s="448">
        <f>ROUND(+'Detailed Summary'!AG44-DQ31,0)</f>
        <v>0</v>
      </c>
      <c r="DW1" s="448">
        <f>ROUND(+'Detailed Summary'!S44-DW34,0)</f>
        <v>0</v>
      </c>
      <c r="DY1" s="448">
        <f>ROUND(+'Detailed Summary'!AH44-DY34,0)</f>
        <v>0</v>
      </c>
      <c r="EE1" s="448">
        <f>ROUND('Detailed Summary'!T44-EE25,0)</f>
        <v>0</v>
      </c>
      <c r="EG1" s="448">
        <f>ROUND(+'Detailed Summary'!AI44-EG25,0)</f>
        <v>0</v>
      </c>
      <c r="EM1" s="448">
        <f>ROUND(+'Detailed Summary'!U57-EM20,0)</f>
        <v>0</v>
      </c>
      <c r="EU1" s="448">
        <f>'Detailed Summary'!V44-'Common Adj'!EU26</f>
        <v>0</v>
      </c>
      <c r="EV1" s="448">
        <f>'Detailed Summary'!V57-'Common Adj'!EU31</f>
        <v>0</v>
      </c>
      <c r="FE1" s="448">
        <f>+'Detailed Summary'!AJ44-FE20</f>
        <v>0</v>
      </c>
      <c r="FM1" s="448">
        <f>ROUND(+'Detailed Summary'!AK44-FM19,0)</f>
        <v>0</v>
      </c>
      <c r="FT1" s="448">
        <f>ROUND(+'Detailed Summary'!AL57-FU26,0)</f>
        <v>0</v>
      </c>
      <c r="FU1" s="448">
        <f>ROUND(+'Detailed Summary'!AL44-FU38,0)</f>
        <v>0</v>
      </c>
      <c r="GC1" s="448">
        <f>ROUND(+'Detailed Summary'!AM44-GC32,0)</f>
        <v>0</v>
      </c>
      <c r="GJ1" s="448">
        <f>ROUND(+'Detailed Summary'!AN57-GK27,0)</f>
        <v>0</v>
      </c>
      <c r="GK1" s="448">
        <f>ROUND(+'Detailed Summary'!AN44-GK38,0)</f>
        <v>0</v>
      </c>
      <c r="GS1" s="448">
        <f>ROUND(+'Detailed Summary'!AO44-GS20,0)</f>
        <v>0</v>
      </c>
      <c r="GZ1" s="448">
        <f>ROUND(+'Detailed Summary'!AP57-HA16,0)</f>
        <v>0</v>
      </c>
      <c r="HA1" s="448">
        <f>ROUND(+'Detailed Summary'!AP44+HA20,0)</f>
        <v>0</v>
      </c>
      <c r="HQ1" s="448">
        <f>ROUND(+'Detailed Summary'!AR44-HQ22,0)</f>
        <v>0</v>
      </c>
      <c r="IG1" s="448">
        <f>ROUND(+'Detailed Summary'!BD44-IG20,0)</f>
        <v>0</v>
      </c>
    </row>
    <row r="2" spans="1:241">
      <c r="G2" s="373"/>
      <c r="H2" s="358" t="str">
        <f>DOCKETNUMBER_GAS</f>
        <v>UG_________</v>
      </c>
      <c r="N2" s="7"/>
      <c r="O2" s="373"/>
      <c r="P2" s="358" t="str">
        <f>DOCKETNUMBER_GAS</f>
        <v>UG_________</v>
      </c>
      <c r="W2" s="373"/>
      <c r="X2" s="358" t="str">
        <f>DOCKETNUMBER_GAS</f>
        <v>UG_________</v>
      </c>
      <c r="AE2" s="361"/>
      <c r="AF2" s="358" t="str">
        <f>DOCKETNUMBER_GAS</f>
        <v>UG_________</v>
      </c>
      <c r="AM2" s="361"/>
      <c r="AN2" s="358" t="str">
        <f>DOCKETNUMBER_GAS</f>
        <v>UG_________</v>
      </c>
      <c r="AU2" s="361"/>
      <c r="AV2" s="358" t="str">
        <f>DOCKETNUMBER_GAS</f>
        <v>UG_________</v>
      </c>
      <c r="BD2" s="361"/>
      <c r="BE2" s="358" t="str">
        <f>DOCKETNUMBER_GAS</f>
        <v>UG_________</v>
      </c>
      <c r="BL2" s="361"/>
      <c r="BM2" s="358" t="str">
        <f>DOCKETNUMBER_GAS</f>
        <v>UG_________</v>
      </c>
      <c r="BT2" s="361"/>
      <c r="BU2" s="358" t="str">
        <f>DOCKETNUMBER_GAS</f>
        <v>UG_________</v>
      </c>
      <c r="CB2" s="361"/>
      <c r="CC2" s="358" t="str">
        <f>DOCKETNUMBER_GAS</f>
        <v>UG_________</v>
      </c>
      <c r="CJ2" s="361"/>
      <c r="CK2" s="358" t="str">
        <f>DOCKETNUMBER_GAS</f>
        <v>UG_________</v>
      </c>
      <c r="CR2" s="361"/>
      <c r="CS2" s="358" t="str">
        <f>DOCKETNUMBER_GAS</f>
        <v>UG_________</v>
      </c>
      <c r="CZ2" s="361"/>
      <c r="DA2" s="358" t="str">
        <f>DOCKETNUMBER_GAS</f>
        <v>UG_________</v>
      </c>
      <c r="DH2" s="361"/>
      <c r="DI2" s="358" t="str">
        <f>DOCKETNUMBER_GAS</f>
        <v>UG_________</v>
      </c>
      <c r="DP2" s="361"/>
      <c r="DQ2" s="358" t="str">
        <f>DOCKETNUMBER_GAS</f>
        <v>UG_________</v>
      </c>
      <c r="DX2" s="361"/>
      <c r="DY2" s="358" t="str">
        <f>DOCKETNUMBER_GAS</f>
        <v>UG_________</v>
      </c>
      <c r="EF2" s="361"/>
      <c r="EG2" s="358" t="str">
        <f>DOCKETNUMBER_GAS</f>
        <v>UG_________</v>
      </c>
      <c r="EN2" s="361"/>
      <c r="EO2" s="358" t="str">
        <f>DOCKETNUMBER_GAS</f>
        <v>UG_________</v>
      </c>
      <c r="EV2" s="361"/>
      <c r="EW2" s="358" t="str">
        <f>DOCKETNUMBER_GAS</f>
        <v>UG_________</v>
      </c>
      <c r="FD2" s="361"/>
      <c r="FE2" s="358" t="str">
        <f>DOCKETNUMBER_GAS</f>
        <v>UG_________</v>
      </c>
      <c r="FL2" s="361"/>
      <c r="FM2" s="358" t="str">
        <f>DOCKETNUMBER_GAS</f>
        <v>UG_________</v>
      </c>
      <c r="FT2" s="361"/>
      <c r="FU2" s="358" t="str">
        <f>DOCKETNUMBER_GAS</f>
        <v>UG_________</v>
      </c>
      <c r="GB2" s="361"/>
      <c r="GC2" s="358" t="str">
        <f>DOCKETNUMBER_GAS</f>
        <v>UG_________</v>
      </c>
      <c r="GJ2" s="361"/>
      <c r="GK2" s="358" t="str">
        <f>DOCKETNUMBER_GAS</f>
        <v>UG_________</v>
      </c>
      <c r="GR2" s="361"/>
      <c r="GS2" s="358" t="str">
        <f>DOCKETNUMBER_GAS</f>
        <v>UG_________</v>
      </c>
      <c r="GZ2" s="361"/>
      <c r="HA2" s="358" t="str">
        <f>DOCKETNUMBER_GAS</f>
        <v>UG_________</v>
      </c>
      <c r="HH2" s="361"/>
      <c r="HI2" s="358" t="str">
        <f>DOCKETNUMBER_GAS</f>
        <v>UG_________</v>
      </c>
      <c r="HP2" s="361"/>
      <c r="HQ2" s="358" t="str">
        <f>DOCKETNUMBER_GAS</f>
        <v>UG_________</v>
      </c>
      <c r="HR2" s="5"/>
      <c r="HS2" s="5"/>
      <c r="HT2" s="5"/>
      <c r="HU2" s="5"/>
      <c r="HV2" s="5"/>
      <c r="HW2" s="5"/>
      <c r="HX2" s="361"/>
      <c r="HY2" s="358" t="str">
        <f>DOCKETNUMBER_GAS</f>
        <v>UG_________</v>
      </c>
    </row>
    <row r="3" spans="1:241" ht="15.75" thickBot="1">
      <c r="G3" s="374"/>
      <c r="H3" s="359" t="s">
        <v>591</v>
      </c>
      <c r="N3" s="7"/>
      <c r="O3" s="374"/>
      <c r="P3" s="359" t="s">
        <v>592</v>
      </c>
      <c r="W3" s="374"/>
      <c r="X3" s="359" t="s">
        <v>593</v>
      </c>
      <c r="AE3" s="360"/>
      <c r="AF3" s="360" t="s">
        <v>594</v>
      </c>
      <c r="AM3" s="360"/>
      <c r="AN3" s="360" t="s">
        <v>595</v>
      </c>
      <c r="AU3" s="360"/>
      <c r="AV3" s="360" t="s">
        <v>596</v>
      </c>
      <c r="BD3" s="360"/>
      <c r="BE3" s="360" t="s">
        <v>597</v>
      </c>
      <c r="BL3" s="360"/>
      <c r="BM3" s="360" t="s">
        <v>598</v>
      </c>
      <c r="BT3" s="360"/>
      <c r="BU3" s="360" t="s">
        <v>599</v>
      </c>
      <c r="CB3" s="360"/>
      <c r="CC3" s="360" t="s">
        <v>600</v>
      </c>
      <c r="CJ3" s="360"/>
      <c r="CK3" s="360" t="s">
        <v>601</v>
      </c>
      <c r="CR3" s="360"/>
      <c r="CS3" s="360" t="s">
        <v>602</v>
      </c>
      <c r="CZ3" s="360"/>
      <c r="DA3" s="360" t="s">
        <v>603</v>
      </c>
      <c r="DH3" s="360"/>
      <c r="DI3" s="360" t="s">
        <v>604</v>
      </c>
      <c r="DP3" s="360"/>
      <c r="DQ3" s="360" t="s">
        <v>605</v>
      </c>
      <c r="DX3" s="360"/>
      <c r="DY3" s="360" t="s">
        <v>606</v>
      </c>
      <c r="EF3" s="360"/>
      <c r="EG3" s="360" t="s">
        <v>607</v>
      </c>
      <c r="EN3" s="360"/>
      <c r="EO3" s="360" t="s">
        <v>608</v>
      </c>
      <c r="EV3" s="360"/>
      <c r="EW3" s="360" t="s">
        <v>609</v>
      </c>
      <c r="FD3" s="360"/>
      <c r="FE3" s="360" t="s">
        <v>610</v>
      </c>
      <c r="FL3" s="360"/>
      <c r="FM3" s="360" t="s">
        <v>611</v>
      </c>
      <c r="FT3" s="360"/>
      <c r="FU3" s="360" t="s">
        <v>612</v>
      </c>
      <c r="GB3" s="360"/>
      <c r="GC3" s="360" t="s">
        <v>613</v>
      </c>
      <c r="GJ3" s="360"/>
      <c r="GK3" s="360" t="s">
        <v>614</v>
      </c>
      <c r="GR3" s="360"/>
      <c r="GS3" s="360" t="s">
        <v>615</v>
      </c>
      <c r="GZ3" s="360"/>
      <c r="HA3" s="360" t="s">
        <v>616</v>
      </c>
      <c r="HC3" s="519"/>
      <c r="HD3" s="519"/>
      <c r="HE3" s="519"/>
      <c r="HF3" s="519"/>
      <c r="HG3" s="519"/>
      <c r="HH3" s="524"/>
      <c r="HI3" s="525" t="s">
        <v>617</v>
      </c>
      <c r="HP3" s="360"/>
      <c r="HQ3" s="360" t="s">
        <v>618</v>
      </c>
      <c r="HR3" s="5"/>
      <c r="HS3" s="5"/>
      <c r="HT3" s="5"/>
      <c r="HU3" s="5"/>
      <c r="HV3" s="5"/>
      <c r="HW3" s="5"/>
      <c r="HX3" s="360"/>
      <c r="HY3" s="360" t="s">
        <v>619</v>
      </c>
    </row>
    <row r="4" spans="1:241" s="278" customFormat="1" thickBot="1">
      <c r="A4" s="17"/>
      <c r="B4" s="17"/>
      <c r="C4" s="17"/>
      <c r="D4" s="17"/>
      <c r="E4" s="17"/>
      <c r="F4" s="17"/>
      <c r="G4" s="17"/>
      <c r="I4" s="646"/>
      <c r="J4" s="646" t="s">
        <v>571</v>
      </c>
      <c r="K4" s="646"/>
      <c r="L4" s="646"/>
      <c r="M4" s="646"/>
      <c r="N4" s="646"/>
      <c r="O4" s="646"/>
      <c r="P4" s="646"/>
      <c r="Y4" s="646"/>
      <c r="Z4" s="647" t="s">
        <v>525</v>
      </c>
      <c r="AA4" s="647"/>
      <c r="AB4" s="647"/>
      <c r="AC4" s="647"/>
      <c r="AD4" s="647"/>
      <c r="AE4" s="647"/>
      <c r="AF4" s="647"/>
      <c r="EH4" s="646"/>
      <c r="EI4" s="646" t="s">
        <v>525</v>
      </c>
      <c r="EJ4" s="646"/>
      <c r="EK4" s="646"/>
      <c r="EL4" s="646"/>
      <c r="EM4" s="646"/>
      <c r="EN4" s="646"/>
      <c r="EO4" s="650"/>
      <c r="FO4" s="519"/>
      <c r="FP4" s="414"/>
      <c r="FQ4" s="414"/>
      <c r="FR4" s="414"/>
      <c r="FS4" s="414"/>
      <c r="FT4" s="414"/>
      <c r="FU4" s="414"/>
      <c r="GD4" s="646"/>
      <c r="GE4" s="647" t="s">
        <v>525</v>
      </c>
      <c r="GF4" s="647"/>
      <c r="GG4" s="647"/>
      <c r="GH4" s="647"/>
      <c r="GI4" s="647"/>
      <c r="GJ4" s="647"/>
      <c r="GK4" s="647"/>
      <c r="GT4" s="134"/>
      <c r="GU4" s="134"/>
      <c r="GV4" s="134"/>
      <c r="GW4" s="134"/>
      <c r="GX4" s="134"/>
      <c r="GY4" s="134"/>
      <c r="GZ4" s="134"/>
      <c r="HA4" s="134"/>
      <c r="HB4" s="646"/>
      <c r="HC4" s="647" t="s">
        <v>525</v>
      </c>
      <c r="HD4" s="647" t="s">
        <v>526</v>
      </c>
      <c r="HE4" s="647"/>
      <c r="HF4" s="647"/>
      <c r="HG4" s="647"/>
      <c r="HH4" s="647"/>
      <c r="HI4" s="647"/>
      <c r="HR4" s="718"/>
      <c r="HS4" s="647" t="s">
        <v>525</v>
      </c>
      <c r="HT4" s="647" t="s">
        <v>526</v>
      </c>
      <c r="HU4" s="647"/>
      <c r="HV4" s="647"/>
      <c r="HW4" s="647"/>
      <c r="HX4" s="647"/>
      <c r="HY4" s="647"/>
      <c r="IG4" s="203"/>
    </row>
    <row r="5" spans="1:241" s="134" customFormat="1" ht="12.75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759" t="str">
        <f>Comp_GAS</f>
        <v>PUGET SOUND ENERGY - NATURAL GAS</v>
      </c>
      <c r="EQ5" s="759"/>
      <c r="ER5" s="759"/>
      <c r="ES5" s="759"/>
      <c r="ET5" s="759"/>
      <c r="EU5" s="759"/>
      <c r="EV5" s="759"/>
      <c r="EW5" s="759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759" t="str">
        <f>Comp_GAS</f>
        <v>PUGET SOUND ENERGY - NATURAL GAS</v>
      </c>
      <c r="FO5" s="759"/>
      <c r="FP5" s="759"/>
      <c r="FQ5" s="759"/>
      <c r="FR5" s="759"/>
      <c r="FS5" s="759"/>
      <c r="FT5" s="759"/>
      <c r="FU5" s="759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759" t="str">
        <f>Comp_GAS</f>
        <v>PUGET SOUND ENERGY - NATURAL GAS</v>
      </c>
      <c r="GE5" s="759"/>
      <c r="GF5" s="759"/>
      <c r="GG5" s="759"/>
      <c r="GH5" s="759"/>
      <c r="GI5" s="759"/>
      <c r="GJ5" s="759"/>
      <c r="GK5" s="759"/>
      <c r="GL5" s="759" t="str">
        <f>Comp_GAS</f>
        <v>PUGET SOUND ENERGY - NATURAL GAS</v>
      </c>
      <c r="GM5" s="759"/>
      <c r="GN5" s="759"/>
      <c r="GO5" s="759"/>
      <c r="GP5" s="759"/>
      <c r="GQ5" s="759"/>
      <c r="GR5" s="759"/>
      <c r="GS5" s="759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759" t="str">
        <f>Comp_GAS</f>
        <v>PUGET SOUND ENERGY - NATURAL GAS</v>
      </c>
      <c r="HC5" s="759"/>
      <c r="HD5" s="759"/>
      <c r="HE5" s="759"/>
      <c r="HF5" s="759"/>
      <c r="HG5" s="759"/>
      <c r="HH5" s="759"/>
      <c r="HI5" s="759"/>
      <c r="HJ5" s="759" t="str">
        <f>Comp_GAS</f>
        <v>PUGET SOUND ENERGY - NATURAL GAS</v>
      </c>
      <c r="HK5" s="759"/>
      <c r="HL5" s="759"/>
      <c r="HM5" s="759"/>
      <c r="HN5" s="759"/>
      <c r="HO5" s="759"/>
      <c r="HP5" s="759"/>
      <c r="HQ5" s="759"/>
      <c r="HR5" s="759" t="str">
        <f>Comp_GAS</f>
        <v>PUGET SOUND ENERGY - NATURAL GAS</v>
      </c>
      <c r="HS5" s="759"/>
      <c r="HT5" s="759"/>
      <c r="HU5" s="759"/>
      <c r="HV5" s="759"/>
      <c r="HW5" s="759"/>
      <c r="HX5" s="759"/>
      <c r="HY5" s="759"/>
      <c r="HZ5" s="759"/>
      <c r="IA5" s="759"/>
      <c r="IB5" s="759"/>
      <c r="IC5" s="759"/>
      <c r="ID5" s="759"/>
      <c r="IE5" s="759"/>
      <c r="IF5" s="759"/>
      <c r="IG5" s="759"/>
    </row>
    <row r="6" spans="1:241" s="113" customFormat="1" ht="14.65" customHeight="1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760" t="s">
        <v>185</v>
      </c>
      <c r="FO6" s="760"/>
      <c r="FP6" s="760"/>
      <c r="FQ6" s="760"/>
      <c r="FR6" s="760"/>
      <c r="FS6" s="760"/>
      <c r="FT6" s="760"/>
      <c r="FU6" s="760"/>
      <c r="FV6" s="110" t="s">
        <v>315</v>
      </c>
      <c r="FW6" s="110"/>
      <c r="FX6" s="110"/>
      <c r="FY6" s="110"/>
      <c r="FZ6" s="110"/>
      <c r="GA6" s="110"/>
      <c r="GB6" s="110"/>
      <c r="GC6" s="110"/>
      <c r="GD6" s="111" t="s">
        <v>387</v>
      </c>
      <c r="GE6" s="110"/>
      <c r="GF6" s="110"/>
      <c r="GG6" s="110"/>
      <c r="GH6" s="110"/>
      <c r="GI6" s="110"/>
      <c r="GJ6" s="110"/>
      <c r="GK6" s="110"/>
      <c r="GL6" s="760" t="s">
        <v>314</v>
      </c>
      <c r="GM6" s="760"/>
      <c r="GN6" s="760"/>
      <c r="GO6" s="760"/>
      <c r="GP6" s="760"/>
      <c r="GQ6" s="760"/>
      <c r="GR6" s="760"/>
      <c r="GS6" s="760"/>
      <c r="GT6" s="110" t="s">
        <v>367</v>
      </c>
      <c r="GU6" s="110"/>
      <c r="GV6" s="110"/>
      <c r="GW6" s="110"/>
      <c r="GX6" s="110"/>
      <c r="GY6" s="110"/>
      <c r="GZ6" s="110"/>
      <c r="HA6" s="110"/>
      <c r="HB6" s="760" t="s">
        <v>399</v>
      </c>
      <c r="HC6" s="760"/>
      <c r="HD6" s="760"/>
      <c r="HE6" s="760"/>
      <c r="HF6" s="760"/>
      <c r="HG6" s="760"/>
      <c r="HH6" s="760"/>
      <c r="HI6" s="760"/>
      <c r="HJ6" s="760" t="s">
        <v>364</v>
      </c>
      <c r="HK6" s="760"/>
      <c r="HL6" s="760"/>
      <c r="HM6" s="760"/>
      <c r="HN6" s="760"/>
      <c r="HO6" s="760"/>
      <c r="HP6" s="760"/>
      <c r="HQ6" s="760"/>
      <c r="HR6" s="760" t="s">
        <v>400</v>
      </c>
      <c r="HS6" s="760"/>
      <c r="HT6" s="760"/>
      <c r="HU6" s="760"/>
      <c r="HV6" s="760"/>
      <c r="HW6" s="760"/>
      <c r="HX6" s="760"/>
      <c r="HY6" s="760"/>
      <c r="HZ6" s="760"/>
      <c r="IA6" s="760"/>
      <c r="IB6" s="760"/>
      <c r="IC6" s="760"/>
      <c r="ID6" s="760"/>
      <c r="IE6" s="760"/>
      <c r="IF6" s="760"/>
      <c r="IG6" s="760"/>
    </row>
    <row r="7" spans="1:241" s="134" customFormat="1" ht="12.75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759" t="str">
        <f>TESTYEAR_GAS</f>
        <v>12 MONTHS ENDED DECEMBER 31, 2018</v>
      </c>
      <c r="EQ7" s="759"/>
      <c r="ER7" s="759"/>
      <c r="ES7" s="759"/>
      <c r="ET7" s="759"/>
      <c r="EU7" s="759"/>
      <c r="EV7" s="759"/>
      <c r="EW7" s="759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759" t="str">
        <f>TESTYEAR_GAS</f>
        <v>12 MONTHS ENDED DECEMBER 31, 2018</v>
      </c>
      <c r="FO7" s="759"/>
      <c r="FP7" s="759"/>
      <c r="FQ7" s="759"/>
      <c r="FR7" s="759"/>
      <c r="FS7" s="759"/>
      <c r="FT7" s="759"/>
      <c r="FU7" s="759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759" t="str">
        <f>TESTYEAR_GAS</f>
        <v>12 MONTHS ENDED DECEMBER 31, 2018</v>
      </c>
      <c r="GE7" s="759"/>
      <c r="GF7" s="759"/>
      <c r="GG7" s="759"/>
      <c r="GH7" s="759"/>
      <c r="GI7" s="759"/>
      <c r="GJ7" s="759"/>
      <c r="GK7" s="759"/>
      <c r="GL7" s="759" t="str">
        <f>TESTYEAR_GAS</f>
        <v>12 MONTHS ENDED DECEMBER 31, 2018</v>
      </c>
      <c r="GM7" s="759"/>
      <c r="GN7" s="759"/>
      <c r="GO7" s="759"/>
      <c r="GP7" s="759"/>
      <c r="GQ7" s="759"/>
      <c r="GR7" s="759"/>
      <c r="GS7" s="759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759" t="str">
        <f>TESTYEAR_GAS</f>
        <v>12 MONTHS ENDED DECEMBER 31, 2018</v>
      </c>
      <c r="HC7" s="759"/>
      <c r="HD7" s="759"/>
      <c r="HE7" s="759"/>
      <c r="HF7" s="759"/>
      <c r="HG7" s="759"/>
      <c r="HH7" s="759"/>
      <c r="HI7" s="759"/>
      <c r="HJ7" s="759" t="str">
        <f>TESTYEAR_GAS</f>
        <v>12 MONTHS ENDED DECEMBER 31, 2018</v>
      </c>
      <c r="HK7" s="759"/>
      <c r="HL7" s="759"/>
      <c r="HM7" s="759"/>
      <c r="HN7" s="759"/>
      <c r="HO7" s="759"/>
      <c r="HP7" s="759"/>
      <c r="HQ7" s="759"/>
      <c r="HR7" s="759" t="str">
        <f>TESTYEAR_GAS</f>
        <v>12 MONTHS ENDED DECEMBER 31, 2018</v>
      </c>
      <c r="HS7" s="759"/>
      <c r="HT7" s="759"/>
      <c r="HU7" s="759"/>
      <c r="HV7" s="759"/>
      <c r="HW7" s="759"/>
      <c r="HX7" s="759"/>
      <c r="HY7" s="759"/>
      <c r="HZ7" s="759"/>
      <c r="IA7" s="759"/>
      <c r="IB7" s="759"/>
      <c r="IC7" s="759"/>
      <c r="ID7" s="759"/>
      <c r="IE7" s="759"/>
      <c r="IF7" s="759"/>
      <c r="IG7" s="759"/>
    </row>
    <row r="8" spans="1:241" s="134" customFormat="1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759" t="str">
        <f>CASE_GAS</f>
        <v>2019 GENERAL RATE CASE</v>
      </c>
      <c r="EQ8" s="759"/>
      <c r="ER8" s="759"/>
      <c r="ES8" s="759"/>
      <c r="ET8" s="759"/>
      <c r="EU8" s="759"/>
      <c r="EV8" s="759"/>
      <c r="EW8" s="759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759" t="str">
        <f>CASE_GAS</f>
        <v>2019 GENERAL RATE CASE</v>
      </c>
      <c r="FO8" s="759"/>
      <c r="FP8" s="759"/>
      <c r="FQ8" s="759"/>
      <c r="FR8" s="759"/>
      <c r="FS8" s="759"/>
      <c r="FT8" s="759"/>
      <c r="FU8" s="759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759" t="str">
        <f>CASE_GAS</f>
        <v>2019 GENERAL RATE CASE</v>
      </c>
      <c r="GE8" s="759"/>
      <c r="GF8" s="759"/>
      <c r="GG8" s="759"/>
      <c r="GH8" s="759"/>
      <c r="GI8" s="759"/>
      <c r="GJ8" s="759"/>
      <c r="GK8" s="759"/>
      <c r="GL8" s="759" t="str">
        <f>CASE_GAS</f>
        <v>2019 GENERAL RATE CASE</v>
      </c>
      <c r="GM8" s="759"/>
      <c r="GN8" s="759"/>
      <c r="GO8" s="759"/>
      <c r="GP8" s="759"/>
      <c r="GQ8" s="759"/>
      <c r="GR8" s="759"/>
      <c r="GS8" s="759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759" t="str">
        <f>CASE_GAS</f>
        <v>2019 GENERAL RATE CASE</v>
      </c>
      <c r="HC8" s="759"/>
      <c r="HD8" s="759"/>
      <c r="HE8" s="759"/>
      <c r="HF8" s="759"/>
      <c r="HG8" s="759"/>
      <c r="HH8" s="759"/>
      <c r="HI8" s="759"/>
      <c r="HJ8" s="759" t="str">
        <f>CASE_GAS</f>
        <v>2019 GENERAL RATE CASE</v>
      </c>
      <c r="HK8" s="759"/>
      <c r="HL8" s="759"/>
      <c r="HM8" s="759"/>
      <c r="HN8" s="759"/>
      <c r="HO8" s="759"/>
      <c r="HP8" s="759"/>
      <c r="HQ8" s="759"/>
      <c r="HR8" s="759" t="str">
        <f>CASE_GAS</f>
        <v>2019 GENERAL RATE CASE</v>
      </c>
      <c r="HS8" s="759"/>
      <c r="HT8" s="759"/>
      <c r="HU8" s="759"/>
      <c r="HV8" s="759"/>
      <c r="HW8" s="759"/>
      <c r="HX8" s="759"/>
      <c r="HY8" s="759"/>
      <c r="HZ8" s="759"/>
      <c r="IA8" s="759"/>
      <c r="IB8" s="759"/>
      <c r="IC8" s="759"/>
      <c r="ID8" s="759"/>
      <c r="IE8" s="759"/>
      <c r="IF8" s="759"/>
      <c r="IG8" s="759"/>
    </row>
    <row r="9" spans="1:241" s="134" customFormat="1" thickBot="1">
      <c r="A9" s="133"/>
      <c r="B9" s="133"/>
      <c r="C9" s="133"/>
      <c r="D9" s="133"/>
      <c r="E9" s="133"/>
      <c r="F9" s="362">
        <f>'Detailed Summary'!D9</f>
        <v>6.01</v>
      </c>
      <c r="G9" s="259"/>
      <c r="H9" s="368">
        <f>'Detailed Summary'!AA9</f>
        <v>6.01</v>
      </c>
      <c r="I9" s="133"/>
      <c r="J9" s="133"/>
      <c r="K9" s="133"/>
      <c r="N9" s="362">
        <f>+'Detailed Summary'!E9</f>
        <v>6.02</v>
      </c>
      <c r="P9" s="368">
        <f>+'Detailed Summary'!AB9</f>
        <v>6.02</v>
      </c>
      <c r="Q9" s="133"/>
      <c r="R9" s="133"/>
      <c r="S9" s="396"/>
      <c r="T9" s="396"/>
      <c r="U9" s="396"/>
      <c r="V9" s="362">
        <f>+'Detailed Summary'!F9</f>
        <v>6.0299999999999994</v>
      </c>
      <c r="W9" s="396"/>
      <c r="X9" s="368" t="s">
        <v>373</v>
      </c>
      <c r="Y9" s="133"/>
      <c r="Z9" s="133"/>
      <c r="AA9" s="133"/>
      <c r="AB9" s="133"/>
      <c r="AC9" s="133"/>
      <c r="AD9" s="362">
        <f>'Detailed Summary'!G9</f>
        <v>6.0399999999999991</v>
      </c>
      <c r="AE9" s="259"/>
      <c r="AF9" s="368">
        <f>'Detailed Summary'!AC9</f>
        <v>6.0399999999999991</v>
      </c>
      <c r="AG9" s="133"/>
      <c r="AH9" s="133"/>
      <c r="AI9" s="133"/>
      <c r="AJ9" s="133"/>
      <c r="AK9" s="133"/>
      <c r="AL9" s="362">
        <f>'Detailed Summary'!H9</f>
        <v>6.0499999999999989</v>
      </c>
      <c r="AM9" s="133"/>
      <c r="AN9" s="357" t="s">
        <v>373</v>
      </c>
      <c r="AO9" s="133"/>
      <c r="AP9" s="133"/>
      <c r="AQ9" s="133"/>
      <c r="AR9" s="133"/>
      <c r="AS9" s="133"/>
      <c r="AT9" s="362">
        <f>'Detailed Summary'!I9</f>
        <v>6.0599999999999987</v>
      </c>
      <c r="AU9" s="133"/>
      <c r="AV9" s="357" t="s">
        <v>373</v>
      </c>
      <c r="AW9" s="133"/>
      <c r="AX9" s="133"/>
      <c r="AY9" s="133"/>
      <c r="AZ9" s="133"/>
      <c r="BA9" s="133"/>
      <c r="BB9" s="362">
        <f>'Detailed Summary'!J9</f>
        <v>6.0699999999999985</v>
      </c>
      <c r="BC9" s="133"/>
      <c r="BD9" s="357" t="s">
        <v>373</v>
      </c>
      <c r="BE9" s="133"/>
      <c r="BF9" s="133"/>
      <c r="BG9" s="133"/>
      <c r="BH9" s="133"/>
      <c r="BI9" s="133"/>
      <c r="BJ9" s="133"/>
      <c r="BK9" s="362">
        <f>'Detailed Summary'!K9</f>
        <v>6.0799999999999983</v>
      </c>
      <c r="BL9" s="133"/>
      <c r="BM9" s="357" t="s">
        <v>373</v>
      </c>
      <c r="BN9" s="133"/>
      <c r="BO9" s="133"/>
      <c r="BP9" s="133"/>
      <c r="BQ9" s="133"/>
      <c r="BR9" s="133"/>
      <c r="BS9" s="362">
        <f>'Detailed Summary'!L9</f>
        <v>6.0899999999999981</v>
      </c>
      <c r="BT9" s="133"/>
      <c r="BU9" s="368">
        <f>'Detailed Summary'!AD9</f>
        <v>6.0899999999999981</v>
      </c>
      <c r="BV9" s="133"/>
      <c r="BW9" s="133"/>
      <c r="BX9" s="133"/>
      <c r="BY9" s="133"/>
      <c r="BZ9" s="133"/>
      <c r="CA9" s="362">
        <f>'Detailed Summary'!M9</f>
        <v>6.0999999999999979</v>
      </c>
      <c r="CB9" s="133"/>
      <c r="CC9" s="368">
        <f>'Detailed Summary'!AE9</f>
        <v>6.0999999999999979</v>
      </c>
      <c r="CD9" s="133"/>
      <c r="CE9" s="133"/>
      <c r="CF9" s="133"/>
      <c r="CG9" s="133"/>
      <c r="CH9" s="133"/>
      <c r="CI9" s="362">
        <f>'Detailed Summary'!N9</f>
        <v>6.1099999999999977</v>
      </c>
      <c r="CJ9" s="133"/>
      <c r="CK9" s="357" t="s">
        <v>373</v>
      </c>
      <c r="CL9" s="133"/>
      <c r="CM9" s="133"/>
      <c r="CN9" s="133"/>
      <c r="CO9" s="133"/>
      <c r="CP9" s="133"/>
      <c r="CQ9" s="362">
        <f>'Detailed Summary'!O9</f>
        <v>6.1199999999999974</v>
      </c>
      <c r="CR9" s="133"/>
      <c r="CS9" s="357" t="s">
        <v>373</v>
      </c>
      <c r="CT9" s="133"/>
      <c r="CU9" s="133"/>
      <c r="CV9" s="133"/>
      <c r="CW9" s="133"/>
      <c r="CX9" s="133"/>
      <c r="CY9" s="362">
        <f>'Detailed Summary'!P9</f>
        <v>6.1299999999999972</v>
      </c>
      <c r="CZ9" s="133"/>
      <c r="DA9" s="357" t="s">
        <v>373</v>
      </c>
      <c r="DB9" s="133"/>
      <c r="DC9" s="133"/>
      <c r="DD9" s="133"/>
      <c r="DE9" s="133"/>
      <c r="DF9" s="133"/>
      <c r="DG9" s="362">
        <f>'Detailed Summary'!Q9</f>
        <v>6.14</v>
      </c>
      <c r="DH9" s="133"/>
      <c r="DI9" s="368">
        <f>'Detailed Summary'!AF9</f>
        <v>6.14</v>
      </c>
      <c r="DJ9" s="133"/>
      <c r="DK9" s="133"/>
      <c r="DL9" s="133"/>
      <c r="DM9" s="133"/>
      <c r="DN9" s="133"/>
      <c r="DO9" s="362">
        <f>'Detailed Summary'!R9</f>
        <v>6.15</v>
      </c>
      <c r="DP9" s="133"/>
      <c r="DQ9" s="368">
        <f>'Detailed Summary'!AG9</f>
        <v>6.15</v>
      </c>
      <c r="DR9" s="133"/>
      <c r="DS9" s="133"/>
      <c r="DT9" s="133"/>
      <c r="DU9" s="133"/>
      <c r="DV9" s="133"/>
      <c r="DW9" s="362">
        <f>'Detailed Summary'!S9</f>
        <v>6.16</v>
      </c>
      <c r="DX9" s="133"/>
      <c r="DY9" s="368">
        <f>'Detailed Summary'!AH9</f>
        <v>6.16</v>
      </c>
      <c r="DZ9" s="133"/>
      <c r="EA9" s="133"/>
      <c r="EB9" s="133"/>
      <c r="EC9" s="133"/>
      <c r="ED9" s="133"/>
      <c r="EE9" s="362">
        <f>'Detailed Summary'!T9</f>
        <v>6.17</v>
      </c>
      <c r="EF9" s="133"/>
      <c r="EG9" s="368">
        <f>'Detailed Summary'!AI9</f>
        <v>6.17</v>
      </c>
      <c r="EH9" s="192"/>
      <c r="EI9" s="192"/>
      <c r="EJ9" s="192"/>
      <c r="EK9" s="192"/>
      <c r="EL9" s="192"/>
      <c r="EM9" s="362">
        <f>'Detailed Summary'!U9</f>
        <v>6.18</v>
      </c>
      <c r="EN9" s="192"/>
      <c r="EO9" s="357" t="s">
        <v>373</v>
      </c>
      <c r="EP9" s="192"/>
      <c r="EQ9" s="192"/>
      <c r="ER9" s="192"/>
      <c r="ES9" s="192"/>
      <c r="ET9" s="192"/>
      <c r="EU9" s="362">
        <f>'Detailed Summary'!V9</f>
        <v>6.19</v>
      </c>
      <c r="EV9" s="192"/>
      <c r="EW9" s="357" t="s">
        <v>373</v>
      </c>
      <c r="EX9" s="133"/>
      <c r="EY9" s="133"/>
      <c r="EZ9" s="133"/>
      <c r="FA9" s="133"/>
      <c r="FB9" s="133"/>
      <c r="FC9" s="357" t="s">
        <v>373</v>
      </c>
      <c r="FD9" s="133"/>
      <c r="FE9" s="368">
        <f>'Detailed Summary'!AJ9</f>
        <v>6.2</v>
      </c>
      <c r="FF9" s="191"/>
      <c r="FG9" s="191"/>
      <c r="FH9" s="191"/>
      <c r="FI9" s="191"/>
      <c r="FJ9" s="191"/>
      <c r="FK9" s="357" t="s">
        <v>373</v>
      </c>
      <c r="FL9" s="191"/>
      <c r="FM9" s="368">
        <f>'Detailed Summary'!AK9</f>
        <v>6.21</v>
      </c>
      <c r="FN9" s="192"/>
      <c r="FO9" s="519"/>
      <c r="FP9" s="520"/>
      <c r="FQ9" s="520"/>
      <c r="FR9" s="520"/>
      <c r="FS9" s="357" t="s">
        <v>373</v>
      </c>
      <c r="FT9" s="520"/>
      <c r="FU9" s="368">
        <f>'Detailed Summary'!AL9</f>
        <v>6.22</v>
      </c>
      <c r="FV9" s="192"/>
      <c r="GA9" s="363">
        <f>'Detailed Summary'!W9</f>
        <v>6.23</v>
      </c>
      <c r="GC9" s="368">
        <f>'Detailed Summary'!AM9</f>
        <v>6.2299999999999995</v>
      </c>
      <c r="GD9" s="192"/>
      <c r="GI9" s="357" t="s">
        <v>373</v>
      </c>
      <c r="GK9" s="368">
        <f>'Detailed Summary'!AN9</f>
        <v>6.2399999999999993</v>
      </c>
      <c r="GL9" s="192"/>
      <c r="GQ9" s="357" t="s">
        <v>373</v>
      </c>
      <c r="GS9" s="368">
        <f>'Detailed Summary'!AO9</f>
        <v>6.2499999999999991</v>
      </c>
      <c r="GT9" s="192"/>
      <c r="GY9" s="357" t="s">
        <v>373</v>
      </c>
      <c r="HA9" s="368">
        <f>'Detailed Summary'!AP9</f>
        <v>6.2599999999999989</v>
      </c>
      <c r="HB9" s="192"/>
      <c r="HG9" s="357" t="s">
        <v>373</v>
      </c>
      <c r="HI9" s="368">
        <f>'Detailed Summary'!AQ9</f>
        <v>6.2699999999999987</v>
      </c>
      <c r="HJ9" s="192"/>
      <c r="HO9" s="357" t="s">
        <v>373</v>
      </c>
      <c r="HQ9" s="368">
        <f>'Detailed Summary'!AR9</f>
        <v>6.2799999999999985</v>
      </c>
      <c r="HR9" s="192"/>
      <c r="HW9" s="357" t="s">
        <v>373</v>
      </c>
      <c r="HY9" s="368">
        <f>'Detailed Summary'!AS9</f>
        <v>6.2899999999999983</v>
      </c>
      <c r="HZ9" s="192"/>
    </row>
    <row r="10" spans="1:241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3"/>
      <c r="HS10" s="453"/>
      <c r="HT10" s="453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>
      <c r="A12" s="233" t="s">
        <v>37</v>
      </c>
      <c r="B12" s="234" t="s">
        <v>60</v>
      </c>
      <c r="C12" s="235" t="s">
        <v>186</v>
      </c>
      <c r="D12" s="376" t="s">
        <v>190</v>
      </c>
      <c r="E12" s="236" t="s">
        <v>191</v>
      </c>
      <c r="F12" s="377" t="s">
        <v>192</v>
      </c>
      <c r="G12" s="236" t="s">
        <v>193</v>
      </c>
      <c r="H12" s="377" t="s">
        <v>194</v>
      </c>
      <c r="I12" s="64" t="s">
        <v>37</v>
      </c>
      <c r="J12" s="87" t="s">
        <v>60</v>
      </c>
      <c r="K12" s="395" t="s">
        <v>186</v>
      </c>
      <c r="L12" s="394" t="s">
        <v>190</v>
      </c>
      <c r="M12" s="172" t="s">
        <v>191</v>
      </c>
      <c r="N12" s="394" t="s">
        <v>192</v>
      </c>
      <c r="O12" s="172" t="s">
        <v>193</v>
      </c>
      <c r="P12" s="394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5" t="s">
        <v>190</v>
      </c>
      <c r="AC12" s="179" t="s">
        <v>191</v>
      </c>
      <c r="AD12" s="375" t="s">
        <v>192</v>
      </c>
      <c r="AE12" s="179" t="s">
        <v>193</v>
      </c>
      <c r="AF12" s="375" t="s">
        <v>194</v>
      </c>
      <c r="AG12" s="120" t="s">
        <v>37</v>
      </c>
      <c r="AH12" s="121" t="s">
        <v>60</v>
      </c>
      <c r="AI12" s="86" t="s">
        <v>186</v>
      </c>
      <c r="AJ12" s="375" t="s">
        <v>190</v>
      </c>
      <c r="AK12" s="179" t="s">
        <v>191</v>
      </c>
      <c r="AL12" s="375" t="s">
        <v>192</v>
      </c>
      <c r="AM12" s="179" t="s">
        <v>193</v>
      </c>
      <c r="AN12" s="375" t="s">
        <v>194</v>
      </c>
      <c r="AO12" s="64" t="s">
        <v>37</v>
      </c>
      <c r="AP12" s="14" t="s">
        <v>60</v>
      </c>
      <c r="AQ12" s="86" t="s">
        <v>186</v>
      </c>
      <c r="AR12" s="375" t="s">
        <v>190</v>
      </c>
      <c r="AS12" s="179" t="s">
        <v>191</v>
      </c>
      <c r="AT12" s="375" t="s">
        <v>192</v>
      </c>
      <c r="AU12" s="179" t="s">
        <v>193</v>
      </c>
      <c r="AV12" s="375" t="s">
        <v>194</v>
      </c>
      <c r="AW12" s="69" t="s">
        <v>37</v>
      </c>
      <c r="AX12" s="14" t="s">
        <v>60</v>
      </c>
      <c r="AY12" s="86" t="s">
        <v>186</v>
      </c>
      <c r="AZ12" s="375" t="s">
        <v>190</v>
      </c>
      <c r="BA12" s="179" t="s">
        <v>191</v>
      </c>
      <c r="BB12" s="375" t="s">
        <v>192</v>
      </c>
      <c r="BC12" s="179" t="s">
        <v>193</v>
      </c>
      <c r="BD12" s="375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5" t="s">
        <v>190</v>
      </c>
      <c r="BJ12" s="179" t="s">
        <v>191</v>
      </c>
      <c r="BK12" s="375" t="s">
        <v>192</v>
      </c>
      <c r="BL12" s="179" t="s">
        <v>193</v>
      </c>
      <c r="BM12" s="375" t="s">
        <v>194</v>
      </c>
      <c r="BN12" s="175" t="s">
        <v>37</v>
      </c>
      <c r="BO12" s="98" t="s">
        <v>60</v>
      </c>
      <c r="BP12" s="177" t="s">
        <v>186</v>
      </c>
      <c r="BQ12" s="375" t="s">
        <v>190</v>
      </c>
      <c r="BR12" s="179" t="s">
        <v>191</v>
      </c>
      <c r="BS12" s="375" t="s">
        <v>192</v>
      </c>
      <c r="BT12" s="179" t="s">
        <v>193</v>
      </c>
      <c r="BU12" s="375" t="s">
        <v>194</v>
      </c>
      <c r="BV12" s="175" t="s">
        <v>37</v>
      </c>
      <c r="BW12" s="98" t="s">
        <v>60</v>
      </c>
      <c r="BX12" s="177" t="s">
        <v>186</v>
      </c>
      <c r="BY12" s="375" t="s">
        <v>190</v>
      </c>
      <c r="BZ12" s="179" t="s">
        <v>191</v>
      </c>
      <c r="CA12" s="375" t="s">
        <v>192</v>
      </c>
      <c r="CB12" s="179" t="s">
        <v>193</v>
      </c>
      <c r="CC12" s="375" t="s">
        <v>194</v>
      </c>
      <c r="CD12" s="175" t="s">
        <v>37</v>
      </c>
      <c r="CE12" s="98" t="s">
        <v>60</v>
      </c>
      <c r="CF12" s="177" t="s">
        <v>186</v>
      </c>
      <c r="CG12" s="375" t="s">
        <v>190</v>
      </c>
      <c r="CH12" s="179" t="s">
        <v>191</v>
      </c>
      <c r="CI12" s="375" t="s">
        <v>192</v>
      </c>
      <c r="CJ12" s="179" t="s">
        <v>193</v>
      </c>
      <c r="CK12" s="375" t="s">
        <v>194</v>
      </c>
      <c r="CL12" s="64" t="s">
        <v>37</v>
      </c>
      <c r="CM12" s="65" t="s">
        <v>60</v>
      </c>
      <c r="CN12" s="177" t="s">
        <v>186</v>
      </c>
      <c r="CO12" s="375" t="s">
        <v>190</v>
      </c>
      <c r="CP12" s="179" t="s">
        <v>191</v>
      </c>
      <c r="CQ12" s="375" t="s">
        <v>192</v>
      </c>
      <c r="CR12" s="179" t="s">
        <v>193</v>
      </c>
      <c r="CS12" s="375" t="s">
        <v>194</v>
      </c>
      <c r="CT12" s="64" t="s">
        <v>37</v>
      </c>
      <c r="CU12" s="65" t="s">
        <v>60</v>
      </c>
      <c r="CV12" s="177" t="s">
        <v>186</v>
      </c>
      <c r="CW12" s="375" t="s">
        <v>190</v>
      </c>
      <c r="CX12" s="179" t="s">
        <v>191</v>
      </c>
      <c r="CY12" s="375" t="s">
        <v>192</v>
      </c>
      <c r="CZ12" s="179" t="s">
        <v>193</v>
      </c>
      <c r="DA12" s="375" t="s">
        <v>194</v>
      </c>
      <c r="DB12" s="64" t="s">
        <v>37</v>
      </c>
      <c r="DC12" s="65" t="s">
        <v>60</v>
      </c>
      <c r="DD12" s="177" t="s">
        <v>186</v>
      </c>
      <c r="DE12" s="375" t="s">
        <v>190</v>
      </c>
      <c r="DF12" s="179" t="s">
        <v>191</v>
      </c>
      <c r="DG12" s="375" t="s">
        <v>192</v>
      </c>
      <c r="DH12" s="179" t="s">
        <v>193</v>
      </c>
      <c r="DI12" s="375" t="s">
        <v>194</v>
      </c>
      <c r="DJ12" s="64" t="s">
        <v>37</v>
      </c>
      <c r="DK12" s="65" t="s">
        <v>60</v>
      </c>
      <c r="DL12" s="177" t="s">
        <v>186</v>
      </c>
      <c r="DM12" s="375" t="s">
        <v>190</v>
      </c>
      <c r="DN12" s="179" t="s">
        <v>191</v>
      </c>
      <c r="DO12" s="375" t="s">
        <v>192</v>
      </c>
      <c r="DP12" s="179" t="s">
        <v>193</v>
      </c>
      <c r="DQ12" s="375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5" t="s">
        <v>190</v>
      </c>
      <c r="ED12" s="179" t="s">
        <v>191</v>
      </c>
      <c r="EE12" s="375" t="s">
        <v>192</v>
      </c>
      <c r="EF12" s="179" t="s">
        <v>193</v>
      </c>
      <c r="EG12" s="375" t="s">
        <v>194</v>
      </c>
      <c r="EH12" s="64" t="s">
        <v>37</v>
      </c>
      <c r="EI12" s="14" t="s">
        <v>60</v>
      </c>
      <c r="EJ12" s="177" t="s">
        <v>186</v>
      </c>
      <c r="EK12" s="375" t="s">
        <v>190</v>
      </c>
      <c r="EL12" s="179" t="s">
        <v>191</v>
      </c>
      <c r="EM12" s="375" t="s">
        <v>192</v>
      </c>
      <c r="EN12" s="179" t="s">
        <v>193</v>
      </c>
      <c r="EO12" s="375" t="s">
        <v>194</v>
      </c>
      <c r="EP12" s="64" t="s">
        <v>37</v>
      </c>
      <c r="EQ12" s="14" t="s">
        <v>60</v>
      </c>
      <c r="ER12" s="177" t="s">
        <v>186</v>
      </c>
      <c r="ES12" s="375" t="s">
        <v>190</v>
      </c>
      <c r="ET12" s="179" t="s">
        <v>191</v>
      </c>
      <c r="EU12" s="375" t="s">
        <v>192</v>
      </c>
      <c r="EV12" s="179" t="s">
        <v>193</v>
      </c>
      <c r="EW12" s="375" t="s">
        <v>194</v>
      </c>
      <c r="EX12" s="64" t="s">
        <v>37</v>
      </c>
      <c r="EY12" s="14" t="s">
        <v>60</v>
      </c>
      <c r="EZ12" s="177" t="s">
        <v>186</v>
      </c>
      <c r="FA12" s="375" t="s">
        <v>190</v>
      </c>
      <c r="FB12" s="179" t="s">
        <v>191</v>
      </c>
      <c r="FC12" s="375" t="s">
        <v>192</v>
      </c>
      <c r="FD12" s="179" t="s">
        <v>193</v>
      </c>
      <c r="FE12" s="375" t="s">
        <v>194</v>
      </c>
      <c r="FF12" s="179" t="s">
        <v>37</v>
      </c>
      <c r="FG12" s="64" t="s">
        <v>60</v>
      </c>
      <c r="FH12" s="177" t="s">
        <v>186</v>
      </c>
      <c r="FI12" s="375" t="s">
        <v>190</v>
      </c>
      <c r="FJ12" s="179" t="s">
        <v>191</v>
      </c>
      <c r="FK12" s="375" t="s">
        <v>192</v>
      </c>
      <c r="FL12" s="179" t="s">
        <v>193</v>
      </c>
      <c r="FM12" s="375" t="s">
        <v>194</v>
      </c>
      <c r="FN12" s="179" t="s">
        <v>37</v>
      </c>
      <c r="FO12" s="64" t="s">
        <v>60</v>
      </c>
      <c r="FP12" s="177" t="s">
        <v>186</v>
      </c>
      <c r="FQ12" s="375" t="s">
        <v>190</v>
      </c>
      <c r="FR12" s="179" t="s">
        <v>191</v>
      </c>
      <c r="FS12" s="375" t="s">
        <v>192</v>
      </c>
      <c r="FT12" s="179" t="s">
        <v>193</v>
      </c>
      <c r="FU12" s="375" t="s">
        <v>194</v>
      </c>
      <c r="FV12" s="179" t="s">
        <v>37</v>
      </c>
      <c r="FW12" s="64" t="s">
        <v>60</v>
      </c>
      <c r="FX12" s="177" t="s">
        <v>186</v>
      </c>
      <c r="FY12" s="375" t="s">
        <v>190</v>
      </c>
      <c r="FZ12" s="179" t="s">
        <v>191</v>
      </c>
      <c r="GA12" s="375" t="s">
        <v>192</v>
      </c>
      <c r="GB12" s="179" t="s">
        <v>193</v>
      </c>
      <c r="GC12" s="375" t="s">
        <v>194</v>
      </c>
      <c r="GD12" s="179" t="s">
        <v>37</v>
      </c>
      <c r="GE12" s="64" t="s">
        <v>60</v>
      </c>
      <c r="GF12" s="177" t="s">
        <v>186</v>
      </c>
      <c r="GG12" s="375" t="s">
        <v>190</v>
      </c>
      <c r="GH12" s="179" t="s">
        <v>191</v>
      </c>
      <c r="GI12" s="375" t="s">
        <v>192</v>
      </c>
      <c r="GJ12" s="179" t="s">
        <v>193</v>
      </c>
      <c r="GK12" s="375" t="s">
        <v>194</v>
      </c>
      <c r="GL12" s="179" t="s">
        <v>37</v>
      </c>
      <c r="GM12" s="64" t="s">
        <v>60</v>
      </c>
      <c r="GN12" s="177" t="s">
        <v>186</v>
      </c>
      <c r="GO12" s="375" t="s">
        <v>190</v>
      </c>
      <c r="GP12" s="179" t="s">
        <v>191</v>
      </c>
      <c r="GQ12" s="375" t="s">
        <v>192</v>
      </c>
      <c r="GR12" s="179" t="s">
        <v>193</v>
      </c>
      <c r="GS12" s="375" t="s">
        <v>194</v>
      </c>
      <c r="GT12" s="179" t="s">
        <v>37</v>
      </c>
      <c r="GU12" s="64" t="s">
        <v>60</v>
      </c>
      <c r="GV12" s="177" t="s">
        <v>186</v>
      </c>
      <c r="GW12" s="375" t="s">
        <v>190</v>
      </c>
      <c r="GX12" s="179" t="s">
        <v>191</v>
      </c>
      <c r="GY12" s="375" t="s">
        <v>192</v>
      </c>
      <c r="GZ12" s="179" t="s">
        <v>193</v>
      </c>
      <c r="HA12" s="375" t="s">
        <v>194</v>
      </c>
      <c r="HB12" s="179" t="s">
        <v>37</v>
      </c>
      <c r="HC12" s="64" t="s">
        <v>60</v>
      </c>
      <c r="HD12" s="177" t="s">
        <v>186</v>
      </c>
      <c r="HE12" s="375" t="s">
        <v>190</v>
      </c>
      <c r="HF12" s="179" t="s">
        <v>191</v>
      </c>
      <c r="HG12" s="375" t="s">
        <v>192</v>
      </c>
      <c r="HH12" s="179" t="s">
        <v>193</v>
      </c>
      <c r="HI12" s="375" t="s">
        <v>194</v>
      </c>
      <c r="HJ12" s="179" t="s">
        <v>37</v>
      </c>
      <c r="HK12" s="64" t="s">
        <v>60</v>
      </c>
      <c r="HL12" s="177" t="s">
        <v>186</v>
      </c>
      <c r="HM12" s="375" t="s">
        <v>190</v>
      </c>
      <c r="HN12" s="179" t="s">
        <v>191</v>
      </c>
      <c r="HO12" s="375" t="s">
        <v>192</v>
      </c>
      <c r="HP12" s="179" t="s">
        <v>193</v>
      </c>
      <c r="HQ12" s="375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>
      <c r="A13" s="378"/>
      <c r="B13" s="378"/>
      <c r="C13" s="378"/>
      <c r="D13" s="378"/>
      <c r="E13" s="378"/>
      <c r="F13" s="379"/>
      <c r="G13" s="379"/>
      <c r="H13" s="379"/>
      <c r="J13" s="344"/>
      <c r="K13" s="344"/>
      <c r="L13" s="344"/>
      <c r="M13" s="344"/>
      <c r="N13" s="344"/>
      <c r="O13" s="344"/>
      <c r="P13" s="344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0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E13" s="522"/>
      <c r="HF13" s="522"/>
      <c r="HG13" s="522"/>
      <c r="HH13" s="522"/>
      <c r="HI13" s="522"/>
      <c r="HR13" s="5"/>
      <c r="HS13" s="5"/>
      <c r="HT13" s="5"/>
      <c r="HU13" s="526"/>
      <c r="HV13" s="526"/>
      <c r="HW13" s="526"/>
      <c r="HX13" s="526"/>
      <c r="HY13" s="526"/>
    </row>
    <row r="14" spans="1:241">
      <c r="A14" s="237">
        <v>1</v>
      </c>
      <c r="B14" s="370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483</v>
      </c>
      <c r="K14" s="5"/>
      <c r="L14" s="441" t="s">
        <v>484</v>
      </c>
      <c r="M14" s="442"/>
      <c r="N14" s="443"/>
      <c r="O14" s="441" t="s">
        <v>485</v>
      </c>
      <c r="P14" s="443"/>
      <c r="Q14" s="114">
        <v>1</v>
      </c>
      <c r="R14" s="224" t="s">
        <v>106</v>
      </c>
      <c r="S14" s="224"/>
      <c r="T14" s="397">
        <f>+'[8]Lead G'!C23</f>
        <v>31944158.879999999</v>
      </c>
      <c r="U14" s="397">
        <f>+'[8]Lead G'!C16</f>
        <v>20646290.180616394</v>
      </c>
      <c r="V14" s="397">
        <f>U14-T14</f>
        <v>-11297868.699383605</v>
      </c>
      <c r="W14" s="397">
        <f>U14</f>
        <v>20646290.180616394</v>
      </c>
      <c r="X14" s="397">
        <f>W14-U14</f>
        <v>0</v>
      </c>
      <c r="Y14" s="114">
        <v>1</v>
      </c>
      <c r="Z14" s="20" t="s">
        <v>23</v>
      </c>
      <c r="AB14" s="397">
        <v>0</v>
      </c>
      <c r="AC14" s="648">
        <f>+Summary!E57</f>
        <v>2092950106.7571149</v>
      </c>
      <c r="AD14" s="397">
        <f>+Summary!E57</f>
        <v>2092950106.7571149</v>
      </c>
      <c r="AE14" s="648">
        <f>Summary!G57</f>
        <v>2071089382.2087018</v>
      </c>
      <c r="AF14" s="397">
        <f>+AE14-AD14</f>
        <v>-21860724.548413038</v>
      </c>
      <c r="AG14" s="237">
        <f>AG13+1</f>
        <v>2</v>
      </c>
      <c r="AH14" s="151" t="s">
        <v>254</v>
      </c>
      <c r="AI14" s="124"/>
      <c r="AJ14" s="242">
        <f>+'[9]Lead 3.05  '!D10</f>
        <v>5022860.7894830378</v>
      </c>
      <c r="AK14" s="264">
        <f>+'[9]Lead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+'[10]Lead G'!D13</f>
        <v>-1380897.52</v>
      </c>
      <c r="AS14" s="88">
        <f>+'[10]Lead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313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+'[11]Lead G'!D12</f>
        <v>34660463.048212998</v>
      </c>
      <c r="BR14" s="47">
        <f>+'[11]Lead G'!E12</f>
        <v>34517801.980430998</v>
      </c>
      <c r="BS14" s="47">
        <f>BR14-BQ14</f>
        <v>-142661.06778199971</v>
      </c>
      <c r="BT14" s="47">
        <f>+'[11]Lead G'!G12</f>
        <v>34660463.048212998</v>
      </c>
      <c r="BU14" s="47">
        <f>BT14-BR14</f>
        <v>142661.06778199971</v>
      </c>
      <c r="BV14" s="136">
        <v>1</v>
      </c>
      <c r="BW14" s="180" t="s">
        <v>306</v>
      </c>
      <c r="BX14" s="180"/>
      <c r="BY14" s="182">
        <f>+'[12]Lead G'!$D$12</f>
        <v>60814.661506623946</v>
      </c>
      <c r="BZ14" s="182">
        <f>+'[12]Lead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'[13]Lead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'[14]Lead G'!$D$14</f>
        <v>2033423.3546339665</v>
      </c>
      <c r="CX14" s="24">
        <f>'[14]Lead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'[15]Lead G'!$D$10</f>
        <v>149851.99538199999</v>
      </c>
      <c r="DF14" s="24">
        <f>'[15]Lead G'!$E$10</f>
        <v>121922.86461600001</v>
      </c>
      <c r="DG14" s="24">
        <f>DF14-DE14</f>
        <v>-27929.130765999987</v>
      </c>
      <c r="DH14" s="24">
        <f>'[15]Lead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66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1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 t="shared" ref="EM14:EM19" si="0">EL14-EK14</f>
        <v>200340092.80947351</v>
      </c>
      <c r="EN14" s="183">
        <f t="shared" ref="EN14:EN19" si="1">EL14</f>
        <v>4300940372.1867046</v>
      </c>
      <c r="EO14" s="183">
        <f t="shared" ref="EO14:EO19" si="2">EN14-EL14</f>
        <v>0</v>
      </c>
      <c r="EP14" s="326">
        <v>1</v>
      </c>
      <c r="EQ14" s="154" t="s">
        <v>403</v>
      </c>
      <c r="ER14" s="106"/>
      <c r="ES14" s="107">
        <f>'[16]Lead Gas'!D14</f>
        <v>107878753.22000001</v>
      </c>
      <c r="ET14" s="107">
        <f>'[16]Lead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351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351</v>
      </c>
      <c r="GF14" s="210"/>
      <c r="GG14" s="249"/>
      <c r="GH14" s="249"/>
      <c r="GI14" s="249"/>
      <c r="GJ14" s="249"/>
      <c r="GK14" s="249"/>
      <c r="GL14" s="326">
        <v>1</v>
      </c>
      <c r="GM14" s="411" t="s">
        <v>241</v>
      </c>
      <c r="GT14" s="114">
        <v>1</v>
      </c>
      <c r="GU14" s="238" t="s">
        <v>368</v>
      </c>
      <c r="GV14" s="210"/>
      <c r="GW14" s="47"/>
      <c r="GX14" s="47"/>
      <c r="GY14" s="47"/>
      <c r="GZ14" s="47"/>
      <c r="HA14" s="47"/>
      <c r="HB14" s="27">
        <v>1</v>
      </c>
      <c r="HC14" s="260" t="s">
        <v>344</v>
      </c>
      <c r="HD14" s="115"/>
      <c r="HE14" s="523"/>
      <c r="HF14" s="523"/>
      <c r="HG14" s="523"/>
      <c r="HH14" s="523"/>
      <c r="HI14" s="523"/>
      <c r="HJ14" s="326">
        <v>1</v>
      </c>
      <c r="HK14" s="224" t="s">
        <v>6</v>
      </c>
      <c r="HM14" s="328">
        <f>'[17]Lead G'!D10</f>
        <v>1477.51</v>
      </c>
      <c r="HN14" s="328">
        <f>'[17]Lead G'!E10</f>
        <v>1477.51</v>
      </c>
      <c r="HO14" s="328">
        <f>HN14-HM14</f>
        <v>0</v>
      </c>
      <c r="HP14" s="328">
        <f>'[17]Lead G'!G10</f>
        <v>1521.84</v>
      </c>
      <c r="HQ14" s="328">
        <f>HP14-HN14</f>
        <v>44.329999999999927</v>
      </c>
      <c r="HR14" s="106">
        <v>1</v>
      </c>
      <c r="HS14" s="154" t="s">
        <v>351</v>
      </c>
      <c r="HT14" s="5"/>
      <c r="HU14" s="526"/>
      <c r="HV14" s="526"/>
      <c r="HW14" s="526"/>
      <c r="HX14" s="526"/>
      <c r="HY14" s="526"/>
    </row>
    <row r="15" spans="1:241">
      <c r="A15" s="237">
        <f t="shared" ref="A15:A48" si="3">+A14+1</f>
        <v>2</v>
      </c>
      <c r="B15" s="369" t="s">
        <v>443</v>
      </c>
      <c r="C15" s="240"/>
      <c r="D15" s="751" t="s">
        <v>452</v>
      </c>
      <c r="E15" s="405"/>
      <c r="F15" s="241">
        <f>+'[18]Gas Lead'!F13</f>
        <v>0</v>
      </c>
      <c r="G15" s="751" t="s">
        <v>452</v>
      </c>
      <c r="H15" s="241">
        <f>+'[18]Gas Lead'!G13</f>
        <v>50971.28</v>
      </c>
      <c r="I15" s="106">
        <f>I14+1</f>
        <v>2</v>
      </c>
      <c r="J15" s="228" t="s">
        <v>463</v>
      </c>
      <c r="K15" s="5"/>
      <c r="L15" s="444">
        <f>'[19]Gas Lead'!$D$10</f>
        <v>248449022</v>
      </c>
      <c r="M15" s="444">
        <f>'[19]Gas Lead'!$E$10</f>
        <v>251792569.20523602</v>
      </c>
      <c r="N15" s="444">
        <f>M15-L15</f>
        <v>3343547.2052360177</v>
      </c>
      <c r="O15" s="444">
        <f>'[19]Gas Lead'!$G$10</f>
        <v>301813553</v>
      </c>
      <c r="P15" s="445">
        <f>'[19]Gas Lead'!$H$10</f>
        <v>50020983.794763997</v>
      </c>
      <c r="Q15" s="114">
        <f>Q14+1</f>
        <v>2</v>
      </c>
      <c r="R15" s="224" t="s">
        <v>107</v>
      </c>
      <c r="S15" s="224"/>
      <c r="T15" s="255">
        <f>+'[8]Lead G'!C24+'[8]Lead G'!C25</f>
        <v>-9558130.5900000036</v>
      </c>
      <c r="U15" s="59">
        <f>+'[8]Lead G'!C17</f>
        <v>523319.51868811855</v>
      </c>
      <c r="V15" s="255">
        <f>U15-T15</f>
        <v>10081450.108688122</v>
      </c>
      <c r="W15" s="398">
        <f>U15</f>
        <v>523319.51868811855</v>
      </c>
      <c r="X15" s="148">
        <f>W15-U15</f>
        <v>0</v>
      </c>
      <c r="Y15" s="114">
        <f t="shared" ref="Y15:Y22" si="4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5">AG14+1</f>
        <v>3</v>
      </c>
      <c r="AH15" s="151" t="s">
        <v>255</v>
      </c>
      <c r="AI15" s="125"/>
      <c r="AJ15" s="248">
        <f>+'[9]Lead 3.05  '!D11</f>
        <v>15312447.357404472</v>
      </c>
      <c r="AK15" s="262">
        <f>+'[9]Lead 3.05  '!E11</f>
        <v>0</v>
      </c>
      <c r="AL15" s="248">
        <f t="shared" ref="AL15:AL24" si="6">AK15-AJ15</f>
        <v>-15312447.357404472</v>
      </c>
      <c r="AM15" s="262">
        <f t="shared" ref="AM15:AM24" si="7">AK15</f>
        <v>0</v>
      </c>
      <c r="AN15" s="262">
        <f t="shared" ref="AN15:AN24" si="8">+AM15-AK15</f>
        <v>0</v>
      </c>
      <c r="AO15" s="114">
        <f t="shared" ref="AO15:AO21" si="9">AO14+1</f>
        <v>2</v>
      </c>
      <c r="AP15" s="47" t="s">
        <v>117</v>
      </c>
      <c r="AQ15" s="47"/>
      <c r="AR15" s="89">
        <f>+'[10]Lead G'!D14</f>
        <v>915434.50818377954</v>
      </c>
      <c r="AS15" s="89">
        <f>+'[10]Lead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'[20]Lead G'!$D$12</f>
        <v>4333223.3545110002</v>
      </c>
      <c r="BA15" s="138">
        <f>'[20]Lead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10">BF14+1</f>
        <v>2</v>
      </c>
      <c r="BG15" s="205" t="s">
        <v>294</v>
      </c>
      <c r="BI15" s="138">
        <f>[21]Gas!D14</f>
        <v>6401.1338036276547</v>
      </c>
      <c r="BJ15" s="138">
        <f>[21]Gas!E14</f>
        <v>6786.3900751868023</v>
      </c>
      <c r="BK15" s="138">
        <f>[21]Gas!F14</f>
        <v>385.25627155914754</v>
      </c>
      <c r="BL15" s="138">
        <f>[21]Gas!G14</f>
        <v>6786.3900751868023</v>
      </c>
      <c r="BM15" s="138">
        <f>[21]Gas!H14</f>
        <v>0</v>
      </c>
      <c r="BN15" s="100">
        <v>2</v>
      </c>
      <c r="BO15" s="51" t="s">
        <v>173</v>
      </c>
      <c r="BP15" s="51"/>
      <c r="BQ15" s="159">
        <f>+'[11]Lead G'!D13</f>
        <v>1699067.74</v>
      </c>
      <c r="BR15" s="159">
        <f>+'[11]Lead G'!E13</f>
        <v>1753265.3513399998</v>
      </c>
      <c r="BS15" s="50">
        <f>BR15-BQ15</f>
        <v>54197.611339999828</v>
      </c>
      <c r="BT15" s="159">
        <f>+'[11]Lead G'!G13</f>
        <v>1699067.74</v>
      </c>
      <c r="BU15" s="52">
        <f>BT15-BR15</f>
        <v>-54197.611339999828</v>
      </c>
      <c r="BV15" s="136">
        <f t="shared" ref="BV15:BV22" si="11">BV14+1</f>
        <v>2</v>
      </c>
      <c r="BW15" s="180"/>
      <c r="BX15" s="180"/>
      <c r="BY15" s="460"/>
      <c r="BZ15" s="460"/>
      <c r="CA15" s="460"/>
      <c r="CB15" s="460"/>
      <c r="CC15" s="460"/>
      <c r="CD15" s="16">
        <f>CD14+1</f>
        <v>2</v>
      </c>
      <c r="CE15" s="154"/>
      <c r="CG15" s="460"/>
      <c r="CH15" s="460"/>
      <c r="CI15" s="460"/>
      <c r="CJ15" s="460"/>
      <c r="CK15" s="460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2">
        <f>SUM(CW14:CW14)</f>
        <v>2033423.3546339665</v>
      </c>
      <c r="CX15" s="462">
        <f>SUM(CX14:CX14)</f>
        <v>3008677.465349237</v>
      </c>
      <c r="CY15" s="462">
        <f>SUM(CY14:CY14)</f>
        <v>975254.11071527051</v>
      </c>
      <c r="CZ15" s="462">
        <f>SUM(CZ14)</f>
        <v>3008677.465349237</v>
      </c>
      <c r="DA15" s="462">
        <f>SUM(DA14)</f>
        <v>0</v>
      </c>
      <c r="DB15" s="16">
        <f>DB14+1</f>
        <v>2</v>
      </c>
      <c r="DC15" s="154" t="s">
        <v>139</v>
      </c>
      <c r="DD15" s="59"/>
      <c r="DE15" s="56">
        <f>'[15]Lead G'!$D$11</f>
        <v>1079998.6559106729</v>
      </c>
      <c r="DF15" s="56">
        <f>'[15]Lead G'!$E$11</f>
        <v>1174568.4443488119</v>
      </c>
      <c r="DG15" s="105">
        <f>DF15-DE15</f>
        <v>94569.788438139018</v>
      </c>
      <c r="DH15" s="56">
        <f>'[15]Lead G'!$G$11</f>
        <v>1187768.3315261228</v>
      </c>
      <c r="DI15" s="56">
        <f>DH15-DF15</f>
        <v>13199.887177310884</v>
      </c>
      <c r="DJ15" s="27">
        <f t="shared" ref="DJ15:DJ31" si="13">+DJ14+1</f>
        <v>2</v>
      </c>
      <c r="DK15" s="240" t="s">
        <v>294</v>
      </c>
      <c r="DL15" s="180"/>
      <c r="DM15" s="182">
        <f>+'[22]Gas RS + RP'!D13</f>
        <v>87900.023997021053</v>
      </c>
      <c r="DN15" s="182">
        <f>+'[22]Gas RS + RP'!E13</f>
        <v>88886.105385896954</v>
      </c>
      <c r="DO15" s="183">
        <f t="shared" ref="DO15:DO23" si="14">+DN15-DM15</f>
        <v>986.0813888759003</v>
      </c>
      <c r="DP15" s="182">
        <f>+'[22]Gas RS + RP'!G13</f>
        <v>93145.827811614639</v>
      </c>
      <c r="DQ15" s="182">
        <f t="shared" ref="DQ15:DQ23" si="15">+DP15-DN15</f>
        <v>4259.7224257176858</v>
      </c>
      <c r="DR15" s="27">
        <f t="shared" ref="DR15:DR34" si="16">DR14+1</f>
        <v>2</v>
      </c>
      <c r="DS15" s="153" t="s">
        <v>147</v>
      </c>
      <c r="DT15" s="27"/>
      <c r="DU15" s="183">
        <f>+[23]Gas!D14</f>
        <v>4258316.1606000001</v>
      </c>
      <c r="DV15" s="183">
        <f>+[23]Gas!E14</f>
        <v>4258316.1606000001</v>
      </c>
      <c r="DW15" s="183">
        <f>+DV15-DU15</f>
        <v>0</v>
      </c>
      <c r="DX15" s="183">
        <f>+[23]Gas!G14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'[24]Lead Gas'!D14</f>
        <v>8855913.9655213989</v>
      </c>
      <c r="ED15" s="183">
        <f>'[24]Lead Gas'!E14</f>
        <v>8840311.0115771983</v>
      </c>
      <c r="EE15" s="183">
        <f>ED15-EC15</f>
        <v>-15602.95394420065</v>
      </c>
      <c r="EF15" s="183">
        <f>'[24]Lead Gas'!G14</f>
        <v>9350086.0560744014</v>
      </c>
      <c r="EG15" s="183">
        <f>EF15-ED15</f>
        <v>509775.04449720308</v>
      </c>
      <c r="EH15" s="114">
        <f t="shared" ref="EH15:EH20" si="17">EH14+1</f>
        <v>2</v>
      </c>
      <c r="EI15" s="381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si="0"/>
        <v>-55515781.67730689</v>
      </c>
      <c r="EN15" s="226">
        <f t="shared" si="1"/>
        <v>-1625310954.9975498</v>
      </c>
      <c r="EO15" s="148">
        <f t="shared" si="2"/>
        <v>0</v>
      </c>
      <c r="EP15" s="326">
        <f>EP14+1</f>
        <v>2</v>
      </c>
      <c r="EQ15" s="224" t="s">
        <v>404</v>
      </c>
      <c r="ER15" s="326"/>
      <c r="ES15" s="226">
        <f>'[16]Lead Gas'!D15</f>
        <v>8928406.3818600178</v>
      </c>
      <c r="ET15" s="226">
        <f>'[16]Lead Gas'!E15</f>
        <v>9523330.3541565742</v>
      </c>
      <c r="EU15" s="226">
        <f>ET15-ES15</f>
        <v>594923.97229655646</v>
      </c>
      <c r="EV15" s="226">
        <f>ET15</f>
        <v>9523330.3541565742</v>
      </c>
      <c r="EW15" s="226">
        <f>EV15-ET15</f>
        <v>0</v>
      </c>
      <c r="EX15" s="106">
        <f t="shared" ref="EX15:EX20" si="18">EX14+1</f>
        <v>2</v>
      </c>
      <c r="EY15" s="5" t="s">
        <v>242</v>
      </c>
      <c r="EZ15" s="5"/>
      <c r="FA15" s="107">
        <f>'[25]Lead G '!$D$16</f>
        <v>116306.4</v>
      </c>
      <c r="FB15" s="107">
        <f>'[25]Lead G '!$E$16</f>
        <v>116306.4</v>
      </c>
      <c r="FC15" s="107">
        <f>FB15-FA15</f>
        <v>0</v>
      </c>
      <c r="FD15" s="107">
        <f>'[25]Lead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486</v>
      </c>
      <c r="FH15" s="36"/>
      <c r="FI15" s="58">
        <f>'[26]Lead Gas'!$D$15</f>
        <v>8603273.5200000051</v>
      </c>
      <c r="FJ15" s="58">
        <f>'[26]Lead Gas'!$E$15</f>
        <v>8603273.5200000051</v>
      </c>
      <c r="FK15" s="12">
        <f>FJ15-FI15</f>
        <v>0</v>
      </c>
      <c r="FL15" s="12">
        <f>'[26]Lead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374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338</v>
      </c>
      <c r="FX15" s="209"/>
      <c r="FY15" s="241">
        <f>+'[27]Lead G'!D11</f>
        <v>525851.89837950014</v>
      </c>
      <c r="FZ15" s="241">
        <f>+'[27]Lead G'!E11</f>
        <v>0</v>
      </c>
      <c r="GA15" s="241">
        <f t="shared" ref="GA15:GA22" si="19">FZ15-FY15</f>
        <v>-525851.89837950014</v>
      </c>
      <c r="GB15" s="241">
        <f>+'[27]Lead G'!G11</f>
        <v>0</v>
      </c>
      <c r="GC15" s="241">
        <f>GB15-FZ15</f>
        <v>0</v>
      </c>
      <c r="GD15" s="208">
        <f>+GD14+1</f>
        <v>2</v>
      </c>
      <c r="GE15" s="210" t="s">
        <v>374</v>
      </c>
      <c r="GF15" s="210"/>
      <c r="GG15" s="249"/>
      <c r="GH15" s="249"/>
      <c r="GI15" s="249"/>
      <c r="GJ15" s="249"/>
      <c r="GK15" s="249"/>
      <c r="GL15" s="326">
        <f t="shared" ref="GL15:GL20" si="20">GL14+1</f>
        <v>2</v>
      </c>
      <c r="GM15" s="411" t="s">
        <v>242</v>
      </c>
      <c r="GN15" s="5"/>
      <c r="GO15" s="202">
        <f>'[28]Lead G'!$D$16</f>
        <v>597372</v>
      </c>
      <c r="GP15" s="202">
        <f>'[28]Lead G'!$E$16</f>
        <v>597372</v>
      </c>
      <c r="GQ15" s="202">
        <f>GP15-GO15</f>
        <v>0</v>
      </c>
      <c r="GR15" s="202">
        <f>'[28]Lead G'!$G$16</f>
        <v>161804.418725</v>
      </c>
      <c r="GS15" s="202">
        <f>GR15-GP15</f>
        <v>-435567.581275</v>
      </c>
      <c r="GT15" s="114">
        <v>2</v>
      </c>
      <c r="GU15" s="239" t="s">
        <v>369</v>
      </c>
      <c r="GV15" s="210"/>
      <c r="GW15" s="202">
        <f>'[29]Lead G'!$D$14</f>
        <v>-2890521.5106920004</v>
      </c>
      <c r="GX15" s="202">
        <f>GW15</f>
        <v>-2890521.5106920004</v>
      </c>
      <c r="GY15" s="202">
        <f>GX15-GW15</f>
        <v>0</v>
      </c>
      <c r="GZ15" s="202">
        <f>'[29]Lead G'!$G$14</f>
        <v>-2529206.3218555013</v>
      </c>
      <c r="HA15" s="202">
        <f>GZ15-GX15</f>
        <v>361315.18883649912</v>
      </c>
      <c r="HB15" s="27">
        <v>2</v>
      </c>
      <c r="HC15" s="261" t="s">
        <v>345</v>
      </c>
      <c r="HD15" s="115"/>
      <c r="HE15" s="719">
        <v>0</v>
      </c>
      <c r="HF15" s="719">
        <f>+HE15</f>
        <v>0</v>
      </c>
      <c r="HG15" s="719">
        <f>HF15-HE15</f>
        <v>0</v>
      </c>
      <c r="HH15" s="719">
        <f>+'[30]Lead G'!G14</f>
        <v>6264183.9699999997</v>
      </c>
      <c r="HI15" s="719">
        <f>HH15-HG15</f>
        <v>6264183.9699999997</v>
      </c>
      <c r="HJ15" s="326">
        <f>HJ14+1</f>
        <v>2</v>
      </c>
      <c r="HK15" s="224" t="s">
        <v>7</v>
      </c>
      <c r="HL15" s="5"/>
      <c r="HM15" s="226">
        <f>'[17]Lead G'!D11</f>
        <v>1905.79</v>
      </c>
      <c r="HN15" s="226">
        <f>'[17]Lead G'!E11</f>
        <v>1905.79</v>
      </c>
      <c r="HO15" s="226">
        <f>HN15-HM15</f>
        <v>0</v>
      </c>
      <c r="HP15" s="226">
        <f>'[17]Lead G'!G11</f>
        <v>1963.54</v>
      </c>
      <c r="HQ15" s="226">
        <f>HP15-HN15</f>
        <v>57.75</v>
      </c>
      <c r="HR15" s="106">
        <f>HR14+1</f>
        <v>2</v>
      </c>
      <c r="HS15" s="154" t="s">
        <v>401</v>
      </c>
      <c r="HT15" s="5"/>
      <c r="HU15" s="527"/>
      <c r="HV15" s="527"/>
      <c r="HW15" s="527"/>
      <c r="HX15" s="527"/>
      <c r="HY15" s="527"/>
    </row>
    <row r="16" spans="1:241" ht="15.75" thickBot="1">
      <c r="A16" s="237">
        <f t="shared" si="3"/>
        <v>3</v>
      </c>
      <c r="B16" s="369" t="s">
        <v>444</v>
      </c>
      <c r="C16" s="240"/>
      <c r="D16" s="751"/>
      <c r="E16" s="405"/>
      <c r="F16" s="244">
        <f>+'[18]Gas Lead'!E14</f>
        <v>-39807519.093474321</v>
      </c>
      <c r="G16" s="751"/>
      <c r="H16" s="248">
        <v>0</v>
      </c>
      <c r="I16" s="106">
        <f t="shared" ref="I16:I23" si="21">I15+1</f>
        <v>3</v>
      </c>
      <c r="J16" s="209"/>
      <c r="K16" s="5"/>
      <c r="L16" s="271"/>
      <c r="M16" s="271"/>
      <c r="N16" s="271"/>
      <c r="O16" s="271"/>
      <c r="P16" s="271"/>
      <c r="Q16" s="114">
        <f>Q15+1</f>
        <v>3</v>
      </c>
      <c r="R16" s="154"/>
      <c r="S16" s="154"/>
      <c r="T16" s="399"/>
      <c r="U16" s="399"/>
      <c r="V16" s="399"/>
      <c r="W16" s="399"/>
      <c r="X16" s="399"/>
      <c r="Y16" s="114">
        <f t="shared" si="4"/>
        <v>3</v>
      </c>
      <c r="Z16" s="239"/>
      <c r="AB16" s="241"/>
      <c r="AC16" s="241"/>
      <c r="AD16" s="241"/>
      <c r="AE16" s="241"/>
      <c r="AF16" s="312"/>
      <c r="AG16" s="237">
        <f t="shared" si="5"/>
        <v>4</v>
      </c>
      <c r="AH16" s="151" t="s">
        <v>164</v>
      </c>
      <c r="AI16" s="125"/>
      <c r="AJ16" s="248">
        <f>+'[9]Lead 3.05  '!D12</f>
        <v>22625480.126507826</v>
      </c>
      <c r="AK16" s="262">
        <f>+'[9]Lead 3.05  '!E12</f>
        <v>0</v>
      </c>
      <c r="AL16" s="248">
        <f t="shared" si="6"/>
        <v>-22625480.126507826</v>
      </c>
      <c r="AM16" s="262">
        <f t="shared" si="7"/>
        <v>0</v>
      </c>
      <c r="AN16" s="262">
        <f t="shared" si="8"/>
        <v>0</v>
      </c>
      <c r="AO16" s="114">
        <f t="shared" si="9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10"/>
        <v>3</v>
      </c>
      <c r="BG16" s="205" t="s">
        <v>295</v>
      </c>
      <c r="BI16" s="382">
        <f>[21]Gas!D15</f>
        <v>132672.84419330524</v>
      </c>
      <c r="BJ16" s="382">
        <f>[21]Gas!E15</f>
        <v>139195.59441203115</v>
      </c>
      <c r="BK16" s="382">
        <f>[21]Gas!F15</f>
        <v>6522.7502187259088</v>
      </c>
      <c r="BL16" s="382">
        <f>[21]Gas!G15</f>
        <v>139195.59441203115</v>
      </c>
      <c r="BM16" s="382">
        <f>[21]Gas!H15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1"/>
        <v>3</v>
      </c>
      <c r="BW16" s="180" t="s">
        <v>300</v>
      </c>
      <c r="BX16" s="180"/>
      <c r="BY16" s="461">
        <f>SUM(BY14:BY15)</f>
        <v>60814.661506623946</v>
      </c>
      <c r="BZ16" s="461">
        <f>SUM(BZ14:BZ15)</f>
        <v>55965.26325353235</v>
      </c>
      <c r="CA16" s="461">
        <f>SUM(CA14:CA15)</f>
        <v>-4849.3982530915964</v>
      </c>
      <c r="CB16" s="461">
        <f>SUM(CB14:CB15)</f>
        <v>60814.661506623946</v>
      </c>
      <c r="CC16" s="461">
        <f>SUM(CC14:CC15)</f>
        <v>4849.3982530915964</v>
      </c>
      <c r="CD16" s="16">
        <f>CD15+1</f>
        <v>3</v>
      </c>
      <c r="CE16" s="154" t="s">
        <v>80</v>
      </c>
      <c r="CG16" s="13">
        <f>-SUM(CG14:CG15)</f>
        <v>0</v>
      </c>
      <c r="CH16" s="13">
        <f>-SUM(CH14:CH15)</f>
        <v>-204503.64267608413</v>
      </c>
      <c r="CI16" s="13">
        <f>-SUM(CI14:CI15)</f>
        <v>-204503.64267608413</v>
      </c>
      <c r="CJ16" s="13">
        <f>-SUM(CJ14:CJ15)</f>
        <v>-204503.64267608413</v>
      </c>
      <c r="CK16" s="13">
        <f>-SUM(CK14:CK15)</f>
        <v>0</v>
      </c>
      <c r="CL16" s="27">
        <f t="shared" si="12"/>
        <v>3</v>
      </c>
      <c r="CM16" s="224" t="s">
        <v>269</v>
      </c>
      <c r="CN16" s="224"/>
      <c r="CO16" s="139">
        <f>'[31]Lead G'!$D$12</f>
        <v>-6029.4623969999993</v>
      </c>
      <c r="CP16" s="139">
        <f>'[31]Lead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>DB15+1</f>
        <v>3</v>
      </c>
      <c r="DC16" s="224" t="s">
        <v>86</v>
      </c>
      <c r="DD16" s="463"/>
      <c r="DE16" s="464">
        <f>SUM(DE14:DE15)</f>
        <v>1229850.6512926728</v>
      </c>
      <c r="DF16" s="464">
        <f>SUM(DF14:DF15)</f>
        <v>1296491.308964812</v>
      </c>
      <c r="DG16" s="464">
        <f>SUM(DG14:DG15)</f>
        <v>66640.65767213903</v>
      </c>
      <c r="DH16" s="464">
        <f>SUM(DH14:DH15)</f>
        <v>1327478.9299383876</v>
      </c>
      <c r="DI16" s="465">
        <f>SUM(DI14:DI15)</f>
        <v>30987.620973575831</v>
      </c>
      <c r="DJ16" s="27">
        <f t="shared" si="13"/>
        <v>3</v>
      </c>
      <c r="DK16" s="240" t="s">
        <v>295</v>
      </c>
      <c r="DL16" s="180"/>
      <c r="DM16" s="190">
        <f>+'[22]Gas RS + RP'!D14</f>
        <v>1821447.3193938991</v>
      </c>
      <c r="DN16" s="161">
        <f>+'[22]Gas RS + RP'!E14</f>
        <v>1823268.7667132928</v>
      </c>
      <c r="DO16" s="162">
        <f t="shared" si="14"/>
        <v>1821.4473193937447</v>
      </c>
      <c r="DP16" s="161">
        <f>+'[22]Gas RS + RP'!G14</f>
        <v>1893099.960478412</v>
      </c>
      <c r="DQ16" s="161">
        <f t="shared" si="15"/>
        <v>69831.193765119184</v>
      </c>
      <c r="DR16" s="27">
        <f t="shared" si="16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'[24]Lead Gas'!D15</f>
        <v>4614715.3414345989</v>
      </c>
      <c r="ED16" s="232">
        <f>'[24]Lead Gas'!E15</f>
        <v>4657270.0677107992</v>
      </c>
      <c r="EE16" s="232">
        <f>ED16-EC16</f>
        <v>42554.726276200265</v>
      </c>
      <c r="EF16" s="232">
        <f>'[24]Lead Gas'!G15</f>
        <v>4928632.6259016003</v>
      </c>
      <c r="EG16" s="474">
        <f>EF16-ED16</f>
        <v>271362.55819080118</v>
      </c>
      <c r="EH16" s="114">
        <f t="shared" si="17"/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0"/>
        <v>3758546.0358800888</v>
      </c>
      <c r="EN16" s="226">
        <f t="shared" si="1"/>
        <v>-600273754.652915</v>
      </c>
      <c r="EO16" s="148">
        <f t="shared" si="2"/>
        <v>0</v>
      </c>
      <c r="EP16" s="326">
        <f t="shared" ref="EP16:EP31" si="22">EP15+1</f>
        <v>3</v>
      </c>
      <c r="EQ16" s="154" t="s">
        <v>418</v>
      </c>
      <c r="ER16" s="326"/>
      <c r="ES16" s="226">
        <f>'[16]Lead Gas'!D16</f>
        <v>3292939.59</v>
      </c>
      <c r="ET16" s="226">
        <f>'[16]Lead Gas'!E16</f>
        <v>3442117.919999999</v>
      </c>
      <c r="EU16" s="226">
        <f>ET16-ES16</f>
        <v>149178.32999999914</v>
      </c>
      <c r="EV16" s="226">
        <f>ET16</f>
        <v>3442117.919999999</v>
      </c>
      <c r="EW16" s="226">
        <f>EV16-ET16</f>
        <v>0</v>
      </c>
      <c r="EX16" s="106">
        <f t="shared" si="18"/>
        <v>3</v>
      </c>
      <c r="EY16" s="5"/>
      <c r="EZ16" s="5"/>
      <c r="FA16" s="272"/>
      <c r="FB16" s="272"/>
      <c r="FC16" s="272"/>
      <c r="FD16" s="272"/>
      <c r="FE16" s="272"/>
      <c r="FF16" s="114">
        <f>FF15+1</f>
        <v>3</v>
      </c>
      <c r="FG16" s="195" t="s">
        <v>161</v>
      </c>
      <c r="FH16" s="11"/>
      <c r="FI16" s="198">
        <f>FI15</f>
        <v>8603273.5200000051</v>
      </c>
      <c r="FJ16" s="198">
        <f>FJ15</f>
        <v>8603273.5200000051</v>
      </c>
      <c r="FK16" s="198">
        <f>FK15</f>
        <v>0</v>
      </c>
      <c r="FL16" s="198">
        <f>FL15</f>
        <v>9460164.1915668994</v>
      </c>
      <c r="FM16" s="198">
        <f>FM15</f>
        <v>856890.67156689428</v>
      </c>
      <c r="FN16" s="114">
        <f t="shared" ref="FN16:FN33" si="23">FN15+1</f>
        <v>3</v>
      </c>
      <c r="FO16" s="211" t="s">
        <v>352</v>
      </c>
      <c r="FP16" s="211"/>
      <c r="FQ16" s="241"/>
      <c r="FR16" s="241"/>
      <c r="FS16" s="241">
        <f>+'[32]Lead G'!F16</f>
        <v>0</v>
      </c>
      <c r="FT16" s="241">
        <f>+'[32]Lead G'!G16</f>
        <v>12465833.289999997</v>
      </c>
      <c r="FU16" s="241">
        <f>+FT16-FS16</f>
        <v>12465833.289999997</v>
      </c>
      <c r="FV16" s="27">
        <v>3</v>
      </c>
      <c r="FW16" s="279" t="s">
        <v>416</v>
      </c>
      <c r="FX16" s="209"/>
      <c r="FY16" s="457">
        <f>+'[27]Lead G'!D12</f>
        <v>133121.9008728</v>
      </c>
      <c r="FZ16" s="457">
        <f>+'[27]Lead G'!E12</f>
        <v>0</v>
      </c>
      <c r="GA16" s="457">
        <f t="shared" si="19"/>
        <v>-133121.9008728</v>
      </c>
      <c r="GB16" s="457">
        <f>+'[27]Lead G'!G12</f>
        <v>0</v>
      </c>
      <c r="GC16" s="457">
        <f t="shared" ref="GC16:GC28" si="24">GB16-FZ16</f>
        <v>0</v>
      </c>
      <c r="GD16" s="208">
        <f t="shared" ref="GD16:GD38" si="25">+GD15+1</f>
        <v>3</v>
      </c>
      <c r="GE16" s="211" t="s">
        <v>375</v>
      </c>
      <c r="GF16" s="211"/>
      <c r="GG16" s="241">
        <f>'[7]Gas Lead '!D16</f>
        <v>0</v>
      </c>
      <c r="GH16" s="241">
        <f>'[7]Gas Lead '!E16</f>
        <v>0</v>
      </c>
      <c r="GI16" s="241">
        <v>0</v>
      </c>
      <c r="GJ16" s="662">
        <f>'[7]Gas Lead '!$G$16</f>
        <v>4408606.1080739992</v>
      </c>
      <c r="GK16" s="241">
        <f t="shared" ref="GK16:GK24" si="26">+GJ16-GI16</f>
        <v>4408606.1080739992</v>
      </c>
      <c r="GL16" s="326">
        <f t="shared" si="20"/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79">
        <f>SUM(GW15)</f>
        <v>-2890521.5106920004</v>
      </c>
      <c r="GX16" s="479">
        <f>SUM(GX15)</f>
        <v>-2890521.5106920004</v>
      </c>
      <c r="GY16" s="479">
        <f>SUM(GY15)</f>
        <v>0</v>
      </c>
      <c r="GZ16" s="479">
        <f>SUM(GZ15)</f>
        <v>-2529206.3218555013</v>
      </c>
      <c r="HA16" s="479">
        <f>SUM(HA15)</f>
        <v>361315.18883649912</v>
      </c>
      <c r="HB16" s="27">
        <v>3</v>
      </c>
      <c r="HC16" s="261" t="s">
        <v>346</v>
      </c>
      <c r="HD16" s="115"/>
      <c r="HE16" s="720">
        <v>0</v>
      </c>
      <c r="HF16" s="720">
        <f>+HE16</f>
        <v>0</v>
      </c>
      <c r="HG16" s="720">
        <f t="shared" ref="HG16:HI17" si="27">HF16-HE16</f>
        <v>0</v>
      </c>
      <c r="HH16" s="720">
        <f>+'[30]Lead G'!G15</f>
        <v>-259802.34853480852</v>
      </c>
      <c r="HI16" s="721">
        <f t="shared" si="27"/>
        <v>-259802.34853480852</v>
      </c>
      <c r="HJ16" s="326">
        <f t="shared" ref="HJ16:HJ22" si="28">HJ15+1</f>
        <v>3</v>
      </c>
      <c r="HK16" s="224" t="s">
        <v>8</v>
      </c>
      <c r="HL16" s="5"/>
      <c r="HM16" s="226">
        <f>'[17]Lead G'!D12</f>
        <v>16474238.73</v>
      </c>
      <c r="HN16" s="226">
        <f>'[17]Lead G'!E12</f>
        <v>16474238.73</v>
      </c>
      <c r="HO16" s="226">
        <f>HN16-HM16</f>
        <v>0</v>
      </c>
      <c r="HP16" s="226">
        <f>'[17]Lead G'!G12</f>
        <v>16752856.240000002</v>
      </c>
      <c r="HQ16" s="226">
        <f>HP16-HN16</f>
        <v>278617.51000000164</v>
      </c>
      <c r="HR16" s="106">
        <f t="shared" ref="HR16:HR30" si="29">HR15+1</f>
        <v>3</v>
      </c>
      <c r="HS16" s="154" t="s">
        <v>493</v>
      </c>
      <c r="HT16" s="5"/>
      <c r="HU16" s="732">
        <f>'[33]Lead G'!$D$16</f>
        <v>0</v>
      </c>
      <c r="HV16" s="732">
        <f>'[33]Lead G'!$E$16</f>
        <v>0</v>
      </c>
      <c r="HW16" s="732">
        <f>'[33]Lead G'!$F$16</f>
        <v>0</v>
      </c>
      <c r="HX16" s="732">
        <f>'[33]Lead G'!$G$16</f>
        <v>3482430</v>
      </c>
      <c r="HY16" s="732">
        <f>'[33]Lead G'!$H$16</f>
        <v>3482430</v>
      </c>
      <c r="HZ16" s="327"/>
    </row>
    <row r="17" spans="1:236" ht="16.5" thickTop="1" thickBot="1">
      <c r="A17" s="237">
        <f t="shared" si="3"/>
        <v>4</v>
      </c>
      <c r="B17" s="369" t="s">
        <v>445</v>
      </c>
      <c r="C17" s="245"/>
      <c r="D17" s="751"/>
      <c r="E17" s="405"/>
      <c r="F17" s="244">
        <f>+'[18]Gas Lead'!E15</f>
        <v>2929656.4452484697</v>
      </c>
      <c r="G17" s="751"/>
      <c r="H17" s="248">
        <v>0</v>
      </c>
      <c r="I17" s="106">
        <f t="shared" si="21"/>
        <v>4</v>
      </c>
      <c r="J17" s="228" t="s">
        <v>427</v>
      </c>
      <c r="K17" s="5"/>
      <c r="L17" s="446">
        <f>N17</f>
        <v>2.1475799395690727E-2</v>
      </c>
      <c r="M17" s="446">
        <f>N17</f>
        <v>2.1475799395690727E-2</v>
      </c>
      <c r="N17" s="446">
        <f>N19/N15</f>
        <v>2.1475799395690727E-2</v>
      </c>
      <c r="O17" s="446">
        <f>P17</f>
        <v>0.67844211564403245</v>
      </c>
      <c r="P17" s="446">
        <f>P19/P15</f>
        <v>0.67844211564403245</v>
      </c>
      <c r="Q17" s="114">
        <f>Q16+1</f>
        <v>4</v>
      </c>
      <c r="R17" s="224" t="s">
        <v>108</v>
      </c>
      <c r="S17" s="224"/>
      <c r="T17" s="400">
        <f>-SUM(T14:T16)</f>
        <v>-22386028.289999995</v>
      </c>
      <c r="U17" s="400">
        <f>-SUM(U14:U16)</f>
        <v>-21169609.699304514</v>
      </c>
      <c r="V17" s="400">
        <f>-SUM(V14:V16)</f>
        <v>1216418.5906954836</v>
      </c>
      <c r="W17" s="400">
        <f>-SUM(W14:W16)</f>
        <v>-21169609.699304514</v>
      </c>
      <c r="X17" s="400">
        <f>-SUM(X14:X16)</f>
        <v>0</v>
      </c>
      <c r="Y17" s="114">
        <f t="shared" si="4"/>
        <v>4</v>
      </c>
      <c r="Z17" s="239"/>
      <c r="AB17" s="280"/>
      <c r="AC17" s="280"/>
      <c r="AD17" s="280"/>
      <c r="AE17" s="280"/>
      <c r="AF17" s="280"/>
      <c r="AG17" s="237">
        <f t="shared" si="5"/>
        <v>5</v>
      </c>
      <c r="AH17" s="151" t="s">
        <v>256</v>
      </c>
      <c r="AI17" s="125"/>
      <c r="AJ17" s="248">
        <f>+'[9]Lead 3.05  '!D13</f>
        <v>-24621258.285291649</v>
      </c>
      <c r="AK17" s="262">
        <f>+'[9]Lead 3.05  '!E13</f>
        <v>0</v>
      </c>
      <c r="AL17" s="248">
        <f t="shared" si="6"/>
        <v>24621258.285291649</v>
      </c>
      <c r="AM17" s="262">
        <f t="shared" si="7"/>
        <v>0</v>
      </c>
      <c r="AN17" s="262">
        <f t="shared" si="8"/>
        <v>0</v>
      </c>
      <c r="AO17" s="114">
        <f t="shared" si="9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>AW16+1</f>
        <v>4</v>
      </c>
      <c r="AX17" s="194" t="s">
        <v>168</v>
      </c>
      <c r="AY17" s="194"/>
      <c r="AZ17" s="456">
        <f>-AZ15</f>
        <v>-4333223.3545110002</v>
      </c>
      <c r="BA17" s="456">
        <f>-BA15</f>
        <v>-4491993.9301330792</v>
      </c>
      <c r="BB17" s="456">
        <f>-BB15</f>
        <v>-158770.57562207896</v>
      </c>
      <c r="BC17" s="456">
        <f>-BC15</f>
        <v>-4491993.9301330792</v>
      </c>
      <c r="BD17" s="456">
        <f>-BD15</f>
        <v>0</v>
      </c>
      <c r="BE17" s="40"/>
      <c r="BF17" s="27">
        <f t="shared" si="10"/>
        <v>4</v>
      </c>
      <c r="BG17" s="205" t="s">
        <v>296</v>
      </c>
      <c r="BI17" s="382">
        <f>[21]Gas!D16</f>
        <v>106190.91876733195</v>
      </c>
      <c r="BJ17" s="382">
        <f>[21]Gas!E16</f>
        <v>111578.2529830624</v>
      </c>
      <c r="BK17" s="382">
        <f>[21]Gas!F16</f>
        <v>5387.3342157304432</v>
      </c>
      <c r="BL17" s="382">
        <f>[21]Gas!G16</f>
        <v>111578.2529830624</v>
      </c>
      <c r="BM17" s="382">
        <f>[21]Gas!H16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1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>SUM(CP16)</f>
        <v>548500</v>
      </c>
      <c r="CQ17" s="140">
        <f>SUM(CQ16)</f>
        <v>554529.46239700005</v>
      </c>
      <c r="CR17" s="140">
        <f>SUM(CR16)</f>
        <v>548500</v>
      </c>
      <c r="CS17" s="140">
        <f>SUM(CS16)</f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>DB16+1</f>
        <v>4</v>
      </c>
      <c r="DC17" s="224"/>
      <c r="DD17" s="154"/>
      <c r="DE17" s="154"/>
      <c r="DF17" s="154"/>
      <c r="DG17" s="154"/>
      <c r="DH17" s="154"/>
      <c r="DI17" s="248"/>
      <c r="DJ17" s="27">
        <f t="shared" si="13"/>
        <v>4</v>
      </c>
      <c r="DK17" s="240" t="s">
        <v>296</v>
      </c>
      <c r="DL17" s="180"/>
      <c r="DM17" s="190">
        <f>+'[22]Gas RS + RP'!D15</f>
        <v>1457876.2514683935</v>
      </c>
      <c r="DN17" s="190">
        <f>+'[22]Gas RS + RP'!E15</f>
        <v>1461357.1134527726</v>
      </c>
      <c r="DO17" s="162">
        <f t="shared" si="14"/>
        <v>3480.8619843791239</v>
      </c>
      <c r="DP17" s="190">
        <f>+'[22]Gas RS + RP'!G15</f>
        <v>1497997.8793014847</v>
      </c>
      <c r="DQ17" s="190">
        <f t="shared" si="15"/>
        <v>36640.765848712064</v>
      </c>
      <c r="DR17" s="27">
        <f t="shared" si="16"/>
        <v>4</v>
      </c>
      <c r="DS17" s="466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>SUM(ED15:ED16)</f>
        <v>13497581.079287998</v>
      </c>
      <c r="EE17" s="148">
        <f>SUM(EE15:EE16)</f>
        <v>26951.772331999615</v>
      </c>
      <c r="EF17" s="148">
        <f>SUM(EF15:EF16)</f>
        <v>14278718.681976002</v>
      </c>
      <c r="EG17" s="244">
        <f>SUM(EG15:EG16)</f>
        <v>781137.60268800426</v>
      </c>
      <c r="EH17" s="114">
        <f t="shared" si="17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0"/>
        <v>2958805.4567250796</v>
      </c>
      <c r="EN17" s="226">
        <f t="shared" si="1"/>
        <v>-26993656.705525</v>
      </c>
      <c r="EO17" s="148">
        <f t="shared" si="2"/>
        <v>0</v>
      </c>
      <c r="EP17" s="326">
        <f t="shared" si="22"/>
        <v>4</v>
      </c>
      <c r="EQ17" s="224" t="s">
        <v>419</v>
      </c>
      <c r="ER17" s="326"/>
      <c r="ES17" s="226">
        <f>'[16]Lead Gas'!D17</f>
        <v>22665497.230383031</v>
      </c>
      <c r="ET17" s="226">
        <f>'[16]Lead Gas'!E17</f>
        <v>30696938.992545016</v>
      </c>
      <c r="EU17" s="226">
        <f>ET17-ES17</f>
        <v>8031441.762161985</v>
      </c>
      <c r="EV17" s="226">
        <f>ET17</f>
        <v>30696938.992545016</v>
      </c>
      <c r="EW17" s="226">
        <f>EV17-ET17</f>
        <v>0</v>
      </c>
      <c r="EX17" s="106">
        <f t="shared" si="18"/>
        <v>4</v>
      </c>
      <c r="EY17" s="150" t="s">
        <v>243</v>
      </c>
      <c r="EZ17" s="150"/>
      <c r="FA17" s="226">
        <f>FA15</f>
        <v>116306.4</v>
      </c>
      <c r="FB17" s="226">
        <f>FB15</f>
        <v>116306.4</v>
      </c>
      <c r="FC17" s="226">
        <f>FC15</f>
        <v>0</v>
      </c>
      <c r="FD17" s="226">
        <f>FD15</f>
        <v>24348.123333333362</v>
      </c>
      <c r="FE17" s="226">
        <f>FE15</f>
        <v>-91958.276666666628</v>
      </c>
      <c r="FF17" s="114">
        <f>FF16+1</f>
        <v>4</v>
      </c>
      <c r="FG17" s="383"/>
      <c r="FH17" s="239"/>
      <c r="FI17" s="239"/>
      <c r="FJ17" s="239"/>
      <c r="FK17" s="248"/>
      <c r="FL17" s="248"/>
      <c r="FM17" s="244"/>
      <c r="FN17" s="114">
        <f t="shared" si="23"/>
        <v>4</v>
      </c>
      <c r="FO17" s="212" t="s">
        <v>353</v>
      </c>
      <c r="FP17" s="212"/>
      <c r="FQ17" s="244"/>
      <c r="FR17" s="244"/>
      <c r="FS17" s="244">
        <f>+'[32]Lead G'!F17</f>
        <v>0</v>
      </c>
      <c r="FT17" s="244">
        <f>+'[32]Lead G'!G17</f>
        <v>-1019306.0138624996</v>
      </c>
      <c r="FU17" s="244">
        <f>+FT17-FS17</f>
        <v>-1019306.0138624996</v>
      </c>
      <c r="FV17" s="27">
        <v>4</v>
      </c>
      <c r="FW17" s="279" t="s">
        <v>417</v>
      </c>
      <c r="FX17" s="209"/>
      <c r="FY17" s="457">
        <f>+'[27]Lead G'!D13</f>
        <v>0</v>
      </c>
      <c r="FZ17" s="457">
        <f>+'[27]Lead G'!E13</f>
        <v>0</v>
      </c>
      <c r="GA17" s="457">
        <f t="shared" si="19"/>
        <v>0</v>
      </c>
      <c r="GB17" s="457">
        <f>+'[27]Lead G'!G13</f>
        <v>0</v>
      </c>
      <c r="GC17" s="457">
        <f t="shared" si="24"/>
        <v>0</v>
      </c>
      <c r="GD17" s="208">
        <f>+GD16+1</f>
        <v>4</v>
      </c>
      <c r="GE17" s="212" t="s">
        <v>376</v>
      </c>
      <c r="GF17" s="212"/>
      <c r="GG17" s="244">
        <f>'[7]Gas Lead '!D17</f>
        <v>0</v>
      </c>
      <c r="GH17" s="244">
        <f>'[7]Gas Lead '!E17</f>
        <v>0</v>
      </c>
      <c r="GI17" s="244">
        <v>0</v>
      </c>
      <c r="GJ17" s="663">
        <f>'[7]Gas Lead '!$G$17</f>
        <v>-2449225.6155966669</v>
      </c>
      <c r="GK17" s="244">
        <f t="shared" si="26"/>
        <v>-2449225.6155966669</v>
      </c>
      <c r="GL17" s="326">
        <f t="shared" si="20"/>
        <v>4</v>
      </c>
      <c r="GM17" s="154" t="s">
        <v>243</v>
      </c>
      <c r="GN17" s="5"/>
      <c r="GO17" s="226">
        <f>GO15</f>
        <v>597372</v>
      </c>
      <c r="GP17" s="226">
        <f>GP15</f>
        <v>597372</v>
      </c>
      <c r="GQ17" s="226">
        <f>GQ15</f>
        <v>0</v>
      </c>
      <c r="GR17" s="226">
        <f>GR15</f>
        <v>161804.418725</v>
      </c>
      <c r="GS17" s="226">
        <f>GS15</f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347</v>
      </c>
      <c r="HD17" s="115"/>
      <c r="HE17" s="720">
        <v>0</v>
      </c>
      <c r="HF17" s="720">
        <f>+HE17</f>
        <v>0</v>
      </c>
      <c r="HG17" s="720">
        <f t="shared" si="27"/>
        <v>0</v>
      </c>
      <c r="HH17" s="720">
        <f>+'[30]Lead G'!G16</f>
        <v>-57733.95656081185</v>
      </c>
      <c r="HI17" s="721">
        <f t="shared" si="27"/>
        <v>-57733.95656081185</v>
      </c>
      <c r="HJ17" s="326">
        <f t="shared" si="28"/>
        <v>4</v>
      </c>
      <c r="HK17" s="224" t="s">
        <v>9</v>
      </c>
      <c r="HL17" s="5"/>
      <c r="HM17" s="148">
        <f>'[17]Lead G'!D13</f>
        <v>7112059.2000000002</v>
      </c>
      <c r="HN17" s="148">
        <f>'[17]Lead G'!E13</f>
        <v>7112059.2000000002</v>
      </c>
      <c r="HO17" s="148">
        <f>HN17-HM17</f>
        <v>0</v>
      </c>
      <c r="HP17" s="148">
        <f>'[17]Lead G'!G13</f>
        <v>7217317.6799999997</v>
      </c>
      <c r="HQ17" s="148">
        <f>HP17-HN17</f>
        <v>105258.47999999952</v>
      </c>
      <c r="HR17" s="106">
        <f t="shared" si="29"/>
        <v>4</v>
      </c>
      <c r="HS17" s="154" t="s">
        <v>487</v>
      </c>
      <c r="HT17" s="5"/>
      <c r="HU17" s="724">
        <f>'[33]Lead G'!$D$17</f>
        <v>0</v>
      </c>
      <c r="HV17" s="724">
        <f>'[33]Lead G'!$E$17</f>
        <v>0</v>
      </c>
      <c r="HW17" s="724">
        <f>'[33]Lead G'!$F$17</f>
        <v>0</v>
      </c>
      <c r="HX17" s="724">
        <f>'[33]Lead G'!$G$17</f>
        <v>-493344.24999999988</v>
      </c>
      <c r="HY17" s="724">
        <f>'[33]Lead G'!$H$17</f>
        <v>-493344.24999999988</v>
      </c>
    </row>
    <row r="18" spans="1:236" ht="16.5" thickTop="1" thickBot="1">
      <c r="A18" s="237">
        <f t="shared" si="3"/>
        <v>5</v>
      </c>
      <c r="B18" s="369" t="s">
        <v>448</v>
      </c>
      <c r="C18" s="245"/>
      <c r="D18" s="751"/>
      <c r="E18" s="405"/>
      <c r="F18" s="244">
        <f>+'[18]Gas Lead'!E16</f>
        <v>-11165964.627245229</v>
      </c>
      <c r="G18" s="751"/>
      <c r="H18" s="248">
        <v>0</v>
      </c>
      <c r="I18" s="106">
        <f t="shared" si="21"/>
        <v>5</v>
      </c>
      <c r="J18" s="229"/>
      <c r="K18" s="5"/>
      <c r="L18" s="271"/>
      <c r="M18" s="271"/>
      <c r="N18" s="271"/>
      <c r="O18" s="271"/>
      <c r="P18" s="271"/>
      <c r="Q18" s="343"/>
      <c r="R18" s="343"/>
      <c r="S18" s="343"/>
      <c r="T18" s="343"/>
      <c r="U18" s="343"/>
      <c r="V18" s="343"/>
      <c r="W18" s="343"/>
      <c r="X18" s="343"/>
      <c r="Y18" s="114">
        <f t="shared" si="4"/>
        <v>5</v>
      </c>
      <c r="Z18" s="20" t="s">
        <v>111</v>
      </c>
      <c r="AB18" s="410"/>
      <c r="AC18" s="342">
        <f>+'COC-Restating'!E11</f>
        <v>2.9399999999999999E-2</v>
      </c>
      <c r="AD18" s="342"/>
      <c r="AE18" s="649">
        <f>+'COC, Def, ConvF'!H12</f>
        <v>2.87E-2</v>
      </c>
      <c r="AF18" s="342"/>
      <c r="AG18" s="237">
        <f t="shared" si="5"/>
        <v>6</v>
      </c>
      <c r="AH18" s="151" t="s">
        <v>257</v>
      </c>
      <c r="AI18" s="125"/>
      <c r="AJ18" s="244">
        <f>+'[9]Lead 3.05  '!D14</f>
        <v>154860.41999999998</v>
      </c>
      <c r="AK18" s="262">
        <f>+'[9]Lead 3.05  '!E14</f>
        <v>0</v>
      </c>
      <c r="AL18" s="244">
        <f t="shared" si="6"/>
        <v>-154860.41999999998</v>
      </c>
      <c r="AM18" s="262">
        <f t="shared" si="7"/>
        <v>0</v>
      </c>
      <c r="AN18" s="262">
        <f t="shared" si="8"/>
        <v>0</v>
      </c>
      <c r="AO18" s="114">
        <f t="shared" si="9"/>
        <v>5</v>
      </c>
      <c r="AP18" s="47" t="s">
        <v>119</v>
      </c>
      <c r="AQ18" s="47"/>
      <c r="AR18" s="88">
        <f>+AR16</f>
        <v>-465463.01181622047</v>
      </c>
      <c r="AS18" s="88">
        <f>+AS16</f>
        <v>1124814.3630365257</v>
      </c>
      <c r="AT18" s="88">
        <f>+AT16</f>
        <v>1590277.3748527463</v>
      </c>
      <c r="AU18" s="88">
        <f>+AU16</f>
        <v>1124814.3630365257</v>
      </c>
      <c r="AV18" s="88">
        <f>+AV16</f>
        <v>0</v>
      </c>
      <c r="AW18" s="70">
        <f>AW17+1</f>
        <v>5</v>
      </c>
      <c r="AX18" s="196" t="s">
        <v>84</v>
      </c>
      <c r="AY18" s="223">
        <f>+FIT_GAS</f>
        <v>0.21</v>
      </c>
      <c r="AZ18" s="457">
        <f>+AZ17*$AY$18</f>
        <v>-909976.90444731002</v>
      </c>
      <c r="BA18" s="457">
        <f>+BA17*$AY$18</f>
        <v>-943318.72532794659</v>
      </c>
      <c r="BB18" s="457">
        <f>BA18-AZ18</f>
        <v>-33341.820880636573</v>
      </c>
      <c r="BC18" s="457">
        <f>BA18</f>
        <v>-943318.72532794659</v>
      </c>
      <c r="BD18" s="457">
        <f>BC18-BA18</f>
        <v>0</v>
      </c>
      <c r="BE18" s="41"/>
      <c r="BF18" s="27">
        <f t="shared" si="10"/>
        <v>5</v>
      </c>
      <c r="BG18" s="205" t="s">
        <v>124</v>
      </c>
      <c r="BI18" s="382">
        <f>[21]Gas!D17</f>
        <v>0</v>
      </c>
      <c r="BJ18" s="382">
        <f>[21]Gas!E17</f>
        <v>0</v>
      </c>
      <c r="BK18" s="382">
        <f>[21]Gas!F17</f>
        <v>0</v>
      </c>
      <c r="BL18" s="382">
        <f>[21]Gas!G17</f>
        <v>0</v>
      </c>
      <c r="BM18" s="382">
        <f>[21]Gas!H17</f>
        <v>0</v>
      </c>
      <c r="BN18" s="100">
        <v>5</v>
      </c>
      <c r="BO18" s="153" t="s">
        <v>175</v>
      </c>
      <c r="BP18" s="153"/>
      <c r="BQ18" s="244">
        <f>BQ16</f>
        <v>36359530.788213</v>
      </c>
      <c r="BR18" s="244">
        <f>BR16</f>
        <v>36271067.331771001</v>
      </c>
      <c r="BS18" s="50">
        <f>BR18-BQ18</f>
        <v>-88463.456441998482</v>
      </c>
      <c r="BT18" s="244">
        <f>BT16</f>
        <v>36359530.788213</v>
      </c>
      <c r="BU18" s="244">
        <f>BU16</f>
        <v>88463.456441999879</v>
      </c>
      <c r="BV18" s="136">
        <f t="shared" si="11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477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>DB17+1</f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>-DF16*$DD$18</f>
        <v>-272263.1748826105</v>
      </c>
      <c r="DG18" s="269">
        <f>-DG16*$DD$18</f>
        <v>-13994.538111149195</v>
      </c>
      <c r="DH18" s="269">
        <f>-DH16*$DD$18</f>
        <v>-278770.57528706139</v>
      </c>
      <c r="DI18" s="269">
        <f>-DI16*$DD$18</f>
        <v>-6507.4004044509247</v>
      </c>
      <c r="DJ18" s="27">
        <f t="shared" si="13"/>
        <v>5</v>
      </c>
      <c r="DK18" s="240" t="s">
        <v>124</v>
      </c>
      <c r="DL18" s="180"/>
      <c r="DM18" s="190">
        <f>+'[22]Gas RS + RP'!D16</f>
        <v>0</v>
      </c>
      <c r="DN18" s="190">
        <f>+'[22]Gas RS + RP'!E16</f>
        <v>0</v>
      </c>
      <c r="DO18" s="162">
        <f t="shared" si="14"/>
        <v>0</v>
      </c>
      <c r="DP18" s="190">
        <f>+'[22]Gas RS + RP'!G16</f>
        <v>0</v>
      </c>
      <c r="DQ18" s="190">
        <f t="shared" si="15"/>
        <v>0</v>
      </c>
      <c r="DR18" s="27">
        <f t="shared" si="16"/>
        <v>5</v>
      </c>
      <c r="DS18" s="153" t="s">
        <v>149</v>
      </c>
      <c r="DT18" s="27"/>
      <c r="DU18" s="184">
        <f>+[23]Gas!D17</f>
        <v>1462408.4927999999</v>
      </c>
      <c r="DV18" s="184">
        <f>+[23]Gas!E17</f>
        <v>1462408.4927999999</v>
      </c>
      <c r="DW18" s="184">
        <f>+DV18-DU18</f>
        <v>0</v>
      </c>
      <c r="DX18" s="184">
        <f>+[23]Gas!G17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17"/>
        <v>5</v>
      </c>
      <c r="EI18" s="154" t="s">
        <v>30</v>
      </c>
      <c r="EK18" s="148">
        <f>'[6]Lead G'!C15</f>
        <v>54431800.053166389</v>
      </c>
      <c r="EL18" s="651">
        <f>EK18</f>
        <v>54431800.053166389</v>
      </c>
      <c r="EM18" s="651">
        <f t="shared" si="0"/>
        <v>0</v>
      </c>
      <c r="EN18" s="226">
        <f t="shared" si="1"/>
        <v>54431800.053166389</v>
      </c>
      <c r="EO18" s="148">
        <f t="shared" si="2"/>
        <v>0</v>
      </c>
      <c r="EP18" s="326">
        <f t="shared" si="22"/>
        <v>5</v>
      </c>
      <c r="EQ18" s="224" t="s">
        <v>284</v>
      </c>
      <c r="ER18" s="326"/>
      <c r="ES18" s="265">
        <f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18"/>
        <v>5</v>
      </c>
      <c r="EY18" s="5"/>
      <c r="EZ18" s="5"/>
      <c r="FA18" s="5"/>
      <c r="FB18" s="5"/>
      <c r="FC18" s="5"/>
      <c r="FD18" s="5"/>
      <c r="FE18" s="5"/>
      <c r="FF18" s="114">
        <f>FF17+1</f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23"/>
        <v>5</v>
      </c>
      <c r="FO18" s="212" t="s">
        <v>354</v>
      </c>
      <c r="FP18" s="212"/>
      <c r="FQ18" s="244"/>
      <c r="FR18" s="244"/>
      <c r="FS18" s="244">
        <f>+'[32]Lead G'!F18</f>
        <v>0</v>
      </c>
      <c r="FT18" s="244">
        <f>+'[32]Lead G'!G18</f>
        <v>-872688.03016393958</v>
      </c>
      <c r="FU18" s="244">
        <f>+FT18-FS18</f>
        <v>-872688.03016393958</v>
      </c>
      <c r="FV18" s="27">
        <v>5</v>
      </c>
      <c r="FW18" s="279" t="s">
        <v>339</v>
      </c>
      <c r="FX18" s="209"/>
      <c r="FY18" s="457">
        <f>+'[27]Lead G'!D14</f>
        <v>1567215.6078579</v>
      </c>
      <c r="FZ18" s="457">
        <f>+'[27]Lead G'!E14</f>
        <v>1567215.6078579</v>
      </c>
      <c r="GA18" s="457">
        <f t="shared" si="19"/>
        <v>0</v>
      </c>
      <c r="GB18" s="457">
        <f>+'[27]Lead G'!G14</f>
        <v>1505385.8006040002</v>
      </c>
      <c r="GC18" s="457">
        <f t="shared" si="24"/>
        <v>-61829.807253899751</v>
      </c>
      <c r="GD18" s="208">
        <f t="shared" si="25"/>
        <v>5</v>
      </c>
      <c r="GE18" s="212" t="s">
        <v>377</v>
      </c>
      <c r="GF18" s="212"/>
      <c r="GG18" s="244">
        <f>'[7]Gas Lead '!D18</f>
        <v>0</v>
      </c>
      <c r="GH18" s="244">
        <f>'[7]Gas Lead '!E18</f>
        <v>0</v>
      </c>
      <c r="GI18" s="244">
        <v>0</v>
      </c>
      <c r="GJ18" s="663">
        <f>'[7]Gas Lead '!$G$18</f>
        <v>128584.344818825</v>
      </c>
      <c r="GK18" s="244">
        <f t="shared" si="26"/>
        <v>128584.344818825</v>
      </c>
      <c r="GL18" s="326">
        <f t="shared" si="20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370</v>
      </c>
      <c r="GV18" s="210"/>
      <c r="GW18" s="3"/>
      <c r="GX18" s="3"/>
      <c r="GY18" s="3"/>
      <c r="GZ18" s="3"/>
      <c r="HA18" s="3"/>
      <c r="HB18" s="27">
        <v>5</v>
      </c>
      <c r="HC18" s="151" t="s">
        <v>348</v>
      </c>
      <c r="HD18" s="115"/>
      <c r="HE18" s="722">
        <f>SUM(HE15:HE17)</f>
        <v>0</v>
      </c>
      <c r="HF18" s="722">
        <f>SUM(HF15:HF17)</f>
        <v>0</v>
      </c>
      <c r="HG18" s="722">
        <f>SUM(HG15:HG17)</f>
        <v>0</v>
      </c>
      <c r="HH18" s="722">
        <f>SUM(HH15:HH17)</f>
        <v>5946647.6649043793</v>
      </c>
      <c r="HI18" s="722">
        <f>SUM(HI15:HI17)</f>
        <v>5946647.6649043793</v>
      </c>
      <c r="HJ18" s="326">
        <f t="shared" si="28"/>
        <v>5</v>
      </c>
      <c r="HK18" s="224" t="s">
        <v>12</v>
      </c>
      <c r="HL18" s="5"/>
      <c r="HM18" s="227">
        <f>'[17]Lead G'!D14</f>
        <v>19366.041045000002</v>
      </c>
      <c r="HN18" s="227">
        <f>'[17]Lead G'!E14</f>
        <v>19366.041045000002</v>
      </c>
      <c r="HO18" s="227">
        <f>HN18-HM18</f>
        <v>0</v>
      </c>
      <c r="HP18" s="227">
        <f>'[17]Lead G'!G14</f>
        <v>19966.917678000002</v>
      </c>
      <c r="HQ18" s="227">
        <f>HP18-HN18</f>
        <v>600.87663299999986</v>
      </c>
      <c r="HR18" s="106">
        <f t="shared" si="29"/>
        <v>5</v>
      </c>
      <c r="HS18" s="154" t="s">
        <v>488</v>
      </c>
      <c r="HT18" s="5"/>
      <c r="HU18" s="724">
        <f>'[33]Lead G'!$D$17</f>
        <v>0</v>
      </c>
      <c r="HV18" s="724">
        <f>'[33]Lead G'!$E$17</f>
        <v>0</v>
      </c>
      <c r="HW18" s="724">
        <f>'[33]Lead G'!$F$17</f>
        <v>0</v>
      </c>
      <c r="HX18" s="724">
        <f>'[33]Lead G'!$G$18</f>
        <v>-189353.38777026249</v>
      </c>
      <c r="HY18" s="724">
        <f>'[33]Lead G'!$H$18</f>
        <v>-189353.38777026249</v>
      </c>
    </row>
    <row r="19" spans="1:236" ht="16.5" thickTop="1" thickBot="1">
      <c r="A19" s="237">
        <f t="shared" si="3"/>
        <v>6</v>
      </c>
      <c r="B19" s="369" t="s">
        <v>388</v>
      </c>
      <c r="C19" s="378"/>
      <c r="D19" s="752"/>
      <c r="E19" s="406"/>
      <c r="F19" s="244">
        <f>+'[18]Gas Lead'!E17</f>
        <v>945501.50930613512</v>
      </c>
      <c r="G19" s="752"/>
      <c r="H19" s="243">
        <v>0</v>
      </c>
      <c r="I19" s="106">
        <f t="shared" si="21"/>
        <v>6</v>
      </c>
      <c r="J19" s="228" t="s">
        <v>451</v>
      </c>
      <c r="K19" s="5"/>
      <c r="L19" s="447">
        <f>L15*L17</f>
        <v>5335641.356527552</v>
      </c>
      <c r="M19" s="447">
        <f>M15*M17</f>
        <v>5407446.7055772236</v>
      </c>
      <c r="N19" s="447">
        <f>'[19]Gas Lead'!$F$14</f>
        <v>71805.349049671087</v>
      </c>
      <c r="O19" s="447">
        <f>'[19]Gas Lead'!$G$14</f>
        <v>39343788.777892798</v>
      </c>
      <c r="P19" s="447">
        <f>'[19]Gas Lead'!$H$14</f>
        <v>33936342.072315551</v>
      </c>
      <c r="Q19" s="343"/>
      <c r="R19" s="343"/>
      <c r="S19" s="343"/>
      <c r="T19" s="343"/>
      <c r="U19" s="343"/>
      <c r="V19" s="343"/>
      <c r="W19" s="343"/>
      <c r="X19" s="343"/>
      <c r="Y19" s="114">
        <f t="shared" si="4"/>
        <v>6</v>
      </c>
      <c r="Z19" s="20" t="s">
        <v>112</v>
      </c>
      <c r="AB19" s="454">
        <v>0</v>
      </c>
      <c r="AC19" s="454">
        <f>+AC14*AC18</f>
        <v>61532733.138659179</v>
      </c>
      <c r="AD19" s="454">
        <f>+AC19-AB19</f>
        <v>61532733.138659179</v>
      </c>
      <c r="AE19" s="409">
        <f>+AE14*AE18</f>
        <v>59440265.269389741</v>
      </c>
      <c r="AF19" s="455">
        <f>+AE19-AD19</f>
        <v>-2092467.8692694381</v>
      </c>
      <c r="AG19" s="237">
        <f t="shared" si="5"/>
        <v>7</v>
      </c>
      <c r="AH19" s="151" t="s">
        <v>258</v>
      </c>
      <c r="AI19" s="125"/>
      <c r="AJ19" s="244">
        <f>+'[9]Lead 3.05  '!D15</f>
        <v>-52671.83</v>
      </c>
      <c r="AK19" s="262">
        <f>+'[9]Lead 3.05  '!E15</f>
        <v>0</v>
      </c>
      <c r="AL19" s="244">
        <f t="shared" si="6"/>
        <v>52671.83</v>
      </c>
      <c r="AM19" s="262">
        <f t="shared" si="7"/>
        <v>0</v>
      </c>
      <c r="AN19" s="262">
        <f t="shared" si="8"/>
        <v>0</v>
      </c>
      <c r="AO19" s="114">
        <f t="shared" si="9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>-$AQ$19*AS18</f>
        <v>-236211.01623767038</v>
      </c>
      <c r="AT19" s="135">
        <f>-$AQ$19*AT18</f>
        <v>-333958.24871907668</v>
      </c>
      <c r="AU19" s="135">
        <f>-$AQ$19*AU18</f>
        <v>-236211.01623767038</v>
      </c>
      <c r="AV19" s="135">
        <f>-$AQ$19*AV18</f>
        <v>0</v>
      </c>
      <c r="AW19" s="70">
        <f>AW18+1</f>
        <v>6</v>
      </c>
      <c r="AX19" s="196" t="s">
        <v>80</v>
      </c>
      <c r="AY19" s="196"/>
      <c r="AZ19" s="458">
        <f>AZ17-AZ18</f>
        <v>-3423246.4500636901</v>
      </c>
      <c r="BA19" s="458">
        <f>BA17-BA18</f>
        <v>-3548675.2048051325</v>
      </c>
      <c r="BB19" s="458">
        <f>BB17-BB18</f>
        <v>-125428.75474144239</v>
      </c>
      <c r="BC19" s="458">
        <f>BC17-BC18</f>
        <v>-3548675.2048051325</v>
      </c>
      <c r="BD19" s="458">
        <f>BD17-BD18</f>
        <v>0</v>
      </c>
      <c r="BE19" s="42">
        <f>[20]Summary!$G$18</f>
        <v>5.1240000000000001E-3</v>
      </c>
      <c r="BF19" s="27">
        <f t="shared" si="10"/>
        <v>6</v>
      </c>
      <c r="BG19" s="205" t="s">
        <v>125</v>
      </c>
      <c r="BI19" s="382">
        <f>[21]Gas!D18</f>
        <v>1865743.5814950194</v>
      </c>
      <c r="BJ19" s="382">
        <f>[21]Gas!E18</f>
        <v>1986577.5876422047</v>
      </c>
      <c r="BK19" s="382">
        <f>[21]Gas!F18</f>
        <v>120834.00614718534</v>
      </c>
      <c r="BL19" s="382">
        <f>[21]Gas!G18</f>
        <v>1986577.5876422047</v>
      </c>
      <c r="BM19" s="382">
        <f>[21]Gas!H18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>BR19-BQ19</f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1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>-CW17-CW18</f>
        <v>-1606404.4501608335</v>
      </c>
      <c r="CX19" s="67">
        <f>-CX17-CX18</f>
        <v>-2376855.1976258974</v>
      </c>
      <c r="CY19" s="67">
        <f>-CY17-CY18</f>
        <v>-770450.7474650637</v>
      </c>
      <c r="CZ19" s="67">
        <f>-CZ17-CZ18</f>
        <v>-2376855.1976258974</v>
      </c>
      <c r="DA19" s="67">
        <f>-DA17-DA18</f>
        <v>0</v>
      </c>
      <c r="DB19" s="16">
        <f>DB18+1</f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>-DG16-DG18</f>
        <v>-52646.119560989835</v>
      </c>
      <c r="DH19" s="156">
        <f>-DH16-DH18</f>
        <v>-1048708.3546513263</v>
      </c>
      <c r="DI19" s="156">
        <f>-DI16-DI18</f>
        <v>-24480.220569124907</v>
      </c>
      <c r="DJ19" s="27">
        <f t="shared" si="13"/>
        <v>6</v>
      </c>
      <c r="DK19" s="240" t="s">
        <v>125</v>
      </c>
      <c r="DL19" s="180"/>
      <c r="DM19" s="190">
        <f>+'[22]Gas RS + RP'!D17</f>
        <v>25614608.633726873</v>
      </c>
      <c r="DN19" s="190">
        <f>+'[22]Gas RS + RP'!E17</f>
        <v>26017231.896021232</v>
      </c>
      <c r="DO19" s="162">
        <f t="shared" si="14"/>
        <v>402623.26229435951</v>
      </c>
      <c r="DP19" s="190">
        <f>+'[22]Gas RS + RP'!G17</f>
        <v>27367437.778159473</v>
      </c>
      <c r="DQ19" s="190">
        <f t="shared" si="15"/>
        <v>1350205.8821382411</v>
      </c>
      <c r="DR19" s="27">
        <f t="shared" si="16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17"/>
        <v>6</v>
      </c>
      <c r="EI19" s="154" t="s">
        <v>31</v>
      </c>
      <c r="EK19" s="227">
        <v>0</v>
      </c>
      <c r="EL19" s="227">
        <v>0</v>
      </c>
      <c r="EM19" s="227">
        <f t="shared" si="0"/>
        <v>0</v>
      </c>
      <c r="EN19" s="227">
        <f t="shared" si="1"/>
        <v>0</v>
      </c>
      <c r="EO19" s="227">
        <f t="shared" si="2"/>
        <v>0</v>
      </c>
      <c r="EP19" s="326">
        <f t="shared" si="22"/>
        <v>6</v>
      </c>
      <c r="EQ19" s="224" t="s">
        <v>405</v>
      </c>
      <c r="ER19" s="326"/>
      <c r="ES19" s="148">
        <f>'[16]Lead Gas'!D19</f>
        <v>150570.87421800001</v>
      </c>
      <c r="ET19" s="148">
        <f>'[16]Lead Gas'!E19</f>
        <v>155899.85061600001</v>
      </c>
      <c r="EU19" s="148">
        <f>ET19-ES19</f>
        <v>5328.9763979999989</v>
      </c>
      <c r="EV19" s="148">
        <f>ET19</f>
        <v>155899.85061600001</v>
      </c>
      <c r="EW19" s="148">
        <f>EV19-ET19</f>
        <v>0</v>
      </c>
      <c r="EX19" s="106">
        <f t="shared" si="18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>FF18+1</f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23"/>
        <v>6</v>
      </c>
      <c r="FO19" s="180" t="s">
        <v>378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340</v>
      </c>
      <c r="FX19" s="209"/>
      <c r="FY19" s="457">
        <f>+'[27]Lead G'!D15</f>
        <v>450520.55347530002</v>
      </c>
      <c r="FZ19" s="457">
        <f>+'[27]Lead G'!E15</f>
        <v>450520.55347530002</v>
      </c>
      <c r="GA19" s="457">
        <f t="shared" si="19"/>
        <v>0</v>
      </c>
      <c r="GB19" s="457">
        <f>+'[27]Lead G'!G15</f>
        <v>337383.05895000004</v>
      </c>
      <c r="GC19" s="457">
        <f t="shared" si="24"/>
        <v>-113137.49452529999</v>
      </c>
      <c r="GD19" s="208">
        <f t="shared" si="25"/>
        <v>6</v>
      </c>
      <c r="GE19" s="180" t="s">
        <v>378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664">
        <f>SUM(GJ16:GJ18)</f>
        <v>2087964.8372961571</v>
      </c>
      <c r="GK19" s="254">
        <f>SUM(GK16:GK18)</f>
        <v>2087964.8372961571</v>
      </c>
      <c r="GL19" s="326">
        <f t="shared" si="20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371</v>
      </c>
      <c r="GV19" s="211"/>
      <c r="GW19" s="202">
        <f>'[29]Lead G'!$D$18</f>
        <v>0</v>
      </c>
      <c r="GX19" s="202">
        <f>GW19</f>
        <v>0</v>
      </c>
      <c r="GY19" s="202">
        <f>GX19-GW19</f>
        <v>0</v>
      </c>
      <c r="GZ19" s="202">
        <f>'[29]Lead G'!$G$18</f>
        <v>-722630.37767299998</v>
      </c>
      <c r="HA19" s="202">
        <f>GZ19-GX19</f>
        <v>-722630.37767299998</v>
      </c>
      <c r="HB19" s="27">
        <v>6</v>
      </c>
      <c r="HE19" s="723"/>
      <c r="HF19" s="723"/>
      <c r="HG19" s="723"/>
      <c r="HH19" s="723"/>
      <c r="HI19" s="723"/>
      <c r="HJ19" s="326">
        <f t="shared" si="28"/>
        <v>6</v>
      </c>
      <c r="HK19" s="224" t="s">
        <v>102</v>
      </c>
      <c r="HM19" s="226">
        <f>SUM(HM14:HM18)</f>
        <v>23609047.271044999</v>
      </c>
      <c r="HN19" s="226">
        <f>SUM(HN14:HN18)</f>
        <v>23609047.271044999</v>
      </c>
      <c r="HO19" s="226">
        <f>SUM(HO14:HO18)</f>
        <v>0</v>
      </c>
      <c r="HP19" s="226">
        <f>SUM(HP14:HP18)</f>
        <v>23993626.217678003</v>
      </c>
      <c r="HQ19" s="226">
        <f>SUM(HQ14:HQ18)</f>
        <v>384578.94663300115</v>
      </c>
      <c r="HR19" s="106">
        <f t="shared" si="29"/>
        <v>6</v>
      </c>
      <c r="HS19" s="154" t="s">
        <v>378</v>
      </c>
      <c r="HT19" s="108"/>
      <c r="HU19" s="733">
        <f>SUM(HU16:HU18)</f>
        <v>0</v>
      </c>
      <c r="HV19" s="733">
        <f>SUM(HV16:HV18)</f>
        <v>0</v>
      </c>
      <c r="HW19" s="733">
        <f>SUM(HW16:HW18)</f>
        <v>0</v>
      </c>
      <c r="HX19" s="733">
        <f>SUM(HX16:HX18)</f>
        <v>2799732.3622297375</v>
      </c>
      <c r="HY19" s="733">
        <f>SUM(HY16:HY18)</f>
        <v>2799732.3622297375</v>
      </c>
    </row>
    <row r="20" spans="1:236" ht="16.5" thickTop="1" thickBot="1">
      <c r="A20" s="237">
        <f t="shared" si="3"/>
        <v>7</v>
      </c>
      <c r="B20" s="371" t="s">
        <v>464</v>
      </c>
      <c r="C20" s="378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1"/>
        <v>7</v>
      </c>
      <c r="J20" s="229"/>
      <c r="K20" s="5"/>
      <c r="L20" s="271"/>
      <c r="M20" s="271"/>
      <c r="N20" s="271"/>
      <c r="O20" s="271"/>
      <c r="P20" s="271"/>
      <c r="Q20" s="343"/>
      <c r="R20" s="343"/>
      <c r="S20" s="343"/>
      <c r="T20" s="343"/>
      <c r="U20" s="343"/>
      <c r="V20" s="343"/>
      <c r="W20" s="343"/>
      <c r="X20" s="343"/>
      <c r="Y20" s="114">
        <f t="shared" si="4"/>
        <v>7</v>
      </c>
      <c r="Z20" s="20"/>
      <c r="AB20" s="280"/>
      <c r="AC20" s="280"/>
      <c r="AD20" s="280"/>
      <c r="AE20" s="280"/>
      <c r="AF20" s="280"/>
      <c r="AG20" s="237">
        <f t="shared" si="5"/>
        <v>8</v>
      </c>
      <c r="AH20" s="151" t="s">
        <v>165</v>
      </c>
      <c r="AI20" s="125"/>
      <c r="AJ20" s="244">
        <f>+'[9]Lead 3.05  '!D16</f>
        <v>46012584.141477734</v>
      </c>
      <c r="AK20" s="262">
        <f>+'[9]Lead 3.05  '!E16</f>
        <v>0</v>
      </c>
      <c r="AL20" s="244">
        <f t="shared" si="6"/>
        <v>-46012584.141477734</v>
      </c>
      <c r="AM20" s="262">
        <f t="shared" si="7"/>
        <v>0</v>
      </c>
      <c r="AN20" s="262">
        <f t="shared" si="8"/>
        <v>0</v>
      </c>
      <c r="AO20" s="114">
        <f t="shared" si="9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3"/>
      <c r="BF20" s="27">
        <f t="shared" si="10"/>
        <v>7</v>
      </c>
      <c r="BG20" s="205" t="s">
        <v>126</v>
      </c>
      <c r="BI20" s="382">
        <f>[21]Gas!D19</f>
        <v>590456.90913402813</v>
      </c>
      <c r="BJ20" s="382">
        <f>[21]Gas!E19</f>
        <v>619932.49943511235</v>
      </c>
      <c r="BK20" s="382">
        <f>[21]Gas!F19</f>
        <v>29475.590301084216</v>
      </c>
      <c r="BL20" s="382">
        <f>[21]Gas!G19</f>
        <v>619932.49943511235</v>
      </c>
      <c r="BM20" s="382">
        <f>[21]Gas!H19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1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4">
        <f>-CO17-CO19</f>
        <v>4763.2752936299994</v>
      </c>
      <c r="CP20" s="384">
        <f>-CP17-CP19</f>
        <v>-433315</v>
      </c>
      <c r="CQ20" s="384">
        <f>-CQ17-CQ19</f>
        <v>-438078.27529363008</v>
      </c>
      <c r="CR20" s="384">
        <f>-CR17-CR19</f>
        <v>-433315</v>
      </c>
      <c r="CS20" s="384">
        <f>-CS17-CS19</f>
        <v>0</v>
      </c>
      <c r="CT20" s="16"/>
      <c r="DB20" s="16"/>
      <c r="DJ20" s="27">
        <f t="shared" si="13"/>
        <v>7</v>
      </c>
      <c r="DK20" s="240" t="s">
        <v>126</v>
      </c>
      <c r="DL20" s="180"/>
      <c r="DM20" s="190">
        <f>+'[22]Gas RS + RP'!D18</f>
        <v>8106312.9809994772</v>
      </c>
      <c r="DN20" s="161">
        <f>+'[22]Gas RS + RP'!E18</f>
        <v>8119269.1840749597</v>
      </c>
      <c r="DO20" s="162">
        <f t="shared" si="14"/>
        <v>12956.20307548251</v>
      </c>
      <c r="DP20" s="161">
        <f>+'[22]Gas RS + RP'!G18</f>
        <v>8393646.5255392529</v>
      </c>
      <c r="DQ20" s="161">
        <f t="shared" si="15"/>
        <v>274377.34146429319</v>
      </c>
      <c r="DR20" s="27">
        <f t="shared" si="16"/>
        <v>7</v>
      </c>
      <c r="DS20" s="466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'[24]Lead Gas'!D19</f>
        <v>6749185.0726644062</v>
      </c>
      <c r="ED20" s="232">
        <f>'[24]Lead Gas'!E19</f>
        <v>6749185.0726644062</v>
      </c>
      <c r="EE20" s="232">
        <f>ED20-EC20</f>
        <v>0</v>
      </c>
      <c r="EF20" s="232">
        <f>'[24]Lead Gas'!G19</f>
        <v>6749185.0726644062</v>
      </c>
      <c r="EG20" s="474">
        <f>EF20-ED20</f>
        <v>0</v>
      </c>
      <c r="EH20" s="114">
        <f t="shared" si="17"/>
        <v>7</v>
      </c>
      <c r="EI20" s="154" t="s">
        <v>32</v>
      </c>
      <c r="EK20" s="473">
        <f>SUM(EK14:EK19)</f>
        <v>1951252143.2591095</v>
      </c>
      <c r="EL20" s="473">
        <f>SUM(EL14:EL19)</f>
        <v>2102793805.8838811</v>
      </c>
      <c r="EM20" s="473">
        <f>SUM(EM14:EM19)</f>
        <v>151541662.6247718</v>
      </c>
      <c r="EN20" s="473">
        <f>SUM(EN14:EN19)</f>
        <v>2102793805.8838811</v>
      </c>
      <c r="EO20" s="475">
        <f>SUM(EO14:EO19)</f>
        <v>0</v>
      </c>
      <c r="EP20" s="326">
        <f t="shared" si="22"/>
        <v>7</v>
      </c>
      <c r="EQ20" s="224" t="s">
        <v>406</v>
      </c>
      <c r="ER20" s="326"/>
      <c r="ES20" s="147">
        <f>'[16]Lead Gas'!D20</f>
        <v>159133.14000000001</v>
      </c>
      <c r="ET20" s="147">
        <f>'[16]Lead Gas'!E20</f>
        <v>168529.08</v>
      </c>
      <c r="EU20" s="147">
        <f>ET20-ES20</f>
        <v>9395.9399999999732</v>
      </c>
      <c r="EV20" s="147">
        <f>ET20</f>
        <v>168529.08</v>
      </c>
      <c r="EW20" s="147">
        <f>EV20-ET20</f>
        <v>0</v>
      </c>
      <c r="EX20" s="106">
        <f t="shared" si="18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23"/>
        <v>7</v>
      </c>
      <c r="FO20" s="210" t="s">
        <v>379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341</v>
      </c>
      <c r="FX20" s="209"/>
      <c r="FY20" s="457">
        <f>+'[27]Lead G'!D16</f>
        <v>165631.64519055001</v>
      </c>
      <c r="FZ20" s="457">
        <f>+'[27]Lead G'!E16</f>
        <v>165631.64519055001</v>
      </c>
      <c r="GA20" s="457">
        <f t="shared" si="19"/>
        <v>0</v>
      </c>
      <c r="GB20" s="457">
        <f>+'[27]Lead G'!G16</f>
        <v>400013.62731539999</v>
      </c>
      <c r="GC20" s="457">
        <f t="shared" si="24"/>
        <v>234381.98212484998</v>
      </c>
      <c r="GD20" s="208">
        <f t="shared" si="25"/>
        <v>7</v>
      </c>
      <c r="GE20" s="180"/>
      <c r="GF20" s="212"/>
      <c r="GG20" s="254"/>
      <c r="GH20" s="254"/>
      <c r="GI20" s="254"/>
      <c r="GJ20" s="664"/>
      <c r="GK20" s="254"/>
      <c r="GL20" s="326">
        <f t="shared" si="20"/>
        <v>7</v>
      </c>
      <c r="GM20" s="154" t="s">
        <v>80</v>
      </c>
      <c r="GN20" s="5"/>
      <c r="GO20" s="109">
        <f>-GO17-GO19</f>
        <v>-471923.88</v>
      </c>
      <c r="GP20" s="109">
        <f>-GP17-GP19</f>
        <v>-471923.88</v>
      </c>
      <c r="GQ20" s="109">
        <f>-GQ17-GQ19</f>
        <v>0</v>
      </c>
      <c r="GR20" s="109">
        <f>-GR17-GR19</f>
        <v>-127825.49079275</v>
      </c>
      <c r="GS20" s="109">
        <f>-GS17-GS19</f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>GX19</f>
        <v>0</v>
      </c>
      <c r="GY20" s="265">
        <f>GY19</f>
        <v>0</v>
      </c>
      <c r="GZ20" s="265">
        <f>GZ19</f>
        <v>-722630.37767299998</v>
      </c>
      <c r="HA20" s="265">
        <f>HA19</f>
        <v>-722630.37767299998</v>
      </c>
      <c r="HB20" s="27">
        <v>7</v>
      </c>
      <c r="HC20" s="214" t="s">
        <v>359</v>
      </c>
      <c r="HD20" s="214"/>
      <c r="HE20" s="723"/>
      <c r="HF20" s="723"/>
      <c r="HG20" s="723"/>
      <c r="HH20" s="723"/>
      <c r="HI20" s="723"/>
      <c r="HJ20" s="326">
        <f t="shared" si="28"/>
        <v>7</v>
      </c>
      <c r="HK20" s="225"/>
      <c r="HL20" s="5"/>
      <c r="HM20" s="148"/>
      <c r="HN20" s="148"/>
      <c r="HO20" s="148"/>
      <c r="HP20" s="148"/>
      <c r="HQ20" s="148"/>
      <c r="HR20" s="106">
        <f t="shared" si="29"/>
        <v>7</v>
      </c>
      <c r="HS20" s="5"/>
      <c r="HT20" s="5"/>
      <c r="HU20" s="734"/>
      <c r="HV20" s="734"/>
      <c r="HW20" s="734"/>
      <c r="HX20" s="734"/>
      <c r="HY20" s="734"/>
    </row>
    <row r="21" spans="1:236" ht="16.5" thickTop="1" thickBot="1">
      <c r="A21" s="237">
        <f t="shared" si="3"/>
        <v>8</v>
      </c>
      <c r="B21" s="369"/>
      <c r="C21" s="240"/>
      <c r="D21" s="244"/>
      <c r="E21" s="244"/>
      <c r="F21" s="248"/>
      <c r="G21" s="248"/>
      <c r="H21" s="243"/>
      <c r="I21" s="106">
        <f t="shared" si="21"/>
        <v>8</v>
      </c>
      <c r="J21" s="228" t="s">
        <v>366</v>
      </c>
      <c r="K21" s="5"/>
      <c r="L21" s="155">
        <v>0</v>
      </c>
      <c r="M21" s="155">
        <v>0</v>
      </c>
      <c r="N21" s="155">
        <f>M21-L21</f>
        <v>0</v>
      </c>
      <c r="O21" s="448">
        <f>'[19]Gas Lead'!$G$16</f>
        <v>16256425.743188024</v>
      </c>
      <c r="P21" s="445">
        <f>O21-M21</f>
        <v>16256425.743188024</v>
      </c>
      <c r="Q21" s="343"/>
      <c r="R21" s="343"/>
      <c r="S21" s="343"/>
      <c r="T21" s="343"/>
      <c r="U21" s="343"/>
      <c r="V21" s="343"/>
      <c r="W21" s="343"/>
      <c r="X21" s="343"/>
      <c r="Y21" s="114">
        <f t="shared" si="4"/>
        <v>8</v>
      </c>
      <c r="Z21" s="239" t="s">
        <v>113</v>
      </c>
      <c r="AA21" s="385">
        <f>FIT_GAS</f>
        <v>0.21</v>
      </c>
      <c r="AB21" s="294">
        <f>-AB19*$AA$21</f>
        <v>0</v>
      </c>
      <c r="AC21" s="294">
        <f>-AC19*$AA$21</f>
        <v>-12921873.959118428</v>
      </c>
      <c r="AD21" s="294">
        <f>-AD19*$AA$21</f>
        <v>-12921873.959118428</v>
      </c>
      <c r="AE21" s="294">
        <f>-AE19*$AA$21</f>
        <v>-12482455.706571845</v>
      </c>
      <c r="AF21" s="294">
        <f>-AF19*$AA$21</f>
        <v>439418.25254658196</v>
      </c>
      <c r="AG21" s="237">
        <f t="shared" si="5"/>
        <v>9</v>
      </c>
      <c r="AH21" s="151" t="s">
        <v>166</v>
      </c>
      <c r="AI21" s="125"/>
      <c r="AJ21" s="244">
        <f>+'[9]Lead 3.05  '!D17</f>
        <v>-43921450.229999997</v>
      </c>
      <c r="AK21" s="262">
        <f>+'[9]Lead 3.05  '!E17</f>
        <v>0</v>
      </c>
      <c r="AL21" s="244">
        <f t="shared" si="6"/>
        <v>43921450.229999997</v>
      </c>
      <c r="AM21" s="262">
        <f t="shared" si="7"/>
        <v>0</v>
      </c>
      <c r="AN21" s="262">
        <f t="shared" si="8"/>
        <v>0</v>
      </c>
      <c r="AO21" s="114">
        <f t="shared" si="9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10"/>
        <v>8</v>
      </c>
      <c r="BG21" s="205" t="s">
        <v>127</v>
      </c>
      <c r="BH21" s="10"/>
      <c r="BI21" s="382">
        <f>[21]Gas!D20</f>
        <v>62084.89431110851</v>
      </c>
      <c r="BJ21" s="382">
        <f>[21]Gas!E20</f>
        <v>65121.924963913763</v>
      </c>
      <c r="BK21" s="382">
        <f>[21]Gas!F20</f>
        <v>3037.0306528052533</v>
      </c>
      <c r="BL21" s="382">
        <f>[21]Gas!G20</f>
        <v>65121.924963913763</v>
      </c>
      <c r="BM21" s="382">
        <f>[21]Gas!H20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1"/>
        <v>8</v>
      </c>
      <c r="BW21" s="180"/>
      <c r="BX21" s="180"/>
      <c r="BY21" s="460"/>
      <c r="BZ21" s="460"/>
      <c r="CA21" s="460"/>
      <c r="CB21" s="460"/>
      <c r="CC21" s="460"/>
      <c r="CL21" s="27"/>
      <c r="CM21" s="9"/>
      <c r="CN21" s="9"/>
      <c r="CT21" s="16"/>
      <c r="DB21" s="16"/>
      <c r="DJ21" s="27">
        <f t="shared" si="13"/>
        <v>8</v>
      </c>
      <c r="DK21" s="240" t="s">
        <v>127</v>
      </c>
      <c r="DL21" s="180"/>
      <c r="DM21" s="190">
        <f>+'[22]Gas RS + RP'!D19</f>
        <v>852371.36942795804</v>
      </c>
      <c r="DN21" s="161">
        <f>+'[22]Gas RS + RP'!E19</f>
        <v>853095.85341986758</v>
      </c>
      <c r="DO21" s="162">
        <f t="shared" si="14"/>
        <v>724.48399190953933</v>
      </c>
      <c r="DP21" s="161">
        <f>+'[22]Gas RS + RP'!G19</f>
        <v>884707.95937244641</v>
      </c>
      <c r="DQ21" s="161">
        <f t="shared" si="15"/>
        <v>31612.10595257883</v>
      </c>
      <c r="DR21" s="27">
        <f t="shared" si="16"/>
        <v>8</v>
      </c>
      <c r="DS21" s="153" t="s">
        <v>151</v>
      </c>
      <c r="DT21" s="188"/>
      <c r="DU21" s="184">
        <f>+[23]Gas!D20</f>
        <v>471519.19799999997</v>
      </c>
      <c r="DV21" s="184">
        <f>+[23]Gas!E20</f>
        <v>482128.37995499995</v>
      </c>
      <c r="DW21" s="184">
        <f>+DV21-DU21</f>
        <v>10609.181954999978</v>
      </c>
      <c r="DX21" s="184">
        <f>+[23]Gas!G20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>ED19-ED20</f>
        <v>-781.52480093110353</v>
      </c>
      <c r="EE21" s="148">
        <f>EE19-EE20</f>
        <v>13475.113426476943</v>
      </c>
      <c r="EF21" s="148">
        <f>EF19-EF20</f>
        <v>389764.88039446343</v>
      </c>
      <c r="EG21" s="155">
        <f>EG19-EG20</f>
        <v>390546.4051953943</v>
      </c>
      <c r="EH21" s="114"/>
      <c r="EK21" s="337"/>
      <c r="EL21" s="337"/>
      <c r="EM21" s="337"/>
      <c r="EN21" s="337"/>
      <c r="EO21" s="337"/>
      <c r="EP21" s="326">
        <f t="shared" si="22"/>
        <v>8</v>
      </c>
      <c r="EQ21" s="224" t="s">
        <v>285</v>
      </c>
      <c r="ER21" s="326"/>
      <c r="ES21" s="148">
        <f>SUM(ES18:ES20)</f>
        <v>143075300.43646103</v>
      </c>
      <c r="ET21" s="148">
        <f>SUM(ET18:ET20)</f>
        <v>155402272.09059581</v>
      </c>
      <c r="EU21" s="148">
        <f>SUM(EU18:EU20)</f>
        <v>12326971.654134724</v>
      </c>
      <c r="EV21" s="148">
        <f>SUM(EV18:EV20)</f>
        <v>155402272.09059581</v>
      </c>
      <c r="EW21" s="148">
        <f>SUM(EW18:EW20)</f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23"/>
        <v>8</v>
      </c>
      <c r="FO21" s="212" t="s">
        <v>355</v>
      </c>
      <c r="FP21" s="180"/>
      <c r="FQ21" s="244"/>
      <c r="FR21" s="244"/>
      <c r="FS21" s="244">
        <f>+'[32]Lead G'!F21</f>
        <v>0</v>
      </c>
      <c r="FT21" s="244">
        <f>+'[32]Lead G'!G21</f>
        <v>5026060.749488458</v>
      </c>
      <c r="FU21" s="244">
        <f>+FT21-FS21</f>
        <v>5026060.749488458</v>
      </c>
      <c r="FV21" s="27">
        <v>8</v>
      </c>
      <c r="FW21" s="279" t="s">
        <v>342</v>
      </c>
      <c r="FX21" s="209"/>
      <c r="FY21" s="457">
        <f>+'[27]Lead G'!D17</f>
        <v>456719.19790035009</v>
      </c>
      <c r="FZ21" s="457">
        <f>+'[27]Lead G'!E17</f>
        <v>456719.19790035009</v>
      </c>
      <c r="GA21" s="457">
        <f t="shared" si="19"/>
        <v>0</v>
      </c>
      <c r="GB21" s="457">
        <f>+'[27]Lead G'!G17</f>
        <v>365489.92458720005</v>
      </c>
      <c r="GC21" s="457">
        <f t="shared" si="24"/>
        <v>-91229.273313150043</v>
      </c>
      <c r="GD21" s="208">
        <f t="shared" si="25"/>
        <v>8</v>
      </c>
      <c r="GE21" s="210" t="s">
        <v>379</v>
      </c>
      <c r="GF21" s="212"/>
      <c r="GG21" s="244"/>
      <c r="GH21" s="244"/>
      <c r="GI21" s="244"/>
      <c r="GJ21" s="663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3"/>
      <c r="GX21" s="453"/>
      <c r="GY21" s="453"/>
      <c r="GZ21" s="453"/>
      <c r="HA21" s="453"/>
      <c r="HB21" s="27">
        <v>8</v>
      </c>
      <c r="HC21" s="216" t="s">
        <v>398</v>
      </c>
      <c r="HD21" s="216"/>
      <c r="HE21" s="724">
        <v>0</v>
      </c>
      <c r="HF21" s="724">
        <v>0</v>
      </c>
      <c r="HG21" s="724">
        <f>HF21-HE21</f>
        <v>0</v>
      </c>
      <c r="HH21" s="724">
        <f>+'[30]Lead G'!G20</f>
        <v>156400.22579821481</v>
      </c>
      <c r="HI21" s="724">
        <f>HH21-HG21</f>
        <v>156400.22579821481</v>
      </c>
      <c r="HJ21" s="326">
        <f t="shared" si="28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29"/>
        <v>8</v>
      </c>
      <c r="HS21" s="5" t="s">
        <v>358</v>
      </c>
      <c r="HT21" s="5"/>
      <c r="HU21" s="735">
        <f>HU19</f>
        <v>0</v>
      </c>
      <c r="HV21" s="735">
        <f>HV19</f>
        <v>0</v>
      </c>
      <c r="HW21" s="735">
        <f>HW19</f>
        <v>0</v>
      </c>
      <c r="HX21" s="735">
        <f>HX19</f>
        <v>2799732.3622297375</v>
      </c>
      <c r="HY21" s="735">
        <f>HY19</f>
        <v>2799732.3622297375</v>
      </c>
    </row>
    <row r="22" spans="1:236" ht="16.5" thickTop="1" thickBot="1">
      <c r="A22" s="237">
        <f t="shared" si="3"/>
        <v>9</v>
      </c>
      <c r="B22" s="370" t="s">
        <v>2</v>
      </c>
      <c r="C22" s="238"/>
      <c r="D22" s="379"/>
      <c r="E22" s="244"/>
      <c r="F22" s="248"/>
      <c r="G22" s="248"/>
      <c r="H22" s="243"/>
      <c r="I22" s="106">
        <f t="shared" si="21"/>
        <v>9</v>
      </c>
      <c r="J22" s="5"/>
      <c r="K22" s="5"/>
      <c r="L22" s="272"/>
      <c r="M22" s="272"/>
      <c r="N22" s="272"/>
      <c r="O22" s="272"/>
      <c r="P22" s="272"/>
      <c r="Q22" s="343"/>
      <c r="R22" s="343"/>
      <c r="S22" s="343"/>
      <c r="T22" s="343"/>
      <c r="U22" s="343"/>
      <c r="V22" s="343"/>
      <c r="W22" s="343"/>
      <c r="X22" s="343"/>
      <c r="Y22" s="114">
        <f t="shared" si="4"/>
        <v>9</v>
      </c>
      <c r="Z22" s="239" t="s">
        <v>80</v>
      </c>
      <c r="AB22" s="388">
        <f>-AB21</f>
        <v>0</v>
      </c>
      <c r="AC22" s="388">
        <f>-AC21</f>
        <v>12921873.959118428</v>
      </c>
      <c r="AD22" s="388">
        <f>-AD21</f>
        <v>12921873.959118428</v>
      </c>
      <c r="AE22" s="388">
        <f>-AE21</f>
        <v>12482455.706571845</v>
      </c>
      <c r="AF22" s="388">
        <f>-AF21</f>
        <v>-439418.25254658196</v>
      </c>
      <c r="AG22" s="237">
        <f t="shared" si="5"/>
        <v>10</v>
      </c>
      <c r="AH22" s="151" t="s">
        <v>259</v>
      </c>
      <c r="AI22" s="280"/>
      <c r="AJ22" s="244">
        <f>+'[9]Lead 3.05  '!D18</f>
        <v>41329081.230000004</v>
      </c>
      <c r="AK22" s="262">
        <f>+'[9]Lead 3.05  '!E18</f>
        <v>0</v>
      </c>
      <c r="AL22" s="244">
        <f t="shared" si="6"/>
        <v>-41329081.230000004</v>
      </c>
      <c r="AM22" s="262">
        <f t="shared" si="7"/>
        <v>0</v>
      </c>
      <c r="AN22" s="262">
        <f t="shared" si="8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10"/>
        <v>9</v>
      </c>
      <c r="BG22" s="205" t="s">
        <v>128</v>
      </c>
      <c r="BH22" s="10"/>
      <c r="BI22" s="382">
        <f>[21]Gas!D21</f>
        <v>0</v>
      </c>
      <c r="BJ22" s="382">
        <f>[21]Gas!E21</f>
        <v>0</v>
      </c>
      <c r="BK22" s="382">
        <f>[21]Gas!F21</f>
        <v>0</v>
      </c>
      <c r="BL22" s="382">
        <f>[21]Gas!G21</f>
        <v>0</v>
      </c>
      <c r="BM22" s="382">
        <f>[21]Gas!H21</f>
        <v>0</v>
      </c>
      <c r="BN22" s="16"/>
      <c r="BV22" s="136">
        <f t="shared" si="11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3"/>
        <v>9</v>
      </c>
      <c r="DK22" s="240" t="s">
        <v>128</v>
      </c>
      <c r="DL22" s="180"/>
      <c r="DM22" s="190">
        <f>+'[22]Gas RS + RP'!D20</f>
        <v>0</v>
      </c>
      <c r="DN22" s="190">
        <f>+'[22]Gas RS + RP'!E20</f>
        <v>0</v>
      </c>
      <c r="DO22" s="162">
        <f t="shared" si="14"/>
        <v>0</v>
      </c>
      <c r="DP22" s="190">
        <f>+'[22]Gas RS + RP'!G20</f>
        <v>0</v>
      </c>
      <c r="DQ22" s="190">
        <f t="shared" si="15"/>
        <v>0</v>
      </c>
      <c r="DR22" s="27">
        <f t="shared" si="16"/>
        <v>9</v>
      </c>
      <c r="DS22" s="48"/>
      <c r="DT22" s="186"/>
      <c r="DU22" s="467"/>
      <c r="DV22" s="467"/>
      <c r="DW22" s="467"/>
      <c r="DX22" s="467"/>
      <c r="DY22" s="467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22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23"/>
        <v>9</v>
      </c>
      <c r="FO22" s="212" t="s">
        <v>356</v>
      </c>
      <c r="FP22" s="180"/>
      <c r="FQ22" s="244"/>
      <c r="FR22" s="244"/>
      <c r="FS22" s="244">
        <f>+'[32]Lead G'!F22</f>
        <v>0</v>
      </c>
      <c r="FT22" s="244">
        <f>+'[32]Lead G'!G22</f>
        <v>-837676.79158140963</v>
      </c>
      <c r="FU22" s="244">
        <f>+FT22-FS22</f>
        <v>-837676.79158140963</v>
      </c>
      <c r="FV22" s="27">
        <v>9</v>
      </c>
      <c r="FW22" s="279" t="s">
        <v>343</v>
      </c>
      <c r="FX22" s="209"/>
      <c r="FY22" s="457">
        <f>+'[27]Lead G'!D18</f>
        <v>0</v>
      </c>
      <c r="FZ22" s="457">
        <f>+'[27]Lead G'!E18</f>
        <v>0</v>
      </c>
      <c r="GA22" s="457">
        <f t="shared" si="19"/>
        <v>0</v>
      </c>
      <c r="GB22" s="457">
        <f>+'[27]Lead G'!G18</f>
        <v>0</v>
      </c>
      <c r="GC22" s="457">
        <f t="shared" si="24"/>
        <v>0</v>
      </c>
      <c r="GD22" s="208">
        <f t="shared" si="25"/>
        <v>9</v>
      </c>
      <c r="GE22" s="212" t="s">
        <v>380</v>
      </c>
      <c r="GF22" s="212"/>
      <c r="GG22" s="244">
        <f>'[7]Gas Lead '!D22</f>
        <v>0</v>
      </c>
      <c r="GH22" s="244">
        <f>'[7]Gas Lead '!E22</f>
        <v>0</v>
      </c>
      <c r="GI22" s="244">
        <v>0</v>
      </c>
      <c r="GJ22" s="663">
        <f>'[7]Gas Lead '!$G$22</f>
        <v>5642061.9118303973</v>
      </c>
      <c r="GK22" s="244">
        <f t="shared" si="26"/>
        <v>5642061.9118303973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372</v>
      </c>
      <c r="GV22" s="1">
        <f>FIT_GAS</f>
        <v>0.21</v>
      </c>
      <c r="GW22" s="480" t="s">
        <v>373</v>
      </c>
      <c r="GX22" s="480" t="s">
        <v>373</v>
      </c>
      <c r="GY22" s="480" t="s">
        <v>373</v>
      </c>
      <c r="GZ22" s="480" t="s">
        <v>373</v>
      </c>
      <c r="HA22" s="480" t="s">
        <v>373</v>
      </c>
      <c r="HB22" s="27">
        <v>9</v>
      </c>
      <c r="HC22" s="216" t="s">
        <v>363</v>
      </c>
      <c r="HD22" s="216"/>
      <c r="HE22" s="725">
        <f>SUM(HE21)</f>
        <v>0</v>
      </c>
      <c r="HF22" s="725">
        <f>SUM(HF21)</f>
        <v>0</v>
      </c>
      <c r="HG22" s="725">
        <f>SUM(HG21)</f>
        <v>0</v>
      </c>
      <c r="HH22" s="725">
        <f>SUM(HH21)</f>
        <v>156400.22579821481</v>
      </c>
      <c r="HI22" s="726">
        <f>SUM(HI21)</f>
        <v>156400.22579821481</v>
      </c>
      <c r="HJ22" s="326">
        <f t="shared" si="28"/>
        <v>9</v>
      </c>
      <c r="HK22" s="225" t="s">
        <v>88</v>
      </c>
      <c r="HM22" s="109">
        <f>-HM19-HM21</f>
        <v>-18651147.34412555</v>
      </c>
      <c r="HN22" s="109">
        <f>-HN19-HN21</f>
        <v>-18651147.34412555</v>
      </c>
      <c r="HO22" s="109">
        <f>-HO19-HO21</f>
        <v>0</v>
      </c>
      <c r="HP22" s="109">
        <f>-HP19-HP21</f>
        <v>-18954964.711965621</v>
      </c>
      <c r="HQ22" s="109">
        <f>-HQ19-HQ21</f>
        <v>-303817.36784007057</v>
      </c>
      <c r="HR22" s="106">
        <f t="shared" si="29"/>
        <v>9</v>
      </c>
      <c r="HS22" s="5"/>
      <c r="HT22" s="5"/>
      <c r="HU22" s="734"/>
      <c r="HV22" s="734"/>
      <c r="HW22" s="734"/>
      <c r="HX22" s="734"/>
      <c r="HY22" s="734"/>
    </row>
    <row r="23" spans="1:236" ht="16.5" customHeight="1" thickTop="1" thickBot="1">
      <c r="A23" s="237">
        <f t="shared" si="3"/>
        <v>10</v>
      </c>
      <c r="B23" s="369" t="s">
        <v>442</v>
      </c>
      <c r="C23" s="240"/>
      <c r="D23" s="753" t="s">
        <v>452</v>
      </c>
      <c r="E23" s="404"/>
      <c r="F23" s="248">
        <f>+'[18]Gas Lead'!E21</f>
        <v>48508.420000000006</v>
      </c>
      <c r="G23" s="755" t="s">
        <v>452</v>
      </c>
      <c r="H23" s="243">
        <f>'[18]Gas Lead'!$G$21-F23</f>
        <v>8284.9599999986021</v>
      </c>
      <c r="I23" s="106">
        <f t="shared" si="21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5"/>
        <v>11</v>
      </c>
      <c r="AH23" s="39" t="s">
        <v>407</v>
      </c>
      <c r="AI23" s="280"/>
      <c r="AJ23" s="248">
        <f>+'[9]Lead 3.05  '!D19</f>
        <v>242193.71000000005</v>
      </c>
      <c r="AK23" s="262"/>
      <c r="AL23" s="244">
        <f t="shared" si="6"/>
        <v>-242193.71000000005</v>
      </c>
      <c r="AM23" s="262">
        <f t="shared" si="7"/>
        <v>0</v>
      </c>
      <c r="AN23" s="262">
        <f t="shared" si="8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10"/>
        <v>10</v>
      </c>
      <c r="BG23" s="205" t="s">
        <v>129</v>
      </c>
      <c r="BI23" s="459">
        <f>[21]Gas!D22</f>
        <v>1051189.7681332757</v>
      </c>
      <c r="BJ23" s="459">
        <f>[21]Gas!E22</f>
        <v>1103125.4735233695</v>
      </c>
      <c r="BK23" s="459">
        <f>[21]Gas!F22</f>
        <v>51935.705390093848</v>
      </c>
      <c r="BL23" s="459">
        <f>[21]Gas!G22</f>
        <v>1103125.4735233695</v>
      </c>
      <c r="BM23" s="459">
        <f>[21]Gas!H22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3"/>
        <v>10</v>
      </c>
      <c r="DK23" s="240" t="s">
        <v>129</v>
      </c>
      <c r="DL23" s="185"/>
      <c r="DM23" s="163">
        <f>+'[22]Gas RS + RP'!D21</f>
        <v>14431674.188193813</v>
      </c>
      <c r="DN23" s="163">
        <f>+'[22]Gas RS + RP'!E21</f>
        <v>14448286.588557353</v>
      </c>
      <c r="DO23" s="164">
        <f t="shared" si="14"/>
        <v>16612.400363540277</v>
      </c>
      <c r="DP23" s="163">
        <f>+'[22]Gas RS + RP'!G21</f>
        <v>15001205.100258833</v>
      </c>
      <c r="DQ23" s="163">
        <f t="shared" si="15"/>
        <v>552918.51170147955</v>
      </c>
      <c r="DR23" s="27">
        <f t="shared" si="16"/>
        <v>10</v>
      </c>
      <c r="DS23" s="468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4">
        <f>-EC21*$EB$23</f>
        <v>2993.8940277558377</v>
      </c>
      <c r="ED23" s="474">
        <f>-ED21*$EB$23</f>
        <v>164.12020819553175</v>
      </c>
      <c r="EE23" s="474">
        <f>-EE21*$EB$23</f>
        <v>-2829.7738195601578</v>
      </c>
      <c r="EF23" s="474">
        <f>-EF21*$EB$23</f>
        <v>-81850.624882837321</v>
      </c>
      <c r="EG23" s="474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22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23"/>
        <v>10</v>
      </c>
      <c r="FO23" s="212" t="s">
        <v>357</v>
      </c>
      <c r="FP23" s="180"/>
      <c r="FQ23" s="244"/>
      <c r="FR23" s="244"/>
      <c r="FS23" s="244">
        <f>+'[32]Lead G'!F23</f>
        <v>0</v>
      </c>
      <c r="FT23" s="244">
        <f>+'[32]Lead G'!G23</f>
        <v>-879560.63116048009</v>
      </c>
      <c r="FU23" s="244">
        <f>+FT23-FS23</f>
        <v>-879560.63116048009</v>
      </c>
      <c r="FV23" s="27">
        <v>10</v>
      </c>
      <c r="FW23" s="185" t="s">
        <v>410</v>
      </c>
      <c r="FX23" s="209"/>
      <c r="FY23" s="457"/>
      <c r="FZ23" s="457"/>
      <c r="GA23" s="457"/>
      <c r="GB23" s="457"/>
      <c r="GC23" s="457"/>
      <c r="GD23" s="208">
        <f t="shared" si="25"/>
        <v>10</v>
      </c>
      <c r="GE23" s="212" t="s">
        <v>381</v>
      </c>
      <c r="GF23" s="212"/>
      <c r="GG23" s="244">
        <f>'[7]Gas Lead '!D23</f>
        <v>0</v>
      </c>
      <c r="GH23" s="244">
        <f>'[7]Gas Lead '!E23</f>
        <v>0</v>
      </c>
      <c r="GI23" s="244">
        <v>0</v>
      </c>
      <c r="GJ23" s="663">
        <f>'[7]Gas Lead '!$G$23</f>
        <v>-940343.6519717332</v>
      </c>
      <c r="GK23" s="244">
        <f t="shared" si="26"/>
        <v>-940343.6519717332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79">
        <f>-GW20</f>
        <v>0</v>
      </c>
      <c r="GX23" s="479">
        <f>-GX20</f>
        <v>0</v>
      </c>
      <c r="GY23" s="479">
        <f>-GY20</f>
        <v>0</v>
      </c>
      <c r="GZ23" s="479">
        <f>-GZ20</f>
        <v>722630.37767299998</v>
      </c>
      <c r="HA23" s="479">
        <f>-HA20</f>
        <v>722630.37767299998</v>
      </c>
      <c r="HB23" s="27">
        <v>10</v>
      </c>
      <c r="HC23" s="217"/>
      <c r="HD23" s="217"/>
      <c r="HE23" s="727"/>
      <c r="HF23" s="727"/>
      <c r="HG23" s="727"/>
      <c r="HH23" s="727"/>
      <c r="HI23" s="728"/>
      <c r="HR23" s="106">
        <f t="shared" si="29"/>
        <v>10</v>
      </c>
      <c r="HS23" s="5" t="s">
        <v>359</v>
      </c>
      <c r="HT23" s="5"/>
      <c r="HU23" s="734"/>
      <c r="HV23" s="734"/>
      <c r="HW23" s="734"/>
      <c r="HX23" s="734"/>
      <c r="HY23" s="734"/>
    </row>
    <row r="24" spans="1:236" ht="15.6" customHeight="1" thickTop="1">
      <c r="A24" s="237">
        <f t="shared" si="3"/>
        <v>11</v>
      </c>
      <c r="B24" s="369" t="s">
        <v>307</v>
      </c>
      <c r="C24" s="240"/>
      <c r="D24" s="753"/>
      <c r="E24" s="404"/>
      <c r="F24" s="248">
        <f>+'[18]Gas Lead'!E22</f>
        <v>-6899336.8599999994</v>
      </c>
      <c r="G24" s="755"/>
      <c r="H24" s="243">
        <v>0</v>
      </c>
      <c r="I24" s="106">
        <f t="shared" ref="I24:I32" si="30">I23+1</f>
        <v>11</v>
      </c>
      <c r="J24" s="224" t="s">
        <v>92</v>
      </c>
      <c r="K24" s="250">
        <f>'COC, Def, ConvF'!$M$12</f>
        <v>5.1240000000000001E-3</v>
      </c>
      <c r="L24" s="449">
        <f t="shared" ref="L24:M26" si="31">L$19*$K24</f>
        <v>27339.826310847177</v>
      </c>
      <c r="M24" s="449">
        <f t="shared" si="31"/>
        <v>27707.756919377694</v>
      </c>
      <c r="N24" s="449">
        <f>M24-L24</f>
        <v>367.93060853051793</v>
      </c>
      <c r="O24" s="449">
        <f t="shared" ref="O24:P26" si="32">O$19*$K24</f>
        <v>201597.57369792269</v>
      </c>
      <c r="P24" s="449">
        <f t="shared" si="32"/>
        <v>173889.81677854489</v>
      </c>
      <c r="Y24" s="114"/>
      <c r="Z24" s="61"/>
      <c r="AA24" s="386"/>
      <c r="AG24" s="237">
        <f t="shared" si="5"/>
        <v>12</v>
      </c>
      <c r="AH24" s="39" t="s">
        <v>260</v>
      </c>
      <c r="AI24" s="280"/>
      <c r="AJ24" s="248">
        <f>+'[9]Lead 3.05  '!D20</f>
        <v>308145.35000000003</v>
      </c>
      <c r="AK24" s="262">
        <f>+'[9]Lead 3.05  '!E19</f>
        <v>0</v>
      </c>
      <c r="AL24" s="248">
        <f t="shared" si="6"/>
        <v>-308145.35000000003</v>
      </c>
      <c r="AM24" s="262">
        <f t="shared" si="7"/>
        <v>0</v>
      </c>
      <c r="AN24" s="262">
        <f t="shared" si="8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10"/>
        <v>11</v>
      </c>
      <c r="BG24" s="153" t="s">
        <v>169</v>
      </c>
      <c r="BH24" s="153"/>
      <c r="BI24" s="159">
        <f>SUM(BI14:BI23)</f>
        <v>3814740.0498376964</v>
      </c>
      <c r="BJ24" s="159">
        <f>SUM(BJ14:BJ23)</f>
        <v>4032317.7230348806</v>
      </c>
      <c r="BK24" s="159">
        <f>SUM(BK14:BK23)</f>
        <v>217577.67319718417</v>
      </c>
      <c r="BL24" s="159">
        <f>SUM(BL14:BL23)</f>
        <v>4032317.7230348806</v>
      </c>
      <c r="BM24" s="159">
        <f>SUM(BM14:BM23)</f>
        <v>0</v>
      </c>
      <c r="BN24" s="16"/>
      <c r="BV24" s="16"/>
      <c r="BW24" s="224"/>
      <c r="CL24" s="27"/>
      <c r="CM24" s="224"/>
      <c r="CN24" s="224"/>
      <c r="DB24" s="16"/>
      <c r="DJ24" s="27">
        <f t="shared" si="13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6"/>
        <v>11</v>
      </c>
      <c r="DS24" s="469" t="s">
        <v>304</v>
      </c>
      <c r="DT24" s="27"/>
      <c r="DU24" s="489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0"/>
      <c r="ED24" s="460"/>
      <c r="EE24" s="460"/>
      <c r="EF24" s="460"/>
      <c r="EG24" s="460"/>
      <c r="EH24" s="114"/>
      <c r="EI24" s="567" t="s">
        <v>514</v>
      </c>
      <c r="EJ24" s="567"/>
      <c r="EK24" s="568" t="s">
        <v>521</v>
      </c>
      <c r="EL24" s="568" t="s">
        <v>510</v>
      </c>
      <c r="EM24" s="568" t="s">
        <v>515</v>
      </c>
      <c r="EN24" s="337"/>
      <c r="EO24" s="337"/>
      <c r="EP24" s="326">
        <f t="shared" si="22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23"/>
        <v>11</v>
      </c>
      <c r="FO24" s="212" t="s">
        <v>458</v>
      </c>
      <c r="FP24" s="180"/>
      <c r="FQ24" s="254">
        <f>SUM(FQ21:FQ23)</f>
        <v>0</v>
      </c>
      <c r="FR24" s="254">
        <f>SUM(FR21:FR23)</f>
        <v>0</v>
      </c>
      <c r="FS24" s="254">
        <f>SUM(FS21:FS23)</f>
        <v>0</v>
      </c>
      <c r="FT24" s="254">
        <f>SUM(FT21:FT23)</f>
        <v>3308823.3267465685</v>
      </c>
      <c r="FU24" s="254">
        <f>SUM(FU21:FU23)</f>
        <v>3308823.3267465685</v>
      </c>
      <c r="FV24" s="27">
        <v>11</v>
      </c>
      <c r="FW24" s="387" t="s">
        <v>411</v>
      </c>
      <c r="FX24" s="209"/>
      <c r="FY24" s="457">
        <f>+'[27]Lead G'!D20</f>
        <v>0</v>
      </c>
      <c r="FZ24" s="457">
        <f>+'[27]Lead G'!E20</f>
        <v>0</v>
      </c>
      <c r="GA24" s="457">
        <f>FZ24-FY24</f>
        <v>0</v>
      </c>
      <c r="GB24" s="457">
        <f>+'[27]Lead G'!G20</f>
        <v>0</v>
      </c>
      <c r="GC24" s="457">
        <f t="shared" si="24"/>
        <v>0</v>
      </c>
      <c r="GD24" s="208">
        <f t="shared" si="25"/>
        <v>11</v>
      </c>
      <c r="GE24" s="212" t="s">
        <v>382</v>
      </c>
      <c r="GF24" s="212"/>
      <c r="GG24" s="244">
        <f>'[7]Gas Lead '!D24</f>
        <v>0</v>
      </c>
      <c r="GH24" s="244">
        <f>'[7]Gas Lead '!E24</f>
        <v>0</v>
      </c>
      <c r="GI24" s="244">
        <v>0</v>
      </c>
      <c r="GJ24" s="663">
        <f>'[7]Gas Lead '!$G$24</f>
        <v>-987360.83457032021</v>
      </c>
      <c r="GK24" s="244">
        <f t="shared" si="26"/>
        <v>-987360.83457032021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724">
        <f>HE22</f>
        <v>0</v>
      </c>
      <c r="HF24" s="724">
        <f>HF22</f>
        <v>0</v>
      </c>
      <c r="HG24" s="724">
        <f>HG22</f>
        <v>0</v>
      </c>
      <c r="HH24" s="724">
        <f>HH22</f>
        <v>156400.22579821481</v>
      </c>
      <c r="HI24" s="724">
        <f>HI22</f>
        <v>156400.22579821481</v>
      </c>
      <c r="HR24" s="106">
        <f t="shared" si="29"/>
        <v>11</v>
      </c>
      <c r="HS24" s="5" t="s">
        <v>489</v>
      </c>
      <c r="HT24" s="5"/>
      <c r="HU24" s="719">
        <f>'[33]Lead G'!$D$24</f>
        <v>0</v>
      </c>
      <c r="HV24" s="719">
        <f>'[33]Lead G'!$E$24</f>
        <v>0</v>
      </c>
      <c r="HW24" s="719">
        <f>'[33]Lead G'!$F$24</f>
        <v>0</v>
      </c>
      <c r="HX24" s="719">
        <f>'[33]Lead G'!$G$24</f>
        <v>348243.00000000006</v>
      </c>
      <c r="HY24" s="719">
        <f>'[33]Lead G'!$H$24</f>
        <v>348243.00000000006</v>
      </c>
    </row>
    <row r="25" spans="1:236" ht="15.75" thickBot="1">
      <c r="A25" s="237">
        <f t="shared" si="3"/>
        <v>12</v>
      </c>
      <c r="B25" s="369" t="s">
        <v>389</v>
      </c>
      <c r="C25" s="240"/>
      <c r="D25" s="753"/>
      <c r="E25" s="404"/>
      <c r="F25" s="248">
        <f>+'[18]Gas Lead'!E23</f>
        <v>0</v>
      </c>
      <c r="G25" s="755"/>
      <c r="H25" s="243">
        <f>+'[18]Gas Lead'!G23</f>
        <v>-6115339.9499999993</v>
      </c>
      <c r="I25" s="106">
        <f t="shared" si="30"/>
        <v>12</v>
      </c>
      <c r="J25" s="224" t="s">
        <v>93</v>
      </c>
      <c r="K25" s="250">
        <f>'COC, Def, ConvF'!$M$13</f>
        <v>2E-3</v>
      </c>
      <c r="L25" s="449">
        <f t="shared" si="31"/>
        <v>10671.282713055105</v>
      </c>
      <c r="M25" s="449">
        <f t="shared" si="31"/>
        <v>10814.893411154448</v>
      </c>
      <c r="N25" s="450">
        <f>M25-L25</f>
        <v>143.6106980993427</v>
      </c>
      <c r="O25" s="449">
        <f t="shared" si="32"/>
        <v>78687.577555785596</v>
      </c>
      <c r="P25" s="449">
        <f t="shared" si="32"/>
        <v>67872.684144631101</v>
      </c>
      <c r="Z25" s="672" t="s">
        <v>585</v>
      </c>
      <c r="AA25" s="672"/>
      <c r="AB25" s="672"/>
      <c r="AC25" s="672"/>
      <c r="AD25" s="702">
        <v>6.0399999999999991</v>
      </c>
      <c r="AE25" s="703"/>
      <c r="AF25" s="704">
        <v>6.0399999999999991</v>
      </c>
      <c r="AG25" s="237">
        <f t="shared" si="5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10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3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6"/>
        <v>12</v>
      </c>
      <c r="DS25" s="470"/>
      <c r="DT25" s="25"/>
      <c r="DU25" s="460"/>
      <c r="DV25" s="460"/>
      <c r="DW25" s="460"/>
      <c r="DX25" s="460"/>
      <c r="DY25" s="460"/>
      <c r="DZ25" s="114">
        <v>12</v>
      </c>
      <c r="EA25" s="224" t="s">
        <v>80</v>
      </c>
      <c r="EC25" s="473">
        <f>-EC21-EC23</f>
        <v>11262.744199652914</v>
      </c>
      <c r="ED25" s="473">
        <f>-ED21-ED23</f>
        <v>617.40459273557178</v>
      </c>
      <c r="EE25" s="473">
        <f>-EE21-EE23</f>
        <v>-10645.339606916785</v>
      </c>
      <c r="EF25" s="473">
        <f>-EF21-EF23</f>
        <v>-307914.25551162614</v>
      </c>
      <c r="EG25" s="473">
        <f>-EG21-EG23</f>
        <v>-308531.66010436148</v>
      </c>
      <c r="EH25" s="114"/>
      <c r="EI25" s="567" t="s">
        <v>518</v>
      </c>
      <c r="EJ25" s="567"/>
      <c r="EK25" s="571">
        <v>150665688.3308869</v>
      </c>
      <c r="EL25" s="574">
        <f>EM20</f>
        <v>151541662.6247718</v>
      </c>
      <c r="EM25" s="510">
        <f>EL25-EK25</f>
        <v>875974.29388490319</v>
      </c>
      <c r="EN25" s="337"/>
      <c r="EO25" s="337"/>
      <c r="EP25" s="326">
        <f t="shared" si="22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23"/>
        <v>12</v>
      </c>
      <c r="FO25" s="212" t="s">
        <v>459</v>
      </c>
      <c r="FP25" s="180"/>
      <c r="FQ25" s="254"/>
      <c r="FR25" s="254"/>
      <c r="FS25" s="254"/>
      <c r="FT25" s="254"/>
      <c r="FU25" s="254"/>
      <c r="FV25" s="27">
        <v>12</v>
      </c>
      <c r="FW25" s="387" t="s">
        <v>412</v>
      </c>
      <c r="FX25" s="209"/>
      <c r="FY25" s="457">
        <f>+'[27]Lead G'!D21</f>
        <v>0</v>
      </c>
      <c r="FZ25" s="457">
        <f>+'[27]Lead G'!E21</f>
        <v>0</v>
      </c>
      <c r="GA25" s="457">
        <f>FZ25-FY25</f>
        <v>0</v>
      </c>
      <c r="GB25" s="457">
        <f>+'[27]Lead G'!G21</f>
        <v>0</v>
      </c>
      <c r="GC25" s="457">
        <f t="shared" si="24"/>
        <v>0</v>
      </c>
      <c r="GD25" s="208">
        <f>+GD24+1</f>
        <v>12</v>
      </c>
      <c r="GE25" s="216" t="s">
        <v>383</v>
      </c>
      <c r="GF25" s="212"/>
      <c r="GG25" s="254">
        <f>SUM(GG22:GG24)</f>
        <v>0</v>
      </c>
      <c r="GH25" s="254">
        <f>SUM(GH22:GH24)</f>
        <v>0</v>
      </c>
      <c r="GI25" s="254">
        <f>SUM(GI22:GI24)</f>
        <v>0</v>
      </c>
      <c r="GJ25" s="664">
        <f>SUM(GJ22:GJ24)</f>
        <v>3714357.4252883438</v>
      </c>
      <c r="GK25" s="254">
        <f>SUM(GK22:GK24)</f>
        <v>3714357.4252883438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723"/>
      <c r="HF25" s="723"/>
      <c r="HG25" s="723"/>
      <c r="HH25" s="723"/>
      <c r="HI25" s="729"/>
      <c r="HR25" s="106">
        <f t="shared" si="29"/>
        <v>12</v>
      </c>
      <c r="HS25" s="5" t="s">
        <v>363</v>
      </c>
      <c r="HT25" s="5"/>
      <c r="HU25" s="733">
        <f>SUM(HU24:HU24)</f>
        <v>0</v>
      </c>
      <c r="HV25" s="733">
        <f>SUM(HV24:HV24)</f>
        <v>0</v>
      </c>
      <c r="HW25" s="733">
        <f>SUM(HW24:HW24)</f>
        <v>0</v>
      </c>
      <c r="HX25" s="733">
        <f>SUM(HX24:HX24)</f>
        <v>348243.00000000006</v>
      </c>
      <c r="HY25" s="733">
        <f>SUM(HY24:HY24)</f>
        <v>348243.00000000006</v>
      </c>
    </row>
    <row r="26" spans="1:236" ht="16.5" thickTop="1" thickBot="1">
      <c r="A26" s="237">
        <f t="shared" si="3"/>
        <v>13</v>
      </c>
      <c r="B26" s="371" t="s">
        <v>390</v>
      </c>
      <c r="C26" s="240"/>
      <c r="D26" s="753"/>
      <c r="E26" s="404"/>
      <c r="F26" s="248">
        <f>+'[18]Gas Lead'!E24</f>
        <v>10523931</v>
      </c>
      <c r="G26" s="755"/>
      <c r="H26" s="243">
        <v>0</v>
      </c>
      <c r="I26" s="106">
        <f t="shared" si="30"/>
        <v>13</v>
      </c>
      <c r="J26" s="224" t="s">
        <v>95</v>
      </c>
      <c r="K26" s="250">
        <f>'COC, Def, ConvF'!$M$14</f>
        <v>3.8323000000000003E-2</v>
      </c>
      <c r="L26" s="449">
        <f t="shared" si="31"/>
        <v>204477.7837062054</v>
      </c>
      <c r="M26" s="449">
        <f t="shared" si="31"/>
        <v>207229.58009783595</v>
      </c>
      <c r="N26" s="450">
        <f>M26-L26</f>
        <v>2751.7963916305453</v>
      </c>
      <c r="O26" s="449">
        <f t="shared" si="32"/>
        <v>1507772.0173351858</v>
      </c>
      <c r="P26" s="449">
        <f t="shared" si="32"/>
        <v>1300542.4372373489</v>
      </c>
      <c r="Z26" s="673"/>
      <c r="AA26" s="673"/>
      <c r="AB26" s="674" t="s">
        <v>189</v>
      </c>
      <c r="AC26" s="675"/>
      <c r="AD26" s="676" t="s">
        <v>82</v>
      </c>
      <c r="AE26" s="675"/>
      <c r="AF26" s="676" t="s">
        <v>78</v>
      </c>
      <c r="AG26" s="237">
        <f t="shared" si="5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10"/>
        <v>13</v>
      </c>
      <c r="BG26" s="10" t="s">
        <v>170</v>
      </c>
      <c r="BH26" s="10"/>
      <c r="BI26" s="459">
        <f>[21]Gas!D25</f>
        <v>337604.49441063614</v>
      </c>
      <c r="BJ26" s="459">
        <f>[21]Gas!E25</f>
        <v>356860.11848858697</v>
      </c>
      <c r="BK26" s="459">
        <f>[21]Gas!F25</f>
        <v>19255.624077950837</v>
      </c>
      <c r="BL26" s="459">
        <f>[21]Gas!G25</f>
        <v>356860.11848858697</v>
      </c>
      <c r="BM26" s="459">
        <f>[21]Gas!H25</f>
        <v>0</v>
      </c>
      <c r="BN26" s="16"/>
      <c r="CL26" s="27"/>
      <c r="CM26" s="225"/>
      <c r="CN26" s="225"/>
      <c r="DB26" s="16"/>
      <c r="DJ26" s="27">
        <f t="shared" si="13"/>
        <v>13</v>
      </c>
      <c r="DK26" s="240" t="s">
        <v>85</v>
      </c>
      <c r="DL26" s="180"/>
      <c r="DM26" s="163">
        <f>+'[22]Gas RS + RP'!D24</f>
        <v>3609897.7715194593</v>
      </c>
      <c r="DN26" s="163">
        <f>+DM26+DO26</f>
        <v>3625628.9928652411</v>
      </c>
      <c r="DO26" s="164">
        <f>+'[22]Gas RS + RP'!F24</f>
        <v>15731.221345781985</v>
      </c>
      <c r="DP26" s="163">
        <f>+DN26+DQ26</f>
        <v>3723477.2510908842</v>
      </c>
      <c r="DQ26" s="163">
        <f>+'[22]Gas RS + RP'!H24</f>
        <v>97848.25822564293</v>
      </c>
      <c r="DR26" s="27">
        <f t="shared" si="16"/>
        <v>13</v>
      </c>
      <c r="DS26" s="469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>+DV24*$DT$26</f>
        <v>3101248.6734679942</v>
      </c>
      <c r="DW26" s="190">
        <f>+DW24*$DT$26</f>
        <v>5304.286799574289</v>
      </c>
      <c r="DX26" s="190">
        <f>+DX24*$DT$26</f>
        <v>3218784.8840221749</v>
      </c>
      <c r="DY26" s="182">
        <f>+DY24*$DT$26</f>
        <v>117536.2105541807</v>
      </c>
      <c r="EH26" s="114"/>
      <c r="EI26" s="567" t="s">
        <v>522</v>
      </c>
      <c r="EJ26" s="567"/>
      <c r="EK26" s="573">
        <v>7.6200000000000004E-2</v>
      </c>
      <c r="EL26" s="582">
        <f>'COC, Def, ConvF'!H14</f>
        <v>7.3300000000000004E-2</v>
      </c>
      <c r="EM26" s="510"/>
      <c r="EN26" s="337"/>
      <c r="EO26" s="337"/>
      <c r="EP26" s="326">
        <f t="shared" si="22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23"/>
        <v>13</v>
      </c>
      <c r="FO26" s="180" t="s">
        <v>358</v>
      </c>
      <c r="FP26" s="180"/>
      <c r="FQ26" s="13">
        <f>FQ19+FQ24</f>
        <v>0</v>
      </c>
      <c r="FR26" s="13">
        <f>FR19+FR24</f>
        <v>0</v>
      </c>
      <c r="FS26" s="13">
        <f>FS19+FS24</f>
        <v>0</v>
      </c>
      <c r="FT26" s="13">
        <f>FT19+FT24</f>
        <v>13882662.572720125</v>
      </c>
      <c r="FU26" s="13">
        <f>FU19+FU24</f>
        <v>13882662.572720125</v>
      </c>
      <c r="FV26" s="27">
        <v>13</v>
      </c>
      <c r="FW26" s="387" t="s">
        <v>415</v>
      </c>
      <c r="FX26" s="209"/>
      <c r="FY26" s="457">
        <f>+'[27]Lead G'!D22</f>
        <v>9085.8152269499988</v>
      </c>
      <c r="FZ26" s="457">
        <f>+'[27]Lead G'!E22</f>
        <v>9085.8152269499988</v>
      </c>
      <c r="GA26" s="457">
        <f>FZ26-FY26</f>
        <v>0</v>
      </c>
      <c r="GB26" s="457">
        <f>+'[27]Lead G'!G22</f>
        <v>0</v>
      </c>
      <c r="GC26" s="457">
        <f t="shared" si="24"/>
        <v>-9085.8152269499988</v>
      </c>
      <c r="GD26" s="208">
        <f t="shared" si="25"/>
        <v>13</v>
      </c>
      <c r="GE26" s="212"/>
      <c r="GF26" s="212"/>
      <c r="GG26" s="254"/>
      <c r="GH26" s="254"/>
      <c r="GI26" s="254"/>
      <c r="GJ26" s="66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730">
        <f>-HE24*$HD$26</f>
        <v>0</v>
      </c>
      <c r="HF26" s="730">
        <f>-HF24*$HD$26</f>
        <v>0</v>
      </c>
      <c r="HG26" s="730">
        <f>-HG24*$HD$26</f>
        <v>0</v>
      </c>
      <c r="HH26" s="730">
        <f>-HH24*$HD$26</f>
        <v>-32844.047417625108</v>
      </c>
      <c r="HI26" s="730">
        <f>-HI24*$HD$26</f>
        <v>-32844.047417625108</v>
      </c>
      <c r="HR26" s="106">
        <f t="shared" si="29"/>
        <v>13</v>
      </c>
      <c r="HS26" s="5"/>
      <c r="HT26" s="481"/>
      <c r="HU26" s="734"/>
      <c r="HV26" s="734"/>
      <c r="HW26" s="734"/>
      <c r="HX26" s="734"/>
      <c r="HY26" s="734"/>
    </row>
    <row r="27" spans="1:236" ht="17.25" thickTop="1" thickBot="1">
      <c r="A27" s="237">
        <f t="shared" si="3"/>
        <v>14</v>
      </c>
      <c r="B27" s="371" t="s">
        <v>391</v>
      </c>
      <c r="C27" s="246"/>
      <c r="D27" s="753"/>
      <c r="E27" s="404"/>
      <c r="F27" s="248">
        <f>+'[18]Gas Lead'!E25</f>
        <v>0</v>
      </c>
      <c r="G27" s="755"/>
      <c r="H27" s="243">
        <f>+'[18]Gas Lead'!G25</f>
        <v>-3747914.02</v>
      </c>
      <c r="I27" s="106">
        <f t="shared" si="30"/>
        <v>14</v>
      </c>
      <c r="J27" s="230" t="s">
        <v>81</v>
      </c>
      <c r="K27" s="5"/>
      <c r="L27" s="451">
        <f>SUM(L24:L26)</f>
        <v>242488.89273010768</v>
      </c>
      <c r="M27" s="451">
        <f>SUM(M24:M26)</f>
        <v>245752.23042836809</v>
      </c>
      <c r="N27" s="451">
        <f>SUM(N24:N26)</f>
        <v>3263.3376982604059</v>
      </c>
      <c r="O27" s="451">
        <f>SUM(O24:O26)</f>
        <v>1788057.168588894</v>
      </c>
      <c r="P27" s="451">
        <f>SUM(P24:P26)</f>
        <v>1542304.9381605249</v>
      </c>
      <c r="Z27" s="677"/>
      <c r="AA27" s="677"/>
      <c r="AB27" s="676" t="s">
        <v>33</v>
      </c>
      <c r="AC27" s="676" t="s">
        <v>82</v>
      </c>
      <c r="AD27" s="676" t="s">
        <v>41</v>
      </c>
      <c r="AE27" s="676" t="s">
        <v>78</v>
      </c>
      <c r="AF27" s="676" t="s">
        <v>41</v>
      </c>
      <c r="AG27" s="237">
        <f t="shared" si="5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10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3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6"/>
        <v>14</v>
      </c>
      <c r="DS27" s="470"/>
      <c r="DT27" s="25"/>
      <c r="DU27" s="460"/>
      <c r="DV27" s="460"/>
      <c r="DW27" s="460"/>
      <c r="DX27" s="460"/>
      <c r="DY27" s="460"/>
      <c r="EH27" s="114"/>
      <c r="EI27" s="567" t="s">
        <v>523</v>
      </c>
      <c r="EJ27" s="567"/>
      <c r="EK27" s="574">
        <f>EK25*EK26</f>
        <v>11480725.450813582</v>
      </c>
      <c r="EL27" s="574">
        <f>EL25*EL26</f>
        <v>11108003.870395774</v>
      </c>
      <c r="EM27" s="510">
        <f>EL27-EK27</f>
        <v>-372721.58041780815</v>
      </c>
      <c r="EP27" s="326">
        <f t="shared" si="22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23"/>
        <v>14</v>
      </c>
      <c r="FO27" s="213" t="s">
        <v>459</v>
      </c>
      <c r="FP27" s="180"/>
      <c r="FQ27" s="244"/>
      <c r="FR27" s="244"/>
      <c r="FS27" s="244"/>
      <c r="FT27" s="244"/>
      <c r="FU27" s="244"/>
      <c r="FV27" s="27">
        <v>14</v>
      </c>
      <c r="FW27" s="387" t="s">
        <v>414</v>
      </c>
      <c r="FX27" s="209"/>
      <c r="FY27" s="457">
        <f>+'[27]Lead G'!D23</f>
        <v>19838.542231200001</v>
      </c>
      <c r="FZ27" s="457">
        <f>+'[27]Lead G'!E23</f>
        <v>19838.542231200001</v>
      </c>
      <c r="GA27" s="457">
        <f>FZ27-FY27</f>
        <v>0</v>
      </c>
      <c r="GB27" s="457">
        <f>+'[27]Lead G'!G23</f>
        <v>0</v>
      </c>
      <c r="GC27" s="457">
        <f t="shared" si="24"/>
        <v>-19838.542231200001</v>
      </c>
      <c r="GD27" s="208">
        <f t="shared" si="25"/>
        <v>14</v>
      </c>
      <c r="GE27" s="180" t="s">
        <v>358</v>
      </c>
      <c r="GF27" s="180"/>
      <c r="GG27" s="13">
        <f>GG19+GG25</f>
        <v>0</v>
      </c>
      <c r="GH27" s="13">
        <f>GH19+GH25</f>
        <v>0</v>
      </c>
      <c r="GI27" s="13">
        <f>GI19+GI25</f>
        <v>0</v>
      </c>
      <c r="GJ27" s="665">
        <f>GJ19+GJ25</f>
        <v>5802322.2625845009</v>
      </c>
      <c r="GK27" s="13">
        <f>GK19+GK25</f>
        <v>5802322.2625845009</v>
      </c>
      <c r="HB27" s="27">
        <v>14</v>
      </c>
      <c r="HC27" s="219" t="s">
        <v>80</v>
      </c>
      <c r="HD27" s="219"/>
      <c r="HE27" s="731">
        <f>-HE24-HE26</f>
        <v>0</v>
      </c>
      <c r="HF27" s="731">
        <f>-HF24-HF26</f>
        <v>0</v>
      </c>
      <c r="HG27" s="731">
        <f>-HG24-HG26</f>
        <v>0</v>
      </c>
      <c r="HH27" s="731">
        <f>-HH24-HH26</f>
        <v>-123556.1783805897</v>
      </c>
      <c r="HI27" s="731">
        <f>-HI24-HI26</f>
        <v>-123556.1783805897</v>
      </c>
      <c r="HR27" s="106">
        <f t="shared" si="29"/>
        <v>14</v>
      </c>
      <c r="HS27" s="5" t="s">
        <v>290</v>
      </c>
      <c r="HT27" s="481"/>
      <c r="HU27" s="724">
        <f>'[33]Lead G'!$D$27</f>
        <v>0</v>
      </c>
      <c r="HV27" s="724">
        <f>'[33]Lead G'!$E$27</f>
        <v>0</v>
      </c>
      <c r="HW27" s="724">
        <f>'[33]Lead G'!$F$27</f>
        <v>0</v>
      </c>
      <c r="HX27" s="724">
        <f>'[33]Lead G'!$G$27</f>
        <v>348243.00000000006</v>
      </c>
      <c r="HY27" s="724">
        <f>'[33]Lead G'!$H$27</f>
        <v>348243.00000000006</v>
      </c>
    </row>
    <row r="28" spans="1:236" ht="15.75">
      <c r="A28" s="237">
        <f t="shared" si="3"/>
        <v>15</v>
      </c>
      <c r="B28" s="371" t="s">
        <v>392</v>
      </c>
      <c r="C28" s="246"/>
      <c r="D28" s="754"/>
      <c r="E28" s="403"/>
      <c r="F28" s="248">
        <f>+'[18]Gas Lead'!E26</f>
        <v>-981624</v>
      </c>
      <c r="G28" s="754"/>
      <c r="H28" s="243">
        <v>0</v>
      </c>
      <c r="I28" s="106">
        <f t="shared" si="30"/>
        <v>15</v>
      </c>
      <c r="J28" s="230"/>
      <c r="K28" s="5"/>
      <c r="L28" s="5"/>
      <c r="M28" s="5"/>
      <c r="N28" s="5"/>
      <c r="O28" s="5"/>
      <c r="P28" s="5"/>
      <c r="Z28" s="678" t="s">
        <v>60</v>
      </c>
      <c r="AA28" s="679" t="s">
        <v>186</v>
      </c>
      <c r="AB28" s="680" t="s">
        <v>190</v>
      </c>
      <c r="AC28" s="681" t="s">
        <v>191</v>
      </c>
      <c r="AD28" s="680" t="s">
        <v>192</v>
      </c>
      <c r="AE28" s="681" t="s">
        <v>193</v>
      </c>
      <c r="AF28" s="680" t="s">
        <v>194</v>
      </c>
      <c r="AG28" s="237">
        <f t="shared" si="5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>AK28</f>
        <v>0</v>
      </c>
      <c r="AN28" s="262">
        <f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10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3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6"/>
        <v>15</v>
      </c>
      <c r="DS28" s="471" t="s">
        <v>300</v>
      </c>
      <c r="DT28" s="180"/>
      <c r="DU28" s="472">
        <f>SUM(DU26:DU27)</f>
        <v>3095944.3866684199</v>
      </c>
      <c r="DV28" s="472">
        <f>SUM(DV26:DV27)</f>
        <v>3101248.6734679942</v>
      </c>
      <c r="DW28" s="183">
        <f>+DV28-DU28</f>
        <v>5304.2867995742708</v>
      </c>
      <c r="DX28" s="472">
        <f>SUM(DX26:DX27)</f>
        <v>3218784.8840221749</v>
      </c>
      <c r="DY28" s="182">
        <f>+DX28-DV28</f>
        <v>117536.21055418067</v>
      </c>
      <c r="EH28" s="114"/>
      <c r="EI28" s="567" t="s">
        <v>524</v>
      </c>
      <c r="EJ28" s="567"/>
      <c r="EK28" s="583">
        <f>EK27/'COC, Def, ConvF'!$M$20</f>
        <v>15224467.741966328</v>
      </c>
      <c r="EL28" s="583">
        <f>EL27/'COC, Def, ConvF'!$M$20</f>
        <v>14730205.623939326</v>
      </c>
      <c r="EM28" s="510">
        <f>EL28-EK28</f>
        <v>-494262.11802700162</v>
      </c>
      <c r="EP28" s="326">
        <f t="shared" si="22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23"/>
        <v>15</v>
      </c>
      <c r="FO28" s="214" t="s">
        <v>359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413</v>
      </c>
      <c r="FX28" s="209"/>
      <c r="FY28" s="457">
        <f>+'[27]Lead G'!D24</f>
        <v>109085.93640000001</v>
      </c>
      <c r="FZ28" s="457">
        <f>+'[27]Lead G'!E24</f>
        <v>109085.93640000001</v>
      </c>
      <c r="GA28" s="457">
        <f>FZ28-FY28</f>
        <v>0</v>
      </c>
      <c r="GB28" s="457">
        <f>+'[27]Lead G'!G24</f>
        <v>0</v>
      </c>
      <c r="GC28" s="457">
        <f t="shared" si="24"/>
        <v>-109085.93640000001</v>
      </c>
      <c r="GD28" s="208">
        <f t="shared" si="25"/>
        <v>15</v>
      </c>
      <c r="GE28" s="213"/>
      <c r="GF28" s="213"/>
      <c r="GG28" s="215"/>
      <c r="GH28" s="215"/>
      <c r="GI28" s="215"/>
      <c r="GJ28" s="666"/>
      <c r="GK28" s="518">
        <f>'[7]Common Lead'!GC27-'[7]Gas Lead '!GC27-'[7]Elec Lead '!GC27</f>
        <v>0</v>
      </c>
      <c r="HR28" s="106">
        <f t="shared" si="29"/>
        <v>15</v>
      </c>
      <c r="HS28" s="5"/>
      <c r="HT28" s="5"/>
      <c r="HU28" s="734"/>
      <c r="HV28" s="734"/>
      <c r="HW28" s="734"/>
      <c r="HX28" s="734"/>
      <c r="HY28" s="734"/>
    </row>
    <row r="29" spans="1:236">
      <c r="A29" s="237">
        <f t="shared" si="3"/>
        <v>16</v>
      </c>
      <c r="B29" s="371" t="s">
        <v>393</v>
      </c>
      <c r="C29" s="246"/>
      <c r="D29" s="247"/>
      <c r="E29" s="247"/>
      <c r="F29" s="247">
        <f>SUM(F23:F28)</f>
        <v>2691478.5600000005</v>
      </c>
      <c r="G29" s="247"/>
      <c r="H29" s="247">
        <f>SUM(H23:H28)</f>
        <v>-9854969.0099999998</v>
      </c>
      <c r="I29" s="106">
        <f t="shared" si="30"/>
        <v>16</v>
      </c>
      <c r="J29" s="224" t="s">
        <v>365</v>
      </c>
      <c r="K29" s="5"/>
      <c r="L29" s="450">
        <f>+L19-L21-L27</f>
        <v>5093152.4637974445</v>
      </c>
      <c r="M29" s="450">
        <f>+M19-M21-M27</f>
        <v>5161694.4751488557</v>
      </c>
      <c r="N29" s="450">
        <f>+N19-N21-N27</f>
        <v>68542.011351410678</v>
      </c>
      <c r="O29" s="450">
        <f>+O19-O21-O27</f>
        <v>21299305.866115879</v>
      </c>
      <c r="P29" s="580">
        <f>+P19-P21-P27</f>
        <v>16137611.390967002</v>
      </c>
      <c r="Z29" s="682"/>
      <c r="AA29" s="683"/>
      <c r="AB29" s="683"/>
      <c r="AC29" s="683"/>
      <c r="AD29" s="683"/>
      <c r="AE29" s="683"/>
      <c r="AF29" s="683"/>
      <c r="AG29" s="237">
        <f t="shared" si="5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>AK29</f>
        <v>0</v>
      </c>
      <c r="AN29" s="262">
        <f>+AM29-AK29</f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10"/>
        <v>16</v>
      </c>
      <c r="BG29" s="49" t="s">
        <v>97</v>
      </c>
      <c r="BH29" s="103">
        <v>0.21</v>
      </c>
      <c r="BI29" s="459">
        <f>-FIT_GAS*BI27</f>
        <v>-871992.35429214977</v>
      </c>
      <c r="BJ29" s="459">
        <f>-FIT_GAS*BJ27</f>
        <v>-921727.3467199282</v>
      </c>
      <c r="BK29" s="459">
        <f>+BJ29-BI29</f>
        <v>-49734.99242777843</v>
      </c>
      <c r="BL29" s="459">
        <f>+BJ29</f>
        <v>-921727.3467199282</v>
      </c>
      <c r="BM29" s="459">
        <f>-BM27*BH29</f>
        <v>0</v>
      </c>
      <c r="BN29" s="16"/>
      <c r="DB29" s="16"/>
      <c r="DJ29" s="27">
        <f t="shared" si="13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6"/>
        <v>16</v>
      </c>
      <c r="DS29" s="471"/>
      <c r="DT29" s="180"/>
      <c r="DU29" s="460"/>
      <c r="DV29" s="460"/>
      <c r="DW29" s="460"/>
      <c r="DX29" s="460"/>
      <c r="DY29" s="460"/>
      <c r="EH29" s="114"/>
      <c r="EI29" s="567" t="s">
        <v>516</v>
      </c>
      <c r="EJ29" s="567"/>
      <c r="EK29" s="570"/>
      <c r="EL29" s="510"/>
      <c r="EM29" s="510">
        <f>EM28-'Detailed Summary'!U66</f>
        <v>0</v>
      </c>
      <c r="EP29" s="326">
        <f t="shared" si="22"/>
        <v>16</v>
      </c>
      <c r="EQ29" s="57" t="s">
        <v>478</v>
      </c>
      <c r="ER29" s="326"/>
      <c r="ES29" s="107">
        <f>-ES23</f>
        <v>-143075300.43646103</v>
      </c>
      <c r="ET29" s="107">
        <f>-ET23</f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23"/>
        <v>16</v>
      </c>
      <c r="FO29" s="216" t="s">
        <v>360</v>
      </c>
      <c r="FP29" s="216"/>
      <c r="FQ29" s="244"/>
      <c r="FR29" s="244"/>
      <c r="FS29" s="244">
        <f>+'[32]Lead G'!F29</f>
        <v>0</v>
      </c>
      <c r="FT29" s="244">
        <f>+'[32]Lead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77">
        <f>SUM(FY15:FY28)</f>
        <v>3437071.0975345504</v>
      </c>
      <c r="FZ29" s="477">
        <f>SUM(FZ15:FZ28)</f>
        <v>2778097.2982822503</v>
      </c>
      <c r="GA29" s="477">
        <f>SUM(GA15:GA28)</f>
        <v>-658973.79925230017</v>
      </c>
      <c r="GB29" s="477">
        <f>SUM(GB15:GB28)</f>
        <v>2608272.4114566003</v>
      </c>
      <c r="GC29" s="477">
        <f>SUM(GC15:GC28)</f>
        <v>-169824.88682564982</v>
      </c>
      <c r="GD29" s="208">
        <f t="shared" si="25"/>
        <v>16</v>
      </c>
      <c r="GE29" s="214" t="s">
        <v>359</v>
      </c>
      <c r="GF29" s="214"/>
      <c r="GG29" s="154"/>
      <c r="GH29" s="154"/>
      <c r="GI29" s="154"/>
      <c r="GJ29" s="667"/>
      <c r="GK29" s="154"/>
      <c r="HR29" s="106">
        <f t="shared" si="29"/>
        <v>16</v>
      </c>
      <c r="HS29" s="5" t="s">
        <v>97</v>
      </c>
      <c r="HT29" s="452">
        <f>FIT_GAS</f>
        <v>0.21</v>
      </c>
      <c r="HU29" s="724">
        <f>-HU27*$HT$29</f>
        <v>0</v>
      </c>
      <c r="HV29" s="724">
        <f>-HV27*$HT$29</f>
        <v>0</v>
      </c>
      <c r="HW29" s="724">
        <f>-HW27*$HT$29</f>
        <v>0</v>
      </c>
      <c r="HX29" s="724">
        <f>-HX27*$HT$29</f>
        <v>-73131.030000000013</v>
      </c>
      <c r="HY29" s="724">
        <f>HX29-HW29</f>
        <v>-73131.030000000013</v>
      </c>
      <c r="IB29" s="337"/>
    </row>
    <row r="30" spans="1:236" ht="15.75" thickBot="1">
      <c r="A30" s="237">
        <f t="shared" si="3"/>
        <v>17</v>
      </c>
      <c r="B30" s="372"/>
      <c r="C30" s="239"/>
      <c r="D30" s="393"/>
      <c r="E30" s="254"/>
      <c r="F30" s="247"/>
      <c r="G30" s="247"/>
      <c r="H30" s="247"/>
      <c r="I30" s="106">
        <f t="shared" si="30"/>
        <v>17</v>
      </c>
      <c r="J30" s="224"/>
      <c r="K30" s="5"/>
      <c r="L30" s="5"/>
      <c r="M30" s="5"/>
      <c r="N30" s="5"/>
      <c r="O30" s="5"/>
      <c r="P30" s="5"/>
      <c r="Z30" s="682" t="s">
        <v>23</v>
      </c>
      <c r="AA30" s="683"/>
      <c r="AB30" s="684">
        <v>0</v>
      </c>
      <c r="AC30" s="684">
        <v>2092179523.9832296</v>
      </c>
      <c r="AD30" s="684">
        <v>2092179523.9832296</v>
      </c>
      <c r="AE30" s="684">
        <v>2112672665.850872</v>
      </c>
      <c r="AF30" s="684">
        <v>20493141.867642403</v>
      </c>
      <c r="AG30" s="237">
        <f t="shared" si="5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>AK30</f>
        <v>0</v>
      </c>
      <c r="AN30" s="262">
        <f>+AM30-AK30</f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10"/>
        <v>17</v>
      </c>
      <c r="BG30" s="10" t="s">
        <v>80</v>
      </c>
      <c r="BH30" s="280"/>
      <c r="BI30" s="458">
        <f>-BI27-BI29</f>
        <v>-3280352.1899561826</v>
      </c>
      <c r="BJ30" s="458">
        <f>-BJ27-BJ29</f>
        <v>-3467450.4948035395</v>
      </c>
      <c r="BK30" s="458">
        <f>-BK27-BK29</f>
        <v>-187098.30484735657</v>
      </c>
      <c r="BL30" s="458">
        <f>-BL27-BL29</f>
        <v>-3467450.4948035395</v>
      </c>
      <c r="BM30" s="458">
        <f>-BM27-BM29</f>
        <v>0</v>
      </c>
      <c r="DB30" s="16"/>
      <c r="DJ30" s="27">
        <f t="shared" si="13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6"/>
        <v>17</v>
      </c>
      <c r="DS30" s="471" t="s">
        <v>175</v>
      </c>
      <c r="DT30" s="180"/>
      <c r="DU30" s="182">
        <f>+DU28</f>
        <v>3095944.3866684199</v>
      </c>
      <c r="DV30" s="182">
        <f>+DV28</f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22"/>
        <v>17</v>
      </c>
      <c r="EQ30" s="224" t="s">
        <v>184</v>
      </c>
      <c r="ER30" s="326"/>
      <c r="ES30" s="148">
        <f>-ES25</f>
        <v>30045813.091656815</v>
      </c>
      <c r="ET30" s="148">
        <f>-ET25</f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23"/>
        <v>17</v>
      </c>
      <c r="FO30" s="216" t="s">
        <v>428</v>
      </c>
      <c r="FQ30" s="244"/>
      <c r="FR30" s="244"/>
      <c r="FS30" s="244"/>
      <c r="FT30" s="244">
        <f>+'[32]Lead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25"/>
        <v>17</v>
      </c>
      <c r="GE30" s="216" t="s">
        <v>402</v>
      </c>
      <c r="GF30" s="216"/>
      <c r="GG30" s="241">
        <f>'[7]Gas Lead '!D30</f>
        <v>0</v>
      </c>
      <c r="GH30" s="241">
        <f>'[7]Gas Lead '!E30</f>
        <v>0</v>
      </c>
      <c r="GI30" s="241">
        <v>0</v>
      </c>
      <c r="GJ30" s="662">
        <f>'[7]Gas Lead '!$G$30</f>
        <v>1469535.3693580001</v>
      </c>
      <c r="GK30" s="241">
        <f>+GJ30-GI30</f>
        <v>1469535.3693580001</v>
      </c>
      <c r="HR30" s="106">
        <f t="shared" si="29"/>
        <v>17</v>
      </c>
      <c r="HS30" s="5" t="s">
        <v>80</v>
      </c>
      <c r="HT30" s="5"/>
      <c r="HU30" s="736">
        <f>-HU27-HU29</f>
        <v>0</v>
      </c>
      <c r="HV30" s="736">
        <f>-HV27-HV29</f>
        <v>0</v>
      </c>
      <c r="HW30" s="736">
        <f>-HW27-HW29</f>
        <v>0</v>
      </c>
      <c r="HX30" s="736">
        <f>-HX27-HX29</f>
        <v>-275111.97000000003</v>
      </c>
      <c r="HY30" s="736">
        <f>-HY27-HY29</f>
        <v>-275111.97000000003</v>
      </c>
    </row>
    <row r="31" spans="1:236" ht="16.5" thickTop="1" thickBot="1">
      <c r="A31" s="237">
        <f t="shared" si="3"/>
        <v>18</v>
      </c>
      <c r="B31" s="372" t="s">
        <v>394</v>
      </c>
      <c r="C31" s="239"/>
      <c r="D31" s="249"/>
      <c r="E31" s="249"/>
      <c r="F31" s="249">
        <f>+F20+F29</f>
        <v>-44406847.206164941</v>
      </c>
      <c r="G31" s="249"/>
      <c r="H31" s="249">
        <f>+H20+H29</f>
        <v>-9803997.7300000004</v>
      </c>
      <c r="I31" s="106">
        <f t="shared" si="30"/>
        <v>18</v>
      </c>
      <c r="J31" s="224" t="s">
        <v>97</v>
      </c>
      <c r="K31" s="452">
        <f>FIT_GAS</f>
        <v>0.21</v>
      </c>
      <c r="L31" s="580">
        <f>L29*$K$31</f>
        <v>1069562.0173974633</v>
      </c>
      <c r="M31" s="450">
        <f>M29*$K$31</f>
        <v>1083955.8397812597</v>
      </c>
      <c r="N31" s="450">
        <f>N29*$K$31</f>
        <v>14393.822383796241</v>
      </c>
      <c r="O31" s="450">
        <f>O29*$K$31</f>
        <v>4472854.2318843342</v>
      </c>
      <c r="P31" s="450">
        <f>P29*$K$31</f>
        <v>3388898.3921030704</v>
      </c>
      <c r="Z31" s="682" t="s">
        <v>110</v>
      </c>
      <c r="AA31" s="683"/>
      <c r="AB31" s="685"/>
      <c r="AC31" s="685"/>
      <c r="AD31" s="685"/>
      <c r="AE31" s="685"/>
      <c r="AF31" s="685"/>
      <c r="AG31" s="237">
        <f t="shared" si="5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3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6"/>
        <v>18</v>
      </c>
      <c r="DS31" s="471"/>
      <c r="DT31" s="180"/>
      <c r="DU31" s="185"/>
      <c r="DV31" s="185"/>
      <c r="DW31" s="185"/>
      <c r="DX31" s="185"/>
      <c r="DY31" s="185"/>
      <c r="EH31" s="114"/>
      <c r="EP31" s="326">
        <f t="shared" si="22"/>
        <v>18</v>
      </c>
      <c r="EQ31" s="57" t="s">
        <v>286</v>
      </c>
      <c r="ER31" s="326"/>
      <c r="ES31" s="109">
        <f>SUM(ES29:ES30)</f>
        <v>-113029487.34480421</v>
      </c>
      <c r="ET31" s="109">
        <f>SUM(ET29:ET30)</f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23"/>
        <v>18</v>
      </c>
      <c r="FO31" s="216" t="s">
        <v>361</v>
      </c>
      <c r="FP31" s="216"/>
      <c r="FQ31" s="244">
        <v>0</v>
      </c>
      <c r="FR31" s="244">
        <v>0</v>
      </c>
      <c r="FS31" s="244">
        <f>+'[32]Lead G'!F30</f>
        <v>0</v>
      </c>
      <c r="FT31" s="244">
        <f>+'[32]Lead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25"/>
        <v>18</v>
      </c>
      <c r="GE31" s="216" t="s">
        <v>384</v>
      </c>
      <c r="GF31" s="216"/>
      <c r="GG31" s="244">
        <f>'[7]Gas Lead '!D31</f>
        <v>0</v>
      </c>
      <c r="GH31" s="244">
        <f>'[7]Gas Lead '!E31</f>
        <v>0</v>
      </c>
      <c r="GI31" s="244">
        <v>0</v>
      </c>
      <c r="GJ31" s="663">
        <f>'[7]Gas Lead '!$G$31</f>
        <v>1880687.3039434666</v>
      </c>
      <c r="GK31" s="244">
        <f>+GJ31-GI31</f>
        <v>1880687.3039434666</v>
      </c>
      <c r="HR31" s="106"/>
    </row>
    <row r="32" spans="1:236" ht="16.5" thickTop="1" thickBot="1">
      <c r="A32" s="237">
        <f t="shared" si="3"/>
        <v>19</v>
      </c>
      <c r="B32" s="372"/>
      <c r="C32" s="239"/>
      <c r="D32" s="249"/>
      <c r="E32" s="249"/>
      <c r="F32" s="249"/>
      <c r="G32" s="249"/>
      <c r="H32" s="249"/>
      <c r="I32" s="106">
        <f t="shared" si="30"/>
        <v>19</v>
      </c>
      <c r="J32" s="224" t="s">
        <v>80</v>
      </c>
      <c r="K32" s="453"/>
      <c r="L32" s="451">
        <f>L29-L31</f>
        <v>4023590.4463999812</v>
      </c>
      <c r="M32" s="451">
        <f>M29-M31</f>
        <v>4077738.6353675961</v>
      </c>
      <c r="N32" s="451">
        <f>N29-N31</f>
        <v>54148.188967614435</v>
      </c>
      <c r="O32" s="451">
        <f>O29-O31</f>
        <v>16826451.634231545</v>
      </c>
      <c r="P32" s="451">
        <f>P29-P31</f>
        <v>12748712.998863932</v>
      </c>
      <c r="Z32" s="686"/>
      <c r="AA32" s="683"/>
      <c r="AB32" s="687"/>
      <c r="AC32" s="687"/>
      <c r="AD32" s="687"/>
      <c r="AE32" s="687"/>
      <c r="AF32" s="685"/>
      <c r="AG32" s="237">
        <f t="shared" si="5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6"/>
        <v>19</v>
      </c>
      <c r="DS32" s="471" t="s">
        <v>97</v>
      </c>
      <c r="DT32" s="189">
        <f>+FIT_GAS</f>
        <v>0.21</v>
      </c>
      <c r="DU32" s="23">
        <f>-DU30*$DT$32</f>
        <v>-650148.32120036811</v>
      </c>
      <c r="DV32" s="23">
        <f>-DV30*$DT$32</f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23"/>
        <v>19</v>
      </c>
      <c r="FO32" s="216" t="s">
        <v>362</v>
      </c>
      <c r="FP32" s="216"/>
      <c r="FQ32" s="244">
        <v>0</v>
      </c>
      <c r="FR32" s="244">
        <v>0</v>
      </c>
      <c r="FS32" s="244">
        <f>+'[32]Lead G'!F31</f>
        <v>0</v>
      </c>
      <c r="FT32" s="244">
        <f>+'[32]Lead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78">
        <f>-FY29-FY31</f>
        <v>-2715286.1670522951</v>
      </c>
      <c r="FZ32" s="478">
        <f>-FZ29-FZ31</f>
        <v>-2194696.8656429779</v>
      </c>
      <c r="GA32" s="478">
        <f>-GA29-GA31</f>
        <v>520589.30140931718</v>
      </c>
      <c r="GB32" s="478">
        <f>-GB29-GB31</f>
        <v>-2060535.2050507143</v>
      </c>
      <c r="GC32" s="478">
        <f>-GC29-GC31</f>
        <v>134161.66059226336</v>
      </c>
      <c r="GD32" s="208">
        <f t="shared" si="25"/>
        <v>19</v>
      </c>
      <c r="GE32" s="216" t="s">
        <v>385</v>
      </c>
      <c r="GF32" s="216"/>
      <c r="GG32" s="244">
        <f>'[7]Gas Lead '!D32</f>
        <v>0</v>
      </c>
      <c r="GH32" s="244">
        <f>'[7]Gas Lead '!E32</f>
        <v>0</v>
      </c>
      <c r="GI32" s="244">
        <v>0</v>
      </c>
      <c r="GJ32" s="663">
        <f>'[7]Gas Lead '!$G$32</f>
        <v>0</v>
      </c>
      <c r="GK32" s="244">
        <f>+GJ32-GI32</f>
        <v>0</v>
      </c>
      <c r="HR32" s="106"/>
    </row>
    <row r="33" spans="1:231" ht="15.75" thickBot="1">
      <c r="A33" s="237">
        <f t="shared" si="3"/>
        <v>20</v>
      </c>
      <c r="B33" s="370" t="s">
        <v>395</v>
      </c>
      <c r="C33" s="238"/>
      <c r="D33" s="757" t="s">
        <v>452</v>
      </c>
      <c r="E33" s="249"/>
      <c r="F33" s="249"/>
      <c r="G33" s="756" t="s">
        <v>452</v>
      </c>
      <c r="H33" s="249"/>
      <c r="I33" s="326"/>
      <c r="J33" s="5"/>
      <c r="Z33" s="686"/>
      <c r="AA33" s="683"/>
      <c r="AB33" s="688"/>
      <c r="AC33" s="688"/>
      <c r="AD33" s="688"/>
      <c r="AE33" s="688"/>
      <c r="AF33" s="688"/>
      <c r="AG33" s="237">
        <f t="shared" si="5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3"/>
      <c r="AX33" s="383"/>
      <c r="AY33" s="383"/>
      <c r="AZ33" s="389"/>
      <c r="BA33" s="389"/>
      <c r="BB33" s="389"/>
      <c r="BC33" s="389"/>
      <c r="BD33" s="389"/>
      <c r="DO33" s="328"/>
      <c r="DP33" s="330"/>
      <c r="DQ33" s="328"/>
      <c r="DR33" s="27">
        <f t="shared" si="16"/>
        <v>20</v>
      </c>
      <c r="DS33" s="471"/>
      <c r="DT33" s="180"/>
      <c r="DU33" s="460"/>
      <c r="DV33" s="460"/>
      <c r="DW33" s="460"/>
      <c r="DX33" s="460"/>
      <c r="DY33" s="460"/>
      <c r="ES33" s="148"/>
      <c r="ET33" s="148"/>
      <c r="EU33" s="148"/>
      <c r="EV33" s="148"/>
      <c r="EW33" s="148"/>
      <c r="EX33" s="5"/>
      <c r="FN33" s="114">
        <f t="shared" si="23"/>
        <v>20</v>
      </c>
      <c r="FO33" s="216" t="s">
        <v>363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25"/>
        <v>20</v>
      </c>
      <c r="GE33" s="216" t="s">
        <v>363</v>
      </c>
      <c r="GF33" s="216"/>
      <c r="GG33" s="258">
        <f>SUM(GG30:GG32)</f>
        <v>0</v>
      </c>
      <c r="GH33" s="258">
        <f>SUM(GH30:GH32)</f>
        <v>0</v>
      </c>
      <c r="GI33" s="258">
        <f>SUM(GI30:GI32)</f>
        <v>0</v>
      </c>
      <c r="GJ33" s="668">
        <f>SUM(GJ30:GJ32)</f>
        <v>3350222.6733014667</v>
      </c>
      <c r="GK33" s="258">
        <f>SUM(GK30:GK32)</f>
        <v>3350222.6733014667</v>
      </c>
      <c r="HC33" s="567" t="s">
        <v>514</v>
      </c>
      <c r="HD33" s="567"/>
      <c r="HE33" s="568" t="s">
        <v>521</v>
      </c>
      <c r="HF33" s="568" t="s">
        <v>510</v>
      </c>
      <c r="HG33" s="568" t="s">
        <v>515</v>
      </c>
      <c r="HR33" s="106"/>
      <c r="HS33" s="508" t="s">
        <v>514</v>
      </c>
      <c r="HT33" s="508"/>
      <c r="HU33" s="517" t="s">
        <v>521</v>
      </c>
      <c r="HV33" s="517" t="s">
        <v>510</v>
      </c>
      <c r="HW33" s="517" t="s">
        <v>515</v>
      </c>
    </row>
    <row r="34" spans="1:231" ht="17.25" thickTop="1" thickBot="1">
      <c r="A34" s="237">
        <f t="shared" si="3"/>
        <v>21</v>
      </c>
      <c r="B34" s="369" t="s">
        <v>446</v>
      </c>
      <c r="C34" s="238"/>
      <c r="D34" s="757"/>
      <c r="E34" s="401"/>
      <c r="F34" s="249">
        <f>+'[18]Gas Lead'!E32</f>
        <v>-5257549.66233325</v>
      </c>
      <c r="G34" s="756"/>
      <c r="H34" s="243">
        <v>0</v>
      </c>
      <c r="I34" s="326"/>
      <c r="Z34" s="682" t="s">
        <v>111</v>
      </c>
      <c r="AA34" s="683"/>
      <c r="AB34" s="689"/>
      <c r="AC34" s="690">
        <v>2.9399999999999999E-2</v>
      </c>
      <c r="AD34" s="690"/>
      <c r="AE34" s="690">
        <v>2.87E-2</v>
      </c>
      <c r="AF34" s="690"/>
      <c r="AG34" s="237">
        <f t="shared" si="5"/>
        <v>22</v>
      </c>
      <c r="AH34" s="151" t="s">
        <v>99</v>
      </c>
      <c r="AI34" s="131"/>
      <c r="AJ34" s="248">
        <f>+'[9]Lead 3.05  '!D30</f>
        <v>4799234.8600000003</v>
      </c>
      <c r="AK34" s="262">
        <f>+'[9]Lead 3.05  '!E29</f>
        <v>0</v>
      </c>
      <c r="AL34" s="126">
        <f t="shared" ref="AL34:AL40" si="33">AK34-AJ34</f>
        <v>-4799234.8600000003</v>
      </c>
      <c r="AM34" s="262">
        <f t="shared" ref="AM34:AM40" si="34">AK34</f>
        <v>0</v>
      </c>
      <c r="AN34" s="262">
        <f t="shared" ref="AN34:AN40" si="35">+AM34-AK34</f>
        <v>0</v>
      </c>
      <c r="AW34" s="383"/>
      <c r="AX34" s="383"/>
      <c r="AY34" s="383"/>
      <c r="AZ34" s="383"/>
      <c r="BA34" s="383"/>
      <c r="BB34" s="383"/>
      <c r="BC34" s="383"/>
      <c r="BD34" s="383"/>
      <c r="DO34" s="328"/>
      <c r="DP34" s="330"/>
      <c r="DQ34" s="328"/>
      <c r="DR34" s="27">
        <f t="shared" si="16"/>
        <v>21</v>
      </c>
      <c r="DS34" s="180" t="s">
        <v>80</v>
      </c>
      <c r="DT34" s="180"/>
      <c r="DU34" s="473">
        <f>-DU30-DU32</f>
        <v>-2445796.0654680519</v>
      </c>
      <c r="DV34" s="473">
        <f>-DV30-DV32</f>
        <v>-2449986.4520397154</v>
      </c>
      <c r="DW34" s="473">
        <f>-DW30-DW32</f>
        <v>-4190.3865716636737</v>
      </c>
      <c r="DX34" s="473">
        <f>-DX30-DX32</f>
        <v>-2542840.0583775183</v>
      </c>
      <c r="DY34" s="473">
        <f>-DY30-DY32</f>
        <v>-92853.606337802732</v>
      </c>
      <c r="EX34" s="5"/>
      <c r="FN34" s="114">
        <f t="shared" ref="FN34:FN42" si="36">FN33+1</f>
        <v>21</v>
      </c>
      <c r="FO34" s="217" t="s">
        <v>459</v>
      </c>
      <c r="FP34" s="217"/>
      <c r="FQ34" s="476"/>
      <c r="FR34" s="476"/>
      <c r="FS34" s="476"/>
      <c r="FT34" s="476"/>
      <c r="FU34" s="476"/>
      <c r="GD34" s="208">
        <f t="shared" si="25"/>
        <v>21</v>
      </c>
      <c r="GE34" s="216" t="s">
        <v>386</v>
      </c>
      <c r="GF34" s="231">
        <f>[34]Lead!$E$35</f>
        <v>0.66190000000000004</v>
      </c>
      <c r="GG34" s="218"/>
      <c r="GH34" s="218"/>
      <c r="GI34" s="218"/>
      <c r="GJ34" s="669"/>
      <c r="GK34" s="218"/>
      <c r="HC34" s="509" t="s">
        <v>527</v>
      </c>
      <c r="HD34" s="567"/>
      <c r="HE34" s="510">
        <f>HI21</f>
        <v>156400.22579821481</v>
      </c>
      <c r="HF34" s="510">
        <v>0</v>
      </c>
      <c r="HG34" s="510">
        <f>HF34-HE34</f>
        <v>-156400.22579821481</v>
      </c>
      <c r="HR34" s="106"/>
      <c r="HS34" s="509" t="s">
        <v>527</v>
      </c>
      <c r="HT34" s="508"/>
      <c r="HU34" s="510">
        <f>HY24</f>
        <v>348243.00000000006</v>
      </c>
      <c r="HV34" s="510">
        <v>0</v>
      </c>
      <c r="HW34" s="510">
        <f>HV34-HU34</f>
        <v>-348243.00000000006</v>
      </c>
    </row>
    <row r="35" spans="1:231" ht="16.5" customHeight="1" thickTop="1">
      <c r="A35" s="237">
        <f t="shared" si="3"/>
        <v>22</v>
      </c>
      <c r="B35" s="369" t="s">
        <v>447</v>
      </c>
      <c r="C35" s="240"/>
      <c r="D35" s="758"/>
      <c r="E35" s="402"/>
      <c r="F35" s="244">
        <f>+'[18]Gas Lead'!E33</f>
        <v>-38339579.111994386</v>
      </c>
      <c r="G35" s="752"/>
      <c r="H35" s="243">
        <v>0</v>
      </c>
      <c r="J35" s="652" t="s">
        <v>565</v>
      </c>
      <c r="K35" s="652"/>
      <c r="L35" s="652"/>
      <c r="M35" s="652"/>
      <c r="N35" s="653"/>
      <c r="Z35" s="682" t="s">
        <v>112</v>
      </c>
      <c r="AA35" s="683"/>
      <c r="AB35" s="691">
        <v>0</v>
      </c>
      <c r="AC35" s="691">
        <v>61510078.005106948</v>
      </c>
      <c r="AD35" s="691">
        <v>61510078.005106948</v>
      </c>
      <c r="AE35" s="591">
        <v>60633705.509920031</v>
      </c>
      <c r="AF35" s="692">
        <v>-876372.49518691748</v>
      </c>
      <c r="AG35" s="237">
        <f t="shared" si="5"/>
        <v>23</v>
      </c>
      <c r="AH35" s="151" t="s">
        <v>264</v>
      </c>
      <c r="AI35" s="131"/>
      <c r="AJ35" s="248">
        <f>+'[9]Lead 3.05  '!D31</f>
        <v>14625833.34</v>
      </c>
      <c r="AK35" s="262">
        <f>+'[9]Lead 3.05  '!E30</f>
        <v>0</v>
      </c>
      <c r="AL35" s="126">
        <f t="shared" si="33"/>
        <v>-14625833.34</v>
      </c>
      <c r="AM35" s="262">
        <f t="shared" si="34"/>
        <v>0</v>
      </c>
      <c r="AN35" s="262">
        <f t="shared" si="35"/>
        <v>0</v>
      </c>
      <c r="AW35" s="383"/>
      <c r="AX35" s="383"/>
      <c r="AY35" s="383"/>
      <c r="AZ35" s="383"/>
      <c r="BA35" s="383"/>
      <c r="BB35" s="383"/>
      <c r="BC35" s="383"/>
      <c r="BD35" s="383"/>
      <c r="DO35" s="328"/>
      <c r="DP35" s="330"/>
      <c r="DQ35" s="328"/>
      <c r="EX35" s="5"/>
      <c r="FN35" s="114">
        <f t="shared" si="36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25"/>
        <v>22</v>
      </c>
      <c r="GE35" s="219" t="s">
        <v>290</v>
      </c>
      <c r="GF35" s="219"/>
      <c r="GG35" s="244">
        <f>'[7]Gas Lead '!D35</f>
        <v>0</v>
      </c>
      <c r="GH35" s="244">
        <f>'[7]Gas Lead '!E35</f>
        <v>0</v>
      </c>
      <c r="GI35" s="244">
        <v>0</v>
      </c>
      <c r="GJ35" s="663">
        <f>GJ33</f>
        <v>3350222.6733014667</v>
      </c>
      <c r="GK35" s="241">
        <f>+GJ35-GI35</f>
        <v>3350222.6733014667</v>
      </c>
      <c r="HC35" s="569" t="s">
        <v>72</v>
      </c>
      <c r="HD35" s="567"/>
      <c r="HE35" s="570">
        <f>-HE34*0.21</f>
        <v>-32844.047417625108</v>
      </c>
      <c r="HF35" s="510">
        <v>0</v>
      </c>
      <c r="HG35" s="510">
        <f>HF35-HE35</f>
        <v>32844.047417625108</v>
      </c>
      <c r="HR35" s="106"/>
      <c r="HS35" s="511" t="s">
        <v>72</v>
      </c>
      <c r="HT35" s="508"/>
      <c r="HU35" s="512">
        <f>-HU34*0.21</f>
        <v>-73131.030000000013</v>
      </c>
      <c r="HV35" s="510">
        <v>0</v>
      </c>
      <c r="HW35" s="510">
        <f>HV35-HU35</f>
        <v>73131.030000000013</v>
      </c>
    </row>
    <row r="36" spans="1:231">
      <c r="A36" s="237">
        <f t="shared" si="3"/>
        <v>23</v>
      </c>
      <c r="B36" s="372" t="s">
        <v>396</v>
      </c>
      <c r="C36" s="239"/>
      <c r="D36" s="247"/>
      <c r="E36" s="247"/>
      <c r="F36" s="247">
        <f>SUM(F34:F35)</f>
        <v>-43597128.774327636</v>
      </c>
      <c r="G36" s="247"/>
      <c r="H36" s="247">
        <f>SUM(H34:H35)</f>
        <v>0</v>
      </c>
      <c r="J36" s="652" t="s">
        <v>546</v>
      </c>
      <c r="K36" s="652"/>
      <c r="L36" s="654" t="s">
        <v>566</v>
      </c>
      <c r="M36" s="654" t="s">
        <v>504</v>
      </c>
      <c r="N36" s="654" t="s">
        <v>515</v>
      </c>
      <c r="Z36" s="682"/>
      <c r="AA36" s="683"/>
      <c r="AB36" s="688"/>
      <c r="AC36" s="688"/>
      <c r="AD36" s="688"/>
      <c r="AE36" s="688"/>
      <c r="AF36" s="688"/>
      <c r="AG36" s="237">
        <f t="shared" si="5"/>
        <v>24</v>
      </c>
      <c r="AH36" s="151" t="s">
        <v>167</v>
      </c>
      <c r="AI36" s="131"/>
      <c r="AJ36" s="248">
        <f>+'[9]Lead 3.05  '!D32</f>
        <v>21844083.23184</v>
      </c>
      <c r="AK36" s="262">
        <f>+'[9]Lead 3.05  '!E31</f>
        <v>0</v>
      </c>
      <c r="AL36" s="126">
        <f t="shared" si="33"/>
        <v>-21844083.23184</v>
      </c>
      <c r="AM36" s="262">
        <f t="shared" si="34"/>
        <v>0</v>
      </c>
      <c r="AN36" s="262">
        <f t="shared" si="35"/>
        <v>0</v>
      </c>
      <c r="AW36" s="383"/>
      <c r="AX36" s="383"/>
      <c r="AY36" s="383"/>
      <c r="AZ36" s="383"/>
      <c r="BA36" s="383"/>
      <c r="BB36" s="383"/>
      <c r="BC36" s="383"/>
      <c r="BD36" s="383"/>
      <c r="DO36" s="328"/>
      <c r="DP36" s="330"/>
      <c r="DQ36" s="328"/>
      <c r="EX36" s="5"/>
      <c r="FN36" s="114">
        <f t="shared" si="36"/>
        <v>23</v>
      </c>
      <c r="FO36" s="219" t="s">
        <v>459</v>
      </c>
      <c r="FP36" s="219"/>
      <c r="FQ36" s="244"/>
      <c r="FR36" s="244"/>
      <c r="FS36" s="244"/>
      <c r="FT36" s="244"/>
      <c r="FU36" s="244"/>
      <c r="GD36" s="208">
        <f t="shared" si="25"/>
        <v>23</v>
      </c>
      <c r="GE36" s="219"/>
      <c r="GF36" s="219"/>
      <c r="GG36" s="244"/>
      <c r="GH36" s="244"/>
      <c r="GI36" s="244"/>
      <c r="GJ36" s="663"/>
      <c r="GK36" s="244"/>
      <c r="HC36" s="569" t="s">
        <v>517</v>
      </c>
      <c r="HD36" s="567"/>
      <c r="HE36" s="570">
        <f>-HE34-HE35</f>
        <v>-123556.1783805897</v>
      </c>
      <c r="HF36" s="510">
        <v>0</v>
      </c>
      <c r="HG36" s="510">
        <f>HF36-HE36</f>
        <v>123556.1783805897</v>
      </c>
      <c r="HR36" s="106"/>
      <c r="HS36" s="511" t="s">
        <v>517</v>
      </c>
      <c r="HT36" s="508"/>
      <c r="HU36" s="512">
        <f>-HU34-HU35</f>
        <v>-275111.97000000003</v>
      </c>
      <c r="HV36" s="510">
        <v>0</v>
      </c>
      <c r="HW36" s="510">
        <f>HV36-HU36</f>
        <v>275111.97000000003</v>
      </c>
    </row>
    <row r="37" spans="1:231">
      <c r="A37" s="237">
        <f t="shared" si="3"/>
        <v>24</v>
      </c>
      <c r="B37" s="378"/>
      <c r="C37" s="378"/>
      <c r="D37" s="378"/>
      <c r="E37" s="379"/>
      <c r="F37" s="379"/>
      <c r="G37" s="379"/>
      <c r="H37" s="248">
        <f>+'Common Adj'!$AI$21</f>
        <v>0</v>
      </c>
      <c r="J37" s="652" t="s">
        <v>567</v>
      </c>
      <c r="K37" s="652"/>
      <c r="L37" s="655">
        <v>42375.32993</v>
      </c>
      <c r="M37" s="655">
        <f>N19</f>
        <v>71805.349049671087</v>
      </c>
      <c r="N37" s="655">
        <f>M37-L37</f>
        <v>29430.019119671088</v>
      </c>
      <c r="Z37" s="686" t="s">
        <v>113</v>
      </c>
      <c r="AA37" s="693">
        <v>0.21</v>
      </c>
      <c r="AB37" s="694">
        <v>0</v>
      </c>
      <c r="AC37" s="694">
        <v>-12917116.381072458</v>
      </c>
      <c r="AD37" s="694">
        <v>-12917116.381072458</v>
      </c>
      <c r="AE37" s="694">
        <v>-12733078.157083206</v>
      </c>
      <c r="AF37" s="694">
        <v>184038.22398925267</v>
      </c>
      <c r="AG37" s="237">
        <f t="shared" si="5"/>
        <v>25</v>
      </c>
      <c r="AH37" s="151" t="s">
        <v>265</v>
      </c>
      <c r="AI37" s="131"/>
      <c r="AJ37" s="248">
        <f>+'[9]Lead 3.05  '!D33</f>
        <v>-23502295.960000001</v>
      </c>
      <c r="AK37" s="262">
        <f>+'[9]Lead 3.05  '!E32</f>
        <v>0</v>
      </c>
      <c r="AL37" s="126">
        <f t="shared" si="33"/>
        <v>23502295.960000001</v>
      </c>
      <c r="AM37" s="262">
        <f t="shared" si="34"/>
        <v>0</v>
      </c>
      <c r="AN37" s="262">
        <f t="shared" si="35"/>
        <v>0</v>
      </c>
      <c r="AW37" s="383"/>
      <c r="AX37" s="383"/>
      <c r="AY37" s="383"/>
      <c r="AZ37" s="383"/>
      <c r="BA37" s="383"/>
      <c r="BB37" s="383"/>
      <c r="BC37" s="383"/>
      <c r="BD37" s="383"/>
      <c r="DO37" s="328"/>
      <c r="DP37" s="330"/>
      <c r="DQ37" s="328"/>
      <c r="FN37" s="114">
        <f t="shared" si="36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25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>-GH35*GD37</f>
        <v>0</v>
      </c>
      <c r="GI37" s="232">
        <v>0</v>
      </c>
      <c r="GJ37" s="670">
        <f>-GJ35*GF37</f>
        <v>-703546.76139330794</v>
      </c>
      <c r="GK37" s="232">
        <f>+GJ37-GI37</f>
        <v>-703546.76139330794</v>
      </c>
      <c r="HC37" s="567" t="s">
        <v>519</v>
      </c>
      <c r="HD37" s="567"/>
      <c r="HE37" s="570">
        <f>-HE36/'COC, Def, ConvF'!$M$20</f>
        <v>163846.53218430746</v>
      </c>
      <c r="HF37" s="510">
        <v>0</v>
      </c>
      <c r="HG37" s="510">
        <f>HF37-HE37</f>
        <v>-163846.53218430746</v>
      </c>
      <c r="HR37" s="106"/>
      <c r="HS37" s="508" t="s">
        <v>519</v>
      </c>
      <c r="HT37" s="508"/>
      <c r="HU37" s="512">
        <f>-HU36/'COC, Def, ConvF'!$M$20</f>
        <v>364823.05326768308</v>
      </c>
      <c r="HV37" s="510">
        <v>0</v>
      </c>
      <c r="HW37" s="510">
        <f>HV37-HU37</f>
        <v>-364823.05326768308</v>
      </c>
    </row>
    <row r="38" spans="1:231" ht="15.75" thickBot="1">
      <c r="A38" s="237">
        <f t="shared" si="3"/>
        <v>25</v>
      </c>
      <c r="B38" s="10" t="s">
        <v>92</v>
      </c>
      <c r="C38" s="250">
        <f>'COC, Def, ConvF'!$M$12</f>
        <v>5.1240000000000001E-3</v>
      </c>
      <c r="D38" s="378"/>
      <c r="E38" s="251"/>
      <c r="F38" s="248">
        <f>+$C38*F$31</f>
        <v>-227540.68508438917</v>
      </c>
      <c r="G38" s="251"/>
      <c r="H38" s="248">
        <f>+$C38*H$31</f>
        <v>-50235.68436852</v>
      </c>
      <c r="J38" s="652" t="s">
        <v>568</v>
      </c>
      <c r="K38" s="652"/>
      <c r="L38" s="656">
        <v>1925.8316193287083</v>
      </c>
      <c r="M38" s="656">
        <f>N27</f>
        <v>3263.3376982604059</v>
      </c>
      <c r="N38" s="656">
        <f>M38-L38</f>
        <v>1337.5060789316976</v>
      </c>
      <c r="Z38" s="686" t="s">
        <v>80</v>
      </c>
      <c r="AA38" s="683"/>
      <c r="AB38" s="695">
        <v>0</v>
      </c>
      <c r="AC38" s="695">
        <v>12917116.381072458</v>
      </c>
      <c r="AD38" s="695">
        <v>12917116.381072458</v>
      </c>
      <c r="AE38" s="695">
        <v>12733078.157083206</v>
      </c>
      <c r="AF38" s="695">
        <v>-184038.22398925267</v>
      </c>
      <c r="AG38" s="237">
        <f t="shared" si="5"/>
        <v>26</v>
      </c>
      <c r="AH38" s="151" t="s">
        <v>408</v>
      </c>
      <c r="AI38" s="131"/>
      <c r="AJ38" s="248">
        <f>+'[9]Lead 3.05  '!D34</f>
        <v>12000</v>
      </c>
      <c r="AK38" s="262">
        <f>+'[9]Lead 3.05  '!E33</f>
        <v>0</v>
      </c>
      <c r="AL38" s="126">
        <f t="shared" si="33"/>
        <v>-12000</v>
      </c>
      <c r="AM38" s="262">
        <f t="shared" si="34"/>
        <v>0</v>
      </c>
      <c r="AN38" s="262">
        <f t="shared" si="35"/>
        <v>0</v>
      </c>
      <c r="AW38" s="383"/>
      <c r="AX38" s="383"/>
      <c r="AY38" s="383"/>
      <c r="AZ38" s="383"/>
      <c r="BA38" s="383"/>
      <c r="BB38" s="383"/>
      <c r="BC38" s="383"/>
      <c r="BD38" s="383"/>
      <c r="DO38" s="328"/>
      <c r="DP38" s="330"/>
      <c r="DQ38" s="328"/>
      <c r="FN38" s="114">
        <f t="shared" si="36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25"/>
        <v>25</v>
      </c>
      <c r="GE38" s="219" t="s">
        <v>80</v>
      </c>
      <c r="GF38" s="219"/>
      <c r="GG38" s="220">
        <f>-GG35-GG37</f>
        <v>0</v>
      </c>
      <c r="GH38" s="220">
        <f>-GH35-GH37</f>
        <v>0</v>
      </c>
      <c r="GI38" s="220">
        <f>-GI35-GI37</f>
        <v>0</v>
      </c>
      <c r="GJ38" s="671">
        <f>-GJ35-GJ37</f>
        <v>-2646675.911908159</v>
      </c>
      <c r="GK38" s="220">
        <f>-GK35-GK37</f>
        <v>-2646675.911908159</v>
      </c>
      <c r="HC38" s="567"/>
      <c r="HD38" s="567"/>
      <c r="HE38" s="567"/>
      <c r="HF38" s="510"/>
      <c r="HG38" s="510"/>
      <c r="HR38" s="106"/>
      <c r="HS38" s="508"/>
      <c r="HT38" s="508"/>
      <c r="HU38" s="508"/>
      <c r="HV38" s="510"/>
      <c r="HW38" s="510"/>
    </row>
    <row r="39" spans="1:231" ht="15.75" thickTop="1">
      <c r="A39" s="237">
        <f t="shared" si="3"/>
        <v>26</v>
      </c>
      <c r="B39" s="10" t="s">
        <v>93</v>
      </c>
      <c r="C39" s="250">
        <f>'COC, Def, ConvF'!$M$13</f>
        <v>2E-3</v>
      </c>
      <c r="D39" s="378"/>
      <c r="E39" s="251"/>
      <c r="F39" s="248">
        <f>+$C39*F$31</f>
        <v>-88813.694412329889</v>
      </c>
      <c r="G39" s="251"/>
      <c r="H39" s="248">
        <f>+$C39*H$31</f>
        <v>-19607.995460000002</v>
      </c>
      <c r="J39" s="652" t="s">
        <v>72</v>
      </c>
      <c r="K39" s="652"/>
      <c r="L39" s="657">
        <v>8494.3946452410892</v>
      </c>
      <c r="M39" s="657">
        <f>N31</f>
        <v>14393.822383796241</v>
      </c>
      <c r="N39" s="657">
        <f>M39-L39</f>
        <v>5899.4277385551522</v>
      </c>
      <c r="Z39" s="686"/>
      <c r="AA39" s="683"/>
      <c r="AB39" s="683"/>
      <c r="AC39" s="683"/>
      <c r="AD39" s="683"/>
      <c r="AE39" s="683"/>
      <c r="AF39" s="683"/>
      <c r="AG39" s="237">
        <f t="shared" si="5"/>
        <v>27</v>
      </c>
      <c r="AH39" s="151" t="s">
        <v>409</v>
      </c>
      <c r="AI39" s="131"/>
      <c r="AJ39" s="248">
        <f>+'[9]Lead 3.05  '!D35</f>
        <v>15721.66</v>
      </c>
      <c r="AK39" s="262">
        <f>+'[9]Lead 3.05  '!E35</f>
        <v>0</v>
      </c>
      <c r="AL39" s="126">
        <f t="shared" si="33"/>
        <v>-15721.66</v>
      </c>
      <c r="AM39" s="262">
        <f t="shared" si="34"/>
        <v>0</v>
      </c>
      <c r="AN39" s="262">
        <f t="shared" si="35"/>
        <v>0</v>
      </c>
      <c r="AW39" s="383"/>
      <c r="AX39" s="383"/>
      <c r="AY39" s="383"/>
      <c r="AZ39" s="383"/>
      <c r="BA39" s="383"/>
      <c r="BB39" s="383"/>
      <c r="BC39" s="383"/>
      <c r="BD39" s="383"/>
      <c r="DO39" s="328"/>
      <c r="DP39" s="330"/>
      <c r="DQ39" s="328"/>
      <c r="FN39" s="114">
        <f t="shared" si="36"/>
        <v>26</v>
      </c>
      <c r="FO39" s="279" t="s">
        <v>459</v>
      </c>
      <c r="FP39" s="154"/>
      <c r="FQ39" s="154"/>
      <c r="FR39" s="154"/>
      <c r="FS39" s="154"/>
      <c r="FT39" s="154"/>
      <c r="FU39" s="154"/>
      <c r="HC39" s="567" t="s">
        <v>518</v>
      </c>
      <c r="HD39" s="567"/>
      <c r="HE39" s="571">
        <f>HI18</f>
        <v>5946647.6649043793</v>
      </c>
      <c r="HF39" s="572">
        <f>'COC, Def, ConvF'!AV1</f>
        <v>0</v>
      </c>
      <c r="HG39" s="510"/>
      <c r="HS39" s="508" t="s">
        <v>518</v>
      </c>
      <c r="HT39" s="508"/>
      <c r="HU39" s="513">
        <f>HY21</f>
        <v>2799732.3622297375</v>
      </c>
      <c r="HV39" s="516">
        <f>'COC, Def, ConvF'!BL1</f>
        <v>0</v>
      </c>
      <c r="HW39" s="510"/>
    </row>
    <row r="40" spans="1:231">
      <c r="A40" s="237">
        <f t="shared" si="3"/>
        <v>27</v>
      </c>
      <c r="B40" s="10" t="s">
        <v>95</v>
      </c>
      <c r="C40" s="250">
        <f>'COC, Def, ConvF'!$M$14</f>
        <v>3.8323000000000003E-2</v>
      </c>
      <c r="D40" s="378"/>
      <c r="E40" s="251"/>
      <c r="F40" s="248">
        <f>+$C40*F$31</f>
        <v>-1701803.6054818591</v>
      </c>
      <c r="G40" s="251"/>
      <c r="H40" s="248">
        <f>+$C40*H$31</f>
        <v>-375718.60500679002</v>
      </c>
      <c r="J40" s="652" t="s">
        <v>569</v>
      </c>
      <c r="K40" s="652"/>
      <c r="L40" s="656">
        <f>L37-L38-L39</f>
        <v>31955.103665430201</v>
      </c>
      <c r="M40" s="656">
        <f>M37-M38-M39</f>
        <v>54148.188967614435</v>
      </c>
      <c r="N40" s="656">
        <f>N37-N38-N39</f>
        <v>22193.085302184234</v>
      </c>
      <c r="O40" s="330"/>
      <c r="Z40" s="696"/>
      <c r="AA40" s="697"/>
      <c r="AB40" s="683"/>
      <c r="AC40" s="683"/>
      <c r="AD40" s="683"/>
      <c r="AE40" s="683"/>
      <c r="AF40" s="683"/>
      <c r="AG40" s="237">
        <f>AG38+1</f>
        <v>27</v>
      </c>
      <c r="AH40" s="151" t="s">
        <v>259</v>
      </c>
      <c r="AI40" s="131"/>
      <c r="AJ40" s="248">
        <f>+'[9]Lead 3.05  '!D36</f>
        <v>39993753.130000003</v>
      </c>
      <c r="AK40" s="262">
        <f>+'[9]Lead 3.05  '!E35</f>
        <v>0</v>
      </c>
      <c r="AL40" s="207">
        <f t="shared" si="33"/>
        <v>-39993753.130000003</v>
      </c>
      <c r="AM40" s="262">
        <f t="shared" si="34"/>
        <v>0</v>
      </c>
      <c r="AN40" s="262">
        <f t="shared" si="35"/>
        <v>0</v>
      </c>
      <c r="AW40" s="383"/>
      <c r="AX40" s="383"/>
      <c r="AY40" s="383"/>
      <c r="AZ40" s="383"/>
      <c r="BA40" s="383"/>
      <c r="BB40" s="383"/>
      <c r="BC40" s="383"/>
      <c r="BD40" s="383"/>
      <c r="DO40" s="328"/>
      <c r="DP40" s="330"/>
      <c r="DQ40" s="328"/>
      <c r="FN40" s="114">
        <f t="shared" si="36"/>
        <v>27</v>
      </c>
      <c r="FO40" s="221" t="s">
        <v>460</v>
      </c>
      <c r="FP40" s="222"/>
      <c r="FQ40" s="222"/>
      <c r="FR40" s="222"/>
      <c r="FS40" s="154"/>
      <c r="FT40" s="154"/>
      <c r="FU40" s="154"/>
      <c r="HC40" s="567" t="s">
        <v>522</v>
      </c>
      <c r="HD40" s="567"/>
      <c r="HE40" s="573">
        <v>7.6200000000000004E-2</v>
      </c>
      <c r="HF40" s="572">
        <f>'COC, Def, ConvF'!AV2</f>
        <v>0</v>
      </c>
      <c r="HG40" s="510"/>
      <c r="HS40" s="508" t="s">
        <v>522</v>
      </c>
      <c r="HT40" s="508"/>
      <c r="HU40" s="515">
        <v>7.6200000000000004E-2</v>
      </c>
      <c r="HV40" s="516">
        <f>'COC, Def, ConvF'!BL2</f>
        <v>0</v>
      </c>
      <c r="HW40" s="510"/>
    </row>
    <row r="41" spans="1:231">
      <c r="A41" s="237">
        <f t="shared" si="3"/>
        <v>28</v>
      </c>
      <c r="B41" s="252" t="s">
        <v>397</v>
      </c>
      <c r="C41" s="252"/>
      <c r="D41" s="253"/>
      <c r="E41" s="254"/>
      <c r="F41" s="254">
        <f>SUM(F38:F40)</f>
        <v>-2018157.9849785781</v>
      </c>
      <c r="G41" s="254"/>
      <c r="H41" s="254">
        <f>SUM(H38:H40)</f>
        <v>-445562.28483531001</v>
      </c>
      <c r="J41" s="652" t="s">
        <v>519</v>
      </c>
      <c r="K41" s="652"/>
      <c r="L41" s="656">
        <f>-L40/'COC, Def, ConvF'!$M$20</f>
        <v>-42375.322624848261</v>
      </c>
      <c r="M41" s="656">
        <f>-M40/'COC, Def, ConvF'!$M$20</f>
        <v>-71805.336671030964</v>
      </c>
      <c r="N41" s="656">
        <f>-N40/'COC, Def, ConvF'!$M$20</f>
        <v>-29430.014046182696</v>
      </c>
      <c r="Z41" s="508" t="s">
        <v>586</v>
      </c>
      <c r="AA41" s="508"/>
      <c r="AB41" s="508" t="s">
        <v>521</v>
      </c>
      <c r="AC41" s="508" t="s">
        <v>510</v>
      </c>
      <c r="AD41" s="508" t="s">
        <v>515</v>
      </c>
      <c r="AG41" s="237">
        <f t="shared" si="5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3"/>
      <c r="AX41" s="383"/>
      <c r="AY41" s="383"/>
      <c r="AZ41" s="383"/>
      <c r="BA41" s="383"/>
      <c r="BB41" s="383"/>
      <c r="BC41" s="383"/>
      <c r="BD41" s="383"/>
      <c r="DO41" s="328"/>
      <c r="DP41" s="330"/>
      <c r="DQ41" s="328"/>
      <c r="FN41" s="114">
        <f t="shared" si="36"/>
        <v>28</v>
      </c>
      <c r="FO41" s="221" t="s">
        <v>461</v>
      </c>
      <c r="FT41" s="337"/>
      <c r="HC41" s="567" t="s">
        <v>523</v>
      </c>
      <c r="HD41" s="567"/>
      <c r="HE41" s="574">
        <f>HE39*HE40</f>
        <v>453134.55206571374</v>
      </c>
      <c r="HF41" s="572">
        <f>HF39*HF40</f>
        <v>0</v>
      </c>
      <c r="HG41" s="510">
        <f>HF41-HE41</f>
        <v>-453134.55206571374</v>
      </c>
      <c r="HS41" s="508" t="s">
        <v>523</v>
      </c>
      <c r="HT41" s="508"/>
      <c r="HU41" s="514">
        <f>HU39*HU40</f>
        <v>213339.60600190601</v>
      </c>
      <c r="HV41" s="516">
        <f>HV39*HV40</f>
        <v>0</v>
      </c>
      <c r="HW41" s="510">
        <f>HV41-HU41</f>
        <v>-213339.60600190601</v>
      </c>
    </row>
    <row r="42" spans="1:231">
      <c r="A42" s="237">
        <f t="shared" si="3"/>
        <v>29</v>
      </c>
      <c r="B42" s="10"/>
      <c r="C42" s="10"/>
      <c r="D42" s="253"/>
      <c r="E42" s="255"/>
      <c r="F42" s="255"/>
      <c r="G42" s="255"/>
      <c r="H42" s="255"/>
      <c r="J42" s="652" t="s">
        <v>516</v>
      </c>
      <c r="K42" s="652"/>
      <c r="L42" s="658"/>
      <c r="M42" s="658"/>
      <c r="N42" s="658">
        <f>N41-'Detailed Summary'!E66</f>
        <v>-1.5279510989785194E-10</v>
      </c>
      <c r="Z42" s="508" t="s">
        <v>517</v>
      </c>
      <c r="AA42" s="508"/>
      <c r="AB42" s="514">
        <f>AD38</f>
        <v>12917116.381072458</v>
      </c>
      <c r="AC42" s="514">
        <f>AD22</f>
        <v>12921873.959118428</v>
      </c>
      <c r="AD42" s="514">
        <f>AC42-AB42</f>
        <v>4757.578045969829</v>
      </c>
      <c r="AG42" s="237">
        <f t="shared" si="5"/>
        <v>29</v>
      </c>
      <c r="AI42" s="280"/>
      <c r="AJ42" s="280"/>
      <c r="AK42" s="280"/>
      <c r="AL42" s="280"/>
      <c r="AM42" s="280"/>
      <c r="AN42" s="280"/>
      <c r="AW42" s="383"/>
      <c r="AX42" s="383"/>
      <c r="AY42" s="383"/>
      <c r="AZ42" s="383"/>
      <c r="BA42" s="383"/>
      <c r="BB42" s="383"/>
      <c r="BC42" s="383"/>
      <c r="BD42" s="383"/>
      <c r="DO42" s="328"/>
      <c r="DP42" s="330"/>
      <c r="DQ42" s="328"/>
      <c r="FN42" s="114">
        <f t="shared" si="36"/>
        <v>29</v>
      </c>
      <c r="FO42" s="221" t="s">
        <v>462</v>
      </c>
      <c r="HC42" s="567" t="s">
        <v>524</v>
      </c>
      <c r="HD42" s="567"/>
      <c r="HE42" s="575">
        <f>HE41/'COC, Def, ConvF'!$M$20</f>
        <v>600896.903270685</v>
      </c>
      <c r="HF42" s="572">
        <v>0</v>
      </c>
      <c r="HG42" s="510">
        <f>HF42-HE42</f>
        <v>-600896.903270685</v>
      </c>
      <c r="HS42" s="508" t="s">
        <v>524</v>
      </c>
      <c r="HT42" s="508"/>
      <c r="HU42" s="521">
        <f>HU41/'COC, Def, ConvF'!$M$20</f>
        <v>282907.3792919293</v>
      </c>
      <c r="HV42" s="516">
        <v>0</v>
      </c>
      <c r="HW42" s="510">
        <f>HV42-HU42</f>
        <v>-282907.3792919293</v>
      </c>
    </row>
    <row r="43" spans="1:231">
      <c r="A43" s="237">
        <f t="shared" si="3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J43" s="652"/>
      <c r="K43" s="652"/>
      <c r="L43" s="652"/>
      <c r="M43" s="652"/>
      <c r="N43" s="652"/>
      <c r="Z43" s="508" t="s">
        <v>519</v>
      </c>
      <c r="AA43" s="508"/>
      <c r="AB43" s="514"/>
      <c r="AC43" s="514"/>
      <c r="AD43" s="514">
        <f>-AD42/'COC, Def, ConvF'!M20</f>
        <v>-6308.9735749775282</v>
      </c>
      <c r="AG43" s="237">
        <f t="shared" si="5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>AK43</f>
        <v>0</v>
      </c>
      <c r="AN43" s="262">
        <f>+AM43-AK43</f>
        <v>0</v>
      </c>
      <c r="AW43" s="383"/>
      <c r="AX43" s="383"/>
      <c r="AY43" s="383"/>
      <c r="AZ43" s="383"/>
      <c r="BA43" s="383"/>
      <c r="BB43" s="383"/>
      <c r="BC43" s="383"/>
      <c r="BD43" s="383"/>
      <c r="DO43" s="328"/>
      <c r="DP43" s="330"/>
      <c r="DQ43" s="328"/>
      <c r="HC43" s="567"/>
      <c r="HD43" s="567"/>
      <c r="HE43" s="567"/>
      <c r="HF43" s="510"/>
      <c r="HG43" s="510"/>
      <c r="HS43" s="508"/>
      <c r="HT43" s="508"/>
      <c r="HU43" s="508"/>
      <c r="HV43" s="510"/>
      <c r="HW43" s="510"/>
    </row>
    <row r="44" spans="1:231">
      <c r="A44" s="237">
        <f t="shared" si="3"/>
        <v>31</v>
      </c>
      <c r="B44" s="10" t="s">
        <v>97</v>
      </c>
      <c r="C44" s="256">
        <f>FIT_GAS</f>
        <v>0.21</v>
      </c>
      <c r="D44" s="378"/>
      <c r="E44" s="257"/>
      <c r="F44" s="257">
        <f>+$C$44*F43</f>
        <v>253772.30615966723</v>
      </c>
      <c r="G44" s="257"/>
      <c r="H44" s="257">
        <f>+$C$44*H43</f>
        <v>-1965271.4434845848</v>
      </c>
      <c r="J44" s="652"/>
      <c r="K44" s="652"/>
      <c r="L44" s="652"/>
      <c r="M44" s="652"/>
      <c r="N44" s="652"/>
      <c r="Z44" s="508" t="s">
        <v>516</v>
      </c>
      <c r="AA44" s="508"/>
      <c r="AB44" s="514"/>
      <c r="AC44" s="514"/>
      <c r="AD44" s="514">
        <f>'Detailed Summary'!G66-AD43</f>
        <v>1.6007106751203537E-10</v>
      </c>
      <c r="AG44" s="237">
        <f t="shared" si="5"/>
        <v>31</v>
      </c>
      <c r="AH44" s="39" t="s">
        <v>492</v>
      </c>
      <c r="AI44" s="223">
        <f>FIT_GAS</f>
        <v>0.21</v>
      </c>
      <c r="AJ44" s="157">
        <f>AJ43*$AI$44</f>
        <v>375373.31091283698</v>
      </c>
      <c r="AK44" s="262">
        <f>AK43*$AI$44</f>
        <v>0</v>
      </c>
      <c r="AL44" s="157">
        <f>AL43*$AI$44</f>
        <v>-375373.31091283698</v>
      </c>
      <c r="AM44" s="262">
        <f>AK44</f>
        <v>0</v>
      </c>
      <c r="AN44" s="262">
        <f>+AM44-AK44</f>
        <v>0</v>
      </c>
      <c r="AW44" s="383"/>
      <c r="AX44" s="383"/>
      <c r="AY44" s="383"/>
      <c r="AZ44" s="383"/>
      <c r="BA44" s="383"/>
      <c r="BB44" s="383"/>
      <c r="BC44" s="383"/>
      <c r="BD44" s="383"/>
      <c r="DO44" s="328"/>
      <c r="DP44" s="330"/>
      <c r="DQ44" s="328"/>
      <c r="HC44" s="567" t="s">
        <v>520</v>
      </c>
      <c r="HD44" s="567"/>
      <c r="HE44" s="570">
        <f>HE37+HE42</f>
        <v>764743.43545499246</v>
      </c>
      <c r="HF44" s="570">
        <f>HF37+HF42</f>
        <v>0</v>
      </c>
      <c r="HG44" s="570">
        <f>HG37+HG42</f>
        <v>-764743.43545499246</v>
      </c>
      <c r="HS44" s="508" t="s">
        <v>520</v>
      </c>
      <c r="HT44" s="508"/>
      <c r="HU44" s="512">
        <f>HU37+HU42</f>
        <v>647730.43255961244</v>
      </c>
      <c r="HV44" s="512">
        <f>HV37+HV42</f>
        <v>0</v>
      </c>
      <c r="HW44" s="512">
        <f>HW37+HW42</f>
        <v>-647730.43255961244</v>
      </c>
    </row>
    <row r="45" spans="1:231" ht="15.75" thickBot="1">
      <c r="A45" s="237">
        <f t="shared" si="3"/>
        <v>32</v>
      </c>
      <c r="B45" s="10" t="s">
        <v>80</v>
      </c>
      <c r="C45" s="10"/>
      <c r="D45" s="239"/>
      <c r="E45" s="258"/>
      <c r="F45" s="258">
        <f>F43-F44</f>
        <v>954667.24698160542</v>
      </c>
      <c r="G45" s="258"/>
      <c r="H45" s="258">
        <f>H43-H44</f>
        <v>-7393164.001680105</v>
      </c>
      <c r="J45" s="652" t="s">
        <v>570</v>
      </c>
      <c r="K45" s="652"/>
      <c r="L45" s="652"/>
      <c r="M45" s="652"/>
      <c r="N45" s="653"/>
      <c r="Z45" s="508"/>
      <c r="AA45" s="508"/>
      <c r="AB45" s="514"/>
      <c r="AC45" s="514"/>
      <c r="AD45" s="514"/>
      <c r="AG45" s="237">
        <f t="shared" si="5"/>
        <v>32</v>
      </c>
      <c r="AH45" s="39" t="s">
        <v>80</v>
      </c>
      <c r="AI45" s="39"/>
      <c r="AJ45" s="132">
        <f>AJ43-AJ44</f>
        <v>1412118.6458149583</v>
      </c>
      <c r="AK45" s="132">
        <f>AK43-AK44</f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3"/>
      <c r="AX45" s="383"/>
      <c r="AY45" s="383"/>
      <c r="AZ45" s="383"/>
      <c r="BA45" s="383"/>
      <c r="BB45" s="383"/>
      <c r="BC45" s="383"/>
      <c r="BD45" s="383"/>
      <c r="DO45" s="328"/>
      <c r="DP45" s="330"/>
      <c r="DQ45" s="328"/>
      <c r="FO45" s="567"/>
      <c r="FP45" s="567"/>
      <c r="FQ45" s="568"/>
      <c r="FR45" s="568"/>
      <c r="FS45" s="568"/>
      <c r="GE45" s="508"/>
      <c r="GF45" s="508"/>
      <c r="GG45" s="517"/>
      <c r="GH45" s="517"/>
      <c r="GI45" s="517"/>
      <c r="HC45" s="567" t="s">
        <v>516</v>
      </c>
      <c r="HD45" s="567"/>
      <c r="HE45" s="570"/>
      <c r="HF45" s="510"/>
      <c r="HG45" s="510">
        <f>HG44-'Detailed Summary'!AQ66</f>
        <v>0</v>
      </c>
      <c r="HS45" s="508" t="s">
        <v>516</v>
      </c>
      <c r="HT45" s="508"/>
      <c r="HU45" s="512"/>
      <c r="HV45" s="510"/>
      <c r="HW45" s="510">
        <f>HW44-'Detailed Summary'!AS66</f>
        <v>0</v>
      </c>
    </row>
    <row r="46" spans="1:231" ht="15.75" thickTop="1">
      <c r="A46" s="237">
        <f t="shared" si="3"/>
        <v>33</v>
      </c>
      <c r="B46" s="10"/>
      <c r="C46" s="239"/>
      <c r="D46" s="239"/>
      <c r="E46" s="239"/>
      <c r="F46" s="239"/>
      <c r="G46" s="57"/>
      <c r="J46" s="652" t="s">
        <v>546</v>
      </c>
      <c r="K46" s="652"/>
      <c r="L46" s="654" t="s">
        <v>566</v>
      </c>
      <c r="M46" s="654" t="s">
        <v>504</v>
      </c>
      <c r="N46" s="654" t="s">
        <v>515</v>
      </c>
      <c r="Z46" s="508" t="s">
        <v>587</v>
      </c>
      <c r="AA46" s="508"/>
      <c r="AB46" s="514" t="s">
        <v>521</v>
      </c>
      <c r="AC46" s="514" t="s">
        <v>510</v>
      </c>
      <c r="AD46" s="514" t="s">
        <v>515</v>
      </c>
      <c r="AG46" s="237"/>
      <c r="AW46" s="383"/>
      <c r="AX46" s="383"/>
      <c r="AY46" s="383"/>
      <c r="AZ46" s="383"/>
      <c r="BA46" s="383"/>
      <c r="BB46" s="383"/>
      <c r="BC46" s="383"/>
      <c r="BD46" s="383"/>
      <c r="DO46" s="328"/>
      <c r="DP46" s="330"/>
      <c r="DQ46" s="328"/>
      <c r="FO46" s="509"/>
      <c r="FP46" s="567"/>
      <c r="FQ46" s="510"/>
      <c r="FR46" s="510"/>
      <c r="FS46" s="510"/>
      <c r="GE46" s="509"/>
      <c r="GF46" s="508"/>
      <c r="GG46" s="510"/>
      <c r="GH46" s="510"/>
      <c r="GI46" s="510"/>
    </row>
    <row r="47" spans="1:231">
      <c r="A47" s="237">
        <f t="shared" si="3"/>
        <v>34</v>
      </c>
      <c r="B47" s="5" t="s">
        <v>475</v>
      </c>
      <c r="C47" s="153"/>
      <c r="D47" s="153"/>
      <c r="E47" s="153"/>
      <c r="F47" s="153"/>
      <c r="G47" s="241"/>
      <c r="H47" s="116"/>
      <c r="J47" s="652" t="s">
        <v>567</v>
      </c>
      <c r="K47" s="652"/>
      <c r="L47" s="655">
        <v>35122048.636059925</v>
      </c>
      <c r="M47" s="655">
        <f>P19</f>
        <v>33936342.072315551</v>
      </c>
      <c r="N47" s="655">
        <f>M47-L47</f>
        <v>-1185706.5637443736</v>
      </c>
      <c r="Z47" s="508" t="s">
        <v>517</v>
      </c>
      <c r="AA47" s="508"/>
      <c r="AB47" s="514">
        <f>AF38</f>
        <v>-184038.22398925267</v>
      </c>
      <c r="AC47" s="514">
        <f>AF22</f>
        <v>-439418.25254658196</v>
      </c>
      <c r="AD47" s="514">
        <f>AC47-AB47</f>
        <v>-255380.02855732929</v>
      </c>
      <c r="AW47" s="383"/>
      <c r="AX47" s="383"/>
      <c r="AY47" s="383"/>
      <c r="AZ47" s="383"/>
      <c r="BA47" s="383"/>
      <c r="BB47" s="383"/>
      <c r="BC47" s="383"/>
      <c r="BD47" s="383"/>
      <c r="DO47" s="328"/>
      <c r="DP47" s="330"/>
      <c r="DQ47" s="328"/>
      <c r="FO47" s="569"/>
      <c r="FP47" s="567"/>
      <c r="FQ47" s="570"/>
      <c r="FR47" s="570"/>
      <c r="FS47" s="510"/>
      <c r="GE47" s="511"/>
      <c r="GF47" s="508"/>
      <c r="GG47" s="512"/>
      <c r="GH47" s="510"/>
      <c r="GI47" s="510"/>
    </row>
    <row r="48" spans="1:231">
      <c r="A48" s="237">
        <f t="shared" si="3"/>
        <v>35</v>
      </c>
      <c r="B48" s="5" t="s">
        <v>476</v>
      </c>
      <c r="C48" s="239"/>
      <c r="D48" s="239"/>
      <c r="E48" s="239"/>
      <c r="F48" s="239"/>
      <c r="G48" s="239"/>
      <c r="H48" s="390"/>
      <c r="J48" s="652" t="s">
        <v>572</v>
      </c>
      <c r="K48" s="652"/>
      <c r="L48" s="655">
        <v>16597941.863750041</v>
      </c>
      <c r="M48" s="655">
        <f>P21</f>
        <v>16256425.743188024</v>
      </c>
      <c r="N48" s="655">
        <f t="shared" ref="N48:N50" si="37">M48-L48</f>
        <v>-341516.12056201696</v>
      </c>
      <c r="Z48" s="508" t="s">
        <v>519</v>
      </c>
      <c r="AA48" s="508"/>
      <c r="AB48" s="514"/>
      <c r="AC48" s="514"/>
      <c r="AD48" s="514">
        <f>-AD47/'COC, Def, ConvF'!M20</f>
        <v>338656.7358805688</v>
      </c>
      <c r="AW48" s="383"/>
      <c r="AX48" s="383"/>
      <c r="AY48" s="383"/>
      <c r="AZ48" s="383"/>
      <c r="BA48" s="383"/>
      <c r="BB48" s="383"/>
      <c r="BC48" s="383"/>
      <c r="BD48" s="383"/>
      <c r="DO48" s="328"/>
      <c r="DP48" s="330"/>
      <c r="DQ48" s="328"/>
      <c r="FO48" s="569"/>
      <c r="FP48" s="567"/>
      <c r="FQ48" s="570"/>
      <c r="FR48" s="570"/>
      <c r="FS48" s="510"/>
      <c r="GE48" s="511"/>
      <c r="GF48" s="508"/>
      <c r="GG48" s="512"/>
      <c r="GH48" s="510"/>
      <c r="GI48" s="510"/>
    </row>
    <row r="49" spans="1:191">
      <c r="A49" s="237"/>
      <c r="B49" s="154"/>
      <c r="C49" s="391"/>
      <c r="D49" s="391"/>
      <c r="E49" s="391"/>
      <c r="F49" s="391"/>
      <c r="G49" s="391"/>
      <c r="H49" s="391"/>
      <c r="J49" s="652" t="s">
        <v>568</v>
      </c>
      <c r="K49" s="652"/>
      <c r="L49" s="656">
        <v>1596191.7443630155</v>
      </c>
      <c r="M49" s="656">
        <f>P27</f>
        <v>1542304.9381605249</v>
      </c>
      <c r="N49" s="655">
        <f t="shared" si="37"/>
        <v>-53886.806202490581</v>
      </c>
      <c r="Z49" s="508" t="s">
        <v>516</v>
      </c>
      <c r="AA49" s="508"/>
      <c r="AB49" s="514"/>
      <c r="AC49" s="514"/>
      <c r="AD49" s="514">
        <f>'Detailed Summary'!AC66-AD48</f>
        <v>0</v>
      </c>
      <c r="AW49" s="383"/>
      <c r="AX49" s="383"/>
      <c r="AY49" s="383"/>
      <c r="AZ49" s="383"/>
      <c r="BA49" s="383"/>
      <c r="BB49" s="383"/>
      <c r="BC49" s="383"/>
      <c r="BD49" s="383"/>
      <c r="DO49" s="328"/>
      <c r="DP49" s="330"/>
      <c r="DQ49" s="328"/>
      <c r="FO49" s="567"/>
      <c r="FP49" s="567"/>
      <c r="FQ49" s="570"/>
      <c r="FR49" s="570"/>
      <c r="FS49" s="510"/>
      <c r="GE49" s="508"/>
      <c r="GF49" s="508"/>
      <c r="GG49" s="512"/>
      <c r="GH49" s="510"/>
      <c r="GI49" s="510"/>
    </row>
    <row r="50" spans="1:191">
      <c r="J50" s="652" t="s">
        <v>72</v>
      </c>
      <c r="K50" s="652"/>
      <c r="L50" s="657">
        <v>3554862.1558688418</v>
      </c>
      <c r="M50" s="657">
        <f>P31</f>
        <v>3388898.3921030704</v>
      </c>
      <c r="N50" s="659">
        <f t="shared" si="37"/>
        <v>-165963.76376577141</v>
      </c>
      <c r="AW50" s="383"/>
      <c r="AX50" s="383"/>
      <c r="AY50" s="383"/>
      <c r="AZ50" s="383"/>
      <c r="BA50" s="383"/>
      <c r="BB50" s="383"/>
      <c r="BC50" s="383"/>
      <c r="BD50" s="383"/>
      <c r="FO50" s="567"/>
      <c r="FP50" s="567"/>
      <c r="FQ50" s="567"/>
      <c r="FR50" s="510"/>
      <c r="FS50" s="510"/>
      <c r="GE50" s="508"/>
      <c r="GF50" s="508"/>
      <c r="GG50" s="508"/>
      <c r="GH50" s="510"/>
      <c r="GI50" s="510"/>
    </row>
    <row r="51" spans="1:191">
      <c r="I51" s="237"/>
      <c r="J51" s="652" t="s">
        <v>569</v>
      </c>
      <c r="K51" s="652"/>
      <c r="L51" s="656">
        <f>L47-L48-L49-L50</f>
        <v>13373052.872078026</v>
      </c>
      <c r="M51" s="656">
        <f t="shared" ref="M51:N51" si="38">M47-M48-M49-M50</f>
        <v>12748712.998863932</v>
      </c>
      <c r="N51" s="656">
        <f t="shared" si="38"/>
        <v>-624339.87321409467</v>
      </c>
      <c r="O51" s="581"/>
      <c r="P51" s="391"/>
      <c r="AW51" s="383"/>
      <c r="AX51" s="383"/>
      <c r="AY51" s="383"/>
      <c r="AZ51" s="383"/>
      <c r="BA51" s="383"/>
      <c r="BB51" s="383"/>
      <c r="BC51" s="383"/>
      <c r="BD51" s="383"/>
      <c r="FO51" s="567"/>
      <c r="FP51" s="567"/>
      <c r="FQ51" s="571"/>
      <c r="FR51" s="510"/>
      <c r="FS51" s="510"/>
      <c r="GE51" s="508"/>
      <c r="GF51" s="508"/>
      <c r="GG51" s="513"/>
      <c r="GH51" s="510"/>
      <c r="GI51" s="510"/>
    </row>
    <row r="52" spans="1:191">
      <c r="I52" s="237"/>
      <c r="J52" s="652" t="s">
        <v>519</v>
      </c>
      <c r="K52" s="652"/>
      <c r="L52" s="656">
        <f>-L51/'COC, Def, ConvF'!$M$20</f>
        <v>-17733862.980595369</v>
      </c>
      <c r="M52" s="656">
        <f>-M51/'COC, Def, ConvF'!$M$20</f>
        <v>-16905932.524415202</v>
      </c>
      <c r="N52" s="656">
        <f>-N51/'COC, Def, ConvF'!$M$20</f>
        <v>827930.45618016599</v>
      </c>
      <c r="O52" s="154"/>
      <c r="P52" s="154"/>
      <c r="AW52" s="383"/>
      <c r="AX52" s="383"/>
      <c r="AY52" s="383"/>
      <c r="AZ52" s="383"/>
      <c r="BA52" s="383"/>
      <c r="BB52" s="383"/>
      <c r="BC52" s="383"/>
      <c r="BD52" s="383"/>
      <c r="FO52" s="567"/>
      <c r="FP52" s="567"/>
      <c r="FQ52" s="573"/>
      <c r="FR52" s="573"/>
      <c r="FS52" s="510"/>
      <c r="GE52" s="508"/>
      <c r="GF52" s="508"/>
      <c r="GG52" s="515"/>
      <c r="GH52" s="515"/>
      <c r="GI52" s="510"/>
    </row>
    <row r="53" spans="1:191">
      <c r="I53" s="237"/>
      <c r="J53" s="652" t="s">
        <v>516</v>
      </c>
      <c r="K53" s="652"/>
      <c r="L53" s="658"/>
      <c r="M53" s="658"/>
      <c r="N53" s="658">
        <f>N52-'Detailed Summary'!AB66</f>
        <v>1.0710209608078003E-8</v>
      </c>
      <c r="O53" s="391"/>
      <c r="P53" s="391"/>
      <c r="AW53" s="383"/>
      <c r="AX53" s="383"/>
      <c r="AY53" s="383"/>
      <c r="AZ53" s="383"/>
      <c r="BA53" s="383"/>
      <c r="BB53" s="383"/>
      <c r="BC53" s="383"/>
      <c r="BD53" s="383"/>
      <c r="FO53" s="567"/>
      <c r="FP53" s="567"/>
      <c r="FQ53" s="574"/>
      <c r="FR53" s="574"/>
      <c r="FS53" s="510"/>
      <c r="GE53" s="508"/>
      <c r="GF53" s="508"/>
      <c r="GG53" s="514"/>
      <c r="GH53" s="514"/>
      <c r="GI53" s="510"/>
    </row>
    <row r="54" spans="1:191">
      <c r="I54" s="237"/>
      <c r="J54" s="660"/>
      <c r="K54" s="661"/>
      <c r="L54" s="661"/>
      <c r="M54" s="661"/>
      <c r="N54" s="661"/>
      <c r="O54" s="154"/>
      <c r="P54" s="154"/>
      <c r="AW54" s="383"/>
      <c r="AX54" s="383"/>
      <c r="AY54" s="383"/>
      <c r="AZ54" s="383"/>
      <c r="BA54" s="383"/>
      <c r="BB54" s="383"/>
      <c r="BC54" s="383"/>
      <c r="BD54" s="383"/>
      <c r="FO54" s="567"/>
      <c r="FP54" s="567"/>
      <c r="FQ54" s="574"/>
      <c r="FR54" s="574"/>
      <c r="FS54" s="510"/>
      <c r="GE54" s="508"/>
      <c r="GF54" s="508"/>
      <c r="GG54" s="514"/>
      <c r="GH54" s="514"/>
      <c r="GI54" s="510"/>
    </row>
    <row r="55" spans="1:191">
      <c r="I55" s="237"/>
      <c r="J55" s="652" t="s">
        <v>573</v>
      </c>
      <c r="K55" s="652"/>
      <c r="L55" s="658"/>
      <c r="M55" s="658"/>
      <c r="N55" s="658">
        <f>N41+N52</f>
        <v>798500.44213398325</v>
      </c>
      <c r="O55" s="391"/>
      <c r="P55" s="391"/>
      <c r="AW55" s="383"/>
      <c r="AX55" s="383"/>
      <c r="AY55" s="383"/>
      <c r="AZ55" s="383"/>
      <c r="BA55" s="383"/>
      <c r="BB55" s="383"/>
      <c r="BC55" s="383"/>
      <c r="BD55" s="383"/>
      <c r="FO55" s="567"/>
      <c r="FP55" s="567"/>
      <c r="FQ55" s="567"/>
      <c r="FR55" s="510"/>
      <c r="FS55" s="510"/>
      <c r="GE55" s="508"/>
      <c r="GF55" s="508"/>
      <c r="GG55" s="508"/>
      <c r="GH55" s="510"/>
      <c r="GI55" s="510"/>
    </row>
    <row r="56" spans="1:191">
      <c r="I56" s="237"/>
      <c r="J56" s="391"/>
      <c r="K56" s="391"/>
      <c r="L56" s="391"/>
      <c r="M56" s="391"/>
      <c r="N56" s="391"/>
      <c r="O56" s="391"/>
      <c r="P56" s="391"/>
      <c r="AW56" s="383"/>
      <c r="AX56" s="383"/>
      <c r="AY56" s="383"/>
      <c r="AZ56" s="383"/>
      <c r="BA56" s="383"/>
      <c r="BB56" s="383"/>
      <c r="BC56" s="383"/>
      <c r="BD56" s="383"/>
      <c r="FO56" s="567"/>
      <c r="FP56" s="567"/>
      <c r="FQ56" s="570"/>
      <c r="FR56" s="570"/>
      <c r="FS56" s="570"/>
      <c r="GE56" s="508"/>
      <c r="GF56" s="508"/>
      <c r="GG56" s="512"/>
      <c r="GH56" s="512"/>
      <c r="GI56" s="512"/>
    </row>
    <row r="57" spans="1:191">
      <c r="I57" s="237"/>
      <c r="J57" s="391"/>
      <c r="K57" s="391"/>
      <c r="L57" s="391"/>
      <c r="M57" s="391"/>
      <c r="N57" s="391"/>
      <c r="O57" s="154"/>
      <c r="P57" s="154"/>
      <c r="AW57" s="383"/>
      <c r="AX57" s="383"/>
      <c r="AY57" s="383"/>
      <c r="AZ57" s="383"/>
      <c r="BA57" s="383"/>
      <c r="BB57" s="383"/>
      <c r="BC57" s="383"/>
      <c r="BD57" s="383"/>
      <c r="FO57" s="567"/>
      <c r="FP57" s="567"/>
      <c r="FQ57" s="570"/>
      <c r="FR57" s="510"/>
      <c r="FS57" s="510"/>
      <c r="GE57" s="508"/>
      <c r="GF57" s="508"/>
      <c r="GG57" s="512"/>
      <c r="GH57" s="510"/>
      <c r="GI57" s="510"/>
    </row>
    <row r="58" spans="1:191">
      <c r="I58" s="237"/>
      <c r="J58" s="154"/>
      <c r="K58" s="154"/>
      <c r="L58" s="154"/>
      <c r="M58" s="154"/>
      <c r="N58" s="154"/>
      <c r="O58" s="391"/>
      <c r="P58" s="391"/>
      <c r="AW58" s="383"/>
      <c r="AX58" s="383"/>
      <c r="AY58" s="383"/>
      <c r="AZ58" s="383"/>
      <c r="BA58" s="383"/>
      <c r="BB58" s="383"/>
      <c r="BC58" s="383"/>
      <c r="BD58" s="383"/>
      <c r="FO58" s="5"/>
      <c r="FP58" s="5"/>
      <c r="FQ58" s="5"/>
      <c r="FR58" s="5"/>
      <c r="FS58" s="5"/>
    </row>
    <row r="59" spans="1:191">
      <c r="I59" s="237"/>
      <c r="J59" s="391"/>
      <c r="K59" s="391"/>
      <c r="L59" s="391"/>
      <c r="M59" s="391"/>
      <c r="N59" s="391"/>
      <c r="O59" s="391"/>
      <c r="P59" s="391"/>
      <c r="AW59" s="383"/>
      <c r="AX59" s="383"/>
      <c r="AY59" s="383"/>
      <c r="AZ59" s="383"/>
      <c r="BA59" s="383"/>
      <c r="BB59" s="383"/>
      <c r="BC59" s="383"/>
      <c r="BD59" s="383"/>
    </row>
    <row r="60" spans="1:191">
      <c r="I60" s="237"/>
      <c r="J60" s="391"/>
      <c r="K60" s="391"/>
      <c r="L60" s="391"/>
      <c r="M60" s="391"/>
      <c r="N60" s="391"/>
      <c r="O60" s="154"/>
      <c r="P60" s="154"/>
      <c r="AW60" s="383"/>
      <c r="AX60" s="383"/>
      <c r="AY60" s="383"/>
      <c r="AZ60" s="383"/>
      <c r="BA60" s="383"/>
      <c r="BB60" s="383"/>
      <c r="BC60" s="383"/>
      <c r="BD60" s="383"/>
    </row>
    <row r="61" spans="1:191">
      <c r="I61" s="117"/>
      <c r="J61" s="154"/>
      <c r="K61" s="154"/>
      <c r="L61" s="154"/>
      <c r="M61" s="154"/>
      <c r="N61" s="154"/>
      <c r="O61" s="154"/>
      <c r="P61" s="154"/>
      <c r="AW61" s="383"/>
      <c r="AX61" s="383"/>
      <c r="AY61" s="383"/>
      <c r="AZ61" s="383"/>
      <c r="BA61" s="383"/>
      <c r="BB61" s="383"/>
      <c r="BC61" s="383"/>
      <c r="BD61" s="383"/>
    </row>
    <row r="62" spans="1:191">
      <c r="I62" s="117"/>
      <c r="J62" s="154"/>
      <c r="K62" s="154"/>
      <c r="L62" s="154"/>
      <c r="M62" s="154"/>
      <c r="N62" s="154"/>
      <c r="O62" s="391"/>
      <c r="P62" s="391"/>
      <c r="AW62" s="383"/>
      <c r="AX62" s="383"/>
      <c r="AY62" s="383"/>
      <c r="AZ62" s="383"/>
      <c r="BA62" s="383"/>
      <c r="BB62" s="383"/>
      <c r="BC62" s="383"/>
      <c r="BD62" s="383"/>
    </row>
    <row r="63" spans="1:191">
      <c r="I63" s="392"/>
      <c r="J63" s="391"/>
      <c r="K63" s="391"/>
      <c r="L63" s="391"/>
      <c r="M63" s="391"/>
      <c r="N63" s="391"/>
      <c r="O63" s="154"/>
      <c r="P63" s="154"/>
      <c r="AW63" s="383"/>
      <c r="AX63" s="383"/>
      <c r="AY63" s="383"/>
      <c r="AZ63" s="383"/>
      <c r="BA63" s="383"/>
      <c r="BB63" s="383"/>
      <c r="BC63" s="383"/>
      <c r="BD63" s="383"/>
    </row>
    <row r="64" spans="1:191">
      <c r="I64" s="392"/>
      <c r="J64" s="154"/>
      <c r="K64" s="154"/>
      <c r="L64" s="154"/>
      <c r="M64" s="154"/>
      <c r="N64" s="154"/>
      <c r="O64" s="391"/>
      <c r="P64" s="391"/>
    </row>
    <row r="65" spans="9:16">
      <c r="I65" s="392"/>
      <c r="J65" s="391"/>
      <c r="K65" s="391"/>
      <c r="L65" s="391"/>
      <c r="M65" s="391"/>
      <c r="N65" s="391"/>
      <c r="O65" s="154"/>
      <c r="P65" s="154"/>
    </row>
    <row r="66" spans="9:16">
      <c r="I66" s="392"/>
      <c r="J66" s="154"/>
      <c r="K66" s="154"/>
      <c r="L66" s="154"/>
      <c r="M66" s="154"/>
      <c r="N66" s="154"/>
      <c r="O66" s="391"/>
      <c r="P66" s="391"/>
    </row>
    <row r="67" spans="9:16">
      <c r="I67" s="392"/>
      <c r="J67" s="391"/>
      <c r="K67" s="391"/>
      <c r="L67" s="391"/>
      <c r="M67" s="391"/>
      <c r="N67" s="391"/>
      <c r="O67" s="391"/>
      <c r="P67" s="391"/>
    </row>
    <row r="68" spans="9:16">
      <c r="I68" s="392"/>
      <c r="J68" s="391"/>
      <c r="K68" s="391"/>
      <c r="L68" s="391"/>
      <c r="M68" s="391"/>
      <c r="N68" s="391"/>
      <c r="O68" s="391"/>
      <c r="P68" s="391"/>
    </row>
    <row r="69" spans="9:16">
      <c r="I69" s="392"/>
      <c r="J69" s="391"/>
      <c r="K69" s="391"/>
      <c r="L69" s="391"/>
      <c r="M69" s="391"/>
      <c r="N69" s="391"/>
      <c r="O69" s="391"/>
      <c r="P69" s="391"/>
    </row>
    <row r="70" spans="9:16">
      <c r="I70" s="392"/>
      <c r="J70" s="391"/>
      <c r="K70" s="391"/>
      <c r="L70" s="391"/>
      <c r="M70" s="391"/>
      <c r="N70" s="391"/>
      <c r="O70" s="391"/>
      <c r="P70" s="391"/>
    </row>
    <row r="71" spans="9:16">
      <c r="I71" s="392"/>
      <c r="J71" s="391"/>
      <c r="K71" s="391"/>
      <c r="L71" s="391"/>
      <c r="M71" s="391"/>
      <c r="N71" s="391"/>
      <c r="O71" s="391"/>
      <c r="P71" s="391"/>
    </row>
    <row r="72" spans="9:16">
      <c r="I72" s="392"/>
      <c r="J72" s="391"/>
      <c r="K72" s="391"/>
      <c r="L72" s="391"/>
      <c r="M72" s="391"/>
      <c r="N72" s="391"/>
      <c r="O72" s="391"/>
      <c r="P72" s="391"/>
    </row>
    <row r="73" spans="9:16">
      <c r="I73" s="392"/>
      <c r="J73" s="391"/>
      <c r="K73" s="391"/>
      <c r="L73" s="391"/>
      <c r="M73" s="391"/>
      <c r="N73" s="391"/>
      <c r="O73" s="391"/>
      <c r="P73" s="391"/>
    </row>
    <row r="74" spans="9:16">
      <c r="I74" s="392"/>
      <c r="J74" s="391"/>
      <c r="K74" s="391"/>
      <c r="L74" s="391"/>
      <c r="M74" s="391"/>
      <c r="N74" s="391"/>
      <c r="O74" s="391"/>
      <c r="P74" s="391"/>
    </row>
    <row r="75" spans="9:16">
      <c r="I75" s="392"/>
      <c r="J75" s="391"/>
      <c r="K75" s="391"/>
      <c r="L75" s="391"/>
      <c r="M75" s="391"/>
      <c r="N75" s="391"/>
      <c r="O75" s="391"/>
      <c r="P75" s="391"/>
    </row>
    <row r="76" spans="9:16">
      <c r="I76" s="392"/>
      <c r="J76" s="391"/>
      <c r="K76" s="391"/>
      <c r="L76" s="391"/>
      <c r="M76" s="391"/>
      <c r="N76" s="391"/>
      <c r="O76" s="391"/>
      <c r="P76" s="391"/>
    </row>
    <row r="77" spans="9:16">
      <c r="I77" s="392"/>
      <c r="J77" s="391"/>
      <c r="K77" s="391"/>
      <c r="L77" s="391"/>
      <c r="M77" s="391"/>
      <c r="N77" s="391"/>
      <c r="O77" s="391"/>
      <c r="P77" s="391"/>
    </row>
    <row r="78" spans="9:16">
      <c r="J78" s="391"/>
      <c r="K78" s="391"/>
      <c r="L78" s="391"/>
      <c r="M78" s="391"/>
      <c r="N78" s="391"/>
    </row>
  </sheetData>
  <mergeCells count="36">
    <mergeCell ref="HR5:HY5"/>
    <mergeCell ref="HR6:HY6"/>
    <mergeCell ref="HR7:HY7"/>
    <mergeCell ref="HR8:HY8"/>
    <mergeCell ref="HJ5:HQ5"/>
    <mergeCell ref="HJ6:HQ6"/>
    <mergeCell ref="HJ7:HQ7"/>
    <mergeCell ref="HJ8:HQ8"/>
    <mergeCell ref="GL6:GS6"/>
    <mergeCell ref="GL7:GS7"/>
    <mergeCell ref="GL8:GS8"/>
    <mergeCell ref="GD5:GK5"/>
    <mergeCell ref="GD7:GK7"/>
    <mergeCell ref="GD8:GK8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D15:D19"/>
    <mergeCell ref="D23:D28"/>
    <mergeCell ref="G15:G19"/>
    <mergeCell ref="G23:G28"/>
    <mergeCell ref="G33:G35"/>
    <mergeCell ref="D33:D35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8" manualBreakCount="28">
    <brk id="8" max="56" man="1"/>
    <brk id="16" max="1048575" man="1"/>
    <brk id="24" max="1048575" man="1"/>
    <brk id="32" max="1048575" man="1"/>
    <brk id="40" max="1048575" man="1"/>
    <brk id="48" max="1048575" man="1"/>
    <brk id="57" max="1048575" man="1"/>
    <brk id="65" max="1048575" man="1"/>
    <brk id="73" max="1048575" man="1"/>
    <brk id="81" max="1048575" man="1"/>
    <brk id="89" max="1048575" man="1"/>
    <brk id="97" max="1048575" man="1"/>
    <brk id="105" max="1048575" man="1"/>
    <brk id="113" max="1048575" man="1"/>
    <brk id="121" max="1048575" man="1"/>
    <brk id="129" max="1048575" man="1"/>
    <brk id="137" max="1048575" man="1"/>
    <brk id="145" max="1048575" man="1"/>
    <brk id="153" max="1048575" man="1"/>
    <brk id="161" max="1048575" man="1"/>
    <brk id="169" max="1048575" man="1"/>
    <brk id="177" max="1048575" man="1"/>
    <brk id="185" max="1048575" man="1"/>
    <brk id="193" max="1048575" man="1"/>
    <brk id="201" max="1048575" man="1"/>
    <brk id="209" max="1048575" man="1"/>
    <brk id="217" max="1048575" man="1"/>
    <brk id="225" max="104857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view="pageBreakPreview" zoomScale="85" zoomScaleNormal="85" zoomScaleSheetLayoutView="85" workbookViewId="0">
      <pane xSplit="1" ySplit="1" topLeftCell="B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2.75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>
      <c r="A1" s="266">
        <f>SUM(B1:Q1)</f>
        <v>0</v>
      </c>
      <c r="B1" s="266"/>
      <c r="C1" s="266"/>
      <c r="D1" s="266"/>
      <c r="E1" s="266"/>
      <c r="F1" s="266"/>
      <c r="G1" s="266">
        <f>ROUND(+'Detailed Summary'!AT57-H19,0)</f>
        <v>0</v>
      </c>
      <c r="H1" s="266">
        <f>ROUND(+'Detailed Summary'!AT46-H19,0)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Summary'!AU57-Q41,0)</f>
        <v>0</v>
      </c>
      <c r="Q1" s="266">
        <f>ROUND(+'Detailed Summary'!AU44-Q33,0)</f>
        <v>0</v>
      </c>
    </row>
    <row r="2" spans="1:17">
      <c r="G2" s="365"/>
      <c r="H2" s="358" t="str">
        <f>DOCKETNUMBER_GAS</f>
        <v>UG_________</v>
      </c>
      <c r="P2" s="365"/>
      <c r="Q2" s="358" t="str">
        <f>DOCKETNUMBER_GAS</f>
        <v>UG_________</v>
      </c>
    </row>
    <row r="3" spans="1:17" ht="13.5" thickBot="1">
      <c r="G3" s="366"/>
      <c r="H3" s="364" t="s">
        <v>589</v>
      </c>
      <c r="I3" s="7"/>
      <c r="P3" s="366"/>
      <c r="Q3" s="364" t="s">
        <v>590</v>
      </c>
    </row>
    <row r="4" spans="1:17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>
      <c r="A6" s="111" t="s">
        <v>420</v>
      </c>
      <c r="B6" s="110"/>
      <c r="C6" s="110"/>
      <c r="D6" s="110"/>
      <c r="E6" s="110"/>
      <c r="F6" s="110"/>
      <c r="G6" s="110"/>
      <c r="H6" s="110"/>
      <c r="I6" s="110"/>
      <c r="J6" s="111" t="s">
        <v>429</v>
      </c>
      <c r="K6" s="110"/>
      <c r="L6" s="110"/>
      <c r="M6" s="110"/>
      <c r="N6" s="110"/>
      <c r="O6" s="110"/>
      <c r="P6" s="110"/>
      <c r="Q6" s="110"/>
    </row>
    <row r="7" spans="1:17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>
      <c r="A9" s="133"/>
      <c r="B9" s="133"/>
      <c r="C9" s="133"/>
      <c r="D9" s="133"/>
      <c r="E9" s="133"/>
      <c r="F9" s="357" t="s">
        <v>373</v>
      </c>
      <c r="G9" s="133"/>
      <c r="H9" s="367" t="s">
        <v>449</v>
      </c>
      <c r="I9" s="133"/>
      <c r="J9" s="133"/>
      <c r="K9" s="133"/>
      <c r="L9" s="133"/>
      <c r="M9" s="133"/>
      <c r="N9" s="133"/>
      <c r="O9" s="357" t="s">
        <v>373</v>
      </c>
      <c r="P9" s="133"/>
      <c r="Q9" s="367" t="s">
        <v>450</v>
      </c>
    </row>
    <row r="10" spans="1:17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>
      <c r="A12" s="412" t="s">
        <v>37</v>
      </c>
      <c r="B12" s="482" t="s">
        <v>60</v>
      </c>
      <c r="C12" s="483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2" t="s">
        <v>37</v>
      </c>
      <c r="K12" s="482" t="s">
        <v>60</v>
      </c>
      <c r="L12" s="483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>
      <c r="J13" s="104"/>
      <c r="K13" s="104"/>
      <c r="L13" s="104"/>
      <c r="M13" s="104"/>
      <c r="N13" s="104"/>
      <c r="O13" s="104"/>
      <c r="P13" s="104"/>
      <c r="Q13" s="104"/>
    </row>
    <row r="14" spans="1:17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-'[18]Summary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>
      <c r="A16" s="27">
        <f t="shared" ref="A16:A26" si="0">+A15+1</f>
        <v>3</v>
      </c>
      <c r="B16" s="153" t="s">
        <v>376</v>
      </c>
      <c r="D16" s="248">
        <f>'[35]Lead G'!D12</f>
        <v>-39543.813052333338</v>
      </c>
      <c r="E16" s="248">
        <f>'[35]Lead G'!E12</f>
        <v>-39543.813052333338</v>
      </c>
      <c r="F16" s="248">
        <f>+E16-D16</f>
        <v>0</v>
      </c>
      <c r="G16" s="248">
        <f>'[35]Lead G'!G12</f>
        <v>0</v>
      </c>
      <c r="H16" s="248">
        <f>+G16-E16</f>
        <v>39543.813052333338</v>
      </c>
      <c r="J16" s="27">
        <f t="shared" ref="J16:J41" si="1">+J15+1</f>
        <v>3</v>
      </c>
      <c r="K16" s="10"/>
      <c r="L16" s="271"/>
      <c r="M16" s="484"/>
      <c r="N16" s="484"/>
      <c r="O16" s="484"/>
      <c r="P16" s="484"/>
      <c r="Q16" s="484"/>
    </row>
    <row r="17" spans="1:17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>+E17-D17</f>
        <v>0</v>
      </c>
      <c r="G17" s="248">
        <f>'[35]Lead G'!G13</f>
        <v>0</v>
      </c>
      <c r="H17" s="248">
        <f>+G17-E17</f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1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>+P18-N18</f>
        <v>0</v>
      </c>
    </row>
    <row r="19" spans="1:17" ht="13.5" thickBot="1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85"/>
      <c r="N19" s="485"/>
      <c r="O19" s="485"/>
      <c r="P19" s="485"/>
      <c r="Q19" s="485"/>
    </row>
    <row r="20" spans="1:17" ht="13.5" thickTop="1">
      <c r="A20" s="27">
        <f t="shared" si="0"/>
        <v>7</v>
      </c>
      <c r="J20" s="27">
        <f t="shared" si="1"/>
        <v>7</v>
      </c>
      <c r="K20" s="141" t="s">
        <v>278</v>
      </c>
      <c r="L20" s="271"/>
      <c r="M20" s="144">
        <f>SUM(M18:M19)</f>
        <v>2616179.6237217812</v>
      </c>
      <c r="N20" s="144">
        <f>SUM(N18:N19)</f>
        <v>2616179.6237217812</v>
      </c>
      <c r="O20" s="144">
        <f>SUM(O18:O19)</f>
        <v>0</v>
      </c>
      <c r="P20" s="144">
        <f>SUM(P18:P19)</f>
        <v>2616179.6237217835</v>
      </c>
      <c r="Q20" s="144">
        <f>SUM(Q18:Q19)</f>
        <v>0</v>
      </c>
    </row>
    <row r="21" spans="1:17">
      <c r="A21" s="27">
        <f t="shared" si="0"/>
        <v>8</v>
      </c>
      <c r="B21" s="267" t="s">
        <v>426</v>
      </c>
      <c r="C21" s="271"/>
      <c r="D21" s="274"/>
      <c r="E21" s="274"/>
      <c r="F21" s="274"/>
      <c r="G21" s="274"/>
      <c r="H21" s="274"/>
      <c r="J21" s="27">
        <f t="shared" si="1"/>
        <v>8</v>
      </c>
      <c r="K21" s="141"/>
      <c r="L21" s="271"/>
      <c r="M21" s="144"/>
      <c r="N21" s="144"/>
      <c r="O21" s="144"/>
      <c r="P21" s="144"/>
      <c r="Q21" s="144"/>
    </row>
    <row r="22" spans="1:17">
      <c r="A22" s="27">
        <f t="shared" si="0"/>
        <v>9</v>
      </c>
      <c r="B22" s="99" t="s">
        <v>398</v>
      </c>
      <c r="C22" s="271"/>
      <c r="D22" s="248">
        <f>'[35]Lead G'!$D$18</f>
        <v>39543.813052333338</v>
      </c>
      <c r="E22" s="248">
        <f>D22</f>
        <v>39543.813052333338</v>
      </c>
      <c r="F22" s="248">
        <f>E22-D22</f>
        <v>0</v>
      </c>
      <c r="G22" s="248">
        <f>'[35]Lead G'!$G$18</f>
        <v>0</v>
      </c>
      <c r="H22" s="248">
        <f>G22-E22</f>
        <v>-39543.813052333338</v>
      </c>
      <c r="J22" s="27">
        <f t="shared" si="1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>+N22-M22</f>
        <v>0</v>
      </c>
      <c r="P22" s="251">
        <f>+$P$15*L22</f>
        <v>0</v>
      </c>
      <c r="Q22" s="251">
        <f>+P22-N22</f>
        <v>-35768.190475448326</v>
      </c>
    </row>
    <row r="23" spans="1:17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1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>+N23-M23</f>
        <v>0</v>
      </c>
      <c r="P23" s="251">
        <f>+$P$15*L23</f>
        <v>0</v>
      </c>
      <c r="Q23" s="251">
        <f>+P23-N23</f>
        <v>-13961.042340143764</v>
      </c>
    </row>
    <row r="24" spans="1:17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>E24-D24</f>
        <v>0</v>
      </c>
      <c r="G24" s="248">
        <f>'[35]Lead G'!$G$20</f>
        <v>0</v>
      </c>
      <c r="H24" s="248">
        <f>+G24-E24</f>
        <v>8304.2007409900016</v>
      </c>
      <c r="J24" s="27">
        <f t="shared" si="1"/>
        <v>11</v>
      </c>
      <c r="K24" s="252" t="s">
        <v>94</v>
      </c>
      <c r="L24" s="255"/>
      <c r="M24" s="254">
        <f>SUM(M22:M23)</f>
        <v>49729.232815592091</v>
      </c>
      <c r="N24" s="254">
        <f>SUM(N22:N23)</f>
        <v>49729.232815592091</v>
      </c>
      <c r="O24" s="254">
        <f>SUM(O22:O23)</f>
        <v>0</v>
      </c>
      <c r="P24" s="254">
        <f>SUM(P22:P23)</f>
        <v>0</v>
      </c>
      <c r="Q24" s="254">
        <f>SUM(Q22:Q23)</f>
        <v>-49729.232815592091</v>
      </c>
    </row>
    <row r="25" spans="1:17">
      <c r="A25" s="27">
        <f t="shared" si="0"/>
        <v>12</v>
      </c>
      <c r="B25" s="10"/>
      <c r="C25" s="271"/>
      <c r="D25" s="488"/>
      <c r="E25" s="488"/>
      <c r="F25" s="488"/>
      <c r="G25" s="488"/>
      <c r="H25" s="488"/>
      <c r="J25" s="27">
        <f t="shared" si="1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>D26</f>
        <v>-31239.612311343335</v>
      </c>
      <c r="F26" s="273">
        <f>E26-D26</f>
        <v>0</v>
      </c>
      <c r="G26" s="273">
        <v>0</v>
      </c>
      <c r="H26" s="273">
        <f>G26-E26</f>
        <v>31239.612311343335</v>
      </c>
      <c r="J26" s="27">
        <f t="shared" si="1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>
      <c r="J27" s="27">
        <f t="shared" si="1"/>
        <v>14</v>
      </c>
      <c r="K27" s="252"/>
      <c r="L27" s="154"/>
      <c r="M27" s="486"/>
      <c r="N27" s="486"/>
      <c r="O27" s="486"/>
      <c r="P27" s="486"/>
      <c r="Q27" s="486"/>
    </row>
    <row r="28" spans="1:17">
      <c r="J28" s="27">
        <f t="shared" si="1"/>
        <v>15</v>
      </c>
      <c r="K28" s="252" t="s">
        <v>96</v>
      </c>
      <c r="L28" s="271"/>
      <c r="M28" s="244">
        <f>SUM(M24:M27)</f>
        <v>317243.74561625684</v>
      </c>
      <c r="N28" s="244">
        <f>SUM(N24:N27)</f>
        <v>317243.74561625684</v>
      </c>
      <c r="O28" s="244">
        <f>SUM(O24:O27)</f>
        <v>0</v>
      </c>
      <c r="P28" s="244">
        <f>SUM(P24:P27)</f>
        <v>0</v>
      </c>
      <c r="Q28" s="244">
        <f>SUM(Q24:Q27)</f>
        <v>-317243.74561625684</v>
      </c>
    </row>
    <row r="29" spans="1:17">
      <c r="J29" s="27">
        <f t="shared" si="1"/>
        <v>16</v>
      </c>
      <c r="K29" s="10"/>
      <c r="L29" s="271"/>
      <c r="M29" s="254"/>
      <c r="N29" s="254"/>
      <c r="O29" s="254"/>
      <c r="P29" s="254"/>
      <c r="Q29" s="254"/>
    </row>
    <row r="30" spans="1:17">
      <c r="J30" s="27">
        <f t="shared" si="1"/>
        <v>17</v>
      </c>
      <c r="K30" s="10" t="s">
        <v>79</v>
      </c>
      <c r="L30" s="271"/>
      <c r="M30" s="487">
        <f>+M15-M20-M28</f>
        <v>4047097.8007338443</v>
      </c>
      <c r="N30" s="487">
        <f>+M30</f>
        <v>4047097.8007338443</v>
      </c>
      <c r="O30" s="487">
        <f>+O15-O20-O28</f>
        <v>0</v>
      </c>
      <c r="P30" s="487">
        <f>+P15-P20-P28</f>
        <v>-2616179.6237217835</v>
      </c>
      <c r="Q30" s="487">
        <f>+Q15-Q20-Q28</f>
        <v>-6663277.424455625</v>
      </c>
    </row>
    <row r="31" spans="1:17">
      <c r="J31" s="27">
        <f t="shared" si="1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>
      <c r="J32" s="27">
        <f t="shared" si="1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>
      <c r="J33" s="27">
        <f t="shared" si="1"/>
        <v>20</v>
      </c>
      <c r="K33" s="10" t="s">
        <v>80</v>
      </c>
      <c r="L33" s="271"/>
      <c r="M33" s="13">
        <f>M30-M31</f>
        <v>3197207.2625797372</v>
      </c>
      <c r="N33" s="13">
        <f>N30-N31</f>
        <v>3197207.2625797372</v>
      </c>
      <c r="O33" s="13">
        <f>O30-O31</f>
        <v>0</v>
      </c>
      <c r="P33" s="13">
        <f>P30-P31</f>
        <v>-2066781.9027402089</v>
      </c>
      <c r="Q33" s="13">
        <f>Q30-Q31</f>
        <v>-5263989.1653199438</v>
      </c>
    </row>
    <row r="34" spans="10:17" ht="13.5" thickTop="1">
      <c r="J34" s="27">
        <f t="shared" si="1"/>
        <v>21</v>
      </c>
      <c r="K34" s="154"/>
      <c r="L34" s="271"/>
      <c r="M34" s="255"/>
      <c r="N34" s="255"/>
      <c r="O34" s="255"/>
      <c r="P34" s="255"/>
      <c r="Q34" s="255"/>
    </row>
    <row r="35" spans="10:17">
      <c r="J35" s="27">
        <f t="shared" si="1"/>
        <v>22</v>
      </c>
      <c r="K35" s="154"/>
      <c r="L35" s="271"/>
      <c r="M35" s="255"/>
      <c r="N35" s="255"/>
      <c r="O35" s="255"/>
      <c r="P35" s="255"/>
      <c r="Q35" s="255"/>
    </row>
    <row r="36" spans="10:17">
      <c r="J36" s="27">
        <f t="shared" si="1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>
      <c r="J37" s="27">
        <f t="shared" si="1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>+P37-N37</f>
        <v>0</v>
      </c>
    </row>
    <row r="38" spans="10:17">
      <c r="J38" s="27">
        <f t="shared" si="1"/>
        <v>25</v>
      </c>
      <c r="K38" s="10" t="s">
        <v>376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>+P38-N38</f>
        <v>-5658425.3422582783</v>
      </c>
    </row>
    <row r="39" spans="10:17">
      <c r="J39" s="27">
        <f t="shared" si="1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>+P39-N39</f>
        <v>-729618.36065856554</v>
      </c>
    </row>
    <row r="40" spans="10:17">
      <c r="J40" s="27">
        <f t="shared" si="1"/>
        <v>27</v>
      </c>
      <c r="K40" s="99"/>
      <c r="L40" s="271"/>
      <c r="M40" s="488"/>
      <c r="N40" s="488"/>
      <c r="O40" s="488"/>
      <c r="P40" s="488"/>
      <c r="Q40" s="488"/>
    </row>
    <row r="41" spans="10:17" ht="13.5" thickBot="1">
      <c r="J41" s="27">
        <f t="shared" si="1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>
      <c r="L42" s="271"/>
      <c r="M42" s="271"/>
    </row>
    <row r="43" spans="10:17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view="pageBreakPreview" topLeftCell="A8" zoomScale="85" zoomScaleNormal="100" zoomScaleSheetLayoutView="85" workbookViewId="0">
      <selection activeCell="C19" sqref="C19"/>
    </sheetView>
  </sheetViews>
  <sheetFormatPr defaultColWidth="9.140625" defaultRowHeight="15"/>
  <cols>
    <col min="1" max="1" width="6.28515625" style="279" bestFit="1" customWidth="1"/>
    <col min="2" max="2" width="47.5703125" style="279" bestFit="1" customWidth="1"/>
    <col min="3" max="3" width="16.5703125" style="279" bestFit="1" customWidth="1"/>
    <col min="4" max="5" width="15.85546875" style="279" bestFit="1" customWidth="1"/>
    <col min="6" max="16384" width="9.140625" style="279"/>
  </cols>
  <sheetData>
    <row r="1" spans="1:6" s="492" customFormat="1">
      <c r="A1" s="491"/>
      <c r="B1" s="491"/>
      <c r="C1" s="491"/>
      <c r="D1" s="491"/>
      <c r="E1" s="493" t="s">
        <v>503</v>
      </c>
      <c r="F1" s="493"/>
    </row>
    <row r="2" spans="1:6" s="492" customFormat="1">
      <c r="A2" s="491"/>
      <c r="B2" s="491"/>
      <c r="C2" s="491"/>
      <c r="D2" s="491"/>
      <c r="E2" s="493" t="s">
        <v>581</v>
      </c>
      <c r="F2" s="493"/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582</v>
      </c>
      <c r="C5" s="594"/>
      <c r="D5" s="595"/>
      <c r="E5" s="595"/>
      <c r="F5" s="595"/>
    </row>
    <row r="6" spans="1:6" s="383" customFormat="1">
      <c r="A6" s="595"/>
      <c r="B6" s="761" t="s">
        <v>507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283" t="s">
        <v>189</v>
      </c>
      <c r="D10" s="600"/>
      <c r="E10" s="601" t="s">
        <v>82</v>
      </c>
    </row>
    <row r="11" spans="1:6" s="383" customFormat="1">
      <c r="A11" s="68" t="s">
        <v>36</v>
      </c>
      <c r="B11" s="68"/>
      <c r="C11" s="601" t="s">
        <v>33</v>
      </c>
      <c r="D11" s="601" t="s">
        <v>82</v>
      </c>
      <c r="E11" s="601" t="s">
        <v>41</v>
      </c>
    </row>
    <row r="12" spans="1:6" s="383" customFormat="1">
      <c r="A12" s="603" t="s">
        <v>37</v>
      </c>
      <c r="B12" s="604" t="s">
        <v>60</v>
      </c>
      <c r="C12" s="606" t="s">
        <v>190</v>
      </c>
      <c r="D12" s="607" t="s">
        <v>191</v>
      </c>
      <c r="E12" s="606" t="s">
        <v>192</v>
      </c>
    </row>
    <row r="13" spans="1:6" s="383" customFormat="1">
      <c r="A13" s="593"/>
      <c r="B13" s="593"/>
      <c r="C13" s="593"/>
      <c r="D13" s="593"/>
      <c r="E13" s="593"/>
    </row>
    <row r="14" spans="1:6" s="383" customFormat="1">
      <c r="A14" s="285">
        <v>1</v>
      </c>
      <c r="B14" s="593" t="s">
        <v>61</v>
      </c>
      <c r="C14" s="593"/>
      <c r="D14" s="593"/>
      <c r="E14" s="593"/>
    </row>
    <row r="15" spans="1:6" s="383" customFormat="1">
      <c r="A15" s="285">
        <f t="shared" ref="A15:A18" si="0">A14+1</f>
        <v>2</v>
      </c>
      <c r="B15" s="593" t="s">
        <v>536</v>
      </c>
      <c r="C15" s="611">
        <f>E25</f>
        <v>113323.24</v>
      </c>
      <c r="D15" s="609">
        <v>0</v>
      </c>
      <c r="E15" s="611">
        <f>D15-C15</f>
        <v>-113323.24</v>
      </c>
    </row>
    <row r="16" spans="1:6" s="383" customFormat="1">
      <c r="A16" s="285">
        <f t="shared" si="0"/>
        <v>3</v>
      </c>
      <c r="B16" s="593" t="s">
        <v>537</v>
      </c>
      <c r="C16" s="612">
        <f>E26</f>
        <v>0</v>
      </c>
      <c r="D16" s="593">
        <v>0</v>
      </c>
      <c r="E16" s="612">
        <f t="shared" ref="E16:E17" si="1">D16-C16</f>
        <v>0</v>
      </c>
    </row>
    <row r="17" spans="1:6" s="383" customFormat="1" ht="15.75" thickBot="1">
      <c r="A17" s="285">
        <f t="shared" si="0"/>
        <v>4</v>
      </c>
      <c r="B17" s="593" t="s">
        <v>538</v>
      </c>
      <c r="C17" s="618">
        <f>E27</f>
        <v>-7931.72</v>
      </c>
      <c r="D17" s="621">
        <v>0</v>
      </c>
      <c r="E17" s="618">
        <f t="shared" si="1"/>
        <v>7931.72</v>
      </c>
    </row>
    <row r="18" spans="1:6" s="383" customFormat="1" ht="15.75" thickTop="1">
      <c r="A18" s="285">
        <f t="shared" si="0"/>
        <v>5</v>
      </c>
      <c r="B18" s="383" t="s">
        <v>539</v>
      </c>
      <c r="C18" s="619">
        <f>SUM(C15:C17)</f>
        <v>105391.52</v>
      </c>
      <c r="D18" s="383">
        <f>SUM(D15:D17)</f>
        <v>0</v>
      </c>
      <c r="E18" s="619">
        <f>SUM(E15:E17)</f>
        <v>-105391.52</v>
      </c>
    </row>
    <row r="19" spans="1:6" s="383" customFormat="1">
      <c r="A19" s="285"/>
      <c r="C19" s="619"/>
      <c r="E19" s="619"/>
    </row>
    <row r="20" spans="1:6" s="383" customFormat="1">
      <c r="A20" s="285"/>
      <c r="B20" s="383" t="s">
        <v>540</v>
      </c>
      <c r="C20" s="619"/>
      <c r="E20" s="619">
        <f>E18*'COC, Def, ConvF'!H14/'COC, Def, ConvF'!M20</f>
        <v>-10244.303340286464</v>
      </c>
    </row>
    <row r="21" spans="1:6" s="383" customFormat="1">
      <c r="B21" s="383" t="s">
        <v>516</v>
      </c>
      <c r="E21" s="619">
        <f>E20-'Detailed Summary'!X66</f>
        <v>0</v>
      </c>
    </row>
    <row r="22" spans="1:6" s="383" customFormat="1">
      <c r="A22" s="577"/>
    </row>
    <row r="23" spans="1:6" s="383" customFormat="1">
      <c r="B23" s="622" t="s">
        <v>541</v>
      </c>
      <c r="C23" s="623" t="s">
        <v>535</v>
      </c>
      <c r="D23" s="623" t="s">
        <v>542</v>
      </c>
      <c r="E23" s="623" t="s">
        <v>534</v>
      </c>
    </row>
    <row r="24" spans="1:6" s="383" customFormat="1">
      <c r="B24" s="624"/>
      <c r="C24" s="624"/>
      <c r="D24" s="625">
        <v>0.6673</v>
      </c>
      <c r="E24" s="625">
        <v>0.3327</v>
      </c>
    </row>
    <row r="25" spans="1:6" s="383" customFormat="1">
      <c r="B25" s="624" t="s">
        <v>536</v>
      </c>
      <c r="C25" s="626">
        <v>340639</v>
      </c>
      <c r="D25" s="627">
        <v>227315.76</v>
      </c>
      <c r="E25" s="627">
        <v>113323.24</v>
      </c>
      <c r="F25" s="628"/>
    </row>
    <row r="26" spans="1:6" s="383" customFormat="1">
      <c r="B26" s="624" t="s">
        <v>537</v>
      </c>
      <c r="C26" s="626">
        <v>0</v>
      </c>
      <c r="D26" s="626">
        <v>0</v>
      </c>
      <c r="E26" s="626">
        <v>0</v>
      </c>
      <c r="F26" s="628"/>
    </row>
    <row r="27" spans="1:6" s="383" customFormat="1">
      <c r="B27" s="624" t="s">
        <v>543</v>
      </c>
      <c r="C27" s="626">
        <v>-23842</v>
      </c>
      <c r="D27" s="626">
        <v>-15910.28</v>
      </c>
      <c r="E27" s="626">
        <v>-7931.72</v>
      </c>
      <c r="F27" s="628"/>
    </row>
    <row r="28" spans="1:6" s="383" customFormat="1">
      <c r="B28" s="629" t="s">
        <v>518</v>
      </c>
      <c r="C28" s="630">
        <f>SUM(C25:C27)</f>
        <v>316797</v>
      </c>
      <c r="D28" s="630">
        <f>SUM(D25:D27)</f>
        <v>211405.48</v>
      </c>
      <c r="E28" s="630">
        <f>SUM(E25:E27)</f>
        <v>105391.52</v>
      </c>
      <c r="F28" s="628"/>
    </row>
    <row r="29" spans="1:6" s="383" customFormat="1">
      <c r="A29" s="578"/>
      <c r="B29" s="579" t="s">
        <v>544</v>
      </c>
    </row>
    <row r="30" spans="1:6" s="383" customFormat="1"/>
    <row r="31" spans="1:6" s="383" customFormat="1"/>
    <row r="32" spans="1:6" s="383" customFormat="1"/>
    <row r="33" spans="1:12" s="383" customFormat="1">
      <c r="B33" s="579" t="s">
        <v>508</v>
      </c>
    </row>
    <row r="34" spans="1:12" s="383" customFormat="1" ht="60" customHeight="1">
      <c r="B34" s="762" t="s">
        <v>583</v>
      </c>
      <c r="C34" s="762"/>
      <c r="D34" s="762"/>
      <c r="E34" s="762"/>
      <c r="F34" s="632"/>
      <c r="G34" s="632"/>
      <c r="H34" s="632"/>
      <c r="I34" s="632"/>
      <c r="J34" s="632"/>
    </row>
    <row r="35" spans="1:12" s="383" customFormat="1" ht="15" customHeight="1">
      <c r="B35" s="632"/>
      <c r="C35" s="632"/>
      <c r="D35" s="632"/>
      <c r="E35" s="632"/>
      <c r="F35" s="632"/>
      <c r="G35" s="632"/>
      <c r="H35" s="632"/>
      <c r="I35" s="632"/>
      <c r="J35" s="632"/>
    </row>
    <row r="36" spans="1:12" s="383" customFormat="1">
      <c r="A36" s="631"/>
      <c r="B36" s="762" t="s">
        <v>509</v>
      </c>
      <c r="C36" s="762"/>
      <c r="D36" s="762"/>
      <c r="E36" s="762"/>
      <c r="F36" s="631"/>
      <c r="G36" s="631"/>
      <c r="H36" s="631"/>
      <c r="I36" s="631"/>
      <c r="J36" s="631"/>
      <c r="K36" s="631"/>
      <c r="L36" s="631"/>
    </row>
    <row r="37" spans="1:12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</row>
    <row r="38" spans="1:12">
      <c r="A38" s="495"/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</sheetData>
  <mergeCells count="3">
    <mergeCell ref="B6:F6"/>
    <mergeCell ref="B34:E34"/>
    <mergeCell ref="B36:E3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5" max="1048575" man="1"/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view="pageBreakPreview" topLeftCell="A8" zoomScale="85" zoomScaleNormal="100" zoomScaleSheetLayoutView="85" workbookViewId="0">
      <selection activeCell="D24" sqref="D24"/>
    </sheetView>
  </sheetViews>
  <sheetFormatPr defaultColWidth="9.140625" defaultRowHeight="15"/>
  <cols>
    <col min="1" max="1" width="9.140625" style="494"/>
    <col min="2" max="2" width="49.140625" style="494" customWidth="1"/>
    <col min="3" max="3" width="14.28515625" style="494" bestFit="1" customWidth="1"/>
    <col min="4" max="4" width="14.85546875" style="494" bestFit="1" customWidth="1"/>
    <col min="5" max="5" width="20.7109375" style="494" customWidth="1"/>
    <col min="6" max="6" width="22" style="494" bestFit="1" customWidth="1"/>
    <col min="7" max="16384" width="9.140625" style="494"/>
  </cols>
  <sheetData>
    <row r="1" spans="1:6" s="492" customFormat="1">
      <c r="A1" s="491"/>
      <c r="B1" s="491"/>
      <c r="C1" s="491"/>
      <c r="D1" s="491"/>
      <c r="F1" s="493" t="s">
        <v>503</v>
      </c>
    </row>
    <row r="2" spans="1:6" s="492" customFormat="1">
      <c r="A2" s="491"/>
      <c r="B2" s="491"/>
      <c r="C2" s="491"/>
      <c r="D2" s="491"/>
      <c r="F2" s="493" t="s">
        <v>588</v>
      </c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584</v>
      </c>
      <c r="C5" s="594"/>
      <c r="D5" s="595"/>
      <c r="E5" s="595"/>
      <c r="F5" s="595"/>
    </row>
    <row r="6" spans="1:6" s="383" customFormat="1">
      <c r="A6" s="595"/>
      <c r="B6" s="761" t="s">
        <v>545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599"/>
      <c r="D10" s="283" t="s">
        <v>189</v>
      </c>
      <c r="E10" s="600"/>
      <c r="F10" s="601" t="s">
        <v>82</v>
      </c>
    </row>
    <row r="11" spans="1:6" s="383" customFormat="1">
      <c r="A11" s="68" t="s">
        <v>36</v>
      </c>
      <c r="B11" s="68"/>
      <c r="C11" s="602"/>
      <c r="D11" s="601" t="s">
        <v>33</v>
      </c>
      <c r="E11" s="601" t="s">
        <v>82</v>
      </c>
      <c r="F11" s="601" t="s">
        <v>41</v>
      </c>
    </row>
    <row r="12" spans="1:6" s="383" customFormat="1">
      <c r="A12" s="603" t="s">
        <v>37</v>
      </c>
      <c r="B12" s="604" t="s">
        <v>60</v>
      </c>
      <c r="C12" s="605" t="s">
        <v>186</v>
      </c>
      <c r="D12" s="606" t="s">
        <v>190</v>
      </c>
      <c r="E12" s="607" t="s">
        <v>191</v>
      </c>
      <c r="F12" s="606" t="s">
        <v>192</v>
      </c>
    </row>
    <row r="13" spans="1:6" s="383" customFormat="1">
      <c r="A13" s="593"/>
      <c r="B13" s="593"/>
      <c r="C13" s="593"/>
      <c r="D13" s="593"/>
      <c r="E13" s="593"/>
      <c r="F13" s="593"/>
    </row>
    <row r="14" spans="1:6" s="383" customFormat="1">
      <c r="A14" s="608">
        <v>1</v>
      </c>
      <c r="B14" s="593" t="s">
        <v>546</v>
      </c>
      <c r="C14" s="593"/>
      <c r="D14" s="593"/>
      <c r="E14" s="609"/>
      <c r="F14" s="593"/>
    </row>
    <row r="15" spans="1:6" s="383" customFormat="1">
      <c r="A15" s="608">
        <f>A14+1</f>
        <v>2</v>
      </c>
      <c r="B15" s="593" t="s">
        <v>547</v>
      </c>
      <c r="C15" s="593"/>
      <c r="D15" s="610">
        <v>1697.5500000000002</v>
      </c>
      <c r="E15" s="609">
        <v>0</v>
      </c>
      <c r="F15" s="611">
        <f>E15-D15</f>
        <v>-1697.5500000000002</v>
      </c>
    </row>
    <row r="16" spans="1:6" s="383" customFormat="1">
      <c r="A16" s="608">
        <v>2</v>
      </c>
      <c r="B16" s="593" t="s">
        <v>548</v>
      </c>
      <c r="C16" s="593"/>
      <c r="D16" s="612">
        <v>79928.489999999991</v>
      </c>
      <c r="E16" s="613">
        <v>0</v>
      </c>
      <c r="F16" s="611">
        <f t="shared" ref="F16:F18" si="0">E16-D16</f>
        <v>-79928.489999999991</v>
      </c>
    </row>
    <row r="17" spans="1:6" s="383" customFormat="1">
      <c r="A17" s="608">
        <f t="shared" ref="A17" si="1">A16+1</f>
        <v>3</v>
      </c>
      <c r="B17" s="593" t="s">
        <v>527</v>
      </c>
      <c r="C17" s="614"/>
      <c r="D17" s="615">
        <v>712422.95189999975</v>
      </c>
      <c r="E17" s="613">
        <v>0</v>
      </c>
      <c r="F17" s="611">
        <f t="shared" si="0"/>
        <v>-712422.95189999975</v>
      </c>
    </row>
    <row r="18" spans="1:6" s="383" customFormat="1" ht="15.75" thickBot="1">
      <c r="A18" s="608">
        <v>3</v>
      </c>
      <c r="B18" s="286" t="s">
        <v>549</v>
      </c>
      <c r="C18" s="350">
        <f>+FIT_E</f>
        <v>0.21</v>
      </c>
      <c r="D18" s="140">
        <f>-SUM(D15:D17)*C18</f>
        <v>-166750.28829899995</v>
      </c>
      <c r="E18" s="616">
        <v>0</v>
      </c>
      <c r="F18" s="611">
        <f t="shared" si="0"/>
        <v>166750.28829899995</v>
      </c>
    </row>
    <row r="19" spans="1:6" s="383" customFormat="1" ht="15.75" thickTop="1">
      <c r="A19" s="608">
        <v>4</v>
      </c>
      <c r="B19" s="286" t="s">
        <v>80</v>
      </c>
      <c r="C19" s="286"/>
      <c r="D19" s="617">
        <f>SUM(D15:D18)</f>
        <v>627298.7036009999</v>
      </c>
      <c r="E19" s="609">
        <f>SUM(E15:E18)</f>
        <v>0</v>
      </c>
      <c r="F19" s="617">
        <f>SUM(F15:F18)</f>
        <v>-627298.7036009999</v>
      </c>
    </row>
    <row r="20" spans="1:6" s="383" customFormat="1">
      <c r="A20" s="608">
        <f t="shared" ref="A20" si="2">A19+1</f>
        <v>5</v>
      </c>
      <c r="B20" s="286"/>
      <c r="C20" s="286"/>
      <c r="D20" s="138"/>
      <c r="E20" s="138"/>
      <c r="F20" s="138"/>
    </row>
    <row r="21" spans="1:6" s="383" customFormat="1">
      <c r="A21" s="608">
        <v>5</v>
      </c>
      <c r="B21" s="593" t="s">
        <v>61</v>
      </c>
      <c r="C21" s="593"/>
      <c r="D21" s="593"/>
      <c r="E21" s="593"/>
      <c r="F21" s="593"/>
    </row>
    <row r="22" spans="1:6" s="383" customFormat="1">
      <c r="A22" s="608">
        <f t="shared" ref="A22" si="3">A21+1</f>
        <v>6</v>
      </c>
      <c r="B22" s="593" t="s">
        <v>536</v>
      </c>
      <c r="C22" s="593"/>
      <c r="D22" s="611">
        <v>32233800.139999993</v>
      </c>
      <c r="E22" s="609">
        <v>0</v>
      </c>
      <c r="F22" s="611">
        <f>E22-D22</f>
        <v>-32233800.139999993</v>
      </c>
    </row>
    <row r="23" spans="1:6" s="383" customFormat="1">
      <c r="A23" s="608">
        <v>6</v>
      </c>
      <c r="B23" s="593" t="s">
        <v>537</v>
      </c>
      <c r="C23" s="593"/>
      <c r="D23" s="612">
        <v>-1111623.9163034996</v>
      </c>
      <c r="E23" s="613">
        <v>0</v>
      </c>
      <c r="F23" s="612">
        <f>E23-D23</f>
        <v>1111623.9163034996</v>
      </c>
    </row>
    <row r="24" spans="1:6" s="383" customFormat="1" ht="15.75" thickBot="1">
      <c r="A24" s="608">
        <f t="shared" ref="A24" si="4">A23+1</f>
        <v>7</v>
      </c>
      <c r="B24" s="593" t="s">
        <v>550</v>
      </c>
      <c r="C24" s="593"/>
      <c r="D24" s="618">
        <v>-4930706.3565270668</v>
      </c>
      <c r="E24" s="616">
        <v>0</v>
      </c>
      <c r="F24" s="618">
        <f>E24-D24</f>
        <v>4930706.3565270668</v>
      </c>
    </row>
    <row r="25" spans="1:6" s="383" customFormat="1" ht="15.75" thickTop="1">
      <c r="A25" s="608">
        <v>7</v>
      </c>
      <c r="B25" s="383" t="s">
        <v>539</v>
      </c>
      <c r="D25" s="619">
        <f>SUM(D22:D24)</f>
        <v>26191469.867169425</v>
      </c>
      <c r="E25" s="620">
        <f>SUM(E22:E24)</f>
        <v>0</v>
      </c>
      <c r="F25" s="619">
        <f>SUM(F22:F24)</f>
        <v>-26191469.867169425</v>
      </c>
    </row>
    <row r="26" spans="1:6" s="383" customFormat="1"/>
    <row r="27" spans="1:6" s="383" customFormat="1" ht="15.75" thickBot="1">
      <c r="A27" s="579"/>
      <c r="B27" s="579"/>
    </row>
    <row r="28" spans="1:6" s="383" customFormat="1">
      <c r="B28" s="705" t="s">
        <v>551</v>
      </c>
      <c r="C28" s="706"/>
    </row>
    <row r="29" spans="1:6" s="383" customFormat="1">
      <c r="B29" s="707" t="s">
        <v>552</v>
      </c>
      <c r="C29" s="708">
        <f>SUM(F15:F17)</f>
        <v>-794048.99189999979</v>
      </c>
    </row>
    <row r="30" spans="1:6" s="383" customFormat="1">
      <c r="B30" s="707" t="s">
        <v>553</v>
      </c>
      <c r="C30" s="708">
        <f>F18</f>
        <v>166750.28829899995</v>
      </c>
    </row>
    <row r="31" spans="1:6" s="383" customFormat="1">
      <c r="B31" s="707" t="s">
        <v>554</v>
      </c>
      <c r="C31" s="708">
        <f>-SUM(C29:C30)</f>
        <v>627298.7036009999</v>
      </c>
    </row>
    <row r="32" spans="1:6" s="383" customFormat="1">
      <c r="B32" s="707" t="s">
        <v>555</v>
      </c>
      <c r="C32" s="709">
        <f>'COC, Def, ConvF'!M20</f>
        <v>0.75409700000000002</v>
      </c>
    </row>
    <row r="33" spans="1:3" s="383" customFormat="1">
      <c r="B33" s="707" t="s">
        <v>556</v>
      </c>
      <c r="C33" s="708">
        <f>-C31/C32</f>
        <v>-831854.12964247295</v>
      </c>
    </row>
    <row r="34" spans="1:3" s="383" customFormat="1">
      <c r="B34" s="707"/>
      <c r="C34" s="710"/>
    </row>
    <row r="35" spans="1:3" s="383" customFormat="1">
      <c r="B35" s="707" t="s">
        <v>557</v>
      </c>
      <c r="C35" s="708">
        <f>F25</f>
        <v>-26191469.867169425</v>
      </c>
    </row>
    <row r="36" spans="1:3" s="383" customFormat="1">
      <c r="B36" s="707" t="s">
        <v>558</v>
      </c>
      <c r="C36" s="711">
        <f>'COC, Def, ConvF'!H14</f>
        <v>7.3300000000000004E-2</v>
      </c>
    </row>
    <row r="37" spans="1:3" s="383" customFormat="1">
      <c r="B37" s="707" t="s">
        <v>559</v>
      </c>
      <c r="C37" s="712">
        <f>C35*C36/C32</f>
        <v>-2545872.4027061756</v>
      </c>
    </row>
    <row r="38" spans="1:3" s="383" customFormat="1">
      <c r="B38" s="707"/>
      <c r="C38" s="710"/>
    </row>
    <row r="39" spans="1:3" s="383" customFormat="1">
      <c r="B39" s="707" t="s">
        <v>560</v>
      </c>
      <c r="C39" s="708">
        <f>C33+C37</f>
        <v>-3377726.5323486486</v>
      </c>
    </row>
    <row r="40" spans="1:3" s="383" customFormat="1" ht="15.75" thickBot="1">
      <c r="B40" s="713" t="s">
        <v>564</v>
      </c>
      <c r="C40" s="714">
        <f>C39-'Detailed Summary'!AV66</f>
        <v>0</v>
      </c>
    </row>
    <row r="42" spans="1:3">
      <c r="A42" s="579" t="s">
        <v>579</v>
      </c>
      <c r="B42" s="579" t="s">
        <v>580</v>
      </c>
    </row>
  </sheetData>
  <mergeCells count="1">
    <mergeCell ref="B6:F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DED84-5DE8-4FBB-AF11-D5421544A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62528-9298-4FED-8F7E-1AF47C6CC3C8}"/>
</file>

<file path=customXml/itemProps3.xml><?xml version="1.0" encoding="utf-8"?>
<ds:datastoreItem xmlns:ds="http://schemas.openxmlformats.org/officeDocument/2006/customXml" ds:itemID="{353E1786-0E80-462C-9F58-912040E341D9}">
  <ds:schemaRefs>
    <ds:schemaRef ds:uri="24f70c62-691b-492e-ba59-9d389529a97e"/>
    <ds:schemaRef ds:uri="a0689114-bdb9-4146-803a-240f5368dce0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3576AD1-8B09-4A79-A9CD-ECC2311FE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55</vt:i4>
      </vt:variant>
    </vt:vector>
  </HeadingPairs>
  <TitlesOfParts>
    <vt:vector size="66" baseType="lpstr">
      <vt:lpstr>COC, Def, ConvF</vt:lpstr>
      <vt:lpstr>Staff CoC</vt:lpstr>
      <vt:lpstr>COC-Restating</vt:lpstr>
      <vt:lpstr>Summary</vt:lpstr>
      <vt:lpstr>Detailed Summary</vt:lpstr>
      <vt:lpstr>Common Adj</vt:lpstr>
      <vt:lpstr>Gas Adj</vt:lpstr>
      <vt:lpstr>Staff Green Direct</vt:lpstr>
      <vt:lpstr>Staff LNG</vt:lpstr>
      <vt:lpstr>DO NOT INCLUDE---&gt;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'COC, Def, ConvF'!Print_Area</vt:lpstr>
      <vt:lpstr>'Common Adj'!Print_Area</vt:lpstr>
      <vt:lpstr>'Detailed Summary'!Print_Area</vt:lpstr>
      <vt:lpstr>'Staff Green Direct'!Print_Area</vt:lpstr>
      <vt:lpstr>'Staff LNG'!Print_Area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Model</dc:title>
  <dc:creator>MarvelousMarina</dc:creator>
  <dc:description/>
  <cp:lastModifiedBy>Liu, Jing (UTC)</cp:lastModifiedBy>
  <cp:lastPrinted>2019-11-21T23:49:04Z</cp:lastPrinted>
  <dcterms:created xsi:type="dcterms:W3CDTF">2015-07-22T17:29:58Z</dcterms:created>
  <dcterms:modified xsi:type="dcterms:W3CDTF">2019-12-17T18:02:32Z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