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0 WEATHER NORMALIZATION\"/>
    </mc:Choice>
  </mc:AlternateContent>
  <bookViews>
    <workbookView xWindow="5115" yWindow="0" windowWidth="20160" windowHeight="10875"/>
  </bookViews>
  <sheets>
    <sheet name="Gas by Mo" sheetId="21" r:id="rId1"/>
    <sheet name="Gas Factors" sheetId="22" r:id="rId2"/>
    <sheet name="Acerno_Cache_XXXXX" sheetId="20" state="veryHidden" r:id="rId3"/>
    <sheet name="30 yr avg Heating " sheetId="13" r:id="rId4"/>
    <sheet name="Cust Data" sheetId="10" r:id="rId5"/>
    <sheet name="DDH" sheetId="1" r:id="rId6"/>
    <sheet name="WA Adj Summary" sheetId="18" state="hidden" r:id="rId7"/>
  </sheets>
  <definedNames>
    <definedName name="_xlnm.Print_Area" localSheetId="3">'30 yr avg Heating '!$A$1:$O$37</definedName>
    <definedName name="_xlnm.Print_Area" localSheetId="4">'Cust Data'!$A$96:$Q$125</definedName>
    <definedName name="_xlnm.Print_Area" localSheetId="5">DDH!$A$1:$D$24</definedName>
    <definedName name="_xlnm.Print_Area" localSheetId="0">'Gas by Mo'!$A$1:$O$190</definedName>
    <definedName name="_xlnm.Print_Area" localSheetId="1">'Gas Factors'!$A$1:$H$33</definedName>
    <definedName name="_xlnm.Print_Titles" localSheetId="0">'Gas by Mo'!$1:$1</definedName>
    <definedName name="_xlnm.Print_Titles" localSheetId="1">'Gas Factors'!$3:$4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E18" i="18" l="1"/>
  <c r="E17" i="18"/>
  <c r="E12" i="18"/>
  <c r="E10" i="18"/>
  <c r="E99" i="21" l="1"/>
  <c r="F99" i="21"/>
  <c r="G99" i="21"/>
  <c r="H99" i="21"/>
  <c r="I99" i="21"/>
  <c r="J99" i="21"/>
  <c r="K99" i="21"/>
  <c r="L99" i="21"/>
  <c r="M99" i="21"/>
  <c r="E100" i="21"/>
  <c r="F100" i="21"/>
  <c r="G100" i="21"/>
  <c r="H100" i="21"/>
  <c r="I100" i="21"/>
  <c r="J100" i="21"/>
  <c r="K100" i="21"/>
  <c r="L100" i="21"/>
  <c r="M100" i="21"/>
  <c r="E101" i="21"/>
  <c r="F101" i="21"/>
  <c r="G101" i="21"/>
  <c r="H101" i="21"/>
  <c r="I101" i="21"/>
  <c r="J101" i="21"/>
  <c r="K101" i="21"/>
  <c r="L101" i="21"/>
  <c r="M101" i="21"/>
  <c r="D101" i="21"/>
  <c r="D100" i="21"/>
  <c r="D99" i="21"/>
  <c r="O99" i="21"/>
  <c r="O100" i="21"/>
  <c r="O101" i="21"/>
  <c r="N101" i="21"/>
  <c r="N100" i="21"/>
  <c r="N99" i="21"/>
  <c r="O116" i="21"/>
  <c r="O117" i="21"/>
  <c r="N117" i="21"/>
  <c r="N116" i="21"/>
  <c r="E116" i="21"/>
  <c r="F116" i="21"/>
  <c r="G116" i="21"/>
  <c r="H116" i="21"/>
  <c r="I116" i="21"/>
  <c r="J116" i="21"/>
  <c r="K116" i="21"/>
  <c r="L116" i="21"/>
  <c r="M116" i="21"/>
  <c r="E117" i="21"/>
  <c r="F117" i="21"/>
  <c r="G117" i="21"/>
  <c r="H117" i="21"/>
  <c r="I117" i="21"/>
  <c r="J117" i="21"/>
  <c r="K117" i="21"/>
  <c r="L117" i="21"/>
  <c r="M117" i="21"/>
  <c r="D117" i="21"/>
  <c r="D116" i="21"/>
  <c r="O136" i="21"/>
  <c r="N136" i="21"/>
  <c r="E136" i="21"/>
  <c r="F136" i="21"/>
  <c r="G136" i="21"/>
  <c r="H136" i="21"/>
  <c r="I136" i="21"/>
  <c r="J136" i="21"/>
  <c r="K136" i="21"/>
  <c r="L136" i="21"/>
  <c r="M136" i="21"/>
  <c r="O131" i="21"/>
  <c r="N131" i="21"/>
  <c r="M131" i="21"/>
  <c r="E131" i="21"/>
  <c r="F131" i="21"/>
  <c r="G131" i="21"/>
  <c r="H131" i="21"/>
  <c r="I131" i="21"/>
  <c r="J131" i="21"/>
  <c r="K131" i="21"/>
  <c r="L131" i="21"/>
  <c r="D131" i="21"/>
  <c r="K58" i="21"/>
  <c r="L58" i="21"/>
  <c r="J58" i="21"/>
  <c r="K54" i="21"/>
  <c r="L54" i="21"/>
  <c r="J54" i="21"/>
  <c r="K50" i="21"/>
  <c r="L50" i="21"/>
  <c r="J50" i="21"/>
  <c r="K46" i="21"/>
  <c r="L46" i="21"/>
  <c r="J46" i="21"/>
  <c r="K42" i="21"/>
  <c r="L42" i="21"/>
  <c r="J42" i="21"/>
  <c r="K38" i="21"/>
  <c r="L38" i="21"/>
  <c r="J38" i="21"/>
  <c r="K34" i="21"/>
  <c r="L34" i="21"/>
  <c r="J34" i="21"/>
  <c r="K30" i="21"/>
  <c r="L30" i="21"/>
  <c r="J30" i="21"/>
  <c r="K26" i="21"/>
  <c r="L26" i="21"/>
  <c r="J26" i="21"/>
  <c r="K22" i="21"/>
  <c r="L22" i="21"/>
  <c r="J22" i="21"/>
  <c r="K18" i="21"/>
  <c r="L18" i="21"/>
  <c r="J18" i="21"/>
  <c r="K14" i="21"/>
  <c r="L14" i="21"/>
  <c r="J14" i="21"/>
  <c r="K10" i="21"/>
  <c r="L10" i="21"/>
  <c r="J10" i="21"/>
  <c r="O58" i="21"/>
  <c r="N58" i="21"/>
  <c r="M58" i="21"/>
  <c r="I58" i="21"/>
  <c r="H58" i="21"/>
  <c r="G58" i="21"/>
  <c r="F58" i="21"/>
  <c r="E58" i="21"/>
  <c r="D58" i="21"/>
  <c r="O54" i="21"/>
  <c r="N54" i="21"/>
  <c r="M54" i="21"/>
  <c r="I54" i="21"/>
  <c r="H54" i="21"/>
  <c r="G54" i="21"/>
  <c r="F54" i="21"/>
  <c r="E54" i="21"/>
  <c r="D54" i="21"/>
  <c r="O50" i="21"/>
  <c r="N50" i="21"/>
  <c r="M50" i="21"/>
  <c r="I50" i="21"/>
  <c r="H50" i="21"/>
  <c r="G50" i="21"/>
  <c r="F50" i="21"/>
  <c r="E50" i="21"/>
  <c r="D50" i="21"/>
  <c r="O46" i="21"/>
  <c r="N46" i="21"/>
  <c r="M46" i="21"/>
  <c r="I46" i="21"/>
  <c r="H46" i="21"/>
  <c r="G46" i="21"/>
  <c r="F46" i="21"/>
  <c r="E46" i="21"/>
  <c r="D46" i="21"/>
  <c r="O42" i="21"/>
  <c r="N42" i="21"/>
  <c r="M42" i="21"/>
  <c r="I42" i="21"/>
  <c r="H42" i="21"/>
  <c r="G42" i="21"/>
  <c r="F42" i="21"/>
  <c r="E42" i="21"/>
  <c r="D42" i="21"/>
  <c r="O38" i="21"/>
  <c r="N38" i="21"/>
  <c r="M38" i="21"/>
  <c r="I38" i="21"/>
  <c r="H38" i="21"/>
  <c r="G38" i="21"/>
  <c r="F38" i="21"/>
  <c r="E38" i="21"/>
  <c r="D38" i="21"/>
  <c r="O34" i="21"/>
  <c r="N34" i="21"/>
  <c r="M34" i="21"/>
  <c r="I34" i="21"/>
  <c r="H34" i="21"/>
  <c r="G34" i="21"/>
  <c r="F34" i="21"/>
  <c r="E34" i="21"/>
  <c r="D34" i="21"/>
  <c r="O30" i="21"/>
  <c r="N30" i="21"/>
  <c r="M30" i="21"/>
  <c r="I30" i="21"/>
  <c r="H30" i="21"/>
  <c r="G30" i="21"/>
  <c r="F30" i="21"/>
  <c r="E30" i="21"/>
  <c r="D30" i="21"/>
  <c r="O26" i="21"/>
  <c r="N26" i="21"/>
  <c r="M26" i="21"/>
  <c r="I26" i="21"/>
  <c r="H26" i="21"/>
  <c r="G26" i="21"/>
  <c r="F26" i="21"/>
  <c r="E26" i="21"/>
  <c r="D26" i="21"/>
  <c r="O22" i="21"/>
  <c r="N22" i="21"/>
  <c r="M22" i="21"/>
  <c r="I22" i="21"/>
  <c r="H22" i="21"/>
  <c r="G22" i="21"/>
  <c r="F22" i="21"/>
  <c r="E22" i="21"/>
  <c r="D22" i="21"/>
  <c r="O18" i="21"/>
  <c r="N18" i="21"/>
  <c r="M18" i="21"/>
  <c r="I18" i="21"/>
  <c r="H18" i="21"/>
  <c r="G18" i="21"/>
  <c r="F18" i="21"/>
  <c r="E18" i="21"/>
  <c r="D18" i="21"/>
  <c r="O14" i="21"/>
  <c r="N14" i="21"/>
  <c r="M14" i="21"/>
  <c r="I14" i="21"/>
  <c r="H14" i="21"/>
  <c r="G14" i="21"/>
  <c r="F14" i="21"/>
  <c r="E14" i="21"/>
  <c r="D14" i="21"/>
  <c r="O10" i="21"/>
  <c r="N10" i="21"/>
  <c r="M10" i="21"/>
  <c r="I10" i="21"/>
  <c r="H10" i="21"/>
  <c r="G10" i="21"/>
  <c r="F10" i="21"/>
  <c r="E10" i="21"/>
  <c r="D10" i="21"/>
  <c r="G16" i="22"/>
  <c r="F16" i="22"/>
  <c r="E16" i="22"/>
  <c r="D16" i="22"/>
  <c r="C16" i="22"/>
  <c r="A16" i="22"/>
  <c r="G15" i="22"/>
  <c r="F15" i="22"/>
  <c r="E15" i="22"/>
  <c r="D15" i="22"/>
  <c r="C15" i="22"/>
  <c r="A15" i="22"/>
  <c r="E188" i="21" l="1"/>
  <c r="E185" i="21" s="1"/>
  <c r="C187" i="21"/>
  <c r="N186" i="21"/>
  <c r="M186" i="21"/>
  <c r="L186" i="21"/>
  <c r="G186" i="21"/>
  <c r="N185" i="21"/>
  <c r="M185" i="21"/>
  <c r="L185" i="21"/>
  <c r="N184" i="21"/>
  <c r="M184" i="21"/>
  <c r="L184" i="21"/>
  <c r="G184" i="21"/>
  <c r="E184" i="21"/>
  <c r="N183" i="21"/>
  <c r="M183" i="21"/>
  <c r="L183" i="21"/>
  <c r="G183" i="21"/>
  <c r="E183" i="21"/>
  <c r="E187" i="21" s="1"/>
  <c r="F183" i="21" s="1"/>
  <c r="N178" i="21"/>
  <c r="M178" i="21"/>
  <c r="L178" i="21"/>
  <c r="E174" i="21"/>
  <c r="C173" i="21"/>
  <c r="G170" i="21"/>
  <c r="E170" i="21"/>
  <c r="E169" i="21"/>
  <c r="G169" i="21" s="1"/>
  <c r="G168" i="21"/>
  <c r="E168" i="21"/>
  <c r="E164" i="21"/>
  <c r="C163" i="21"/>
  <c r="G162" i="21"/>
  <c r="G161" i="21"/>
  <c r="H161" i="21" s="1"/>
  <c r="E161" i="21"/>
  <c r="E163" i="21" s="1"/>
  <c r="F162" i="21" s="1"/>
  <c r="E160" i="21"/>
  <c r="G160" i="21" s="1"/>
  <c r="G163" i="21" s="1"/>
  <c r="E156" i="21"/>
  <c r="C155" i="21"/>
  <c r="G154" i="21"/>
  <c r="E153" i="21"/>
  <c r="O151" i="21"/>
  <c r="N151" i="21"/>
  <c r="F151" i="21"/>
  <c r="G151" i="21" s="1"/>
  <c r="H151" i="21" s="1"/>
  <c r="I151" i="21" s="1"/>
  <c r="J151" i="21" s="1"/>
  <c r="K151" i="21" s="1"/>
  <c r="L151" i="21" s="1"/>
  <c r="M151" i="21" s="1"/>
  <c r="E151" i="21"/>
  <c r="D151" i="21"/>
  <c r="N150" i="21"/>
  <c r="O150" i="21" s="1"/>
  <c r="D150" i="21"/>
  <c r="E150" i="21" s="1"/>
  <c r="F150" i="21" s="1"/>
  <c r="G150" i="21" s="1"/>
  <c r="H150" i="21" s="1"/>
  <c r="I150" i="21" s="1"/>
  <c r="J150" i="21" s="1"/>
  <c r="K150" i="21" s="1"/>
  <c r="L150" i="21" s="1"/>
  <c r="M150" i="21" s="1"/>
  <c r="O148" i="21"/>
  <c r="N148" i="21"/>
  <c r="H148" i="21"/>
  <c r="I148" i="21" s="1"/>
  <c r="J148" i="21" s="1"/>
  <c r="K148" i="21" s="1"/>
  <c r="L148" i="21" s="1"/>
  <c r="M148" i="21" s="1"/>
  <c r="G148" i="21"/>
  <c r="F148" i="21"/>
  <c r="E148" i="21"/>
  <c r="D148" i="21"/>
  <c r="N147" i="21"/>
  <c r="O147" i="21" s="1"/>
  <c r="E147" i="21"/>
  <c r="F147" i="21" s="1"/>
  <c r="G147" i="21" s="1"/>
  <c r="H147" i="21" s="1"/>
  <c r="I147" i="21" s="1"/>
  <c r="J147" i="21" s="1"/>
  <c r="K147" i="21" s="1"/>
  <c r="L147" i="21" s="1"/>
  <c r="M147" i="21" s="1"/>
  <c r="D147" i="21"/>
  <c r="O146" i="21"/>
  <c r="N146" i="21"/>
  <c r="D146" i="21"/>
  <c r="E146" i="21" s="1"/>
  <c r="F146" i="21" s="1"/>
  <c r="G146" i="21" s="1"/>
  <c r="H146" i="21" s="1"/>
  <c r="I146" i="21" s="1"/>
  <c r="J146" i="21" s="1"/>
  <c r="N143" i="21"/>
  <c r="O143" i="21" s="1"/>
  <c r="D143" i="21"/>
  <c r="M56" i="21"/>
  <c r="O57" i="21"/>
  <c r="O56" i="21" s="1"/>
  <c r="N57" i="21"/>
  <c r="M57" i="21"/>
  <c r="L57" i="21"/>
  <c r="K57" i="21"/>
  <c r="J57" i="21"/>
  <c r="I57" i="21"/>
  <c r="H57" i="21"/>
  <c r="G57" i="21"/>
  <c r="G56" i="21" s="1"/>
  <c r="F57" i="21"/>
  <c r="C57" i="21" s="1"/>
  <c r="E57" i="21"/>
  <c r="E56" i="21" s="1"/>
  <c r="D57" i="21"/>
  <c r="O53" i="21"/>
  <c r="N53" i="21"/>
  <c r="M53" i="21"/>
  <c r="M52" i="21" s="1"/>
  <c r="L53" i="21"/>
  <c r="K53" i="21"/>
  <c r="J53" i="21"/>
  <c r="I53" i="21"/>
  <c r="H53" i="21"/>
  <c r="G53" i="21"/>
  <c r="F53" i="21"/>
  <c r="E53" i="21"/>
  <c r="E52" i="21" s="1"/>
  <c r="D53" i="21"/>
  <c r="C53" i="21" s="1"/>
  <c r="O49" i="21"/>
  <c r="N49" i="21"/>
  <c r="M49" i="21"/>
  <c r="M48" i="21" s="1"/>
  <c r="L49" i="21"/>
  <c r="L48" i="21" s="1"/>
  <c r="K49" i="21"/>
  <c r="J49" i="21"/>
  <c r="I49" i="21"/>
  <c r="H49" i="21"/>
  <c r="H48" i="21" s="1"/>
  <c r="G49" i="21"/>
  <c r="F49" i="21"/>
  <c r="E49" i="21"/>
  <c r="E48" i="21" s="1"/>
  <c r="D49" i="21"/>
  <c r="C49" i="21" s="1"/>
  <c r="O45" i="21"/>
  <c r="O44" i="21" s="1"/>
  <c r="N45" i="21"/>
  <c r="N44" i="21" s="1"/>
  <c r="M45" i="21"/>
  <c r="L45" i="21"/>
  <c r="K45" i="21"/>
  <c r="K44" i="21" s="1"/>
  <c r="J45" i="21"/>
  <c r="I45" i="21"/>
  <c r="H45" i="21"/>
  <c r="H44" i="21" s="1"/>
  <c r="G45" i="21"/>
  <c r="C45" i="21" s="1"/>
  <c r="F45" i="21"/>
  <c r="E45" i="21"/>
  <c r="D45" i="21"/>
  <c r="M40" i="21"/>
  <c r="O41" i="21"/>
  <c r="N41" i="21"/>
  <c r="M41" i="21"/>
  <c r="L41" i="21"/>
  <c r="K41" i="21"/>
  <c r="K40" i="21" s="1"/>
  <c r="J41" i="21"/>
  <c r="I41" i="21"/>
  <c r="H41" i="21"/>
  <c r="G41" i="21"/>
  <c r="F41" i="21"/>
  <c r="E41" i="21"/>
  <c r="D41" i="21"/>
  <c r="H40" i="21"/>
  <c r="O37" i="21"/>
  <c r="N37" i="21"/>
  <c r="N36" i="21" s="1"/>
  <c r="M37" i="21"/>
  <c r="M36" i="21" s="1"/>
  <c r="L37" i="21"/>
  <c r="L36" i="21" s="1"/>
  <c r="K37" i="21"/>
  <c r="J37" i="21"/>
  <c r="I37" i="21"/>
  <c r="H37" i="21"/>
  <c r="G37" i="21"/>
  <c r="F37" i="21"/>
  <c r="E37" i="21"/>
  <c r="E36" i="21" s="1"/>
  <c r="D37" i="21"/>
  <c r="C37" i="21" s="1"/>
  <c r="O33" i="21"/>
  <c r="O32" i="21" s="1"/>
  <c r="O70" i="21" s="1"/>
  <c r="N33" i="21"/>
  <c r="M33" i="21"/>
  <c r="L33" i="21"/>
  <c r="L32" i="21" s="1"/>
  <c r="L70" i="21" s="1"/>
  <c r="K33" i="21"/>
  <c r="J33" i="21"/>
  <c r="I33" i="21"/>
  <c r="H33" i="21"/>
  <c r="H32" i="21" s="1"/>
  <c r="H70" i="21" s="1"/>
  <c r="G33" i="21"/>
  <c r="G32" i="21" s="1"/>
  <c r="G70" i="21" s="1"/>
  <c r="F33" i="21"/>
  <c r="E33" i="21"/>
  <c r="D33" i="21"/>
  <c r="D32" i="21" s="1"/>
  <c r="M32" i="21"/>
  <c r="M70" i="21" s="1"/>
  <c r="M129" i="21" s="1"/>
  <c r="E32" i="21"/>
  <c r="E70" i="21" s="1"/>
  <c r="E129" i="21" s="1"/>
  <c r="O29" i="21"/>
  <c r="N29" i="21"/>
  <c r="M29" i="21"/>
  <c r="L29" i="21"/>
  <c r="L28" i="21" s="1"/>
  <c r="K29" i="21"/>
  <c r="C29" i="21" s="1"/>
  <c r="J29" i="21"/>
  <c r="I29" i="21"/>
  <c r="H29" i="21"/>
  <c r="G29" i="21"/>
  <c r="F29" i="21"/>
  <c r="E29" i="21"/>
  <c r="D29" i="21"/>
  <c r="D28" i="21" s="1"/>
  <c r="H28" i="21"/>
  <c r="O25" i="21"/>
  <c r="N25" i="21"/>
  <c r="M25" i="21"/>
  <c r="M24" i="21" s="1"/>
  <c r="L25" i="21"/>
  <c r="K25" i="21"/>
  <c r="J25" i="21"/>
  <c r="I25" i="21"/>
  <c r="H25" i="21"/>
  <c r="G25" i="21"/>
  <c r="F25" i="21"/>
  <c r="C25" i="21" s="1"/>
  <c r="E25" i="21"/>
  <c r="E24" i="21" s="1"/>
  <c r="D25" i="21"/>
  <c r="O21" i="21"/>
  <c r="N21" i="21"/>
  <c r="M21" i="21"/>
  <c r="M20" i="21" s="1"/>
  <c r="L21" i="21"/>
  <c r="K21" i="21"/>
  <c r="J21" i="21"/>
  <c r="I21" i="21"/>
  <c r="H21" i="21"/>
  <c r="H20" i="21" s="1"/>
  <c r="G21" i="21"/>
  <c r="F21" i="21"/>
  <c r="E21" i="21"/>
  <c r="E20" i="21" s="1"/>
  <c r="D21" i="21"/>
  <c r="C21" i="21" s="1"/>
  <c r="O17" i="21"/>
  <c r="N17" i="21"/>
  <c r="M17" i="21"/>
  <c r="M16" i="21" s="1"/>
  <c r="L17" i="21"/>
  <c r="L16" i="21" s="1"/>
  <c r="K17" i="21"/>
  <c r="J17" i="21"/>
  <c r="I17" i="21"/>
  <c r="H17" i="21"/>
  <c r="H16" i="21" s="1"/>
  <c r="G17" i="21"/>
  <c r="F17" i="21"/>
  <c r="E17" i="21"/>
  <c r="E16" i="21" s="1"/>
  <c r="D17" i="21"/>
  <c r="C17" i="21" s="1"/>
  <c r="O13" i="21"/>
  <c r="O12" i="21" s="1"/>
  <c r="N13" i="21"/>
  <c r="M13" i="21"/>
  <c r="L13" i="21"/>
  <c r="K13" i="21"/>
  <c r="K12" i="21" s="1"/>
  <c r="J13" i="21"/>
  <c r="I13" i="21"/>
  <c r="H13" i="21"/>
  <c r="H12" i="21" s="1"/>
  <c r="G13" i="21"/>
  <c r="C13" i="21" s="1"/>
  <c r="F13" i="21"/>
  <c r="E13" i="21"/>
  <c r="D13" i="21"/>
  <c r="M8" i="21"/>
  <c r="O9" i="21"/>
  <c r="N9" i="21"/>
  <c r="M9" i="21"/>
  <c r="L9" i="21"/>
  <c r="K9" i="21"/>
  <c r="J9" i="21"/>
  <c r="C9" i="21" s="1"/>
  <c r="I9" i="21"/>
  <c r="H9" i="21"/>
  <c r="G9" i="21"/>
  <c r="F9" i="21"/>
  <c r="E9" i="21"/>
  <c r="D9" i="21"/>
  <c r="H8" i="21"/>
  <c r="M4" i="21"/>
  <c r="M44" i="21" s="1"/>
  <c r="L4" i="21"/>
  <c r="L44" i="21" s="1"/>
  <c r="H4" i="21"/>
  <c r="H36" i="21" s="1"/>
  <c r="E4" i="21"/>
  <c r="E40" i="21" s="1"/>
  <c r="D4" i="21"/>
  <c r="D44" i="21" s="1"/>
  <c r="O3" i="21"/>
  <c r="N3" i="21"/>
  <c r="M3" i="21"/>
  <c r="L3" i="21"/>
  <c r="K3" i="21"/>
  <c r="J3" i="21"/>
  <c r="I3" i="21"/>
  <c r="I4" i="21" s="1"/>
  <c r="H3" i="21"/>
  <c r="G3" i="21"/>
  <c r="F3" i="21"/>
  <c r="E3" i="21"/>
  <c r="D3" i="21"/>
  <c r="C3" i="21" s="1"/>
  <c r="O2" i="21"/>
  <c r="O4" i="21" s="1"/>
  <c r="N2" i="21"/>
  <c r="N4" i="21" s="1"/>
  <c r="M2" i="21"/>
  <c r="L2" i="21"/>
  <c r="K2" i="21"/>
  <c r="K4" i="21" s="1"/>
  <c r="J2" i="21"/>
  <c r="J4" i="21" s="1"/>
  <c r="I2" i="21"/>
  <c r="H2" i="21"/>
  <c r="G2" i="21"/>
  <c r="G4" i="21" s="1"/>
  <c r="F2" i="21"/>
  <c r="C2" i="21" s="1"/>
  <c r="C4" i="21" s="1"/>
  <c r="E2" i="21"/>
  <c r="D2" i="2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J28" i="21" l="1"/>
  <c r="I52" i="21"/>
  <c r="K56" i="21"/>
  <c r="K24" i="21"/>
  <c r="K32" i="21"/>
  <c r="K70" i="21" s="1"/>
  <c r="K52" i="21"/>
  <c r="K20" i="21"/>
  <c r="K36" i="21"/>
  <c r="K48" i="21"/>
  <c r="K16" i="21"/>
  <c r="D70" i="21"/>
  <c r="L129" i="21"/>
  <c r="I40" i="21"/>
  <c r="J52" i="21"/>
  <c r="N8" i="21"/>
  <c r="J24" i="21"/>
  <c r="J40" i="21"/>
  <c r="O48" i="21"/>
  <c r="N56" i="21"/>
  <c r="J44" i="21"/>
  <c r="J12" i="21"/>
  <c r="J16" i="21"/>
  <c r="J32" i="21"/>
  <c r="J70" i="21" s="1"/>
  <c r="J36" i="21"/>
  <c r="J48" i="21"/>
  <c r="I48" i="21"/>
  <c r="I56" i="21"/>
  <c r="I24" i="21"/>
  <c r="I44" i="21"/>
  <c r="I12" i="21"/>
  <c r="I28" i="21"/>
  <c r="I16" i="21"/>
  <c r="H72" i="21"/>
  <c r="G129" i="21"/>
  <c r="O40" i="21"/>
  <c r="O20" i="21"/>
  <c r="O36" i="21"/>
  <c r="O52" i="21"/>
  <c r="O8" i="21"/>
  <c r="I8" i="21"/>
  <c r="G28" i="21"/>
  <c r="H129" i="21"/>
  <c r="O16" i="21"/>
  <c r="N24" i="21"/>
  <c r="I32" i="21"/>
  <c r="I70" i="21" s="1"/>
  <c r="N40" i="21"/>
  <c r="N64" i="21" s="1"/>
  <c r="J56" i="21"/>
  <c r="I36" i="21"/>
  <c r="N52" i="21"/>
  <c r="N20" i="21"/>
  <c r="N48" i="21"/>
  <c r="N16" i="21"/>
  <c r="N32" i="21"/>
  <c r="N70" i="21" s="1"/>
  <c r="I20" i="21"/>
  <c r="I69" i="21" s="1"/>
  <c r="O129" i="21"/>
  <c r="G40" i="21"/>
  <c r="G48" i="21"/>
  <c r="G16" i="21"/>
  <c r="G36" i="21"/>
  <c r="G8" i="21"/>
  <c r="G20" i="21"/>
  <c r="G52" i="21"/>
  <c r="J20" i="21"/>
  <c r="O28" i="21"/>
  <c r="N28" i="21"/>
  <c r="K8" i="21"/>
  <c r="N12" i="21"/>
  <c r="G24" i="21"/>
  <c r="O24" i="21"/>
  <c r="E64" i="21"/>
  <c r="M64" i="21"/>
  <c r="M72" i="21"/>
  <c r="E73" i="21"/>
  <c r="M73" i="21"/>
  <c r="K146" i="21"/>
  <c r="L146" i="21" s="1"/>
  <c r="M146" i="21" s="1"/>
  <c r="G153" i="21"/>
  <c r="F153" i="21"/>
  <c r="F4" i="21"/>
  <c r="F36" i="21" s="1"/>
  <c r="D36" i="21"/>
  <c r="H52" i="21"/>
  <c r="C151" i="21"/>
  <c r="D24" i="21"/>
  <c r="C41" i="21"/>
  <c r="D56" i="21"/>
  <c r="L56" i="21"/>
  <c r="H160" i="21"/>
  <c r="J8" i="21"/>
  <c r="G12" i="21"/>
  <c r="D16" i="21"/>
  <c r="K28" i="21"/>
  <c r="C33" i="21"/>
  <c r="G44" i="21"/>
  <c r="D48" i="21"/>
  <c r="F56" i="21"/>
  <c r="E143" i="21"/>
  <c r="F143" i="21" s="1"/>
  <c r="G143" i="21" s="1"/>
  <c r="H143" i="21" s="1"/>
  <c r="I143" i="21" s="1"/>
  <c r="J143" i="21" s="1"/>
  <c r="K143" i="21" s="1"/>
  <c r="L143" i="21" s="1"/>
  <c r="M143" i="21" s="1"/>
  <c r="C147" i="21"/>
  <c r="C150" i="21"/>
  <c r="F161" i="21"/>
  <c r="D12" i="21"/>
  <c r="H68" i="21"/>
  <c r="M12" i="21"/>
  <c r="M68" i="21" s="1"/>
  <c r="L24" i="21"/>
  <c r="E44" i="21"/>
  <c r="E72" i="21" s="1"/>
  <c r="D8" i="21"/>
  <c r="H24" i="21"/>
  <c r="H69" i="21" s="1"/>
  <c r="E28" i="21"/>
  <c r="E69" i="21" s="1"/>
  <c r="M28" i="21"/>
  <c r="M69" i="21" s="1"/>
  <c r="D40" i="21"/>
  <c r="L40" i="21"/>
  <c r="L72" i="21" s="1"/>
  <c r="H56" i="21"/>
  <c r="E155" i="21"/>
  <c r="E12" i="21"/>
  <c r="C148" i="21"/>
  <c r="E8" i="21"/>
  <c r="D20" i="21"/>
  <c r="L20" i="21"/>
  <c r="D52" i="21"/>
  <c r="L52" i="21"/>
  <c r="H162" i="21"/>
  <c r="L12" i="21"/>
  <c r="L8" i="21"/>
  <c r="F184" i="21"/>
  <c r="F187" i="21" s="1"/>
  <c r="F186" i="21"/>
  <c r="G185" i="21"/>
  <c r="F185" i="21"/>
  <c r="E171" i="21"/>
  <c r="E172" i="21" s="1"/>
  <c r="F160" i="21"/>
  <c r="L73" i="21" l="1"/>
  <c r="L134" i="21" s="1"/>
  <c r="K73" i="21"/>
  <c r="K134" i="21" s="1"/>
  <c r="L69" i="21"/>
  <c r="G69" i="21"/>
  <c r="O69" i="21"/>
  <c r="G73" i="21"/>
  <c r="O73" i="21"/>
  <c r="H64" i="21"/>
  <c r="G172" i="21"/>
  <c r="M127" i="21"/>
  <c r="M130" i="21" s="1"/>
  <c r="L111" i="21"/>
  <c r="L133" i="21"/>
  <c r="H128" i="21"/>
  <c r="E111" i="21"/>
  <c r="E133" i="21"/>
  <c r="E128" i="21"/>
  <c r="G187" i="21"/>
  <c r="H185" i="21"/>
  <c r="L68" i="21"/>
  <c r="L62" i="21"/>
  <c r="E68" i="21"/>
  <c r="E62" i="21"/>
  <c r="D73" i="21"/>
  <c r="N163" i="21"/>
  <c r="N141" i="21" s="1"/>
  <c r="O141" i="21" s="1"/>
  <c r="M163" i="21"/>
  <c r="D141" i="21" s="1"/>
  <c r="L163" i="21"/>
  <c r="H163" i="21"/>
  <c r="D72" i="21"/>
  <c r="C36" i="21"/>
  <c r="D64" i="21"/>
  <c r="E120" i="21"/>
  <c r="E134" i="21"/>
  <c r="F12" i="21"/>
  <c r="G72" i="21"/>
  <c r="G64" i="21"/>
  <c r="N129" i="21"/>
  <c r="H111" i="21"/>
  <c r="H133" i="21"/>
  <c r="J73" i="21"/>
  <c r="H73" i="21"/>
  <c r="C143" i="21"/>
  <c r="I129" i="21"/>
  <c r="M128" i="21"/>
  <c r="M111" i="21"/>
  <c r="M133" i="21"/>
  <c r="K68" i="21"/>
  <c r="K62" i="21"/>
  <c r="L128" i="21"/>
  <c r="G128" i="21"/>
  <c r="N68" i="21"/>
  <c r="N62" i="21"/>
  <c r="D69" i="21"/>
  <c r="O72" i="21"/>
  <c r="O64" i="21"/>
  <c r="D68" i="21"/>
  <c r="D62" i="21"/>
  <c r="G134" i="21"/>
  <c r="G120" i="21"/>
  <c r="J129" i="21"/>
  <c r="K64" i="21"/>
  <c r="K72" i="21"/>
  <c r="N69" i="21"/>
  <c r="F40" i="21"/>
  <c r="N72" i="21"/>
  <c r="H62" i="21"/>
  <c r="F24" i="21"/>
  <c r="C24" i="21" s="1"/>
  <c r="J69" i="21"/>
  <c r="L64" i="21"/>
  <c r="M62" i="21"/>
  <c r="G171" i="21"/>
  <c r="I72" i="21"/>
  <c r="I64" i="21"/>
  <c r="F52" i="21"/>
  <c r="C52" i="21" s="1"/>
  <c r="F28" i="21"/>
  <c r="C28" i="21" s="1"/>
  <c r="F32" i="21"/>
  <c r="F48" i="21"/>
  <c r="F16" i="21"/>
  <c r="F20" i="21"/>
  <c r="C20" i="21" s="1"/>
  <c r="J64" i="21"/>
  <c r="J72" i="21"/>
  <c r="C12" i="21"/>
  <c r="C56" i="21"/>
  <c r="N73" i="21"/>
  <c r="O128" i="21"/>
  <c r="O94" i="21"/>
  <c r="E173" i="21"/>
  <c r="F154" i="21"/>
  <c r="F155" i="21"/>
  <c r="F156" i="21"/>
  <c r="G155" i="21"/>
  <c r="K69" i="21"/>
  <c r="F163" i="21"/>
  <c r="C16" i="21"/>
  <c r="C146" i="21"/>
  <c r="F44" i="21"/>
  <c r="C44" i="21" s="1"/>
  <c r="K129" i="21"/>
  <c r="I68" i="21"/>
  <c r="I62" i="21"/>
  <c r="H127" i="21"/>
  <c r="H130" i="21" s="1"/>
  <c r="J68" i="21"/>
  <c r="J62" i="21"/>
  <c r="M134" i="21"/>
  <c r="G62" i="21"/>
  <c r="G68" i="21"/>
  <c r="I128" i="21"/>
  <c r="O62" i="21"/>
  <c r="O68" i="21"/>
  <c r="I73" i="21"/>
  <c r="O134" i="21"/>
  <c r="F8" i="21"/>
  <c r="C8" i="21" s="1"/>
  <c r="D129" i="21"/>
  <c r="M135" i="21" l="1"/>
  <c r="F72" i="21"/>
  <c r="F73" i="21"/>
  <c r="C73" i="21" s="1"/>
  <c r="F111" i="21"/>
  <c r="F118" i="21"/>
  <c r="F133" i="21"/>
  <c r="H155" i="21"/>
  <c r="H154" i="21"/>
  <c r="C48" i="21"/>
  <c r="H172" i="21"/>
  <c r="H153" i="21"/>
  <c r="N134" i="21"/>
  <c r="F70" i="21"/>
  <c r="C32" i="21"/>
  <c r="N128" i="21"/>
  <c r="N94" i="21"/>
  <c r="O111" i="21"/>
  <c r="O133" i="21"/>
  <c r="O135" i="21" s="1"/>
  <c r="M122" i="21"/>
  <c r="C64" i="21"/>
  <c r="D134" i="21"/>
  <c r="K133" i="21"/>
  <c r="K135" i="21" s="1"/>
  <c r="K111" i="21"/>
  <c r="D128" i="21"/>
  <c r="D94" i="21"/>
  <c r="H134" i="21"/>
  <c r="H135" i="21" s="1"/>
  <c r="H120" i="21"/>
  <c r="J128" i="21"/>
  <c r="J134" i="21"/>
  <c r="D136" i="21"/>
  <c r="C72" i="21"/>
  <c r="D111" i="21"/>
  <c r="D133" i="21"/>
  <c r="E127" i="21"/>
  <c r="E130" i="21" s="1"/>
  <c r="L135" i="21"/>
  <c r="I134" i="21"/>
  <c r="G111" i="21"/>
  <c r="G118" i="21"/>
  <c r="G133" i="21"/>
  <c r="G135" i="21" s="1"/>
  <c r="E118" i="21"/>
  <c r="O127" i="21"/>
  <c r="O130" i="21" s="1"/>
  <c r="F168" i="21"/>
  <c r="F170" i="21"/>
  <c r="F169" i="21"/>
  <c r="I111" i="21"/>
  <c r="I133" i="21"/>
  <c r="N127" i="21"/>
  <c r="N130" i="21" s="1"/>
  <c r="K127" i="21"/>
  <c r="K130" i="21" s="1"/>
  <c r="L127" i="21"/>
  <c r="L130" i="21" s="1"/>
  <c r="E135" i="21"/>
  <c r="F134" i="21"/>
  <c r="F120" i="21"/>
  <c r="J133" i="21"/>
  <c r="J111" i="21"/>
  <c r="D127" i="21"/>
  <c r="L122" i="21"/>
  <c r="I127" i="21"/>
  <c r="I130" i="21" s="1"/>
  <c r="F69" i="21"/>
  <c r="C40" i="21"/>
  <c r="E141" i="21"/>
  <c r="E122" i="21"/>
  <c r="F64" i="21"/>
  <c r="F68" i="21"/>
  <c r="C68" i="21" s="1"/>
  <c r="F62" i="21"/>
  <c r="C62" i="21" s="1"/>
  <c r="J127" i="21"/>
  <c r="J130" i="21" s="1"/>
  <c r="G173" i="21"/>
  <c r="H171" i="21" s="1"/>
  <c r="G127" i="21"/>
  <c r="G130" i="21" s="1"/>
  <c r="K128" i="21"/>
  <c r="O107" i="21"/>
  <c r="F171" i="21"/>
  <c r="N111" i="21"/>
  <c r="N133" i="21"/>
  <c r="H122" i="21"/>
  <c r="H186" i="21"/>
  <c r="H184" i="21"/>
  <c r="H183" i="21"/>
  <c r="F172" i="21"/>
  <c r="J135" i="21" l="1"/>
  <c r="N135" i="21"/>
  <c r="N107" i="21"/>
  <c r="I135" i="21"/>
  <c r="L187" i="21"/>
  <c r="H187" i="21"/>
  <c r="N187" i="21"/>
  <c r="N144" i="21" s="1"/>
  <c r="M187" i="21"/>
  <c r="F173" i="21"/>
  <c r="K122" i="21"/>
  <c r="F122" i="21"/>
  <c r="G122" i="21"/>
  <c r="C131" i="21"/>
  <c r="D118" i="21"/>
  <c r="C116" i="21"/>
  <c r="D107" i="21"/>
  <c r="M155" i="21"/>
  <c r="D140" i="21" s="1"/>
  <c r="L155" i="21"/>
  <c r="N155" i="21"/>
  <c r="N140" i="21" s="1"/>
  <c r="F127" i="21"/>
  <c r="H170" i="21"/>
  <c r="H168" i="21"/>
  <c r="H169" i="21"/>
  <c r="C100" i="21"/>
  <c r="F128" i="21"/>
  <c r="C133" i="21"/>
  <c r="D135" i="21"/>
  <c r="C128" i="21"/>
  <c r="F129" i="21"/>
  <c r="C129" i="21" s="1"/>
  <c r="C70" i="21"/>
  <c r="D130" i="21"/>
  <c r="C111" i="21"/>
  <c r="D122" i="21"/>
  <c r="C134" i="21"/>
  <c r="N122" i="21"/>
  <c r="F141" i="21"/>
  <c r="E94" i="21"/>
  <c r="E107" i="21" s="1"/>
  <c r="J122" i="21"/>
  <c r="I122" i="21"/>
  <c r="C69" i="21"/>
  <c r="H118" i="21"/>
  <c r="C136" i="21"/>
  <c r="D120" i="21"/>
  <c r="O122" i="21"/>
  <c r="F135" i="21"/>
  <c r="F130" i="21" l="1"/>
  <c r="D144" i="21"/>
  <c r="K118" i="21"/>
  <c r="M118" i="21"/>
  <c r="O118" i="21"/>
  <c r="L118" i="21"/>
  <c r="N118" i="21"/>
  <c r="J118" i="21"/>
  <c r="C127" i="21"/>
  <c r="C130" i="21" s="1"/>
  <c r="E140" i="21"/>
  <c r="D93" i="21"/>
  <c r="G141" i="21"/>
  <c r="H173" i="21"/>
  <c r="N173" i="21"/>
  <c r="N142" i="21" s="1"/>
  <c r="L173" i="21"/>
  <c r="M173" i="21"/>
  <c r="D142" i="21" s="1"/>
  <c r="C135" i="21"/>
  <c r="O144" i="21"/>
  <c r="O112" i="21" s="1"/>
  <c r="N112" i="21"/>
  <c r="O140" i="21"/>
  <c r="O93" i="21" s="1"/>
  <c r="N93" i="21"/>
  <c r="F94" i="21"/>
  <c r="F107" i="21" s="1"/>
  <c r="C122" i="21"/>
  <c r="E142" i="21" l="1"/>
  <c r="D95" i="21"/>
  <c r="O102" i="21"/>
  <c r="E104" i="21"/>
  <c r="G104" i="21"/>
  <c r="H104" i="21"/>
  <c r="L102" i="21"/>
  <c r="M102" i="21"/>
  <c r="I104" i="21"/>
  <c r="K104" i="21"/>
  <c r="D102" i="21"/>
  <c r="J104" i="21"/>
  <c r="N102" i="21"/>
  <c r="F104" i="21"/>
  <c r="F140" i="21"/>
  <c r="E93" i="21"/>
  <c r="O142" i="21"/>
  <c r="O95" i="21" s="1"/>
  <c r="N95" i="21"/>
  <c r="N96" i="21" s="1"/>
  <c r="N106" i="21"/>
  <c r="D106" i="21"/>
  <c r="O96" i="21"/>
  <c r="O106" i="21"/>
  <c r="E102" i="21"/>
  <c r="H141" i="21"/>
  <c r="G94" i="21"/>
  <c r="G107" i="21" s="1"/>
  <c r="C99" i="21"/>
  <c r="N123" i="21"/>
  <c r="N124" i="21" s="1"/>
  <c r="N113" i="21"/>
  <c r="O123" i="21"/>
  <c r="O124" i="21" s="1"/>
  <c r="O113" i="21"/>
  <c r="I120" i="21"/>
  <c r="C117" i="21"/>
  <c r="C118" i="21" s="1"/>
  <c r="I118" i="21"/>
  <c r="I102" i="21"/>
  <c r="E144" i="21"/>
  <c r="D112" i="21"/>
  <c r="D123" i="21" l="1"/>
  <c r="D113" i="21"/>
  <c r="C119" i="21"/>
  <c r="C120" i="21" s="1"/>
  <c r="H102" i="21"/>
  <c r="O108" i="21"/>
  <c r="O109" i="21" s="1"/>
  <c r="O137" i="21" s="1"/>
  <c r="D108" i="21"/>
  <c r="C101" i="21"/>
  <c r="C102" i="21" s="1"/>
  <c r="D104" i="21"/>
  <c r="F144" i="21"/>
  <c r="E112" i="21"/>
  <c r="F102" i="21"/>
  <c r="G102" i="21"/>
  <c r="I141" i="21"/>
  <c r="H94" i="21"/>
  <c r="K102" i="21"/>
  <c r="D96" i="21"/>
  <c r="E106" i="21"/>
  <c r="F142" i="21"/>
  <c r="E95" i="21"/>
  <c r="E108" i="21" s="1"/>
  <c r="N108" i="21"/>
  <c r="N109" i="21" s="1"/>
  <c r="N137" i="21" s="1"/>
  <c r="J102" i="21"/>
  <c r="D109" i="21"/>
  <c r="G140" i="21"/>
  <c r="F93" i="21"/>
  <c r="E109" i="21" l="1"/>
  <c r="C103" i="21"/>
  <c r="C104" i="21" s="1"/>
  <c r="H140" i="21"/>
  <c r="G93" i="21"/>
  <c r="G144" i="21"/>
  <c r="F112" i="21"/>
  <c r="E123" i="21"/>
  <c r="E124" i="21" s="1"/>
  <c r="E137" i="21" s="1"/>
  <c r="E113" i="21"/>
  <c r="G142" i="21"/>
  <c r="F95" i="21"/>
  <c r="F108" i="21" s="1"/>
  <c r="H107" i="21"/>
  <c r="J141" i="21"/>
  <c r="I94" i="21"/>
  <c r="I107" i="21" s="1"/>
  <c r="D124" i="21"/>
  <c r="D137" i="21" s="1"/>
  <c r="F106" i="21"/>
  <c r="E96" i="21"/>
  <c r="F123" i="21" l="1"/>
  <c r="F113" i="21"/>
  <c r="G106" i="21"/>
  <c r="H142" i="21"/>
  <c r="G95" i="21"/>
  <c r="G108" i="21" s="1"/>
  <c r="I140" i="21"/>
  <c r="H93" i="21"/>
  <c r="F96" i="21"/>
  <c r="K141" i="21"/>
  <c r="J94" i="21"/>
  <c r="J107" i="21" s="1"/>
  <c r="H144" i="21"/>
  <c r="G112" i="21"/>
  <c r="F109" i="21"/>
  <c r="I144" i="21" l="1"/>
  <c r="H112" i="21"/>
  <c r="G109" i="21"/>
  <c r="I142" i="21"/>
  <c r="H95" i="21"/>
  <c r="H108" i="21" s="1"/>
  <c r="F124" i="21"/>
  <c r="G96" i="21"/>
  <c r="F137" i="21"/>
  <c r="H106" i="21"/>
  <c r="L141" i="21"/>
  <c r="K94" i="21"/>
  <c r="K107" i="21" s="1"/>
  <c r="G123" i="21"/>
  <c r="G124" i="21" s="1"/>
  <c r="G113" i="21"/>
  <c r="J140" i="21"/>
  <c r="I93" i="21"/>
  <c r="G137" i="21" l="1"/>
  <c r="H109" i="21"/>
  <c r="H96" i="21"/>
  <c r="J142" i="21"/>
  <c r="I95" i="21"/>
  <c r="I108" i="21" s="1"/>
  <c r="H123" i="21"/>
  <c r="H124" i="21" s="1"/>
  <c r="H137" i="21" s="1"/>
  <c r="H113" i="21"/>
  <c r="I106" i="21"/>
  <c r="K140" i="21"/>
  <c r="J93" i="21"/>
  <c r="M141" i="21"/>
  <c r="M94" i="21" s="1"/>
  <c r="L94" i="21"/>
  <c r="L107" i="21" s="1"/>
  <c r="J144" i="21"/>
  <c r="I112" i="21"/>
  <c r="J106" i="21" l="1"/>
  <c r="M107" i="21"/>
  <c r="C107" i="21" s="1"/>
  <c r="C94" i="21"/>
  <c r="I123" i="21"/>
  <c r="I124" i="21" s="1"/>
  <c r="I113" i="21"/>
  <c r="K144" i="21"/>
  <c r="J112" i="21"/>
  <c r="I109" i="21"/>
  <c r="K142" i="21"/>
  <c r="J95" i="21"/>
  <c r="J108" i="21" s="1"/>
  <c r="I96" i="21"/>
  <c r="C141" i="21"/>
  <c r="L140" i="21"/>
  <c r="K93" i="21"/>
  <c r="L142" i="21" l="1"/>
  <c r="K95" i="21"/>
  <c r="K108" i="21" s="1"/>
  <c r="J96" i="21"/>
  <c r="K106" i="21"/>
  <c r="K109" i="21" s="1"/>
  <c r="K96" i="21"/>
  <c r="I137" i="21"/>
  <c r="J123" i="21"/>
  <c r="J124" i="21" s="1"/>
  <c r="J113" i="21"/>
  <c r="J109" i="21"/>
  <c r="M140" i="21"/>
  <c r="L93" i="21"/>
  <c r="L144" i="21"/>
  <c r="K112" i="21"/>
  <c r="K123" i="21" l="1"/>
  <c r="K124" i="21" s="1"/>
  <c r="K137" i="21" s="1"/>
  <c r="K113" i="21"/>
  <c r="M93" i="21"/>
  <c r="C140" i="21"/>
  <c r="M144" i="21"/>
  <c r="M112" i="21" s="1"/>
  <c r="L112" i="21"/>
  <c r="C144" i="21"/>
  <c r="L106" i="21"/>
  <c r="L109" i="21" s="1"/>
  <c r="J137" i="21"/>
  <c r="M142" i="21"/>
  <c r="L95" i="21"/>
  <c r="L108" i="21" s="1"/>
  <c r="L96" i="21" l="1"/>
  <c r="M123" i="21"/>
  <c r="M113" i="21"/>
  <c r="C112" i="21"/>
  <c r="C113" i="21" s="1"/>
  <c r="M95" i="21"/>
  <c r="C142" i="21"/>
  <c r="M106" i="21"/>
  <c r="M96" i="21"/>
  <c r="C93" i="21"/>
  <c r="L123" i="21"/>
  <c r="L124" i="21" s="1"/>
  <c r="L137" i="21" s="1"/>
  <c r="L113" i="21"/>
  <c r="M124" i="21" l="1"/>
  <c r="C123" i="21"/>
  <c r="C124" i="21" s="1"/>
  <c r="C106" i="21"/>
  <c r="M108" i="21"/>
  <c r="C108" i="21" s="1"/>
  <c r="C95" i="21"/>
  <c r="C96" i="21" s="1"/>
  <c r="C109" i="21" l="1"/>
  <c r="M109" i="21"/>
  <c r="M137" i="21" s="1"/>
  <c r="C137" i="21" s="1"/>
  <c r="K22" i="1" l="1"/>
  <c r="I22" i="1"/>
  <c r="G22" i="1"/>
  <c r="B22" i="1"/>
  <c r="C22" i="1"/>
  <c r="O60" i="10" l="1"/>
  <c r="P60" i="10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9" i="10"/>
  <c r="P99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D8" i="1" l="1"/>
  <c r="A9" i="1" l="1"/>
  <c r="E26" i="18" l="1"/>
  <c r="C20" i="1" l="1"/>
  <c r="L20" i="1" l="1"/>
  <c r="K20" i="1"/>
  <c r="O38" i="13" l="1"/>
  <c r="F101" i="10" l="1"/>
  <c r="G101" i="10"/>
  <c r="H101" i="10"/>
  <c r="I101" i="10"/>
  <c r="J101" i="10"/>
  <c r="K101" i="10"/>
  <c r="L101" i="10"/>
  <c r="M101" i="10"/>
  <c r="N101" i="10"/>
  <c r="Q101" i="10"/>
  <c r="F102" i="10"/>
  <c r="G102" i="10"/>
  <c r="H102" i="10"/>
  <c r="I102" i="10"/>
  <c r="J102" i="10"/>
  <c r="K102" i="10"/>
  <c r="L102" i="10"/>
  <c r="M102" i="10"/>
  <c r="N102" i="10"/>
  <c r="Q102" i="10"/>
  <c r="F103" i="10"/>
  <c r="G103" i="10"/>
  <c r="H103" i="10"/>
  <c r="I103" i="10"/>
  <c r="J103" i="10"/>
  <c r="K103" i="10"/>
  <c r="L103" i="10"/>
  <c r="M103" i="10"/>
  <c r="N103" i="10"/>
  <c r="Q103" i="10"/>
  <c r="F104" i="10"/>
  <c r="G104" i="10"/>
  <c r="H104" i="10"/>
  <c r="I104" i="10"/>
  <c r="J104" i="10"/>
  <c r="K104" i="10"/>
  <c r="L104" i="10"/>
  <c r="M104" i="10"/>
  <c r="N104" i="10"/>
  <c r="Q104" i="10"/>
  <c r="F105" i="10"/>
  <c r="G105" i="10"/>
  <c r="H105" i="10"/>
  <c r="I105" i="10"/>
  <c r="J105" i="10"/>
  <c r="K105" i="10"/>
  <c r="L105" i="10"/>
  <c r="M105" i="10"/>
  <c r="N105" i="10"/>
  <c r="Q105" i="10"/>
  <c r="F106" i="10"/>
  <c r="G106" i="10"/>
  <c r="H106" i="10"/>
  <c r="I106" i="10"/>
  <c r="J106" i="10"/>
  <c r="K106" i="10"/>
  <c r="L106" i="10"/>
  <c r="M106" i="10"/>
  <c r="N106" i="10"/>
  <c r="Q106" i="10"/>
  <c r="F107" i="10"/>
  <c r="G107" i="10"/>
  <c r="H107" i="10"/>
  <c r="I107" i="10"/>
  <c r="J107" i="10"/>
  <c r="K107" i="10"/>
  <c r="L107" i="10"/>
  <c r="M107" i="10"/>
  <c r="N107" i="10"/>
  <c r="Q107" i="10"/>
  <c r="F108" i="10"/>
  <c r="G108" i="10"/>
  <c r="H108" i="10"/>
  <c r="I108" i="10"/>
  <c r="J108" i="10"/>
  <c r="K108" i="10"/>
  <c r="L108" i="10"/>
  <c r="M108" i="10"/>
  <c r="N108" i="10"/>
  <c r="Q108" i="10"/>
  <c r="F109" i="10"/>
  <c r="G109" i="10"/>
  <c r="H109" i="10"/>
  <c r="I109" i="10"/>
  <c r="J109" i="10"/>
  <c r="K109" i="10"/>
  <c r="L109" i="10"/>
  <c r="M109" i="10"/>
  <c r="N109" i="10"/>
  <c r="Q109" i="10"/>
  <c r="F110" i="10"/>
  <c r="G110" i="10"/>
  <c r="H110" i="10"/>
  <c r="I110" i="10"/>
  <c r="J110" i="10"/>
  <c r="K110" i="10"/>
  <c r="L110" i="10"/>
  <c r="M110" i="10"/>
  <c r="N110" i="10"/>
  <c r="Q110" i="10"/>
  <c r="F111" i="10"/>
  <c r="G111" i="10"/>
  <c r="H111" i="10"/>
  <c r="I111" i="10"/>
  <c r="J111" i="10"/>
  <c r="K111" i="10"/>
  <c r="L111" i="10"/>
  <c r="M111" i="10"/>
  <c r="N111" i="10"/>
  <c r="Q111" i="10"/>
  <c r="F112" i="10"/>
  <c r="G112" i="10"/>
  <c r="H112" i="10"/>
  <c r="I112" i="10"/>
  <c r="J112" i="10"/>
  <c r="K112" i="10"/>
  <c r="L112" i="10"/>
  <c r="M112" i="10"/>
  <c r="N112" i="10"/>
  <c r="Q112" i="10"/>
  <c r="F113" i="10"/>
  <c r="G113" i="10"/>
  <c r="H113" i="10"/>
  <c r="I113" i="10"/>
  <c r="J113" i="10"/>
  <c r="K113" i="10"/>
  <c r="L113" i="10"/>
  <c r="M113" i="10"/>
  <c r="N113" i="10"/>
  <c r="Q113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Q100" i="10"/>
  <c r="N100" i="10"/>
  <c r="M100" i="10"/>
  <c r="L100" i="10"/>
  <c r="K100" i="10"/>
  <c r="J100" i="10"/>
  <c r="I100" i="10"/>
  <c r="H100" i="10"/>
  <c r="G100" i="10"/>
  <c r="F100" i="10"/>
  <c r="F77" i="10"/>
  <c r="G77" i="10"/>
  <c r="H77" i="10"/>
  <c r="I77" i="10"/>
  <c r="J77" i="10"/>
  <c r="K77" i="10"/>
  <c r="L77" i="10"/>
  <c r="M77" i="10"/>
  <c r="N77" i="10"/>
  <c r="Q77" i="10"/>
  <c r="F78" i="10"/>
  <c r="G78" i="10"/>
  <c r="H78" i="10"/>
  <c r="I78" i="10"/>
  <c r="J78" i="10"/>
  <c r="K78" i="10"/>
  <c r="L78" i="10"/>
  <c r="M78" i="10"/>
  <c r="N78" i="10"/>
  <c r="Q78" i="10"/>
  <c r="F79" i="10"/>
  <c r="G79" i="10"/>
  <c r="H79" i="10"/>
  <c r="I79" i="10"/>
  <c r="J79" i="10"/>
  <c r="K79" i="10"/>
  <c r="L79" i="10"/>
  <c r="M79" i="10"/>
  <c r="N79" i="10"/>
  <c r="Q79" i="10"/>
  <c r="F80" i="10"/>
  <c r="G80" i="10"/>
  <c r="H80" i="10"/>
  <c r="I80" i="10"/>
  <c r="J80" i="10"/>
  <c r="K80" i="10"/>
  <c r="L80" i="10"/>
  <c r="M80" i="10"/>
  <c r="N80" i="10"/>
  <c r="Q80" i="10"/>
  <c r="F81" i="10"/>
  <c r="G81" i="10"/>
  <c r="H81" i="10"/>
  <c r="I81" i="10"/>
  <c r="J81" i="10"/>
  <c r="K81" i="10"/>
  <c r="L81" i="10"/>
  <c r="M81" i="10"/>
  <c r="N81" i="10"/>
  <c r="Q81" i="10"/>
  <c r="F82" i="10"/>
  <c r="G82" i="10"/>
  <c r="H82" i="10"/>
  <c r="I82" i="10"/>
  <c r="J82" i="10"/>
  <c r="K82" i="10"/>
  <c r="L82" i="10"/>
  <c r="M82" i="10"/>
  <c r="N82" i="10"/>
  <c r="Q82" i="10"/>
  <c r="F83" i="10"/>
  <c r="G83" i="10"/>
  <c r="H83" i="10"/>
  <c r="I83" i="10"/>
  <c r="J83" i="10"/>
  <c r="K83" i="10"/>
  <c r="L83" i="10"/>
  <c r="M83" i="10"/>
  <c r="N83" i="10"/>
  <c r="Q83" i="10"/>
  <c r="F84" i="10"/>
  <c r="G84" i="10"/>
  <c r="H84" i="10"/>
  <c r="I84" i="10"/>
  <c r="J84" i="10"/>
  <c r="K84" i="10"/>
  <c r="L84" i="10"/>
  <c r="M84" i="10"/>
  <c r="N84" i="10"/>
  <c r="Q84" i="10"/>
  <c r="F85" i="10"/>
  <c r="G85" i="10"/>
  <c r="H85" i="10"/>
  <c r="I85" i="10"/>
  <c r="J85" i="10"/>
  <c r="K85" i="10"/>
  <c r="L85" i="10"/>
  <c r="M85" i="10"/>
  <c r="N85" i="10"/>
  <c r="Q85" i="10"/>
  <c r="F86" i="10"/>
  <c r="G86" i="10"/>
  <c r="H86" i="10"/>
  <c r="I86" i="10"/>
  <c r="J86" i="10"/>
  <c r="K86" i="10"/>
  <c r="L86" i="10"/>
  <c r="M86" i="10"/>
  <c r="N86" i="10"/>
  <c r="Q86" i="10"/>
  <c r="F87" i="10"/>
  <c r="G87" i="10"/>
  <c r="H87" i="10"/>
  <c r="I87" i="10"/>
  <c r="J87" i="10"/>
  <c r="K87" i="10"/>
  <c r="L87" i="10"/>
  <c r="M87" i="10"/>
  <c r="N87" i="10"/>
  <c r="Q87" i="10"/>
  <c r="F88" i="10"/>
  <c r="G88" i="10"/>
  <c r="H88" i="10"/>
  <c r="I88" i="10"/>
  <c r="J88" i="10"/>
  <c r="K88" i="10"/>
  <c r="L88" i="10"/>
  <c r="M88" i="10"/>
  <c r="N88" i="10"/>
  <c r="Q88" i="10"/>
  <c r="F89" i="10"/>
  <c r="G89" i="10"/>
  <c r="H89" i="10"/>
  <c r="I89" i="10"/>
  <c r="J89" i="10"/>
  <c r="K89" i="10"/>
  <c r="L89" i="10"/>
  <c r="M89" i="10"/>
  <c r="N89" i="10"/>
  <c r="Q89" i="10"/>
  <c r="F90" i="10"/>
  <c r="G90" i="10"/>
  <c r="H90" i="10"/>
  <c r="I90" i="10"/>
  <c r="J90" i="10"/>
  <c r="K90" i="10"/>
  <c r="L90" i="10"/>
  <c r="M90" i="10"/>
  <c r="N90" i="10"/>
  <c r="Q90" i="10"/>
  <c r="F91" i="10"/>
  <c r="G91" i="10"/>
  <c r="H91" i="10"/>
  <c r="I91" i="10"/>
  <c r="J91" i="10"/>
  <c r="K91" i="10"/>
  <c r="L91" i="10"/>
  <c r="M91" i="10"/>
  <c r="N91" i="10"/>
  <c r="Q91" i="10"/>
  <c r="F92" i="10"/>
  <c r="G92" i="10"/>
  <c r="H92" i="10"/>
  <c r="I92" i="10"/>
  <c r="J92" i="10"/>
  <c r="K92" i="10"/>
  <c r="L92" i="10"/>
  <c r="M92" i="10"/>
  <c r="N92" i="10"/>
  <c r="Q92" i="10"/>
  <c r="F93" i="10"/>
  <c r="G93" i="10"/>
  <c r="H93" i="10"/>
  <c r="I93" i="10"/>
  <c r="J93" i="10"/>
  <c r="K93" i="10"/>
  <c r="L93" i="10"/>
  <c r="M93" i="10"/>
  <c r="N93" i="10"/>
  <c r="Q93" i="10"/>
  <c r="G61" i="10"/>
  <c r="H61" i="10"/>
  <c r="I61" i="10"/>
  <c r="J61" i="10"/>
  <c r="K61" i="10"/>
  <c r="L61" i="10"/>
  <c r="M61" i="10"/>
  <c r="N61" i="10"/>
  <c r="Q61" i="10"/>
  <c r="G62" i="10"/>
  <c r="H62" i="10"/>
  <c r="I62" i="10"/>
  <c r="J62" i="10"/>
  <c r="K62" i="10"/>
  <c r="L62" i="10"/>
  <c r="M62" i="10"/>
  <c r="N62" i="10"/>
  <c r="Q62" i="10"/>
  <c r="G63" i="10"/>
  <c r="H63" i="10"/>
  <c r="I63" i="10"/>
  <c r="J63" i="10"/>
  <c r="K63" i="10"/>
  <c r="L63" i="10"/>
  <c r="M63" i="10"/>
  <c r="N63" i="10"/>
  <c r="Q63" i="10"/>
  <c r="G64" i="10"/>
  <c r="H64" i="10"/>
  <c r="I64" i="10"/>
  <c r="J64" i="10"/>
  <c r="K64" i="10"/>
  <c r="L64" i="10"/>
  <c r="M64" i="10"/>
  <c r="N64" i="10"/>
  <c r="Q64" i="10"/>
  <c r="G65" i="10"/>
  <c r="H65" i="10"/>
  <c r="I65" i="10"/>
  <c r="J65" i="10"/>
  <c r="K65" i="10"/>
  <c r="L65" i="10"/>
  <c r="M65" i="10"/>
  <c r="N65" i="10"/>
  <c r="Q65" i="10"/>
  <c r="G66" i="10"/>
  <c r="H66" i="10"/>
  <c r="I66" i="10"/>
  <c r="J66" i="10"/>
  <c r="K66" i="10"/>
  <c r="L66" i="10"/>
  <c r="M66" i="10"/>
  <c r="N66" i="10"/>
  <c r="Q66" i="10"/>
  <c r="G67" i="10"/>
  <c r="H67" i="10"/>
  <c r="I67" i="10"/>
  <c r="J67" i="10"/>
  <c r="K67" i="10"/>
  <c r="L67" i="10"/>
  <c r="M67" i="10"/>
  <c r="N67" i="10"/>
  <c r="Q67" i="10"/>
  <c r="G68" i="10"/>
  <c r="H68" i="10"/>
  <c r="I68" i="10"/>
  <c r="J68" i="10"/>
  <c r="K68" i="10"/>
  <c r="L68" i="10"/>
  <c r="M68" i="10"/>
  <c r="N68" i="10"/>
  <c r="Q68" i="10"/>
  <c r="G69" i="10"/>
  <c r="H69" i="10"/>
  <c r="I69" i="10"/>
  <c r="J69" i="10"/>
  <c r="K69" i="10"/>
  <c r="L69" i="10"/>
  <c r="M69" i="10"/>
  <c r="N69" i="10"/>
  <c r="Q69" i="10"/>
  <c r="G70" i="10"/>
  <c r="H70" i="10"/>
  <c r="I70" i="10"/>
  <c r="J70" i="10"/>
  <c r="K70" i="10"/>
  <c r="L70" i="10"/>
  <c r="M70" i="10"/>
  <c r="N70" i="10"/>
  <c r="Q70" i="10"/>
  <c r="G71" i="10"/>
  <c r="H71" i="10"/>
  <c r="I71" i="10"/>
  <c r="J71" i="10"/>
  <c r="K71" i="10"/>
  <c r="L71" i="10"/>
  <c r="M71" i="10"/>
  <c r="N71" i="10"/>
  <c r="Q71" i="10"/>
  <c r="G72" i="10"/>
  <c r="H72" i="10"/>
  <c r="I72" i="10"/>
  <c r="J72" i="10"/>
  <c r="K72" i="10"/>
  <c r="L72" i="10"/>
  <c r="M72" i="10"/>
  <c r="N72" i="10"/>
  <c r="Q72" i="10"/>
  <c r="G73" i="10"/>
  <c r="H73" i="10"/>
  <c r="I73" i="10"/>
  <c r="J73" i="10"/>
  <c r="K73" i="10"/>
  <c r="L73" i="10"/>
  <c r="M73" i="10"/>
  <c r="N73" i="10"/>
  <c r="Q73" i="10"/>
  <c r="G74" i="10"/>
  <c r="H74" i="10"/>
  <c r="I74" i="10"/>
  <c r="J74" i="10"/>
  <c r="K74" i="10"/>
  <c r="L74" i="10"/>
  <c r="M74" i="10"/>
  <c r="N74" i="10"/>
  <c r="Q74" i="10"/>
  <c r="G75" i="10"/>
  <c r="H75" i="10"/>
  <c r="I75" i="10"/>
  <c r="J75" i="10"/>
  <c r="K75" i="10"/>
  <c r="L75" i="10"/>
  <c r="M75" i="10"/>
  <c r="N75" i="10"/>
  <c r="Q75" i="10"/>
  <c r="G76" i="10"/>
  <c r="H76" i="10"/>
  <c r="I76" i="10"/>
  <c r="J76" i="10"/>
  <c r="K76" i="10"/>
  <c r="L76" i="10"/>
  <c r="M76" i="10"/>
  <c r="N76" i="10"/>
  <c r="Q76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61" i="10"/>
  <c r="G99" i="10"/>
  <c r="H99" i="10"/>
  <c r="I99" i="10"/>
  <c r="J99" i="10"/>
  <c r="K99" i="10"/>
  <c r="L99" i="10"/>
  <c r="M99" i="10"/>
  <c r="N99" i="10"/>
  <c r="Q99" i="10"/>
  <c r="F99" i="10"/>
  <c r="G60" i="10"/>
  <c r="H60" i="10"/>
  <c r="I60" i="10"/>
  <c r="J60" i="10"/>
  <c r="K60" i="10"/>
  <c r="L60" i="10"/>
  <c r="M60" i="10"/>
  <c r="N60" i="10"/>
  <c r="Q60" i="10"/>
  <c r="F60" i="10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J20" i="1"/>
  <c r="I20" i="1"/>
  <c r="D9" i="1"/>
  <c r="D10" i="1"/>
  <c r="D11" i="1"/>
  <c r="D12" i="1"/>
  <c r="D13" i="1"/>
  <c r="D14" i="1"/>
  <c r="D15" i="1"/>
  <c r="D16" i="1"/>
  <c r="D17" i="1"/>
  <c r="D18" i="1"/>
  <c r="D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H20" i="1"/>
  <c r="G9" i="1"/>
  <c r="G20" i="1" s="1"/>
  <c r="B20" i="1"/>
  <c r="D22" i="1" l="1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D20" i="1"/>
  <c r="O36" i="13"/>
  <c r="O44" i="13" l="1"/>
  <c r="O40" i="13"/>
  <c r="E20" i="18" l="1"/>
  <c r="E31" i="18" l="1"/>
  <c r="E32" i="18" s="1"/>
  <c r="E34" i="18"/>
  <c r="E39" i="18"/>
  <c r="E43" i="18" s="1"/>
  <c r="E13" i="18"/>
  <c r="E44" i="18" l="1"/>
  <c r="E46" i="18" s="1"/>
</calcChain>
</file>

<file path=xl/sharedStrings.xml><?xml version="1.0" encoding="utf-8"?>
<sst xmlns="http://schemas.openxmlformats.org/spreadsheetml/2006/main" count="585" uniqueCount="369">
  <si>
    <t>1961-1990</t>
  </si>
  <si>
    <t>NORMAL</t>
  </si>
  <si>
    <t>ACTUAL</t>
  </si>
  <si>
    <t>DDH</t>
  </si>
  <si>
    <t xml:space="preserve">CALENDAR    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</si>
  <si>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</si>
  <si>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</si>
  <si>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</si>
  <si>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</si>
  <si>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</si>
  <si>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</si>
  <si>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</si>
  <si>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</si>
  <si>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</si>
  <si>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</si>
  <si>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</si>
  <si>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</si>
  <si>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</si>
  <si>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</si>
  <si>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</si>
  <si>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</si>
  <si>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</si>
  <si>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</si>
  <si>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No of Cust</t>
  </si>
  <si>
    <t xml:space="preserve">     Usage/DDH</t>
  </si>
  <si>
    <t>NORM - ACT</t>
  </si>
  <si>
    <t>WA subtotal</t>
  </si>
  <si>
    <t>ID subtotal</t>
  </si>
  <si>
    <t>WA Res Sched 101</t>
  </si>
  <si>
    <t>WA Com Sched 101</t>
  </si>
  <si>
    <t>WA Ind Sched 101</t>
  </si>
  <si>
    <t>WA Res Sched 111</t>
  </si>
  <si>
    <t>WA Com Sched 111</t>
  </si>
  <si>
    <t>WA Ind Sched 111</t>
  </si>
  <si>
    <t>WA Com Sched 121</t>
  </si>
  <si>
    <t>ID Com Sched 101</t>
  </si>
  <si>
    <t>ID Ind Sched 101</t>
  </si>
  <si>
    <t>ID Res Sched 111</t>
  </si>
  <si>
    <t>ID Com Sched 111</t>
  </si>
  <si>
    <t>ID Ind Sched 111</t>
  </si>
  <si>
    <t>ID Res Sched 101</t>
  </si>
  <si>
    <t>Summarize by Schedule</t>
  </si>
  <si>
    <t>WA 101</t>
  </si>
  <si>
    <t>WA 111</t>
  </si>
  <si>
    <t>WA 121</t>
  </si>
  <si>
    <t>ID 101</t>
  </si>
  <si>
    <t>ID 111</t>
  </si>
  <si>
    <t>Effective WACOG by Month</t>
  </si>
  <si>
    <t>Weather Adjustment Revenue</t>
  </si>
  <si>
    <t>Adj</t>
  </si>
  <si>
    <t>Dependent</t>
  </si>
  <si>
    <t>Usage/Cust</t>
  </si>
  <si>
    <t>Variable</t>
  </si>
  <si>
    <t>Base Load</t>
  </si>
  <si>
    <t xml:space="preserve">Washington Gas 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</si>
  <si>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</si>
  <si>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</si>
  <si>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</si>
  <si>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</si>
  <si>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</si>
  <si>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</si>
  <si>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</si>
  <si>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</si>
  <si>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 xml:space="preserve">Idaho Gas 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</si>
  <si>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</si>
  <si>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</si>
  <si>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</si>
  <si>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</si>
  <si>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</si>
  <si>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</si>
  <si>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</si>
  <si>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</si>
  <si>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</si>
  <si>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</si>
  <si>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</si>
  <si>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</si>
  <si>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</si>
  <si>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</si>
  <si>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</si>
  <si>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</si>
  <si>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</si>
  <si>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T = Total Schedule</t>
  </si>
  <si>
    <t>Heating</t>
  </si>
  <si>
    <t>WR1</t>
  </si>
  <si>
    <t>WR11</t>
  </si>
  <si>
    <t>WC11</t>
  </si>
  <si>
    <t>WI11</t>
  </si>
  <si>
    <t>WT11</t>
  </si>
  <si>
    <t>WR21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</si>
  <si>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</si>
  <si>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</si>
  <si>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</si>
  <si>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</si>
  <si>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</si>
  <si>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</si>
  <si>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</si>
  <si>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</si>
  <si>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</si>
  <si>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</si>
  <si>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</si>
  <si>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</si>
  <si>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ID</t>
  </si>
  <si>
    <t>01</t>
  </si>
  <si>
    <t>21</t>
  </si>
  <si>
    <t>80</t>
  </si>
  <si>
    <t>31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</si>
  <si>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</si>
  <si>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</si>
  <si>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</si>
  <si>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</si>
  <si>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</si>
  <si>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</si>
  <si>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</si>
  <si>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</si>
  <si>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</si>
  <si>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</si>
  <si>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</si>
  <si>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</si>
  <si>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</si>
  <si>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</si>
  <si>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</si>
  <si>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</si>
  <si>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</si>
  <si>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</si>
  <si>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</si>
  <si>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</si>
  <si>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</si>
  <si>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</si>
  <si>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</si>
  <si>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</si>
  <si>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</si>
  <si>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</si>
  <si>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</si>
  <si>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</si>
  <si>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</si>
  <si>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</si>
  <si>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</si>
  <si>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</si>
  <si>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</si>
  <si>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</si>
  <si>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</si>
  <si>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</si>
  <si>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</si>
  <si>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</si>
  <si>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</si>
  <si>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</si>
  <si>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</si>
  <si>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</si>
  <si>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</si>
  <si>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</si>
  <si>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</si>
  <si>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</si>
  <si>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</si>
  <si>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</si>
  <si>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</si>
  <si>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</si>
  <si>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</si>
  <si>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</si>
  <si>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</si>
  <si>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</si>
  <si>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Winter Mo</t>
  </si>
  <si>
    <t>Durbin Watson</t>
  </si>
  <si>
    <t>Shoulder Mo</t>
  </si>
  <si>
    <t>Test Result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</si>
  <si>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</si>
  <si>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</si>
  <si>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</si>
  <si>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</si>
  <si>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</si>
  <si>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</si>
  <si>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</si>
  <si>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</si>
  <si>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</si>
  <si>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</si>
  <si>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</si>
  <si>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</si>
  <si>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</si>
  <si>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</si>
  <si>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</si>
  <si>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</si>
  <si>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</si>
  <si>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</si>
  <si>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</si>
  <si>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</si>
  <si>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</si>
  <si>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</si>
  <si>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</si>
  <si>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</si>
  <si>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</si>
  <si>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</si>
  <si>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</si>
  <si>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</si>
  <si>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</si>
  <si>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</si>
  <si>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</si>
  <si>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</si>
  <si>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</si>
  <si>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</si>
  <si>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</si>
  <si>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</si>
  <si>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</si>
  <si>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</si>
  <si>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</si>
  <si>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</si>
  <si>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</si>
  <si>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</si>
  <si>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</si>
  <si>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</si>
  <si>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</si>
  <si>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</si>
  <si>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</si>
  <si>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</si>
  <si>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</si>
  <si>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</si>
  <si>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</si>
  <si>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</si>
  <si>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</si>
  <si>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</si>
  <si>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</si>
  <si>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</si>
  <si>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</si>
  <si>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</si>
  <si>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</si>
  <si>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</si>
  <si>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</si>
  <si>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</si>
  <si>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</si>
  <si>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</si>
  <si>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</si>
  <si>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</si>
  <si>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</si>
  <si>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</si>
  <si>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</si>
  <si>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Heating Degree Day History</t>
  </si>
  <si>
    <t xml:space="preserve"> 30 Year vs NOAA Change</t>
  </si>
  <si>
    <t>30 YEAR AVG</t>
  </si>
  <si>
    <t>2008 - 2009</t>
  </si>
  <si>
    <t>Meters</t>
  </si>
  <si>
    <t>Corrected with AR(1)</t>
  </si>
  <si>
    <t>Corrected with AR(1),(2)</t>
  </si>
  <si>
    <t>WS weighted block Effective Rate by Month (Excluding prior deferral amortization Sch 155, decoupling surcharge Sch 159, and public purpose tariff rider Sch 191)</t>
  </si>
  <si>
    <t xml:space="preserve">    Total Revenue Adjustment</t>
  </si>
  <si>
    <t xml:space="preserve">    Total Gas Cost Adjustment</t>
  </si>
  <si>
    <t>Weighted Block Rate Calculation</t>
  </si>
  <si>
    <t>WA Schedule 111</t>
  </si>
  <si>
    <t>Baseload Usage</t>
  </si>
  <si>
    <t>Percentage</t>
  </si>
  <si>
    <t>WS Usage</t>
  </si>
  <si>
    <t>Block 1</t>
  </si>
  <si>
    <t>Block 2</t>
  </si>
  <si>
    <t>Block 3</t>
  </si>
  <si>
    <t>WA Schedule 121</t>
  </si>
  <si>
    <t>Block 4</t>
  </si>
  <si>
    <t>Block 5</t>
  </si>
  <si>
    <t>ID Schedule 111</t>
  </si>
  <si>
    <t xml:space="preserve">     Total WA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</si>
  <si>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</si>
  <si>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</si>
  <si>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</si>
  <si>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Margin</t>
  </si>
  <si>
    <t>1981-2010</t>
  </si>
  <si>
    <t>Heating Season Adjustment</t>
  </si>
  <si>
    <t>2011 - 2012</t>
  </si>
  <si>
    <t>2009 - 2010</t>
  </si>
  <si>
    <t>WA Schedule 101</t>
  </si>
  <si>
    <t>2012 - 2013</t>
  </si>
  <si>
    <t>ID Schedule 101</t>
  </si>
  <si>
    <t>Gas Cost Rev</t>
  </si>
  <si>
    <t>all therms</t>
  </si>
  <si>
    <t>2013 - 2014</t>
  </si>
  <si>
    <t>Weather Adjustment Gas Cost Expense</t>
  </si>
  <si>
    <t>Gas Cost Exp</t>
  </si>
  <si>
    <t>Avista Utilities</t>
  </si>
  <si>
    <t>Line No.</t>
  </si>
  <si>
    <t>DESCRIPTION</t>
  </si>
  <si>
    <t>Conversion Factor</t>
  </si>
  <si>
    <t>Depreciation/Amortization</t>
  </si>
  <si>
    <t>Weather Normalization Adjustment</t>
  </si>
  <si>
    <t>Washington Natural Gas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</si>
  <si>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</si>
  <si>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</si>
  <si>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</si>
  <si>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</si>
  <si>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</si>
  <si>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</si>
  <si>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</si>
  <si>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</si>
  <si>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</si>
  <si>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</si>
  <si>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</si>
  <si>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</si>
  <si>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</si>
  <si>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</si>
  <si>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</si>
  <si>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</si>
  <si>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</si>
  <si>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</si>
  <si>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</si>
  <si>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</si>
  <si>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</si>
  <si>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</si>
  <si>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</si>
  <si>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</si>
  <si>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</si>
  <si>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</si>
  <si>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$000's</t>
  </si>
  <si>
    <t>Decoupling Revenue Offset</t>
  </si>
  <si>
    <t>Revenue not captured in Decoupling</t>
  </si>
  <si>
    <t>2014 - 2015</t>
  </si>
  <si>
    <t>GTI Gas Expense Adjustment</t>
  </si>
  <si>
    <t>GTI Exp Rate</t>
  </si>
  <si>
    <t>0102</t>
  </si>
  <si>
    <t>Total for 0102</t>
  </si>
  <si>
    <t>2015 - 2016</t>
  </si>
  <si>
    <t xml:space="preserve">    Total ID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</si>
  <si>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</si>
  <si>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</si>
  <si>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</si>
  <si>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</si>
  <si>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</si>
  <si>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</si>
  <si>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</si>
  <si>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</si>
  <si>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</si>
  <si>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</si>
  <si>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</si>
  <si>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</si>
  <si>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</si>
  <si>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</si>
  <si>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</si>
  <si>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</si>
  <si>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</si>
  <si>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</si>
  <si>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</si>
  <si>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</si>
  <si>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</si>
  <si>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Decoupling Mechanism revenue conversion factor</t>
  </si>
  <si>
    <t>FCA Revenue Offset</t>
  </si>
  <si>
    <t>Decoupling Adjustment</t>
  </si>
  <si>
    <t>Revenue Related Expenses</t>
  </si>
  <si>
    <t>FCA Adjustment</t>
  </si>
  <si>
    <t>Fixed Cost Adjustment Mechanism revenue conversion factor</t>
  </si>
  <si>
    <t>2016 - 2017</t>
  </si>
  <si>
    <t>DDH Adjustment to Normal</t>
  </si>
  <si>
    <t>2017 - 2018</t>
  </si>
  <si>
    <t>17 GRC Block Usage, Bills, &amp; Baseload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</si>
  <si>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</si>
  <si>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</si>
  <si>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</si>
  <si>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</si>
  <si>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</si>
  <si>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</si>
  <si>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201907</t>
  </si>
  <si>
    <t>201908</t>
  </si>
  <si>
    <t>Twelve Months Ended December 31, 2019</t>
  </si>
  <si>
    <t>201909</t>
  </si>
  <si>
    <t>201910</t>
  </si>
  <si>
    <t>201911</t>
  </si>
  <si>
    <t>201912</t>
  </si>
  <si>
    <t>1990- 2019</t>
  </si>
  <si>
    <t>2018 - 2019</t>
  </si>
  <si>
    <t>1990 - 2019 30-Year Average</t>
  </si>
  <si>
    <t>Weather Sensitivity Regression Summary for January 2009 through 2018</t>
  </si>
  <si>
    <t>Summer Mo</t>
  </si>
  <si>
    <t>2018 Low</t>
  </si>
  <si>
    <t>Jul, Aug, Sep</t>
  </si>
  <si>
    <t>Corrected with AR(1),(2),(3)</t>
  </si>
  <si>
    <t>combined with 111</t>
  </si>
  <si>
    <t>Corrected with AR(1),(3)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</si>
</sst>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mmm\ \-\ yy"/>
    <numFmt numFmtId="169" formatCode="#,##0.0000"/>
    <numFmt numFmtId="170" formatCode="_(* #,##0_);_(* \(#,##0\);_(* &quot;-&quot;??_);_(@_)"/>
    <numFmt numFmtId="171" formatCode="#,##0.00000"/>
    <numFmt numFmtId="172" formatCode="_(&quot;$&quot;* #,##0_);_(&quot;$&quot;* \(#,##0\);_(&quot;$&quot;* &quot;-&quot;??_);_(@_)"/>
    <numFmt numFmtId="173" formatCode="_(* #,##0.000000_);_(* \(#,##0.000000\);_(* &quot;-&quot;??_);_(@_)"/>
    <numFmt numFmtId="174" formatCode="#,##0.000000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10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2">
    <xf numFmtId="0" fontId="0" fillId="0" borderId="0"/>
    <xf numFmtId="4" fontId="2" fillId="0" borderId="0" applyFont="0" applyFill="0" applyBorder="0" applyAlignment="0" applyProtection="0"/>
    <xf numFmtId="0" fontId="10" fillId="0" borderId="0"/>
    <xf numFmtId="0" fontId="6" fillId="0" borderId="0"/>
    <xf numFmtId="0" fontId="2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27" fillId="0" borderId="0"/>
  </cellStyleXfs>
  <cellXfs count="224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0" fontId="6" fillId="0" borderId="0" xfId="3" applyAlignment="1">
      <alignment horizontal="center"/>
    </xf>
    <xf numFmtId="0" fontId="6" fillId="0" borderId="0" xfId="3"/>
    <xf numFmtId="3" fontId="6" fillId="0" borderId="0" xfId="3" applyNumberFormat="1"/>
    <xf numFmtId="3" fontId="12" fillId="0" borderId="0" xfId="2" applyNumberFormat="1" applyFont="1" applyAlignment="1">
      <alignment horizontal="center"/>
    </xf>
    <xf numFmtId="1" fontId="6" fillId="0" borderId="0" xfId="3" applyNumberFormat="1"/>
    <xf numFmtId="0" fontId="0" fillId="0" borderId="0" xfId="0" applyFill="1"/>
    <xf numFmtId="0" fontId="14" fillId="0" borderId="5" xfId="0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top"/>
    </xf>
    <xf numFmtId="0" fontId="14" fillId="0" borderId="13" xfId="0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right" vertical="top"/>
    </xf>
    <xf numFmtId="0" fontId="16" fillId="0" borderId="0" xfId="0" applyFont="1" applyFill="1"/>
    <xf numFmtId="0" fontId="16" fillId="0" borderId="0" xfId="0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2" applyNumberFormat="1" applyFont="1" applyAlignment="1">
      <alignment horizontal="center"/>
    </xf>
    <xf numFmtId="3" fontId="18" fillId="0" borderId="0" xfId="3" applyNumberFormat="1" applyFont="1"/>
    <xf numFmtId="0" fontId="18" fillId="0" borderId="0" xfId="3" applyFont="1" applyAlignment="1">
      <alignment horizontal="right"/>
    </xf>
    <xf numFmtId="3" fontId="18" fillId="0" borderId="0" xfId="3" applyNumberFormat="1" applyFont="1" applyAlignment="1">
      <alignment horizontal="center"/>
    </xf>
    <xf numFmtId="0" fontId="18" fillId="0" borderId="0" xfId="3" applyFont="1" applyBorder="1" applyAlignment="1">
      <alignment horizontal="right"/>
    </xf>
    <xf numFmtId="3" fontId="18" fillId="0" borderId="0" xfId="3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/>
    <xf numFmtId="3" fontId="3" fillId="0" borderId="0" xfId="1" applyNumberFormat="1" applyFont="1"/>
    <xf numFmtId="166" fontId="5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7" fillId="0" borderId="0" xfId="0" applyNumberFormat="1" applyFont="1" applyBorder="1"/>
    <xf numFmtId="14" fontId="3" fillId="0" borderId="0" xfId="0" applyNumberFormat="1" applyFont="1" applyAlignment="1">
      <alignment horizontal="right"/>
    </xf>
    <xf numFmtId="166" fontId="3" fillId="0" borderId="0" xfId="0" applyNumberFormat="1" applyFont="1"/>
    <xf numFmtId="171" fontId="7" fillId="0" borderId="0" xfId="1" applyNumberFormat="1" applyFont="1"/>
    <xf numFmtId="166" fontId="7" fillId="0" borderId="0" xfId="0" applyNumberFormat="1" applyFont="1"/>
    <xf numFmtId="0" fontId="7" fillId="0" borderId="0" xfId="0" applyFont="1"/>
    <xf numFmtId="165" fontId="3" fillId="0" borderId="0" xfId="0" applyNumberFormat="1" applyFont="1"/>
    <xf numFmtId="169" fontId="3" fillId="0" borderId="0" xfId="1" applyNumberFormat="1" applyFont="1"/>
    <xf numFmtId="166" fontId="19" fillId="0" borderId="0" xfId="0" applyNumberFormat="1" applyFont="1" applyFill="1"/>
    <xf numFmtId="0" fontId="20" fillId="0" borderId="0" xfId="0" applyFont="1" applyFill="1"/>
    <xf numFmtId="3" fontId="7" fillId="0" borderId="0" xfId="1" applyNumberFormat="1" applyFont="1" applyBorder="1"/>
    <xf numFmtId="0" fontId="19" fillId="0" borderId="0" xfId="0" applyFont="1"/>
    <xf numFmtId="166" fontId="19" fillId="0" borderId="0" xfId="0" applyNumberFormat="1" applyFont="1"/>
    <xf numFmtId="0" fontId="3" fillId="0" borderId="0" xfId="0" applyFont="1" applyBorder="1"/>
    <xf numFmtId="0" fontId="3" fillId="0" borderId="2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167" fontId="3" fillId="0" borderId="0" xfId="4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22" fillId="0" borderId="0" xfId="3" applyFont="1" applyAlignment="1">
      <alignment horizontal="right"/>
    </xf>
    <xf numFmtId="3" fontId="22" fillId="0" borderId="0" xfId="3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8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1" fontId="3" fillId="0" borderId="0" xfId="0" applyNumberFormat="1" applyFont="1" applyProtection="1">
      <protection locked="0"/>
    </xf>
    <xf numFmtId="0" fontId="7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3" fontId="3" fillId="0" borderId="0" xfId="4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5" fontId="3" fillId="0" borderId="0" xfId="1" applyNumberFormat="1" applyFont="1"/>
    <xf numFmtId="5" fontId="3" fillId="0" borderId="1" xfId="1" applyNumberFormat="1" applyFont="1" applyBorder="1"/>
    <xf numFmtId="167" fontId="3" fillId="0" borderId="2" xfId="4" applyNumberFormat="1" applyFont="1" applyBorder="1" applyAlignment="1">
      <alignment vertical="center"/>
    </xf>
    <xf numFmtId="3" fontId="3" fillId="0" borderId="2" xfId="4" applyNumberFormat="1" applyFont="1" applyBorder="1" applyAlignment="1">
      <alignment vertical="center"/>
    </xf>
    <xf numFmtId="167" fontId="3" fillId="0" borderId="3" xfId="4" applyNumberFormat="1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65" fontId="3" fillId="0" borderId="3" xfId="4" applyNumberFormat="1" applyFont="1" applyBorder="1" applyAlignment="1">
      <alignment horizontal="center" vertical="center"/>
    </xf>
    <xf numFmtId="165" fontId="3" fillId="0" borderId="2" xfId="4" applyNumberFormat="1" applyFont="1" applyBorder="1" applyAlignment="1">
      <alignment horizontal="center" vertical="center"/>
    </xf>
    <xf numFmtId="5" fontId="7" fillId="0" borderId="18" xfId="1" applyNumberFormat="1" applyFont="1" applyBorder="1"/>
    <xf numFmtId="5" fontId="7" fillId="0" borderId="18" xfId="0" applyNumberFormat="1" applyFont="1" applyBorder="1"/>
    <xf numFmtId="3" fontId="5" fillId="0" borderId="0" xfId="0" applyNumberFormat="1" applyFont="1" applyFill="1" applyAlignment="1" applyProtection="1">
      <alignment vertical="center"/>
      <protection locked="0"/>
    </xf>
    <xf numFmtId="0" fontId="1" fillId="0" borderId="0" xfId="7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3" fontId="3" fillId="0" borderId="0" xfId="2" applyNumberFormat="1" applyFont="1" applyFill="1" applyAlignment="1">
      <alignment horizontal="center"/>
    </xf>
    <xf numFmtId="3" fontId="3" fillId="0" borderId="0" xfId="3" applyNumberFormat="1" applyFont="1" applyAlignment="1"/>
    <xf numFmtId="3" fontId="3" fillId="0" borderId="0" xfId="2" applyNumberFormat="1" applyFont="1" applyAlignment="1">
      <alignment horizontal="center"/>
    </xf>
    <xf numFmtId="0" fontId="3" fillId="0" borderId="0" xfId="3" applyFont="1" applyAlignment="1">
      <alignment horizontal="right"/>
    </xf>
    <xf numFmtId="3" fontId="3" fillId="0" borderId="0" xfId="3" applyNumberFormat="1" applyFont="1" applyAlignment="1">
      <alignment horizontal="center"/>
    </xf>
    <xf numFmtId="3" fontId="3" fillId="0" borderId="0" xfId="3" applyNumberFormat="1" applyFont="1"/>
    <xf numFmtId="166" fontId="23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3" fontId="3" fillId="0" borderId="0" xfId="1" applyNumberFormat="1" applyFont="1" applyFill="1" applyAlignment="1">
      <alignment horizontal="right"/>
    </xf>
    <xf numFmtId="0" fontId="17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7" fillId="0" borderId="0" xfId="0" quotePrefix="1" applyFont="1" applyFill="1"/>
    <xf numFmtId="3" fontId="3" fillId="0" borderId="0" xfId="4" applyNumberFormat="1" applyFont="1" applyFill="1" applyBorder="1" applyAlignment="1">
      <alignment vertical="center"/>
    </xf>
    <xf numFmtId="3" fontId="3" fillId="0" borderId="0" xfId="1" applyNumberFormat="1" applyFont="1" applyFill="1"/>
    <xf numFmtId="3" fontId="23" fillId="0" borderId="0" xfId="1" applyNumberFormat="1" applyFont="1" applyFill="1"/>
    <xf numFmtId="0" fontId="25" fillId="0" borderId="0" xfId="0" applyFont="1"/>
    <xf numFmtId="172" fontId="4" fillId="0" borderId="0" xfId="5" applyNumberFormat="1" applyFont="1" applyFill="1" applyBorder="1"/>
    <xf numFmtId="0" fontId="3" fillId="0" borderId="0" xfId="10" applyNumberFormat="1" applyFont="1" applyBorder="1" applyAlignment="1">
      <alignment horizontal="left"/>
    </xf>
    <xf numFmtId="0" fontId="4" fillId="0" borderId="0" xfId="10" applyFont="1" applyBorder="1"/>
    <xf numFmtId="0" fontId="28" fillId="0" borderId="0" xfId="11" applyFont="1"/>
    <xf numFmtId="0" fontId="4" fillId="0" borderId="0" xfId="10" applyNumberFormat="1" applyFont="1" applyBorder="1" applyAlignment="1">
      <alignment horizontal="center"/>
    </xf>
    <xf numFmtId="0" fontId="28" fillId="0" borderId="0" xfId="11" applyFont="1" applyAlignment="1">
      <alignment horizontal="center" wrapText="1"/>
    </xf>
    <xf numFmtId="172" fontId="3" fillId="0" borderId="0" xfId="5" applyNumberFormat="1" applyFont="1" applyFill="1" applyBorder="1" applyAlignment="1">
      <alignment horizontal="center" wrapText="1"/>
    </xf>
    <xf numFmtId="0" fontId="28" fillId="0" borderId="0" xfId="11" applyFont="1" applyAlignment="1">
      <alignment horizontal="center"/>
    </xf>
    <xf numFmtId="37" fontId="4" fillId="0" borderId="0" xfId="10" applyNumberFormat="1" applyFont="1" applyBorder="1" applyAlignment="1">
      <alignment horizontal="center"/>
    </xf>
    <xf numFmtId="5" fontId="4" fillId="0" borderId="0" xfId="10" applyNumberFormat="1" applyFont="1" applyBorder="1"/>
    <xf numFmtId="173" fontId="4" fillId="0" borderId="0" xfId="1" applyNumberFormat="1" applyFont="1" applyBorder="1"/>
    <xf numFmtId="37" fontId="4" fillId="0" borderId="0" xfId="10" applyNumberFormat="1" applyFont="1" applyBorder="1"/>
    <xf numFmtId="172" fontId="4" fillId="0" borderId="1" xfId="5" applyNumberFormat="1" applyFont="1" applyFill="1" applyBorder="1"/>
    <xf numFmtId="37" fontId="4" fillId="0" borderId="0" xfId="10" applyNumberFormat="1" applyFont="1" applyFill="1" applyBorder="1"/>
    <xf numFmtId="37" fontId="4" fillId="0" borderId="0" xfId="1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172" fontId="4" fillId="0" borderId="0" xfId="5" applyNumberFormat="1" applyFont="1" applyFill="1" applyBorder="1" applyAlignment="1">
      <alignment horizontal="center"/>
    </xf>
    <xf numFmtId="5" fontId="7" fillId="0" borderId="0" xfId="1" applyNumberFormat="1" applyFont="1" applyBorder="1"/>
    <xf numFmtId="5" fontId="3" fillId="0" borderId="0" xfId="1" applyNumberFormat="1" applyFont="1" applyBorder="1"/>
    <xf numFmtId="0" fontId="30" fillId="0" borderId="0" xfId="0" applyFont="1" applyFill="1"/>
    <xf numFmtId="0" fontId="20" fillId="0" borderId="10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5" fillId="0" borderId="10" xfId="7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0" borderId="0" xfId="0" applyFont="1" applyFill="1"/>
    <xf numFmtId="3" fontId="19" fillId="0" borderId="0" xfId="0" applyNumberFormat="1" applyFont="1" applyFill="1" applyAlignment="1" applyProtection="1">
      <alignment vertical="center"/>
      <protection locked="0"/>
    </xf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9" fontId="3" fillId="0" borderId="0" xfId="1" applyNumberFormat="1" applyFont="1" applyFill="1"/>
    <xf numFmtId="5" fontId="3" fillId="0" borderId="0" xfId="1" applyNumberFormat="1" applyFont="1" applyFill="1"/>
    <xf numFmtId="5" fontId="3" fillId="0" borderId="1" xfId="1" applyNumberFormat="1" applyFont="1" applyFill="1" applyBorder="1"/>
    <xf numFmtId="5" fontId="3" fillId="0" borderId="0" xfId="1" applyNumberFormat="1" applyFont="1" applyFill="1" applyBorder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6" applyNumberFormat="1" applyFont="1" applyFill="1"/>
    <xf numFmtId="171" fontId="7" fillId="0" borderId="0" xfId="1" applyNumberFormat="1" applyFont="1" applyFill="1"/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66" fontId="7" fillId="0" borderId="0" xfId="0" applyNumberFormat="1" applyFont="1" applyFill="1"/>
    <xf numFmtId="0" fontId="23" fillId="0" borderId="0" xfId="0" applyFont="1" applyFill="1"/>
    <xf numFmtId="0" fontId="7" fillId="0" borderId="0" xfId="0" applyFont="1" applyFill="1"/>
    <xf numFmtId="5" fontId="3" fillId="0" borderId="0" xfId="0" applyNumberFormat="1" applyFont="1" applyFill="1" applyBorder="1"/>
    <xf numFmtId="3" fontId="3" fillId="0" borderId="2" xfId="4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5" fontId="7" fillId="0" borderId="1" xfId="1" applyNumberFormat="1" applyFont="1" applyBorder="1"/>
    <xf numFmtId="0" fontId="23" fillId="0" borderId="0" xfId="0" applyFont="1" applyFill="1" applyAlignment="1">
      <alignment horizontal="right"/>
    </xf>
    <xf numFmtId="0" fontId="7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5" fontId="23" fillId="0" borderId="0" xfId="1" applyNumberFormat="1" applyFont="1" applyFill="1" applyBorder="1"/>
    <xf numFmtId="14" fontId="7" fillId="0" borderId="0" xfId="0" applyNumberFormat="1" applyFont="1" applyFill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/>
    <xf numFmtId="14" fontId="7" fillId="0" borderId="0" xfId="0" applyNumberFormat="1" applyFont="1"/>
    <xf numFmtId="0" fontId="15" fillId="0" borderId="8" xfId="0" applyFont="1" applyFill="1" applyBorder="1" applyAlignment="1">
      <alignment horizontal="right" vertical="top"/>
    </xf>
    <xf numFmtId="174" fontId="3" fillId="0" borderId="0" xfId="1" applyNumberFormat="1" applyFont="1" applyFill="1" applyBorder="1"/>
    <xf numFmtId="0" fontId="0" fillId="0" borderId="0" xfId="0" applyAlignment="1">
      <alignment shrinkToFit="1"/>
    </xf>
    <xf numFmtId="3" fontId="31" fillId="0" borderId="19" xfId="0" applyNumberFormat="1" applyFont="1" applyBorder="1" applyAlignment="1">
      <alignment horizontal="right" vertical="top"/>
    </xf>
    <xf numFmtId="3" fontId="32" fillId="2" borderId="20" xfId="0" applyNumberFormat="1" applyFont="1" applyFill="1" applyBorder="1" applyAlignment="1">
      <alignment horizontal="right" vertical="top"/>
    </xf>
    <xf numFmtId="0" fontId="33" fillId="3" borderId="21" xfId="0" applyFont="1" applyFill="1" applyBorder="1" applyAlignment="1">
      <alignment horizontal="left" vertical="top"/>
    </xf>
    <xf numFmtId="0" fontId="34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5" fillId="5" borderId="23" xfId="0" applyNumberFormat="1" applyFont="1" applyFill="1" applyBorder="1" applyAlignment="1">
      <alignment horizontal="right" vertical="top"/>
    </xf>
    <xf numFmtId="0" fontId="13" fillId="0" borderId="8" xfId="0" applyFont="1" applyFill="1" applyBorder="1" applyAlignment="1">
      <alignment horizontal="left" vertical="top" wrapText="1"/>
    </xf>
    <xf numFmtId="3" fontId="23" fillId="0" borderId="0" xfId="0" applyNumberFormat="1" applyFont="1" applyFill="1" applyBorder="1"/>
    <xf numFmtId="3" fontId="23" fillId="0" borderId="0" xfId="1" applyNumberFormat="1" applyFont="1" applyFill="1" applyBorder="1"/>
    <xf numFmtId="3" fontId="23" fillId="0" borderId="0" xfId="0" applyNumberFormat="1" applyFont="1" applyFill="1"/>
    <xf numFmtId="5" fontId="3" fillId="0" borderId="0" xfId="6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5" fontId="36" fillId="0" borderId="0" xfId="1" applyNumberFormat="1" applyFont="1" applyFill="1" applyBorder="1"/>
    <xf numFmtId="0" fontId="24" fillId="0" borderId="0" xfId="4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</cellXfs>
  <cellStyles count="12">
    <cellStyle name="Comma" xfId="1" builtinId="3"/>
    <cellStyle name="Currency" xfId="5" builtinId="4"/>
    <cellStyle name="Normal" xfId="0" builtinId="0"/>
    <cellStyle name="Normal 2" xfId="7"/>
    <cellStyle name="Normal 3" xfId="9"/>
    <cellStyle name="Normal 8" xfId="11"/>
    <cellStyle name="Normal_1980-93DDH" xfId="2"/>
    <cellStyle name="Normal_25 Yr Avg Calc" xfId="3"/>
    <cellStyle name="Normal_WAElec6_97" xfId="10"/>
    <cellStyle name="Normal_WSCoefficientSum05" xfId="4"/>
    <cellStyle name="Percent" xfId="6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0"/>
  <sheetViews>
    <sheetView tabSelected="1" topLeftCell="A115" workbookViewId="0">
      <selection activeCell="N140" sqref="N140 B54"/>
    </sheetView>
  </sheetViews>
  <sheetFormatPr defaultRowHeight="12.75"/>
  <cols>
    <col min="1" max="1" width="15.875" style="50" customWidth="1"/>
    <col min="2" max="2" width="13.5" style="50" customWidth="1"/>
    <col min="3" max="3" width="18.125" style="50" customWidth="1"/>
    <col min="4" max="5" width="12.75" style="54" customWidth="1"/>
    <col min="6" max="6" width="13.25" style="54" customWidth="1"/>
    <col min="7" max="7" width="13" style="54" customWidth="1"/>
    <col min="8" max="9" width="12.375" style="54" customWidth="1"/>
    <col min="10" max="10" width="11.75" style="54" customWidth="1"/>
    <col min="11" max="11" width="10.875" style="54" customWidth="1"/>
    <col min="12" max="12" width="11.375" style="54" customWidth="1"/>
    <col min="13" max="13" width="11.875" style="50" customWidth="1"/>
    <col min="14" max="14" width="12.125" style="50" customWidth="1"/>
    <col min="15" max="15" width="12.75" style="50" customWidth="1"/>
    <col min="16" max="16384" width="9" style="50"/>
  </cols>
  <sheetData>
    <row r="1" spans="1:15">
      <c r="B1" s="197">
        <v>12.2019</v>
      </c>
      <c r="C1" s="51" t="s">
        <v>10</v>
      </c>
      <c r="D1" s="173" t="s">
        <v>11</v>
      </c>
      <c r="E1" s="173" t="s">
        <v>12</v>
      </c>
      <c r="F1" s="173" t="s">
        <v>13</v>
      </c>
      <c r="G1" s="173" t="s">
        <v>14</v>
      </c>
      <c r="H1" s="173" t="s">
        <v>15</v>
      </c>
      <c r="I1" s="173" t="s">
        <v>16</v>
      </c>
      <c r="J1" s="173" t="s">
        <v>17</v>
      </c>
      <c r="K1" s="173" t="s">
        <v>18</v>
      </c>
      <c r="L1" s="173" t="s">
        <v>19</v>
      </c>
      <c r="M1" s="55" t="s">
        <v>20</v>
      </c>
      <c r="N1" s="55" t="s">
        <v>21</v>
      </c>
      <c r="O1" s="55" t="s">
        <v>22</v>
      </c>
    </row>
    <row r="2" spans="1:15">
      <c r="B2" s="50" t="s">
        <v>230</v>
      </c>
      <c r="C2" s="57">
        <f>SUM(D2:O2)</f>
        <v>6513</v>
      </c>
      <c r="D2" s="174">
        <f>DDH!$C8</f>
        <v>1103</v>
      </c>
      <c r="E2" s="174">
        <f>DDH!$C9</f>
        <v>915</v>
      </c>
      <c r="F2" s="174">
        <f>DDH!$C10</f>
        <v>775</v>
      </c>
      <c r="G2" s="174">
        <f>DDH!$C11</f>
        <v>542</v>
      </c>
      <c r="H2" s="174">
        <f>DDH!$C12</f>
        <v>298</v>
      </c>
      <c r="I2" s="174">
        <f>DDH!$C13</f>
        <v>137</v>
      </c>
      <c r="J2" s="174">
        <f>DDH!$C14</f>
        <v>26</v>
      </c>
      <c r="K2" s="174">
        <f>DDH!$C15</f>
        <v>30</v>
      </c>
      <c r="L2" s="174">
        <f>DDH!$C16</f>
        <v>158</v>
      </c>
      <c r="M2" s="57">
        <f>DDH!$C17</f>
        <v>534</v>
      </c>
      <c r="N2" s="57">
        <f>DDH!$C18</f>
        <v>863</v>
      </c>
      <c r="O2" s="57">
        <f>DDH!$C19</f>
        <v>1132</v>
      </c>
    </row>
    <row r="3" spans="1:15">
      <c r="B3" s="50" t="s">
        <v>231</v>
      </c>
      <c r="C3" s="57">
        <f>SUM(D3:O3)</f>
        <v>6748</v>
      </c>
      <c r="D3" s="174">
        <f>DDH!$B8</f>
        <v>1052</v>
      </c>
      <c r="E3" s="174">
        <f>DDH!$B9</f>
        <v>1218</v>
      </c>
      <c r="F3" s="174">
        <f>DDH!$B10</f>
        <v>938</v>
      </c>
      <c r="G3" s="174">
        <f>DDH!$B11</f>
        <v>500</v>
      </c>
      <c r="H3" s="174">
        <f>DDH!$B12</f>
        <v>180</v>
      </c>
      <c r="I3" s="174">
        <f>DDH!$B13</f>
        <v>96</v>
      </c>
      <c r="J3" s="174">
        <f>DDH!$B14</f>
        <v>8</v>
      </c>
      <c r="K3" s="174">
        <f>DDH!$B15</f>
        <v>3</v>
      </c>
      <c r="L3" s="174">
        <f>DDH!$B16</f>
        <v>209</v>
      </c>
      <c r="M3" s="57">
        <f>DDH!$B17</f>
        <v>697</v>
      </c>
      <c r="N3" s="57">
        <f>DDH!$B18</f>
        <v>875</v>
      </c>
      <c r="O3" s="57">
        <f>DDH!$B19</f>
        <v>972</v>
      </c>
    </row>
    <row r="4" spans="1:15">
      <c r="B4" s="51" t="s">
        <v>343</v>
      </c>
      <c r="C4" s="56">
        <f>C2-C3</f>
        <v>-235</v>
      </c>
      <c r="D4" s="96">
        <f t="shared" ref="D4:O4" si="0">D2-D3</f>
        <v>51</v>
      </c>
      <c r="E4" s="96">
        <f t="shared" si="0"/>
        <v>-303</v>
      </c>
      <c r="F4" s="96">
        <f t="shared" si="0"/>
        <v>-163</v>
      </c>
      <c r="G4" s="96">
        <f t="shared" si="0"/>
        <v>42</v>
      </c>
      <c r="H4" s="96">
        <f t="shared" si="0"/>
        <v>118</v>
      </c>
      <c r="I4" s="96">
        <f t="shared" si="0"/>
        <v>41</v>
      </c>
      <c r="J4" s="96">
        <f t="shared" si="0"/>
        <v>18</v>
      </c>
      <c r="K4" s="96">
        <f t="shared" si="0"/>
        <v>27</v>
      </c>
      <c r="L4" s="96">
        <f t="shared" si="0"/>
        <v>-51</v>
      </c>
      <c r="M4" s="56">
        <f t="shared" si="0"/>
        <v>-163</v>
      </c>
      <c r="N4" s="56">
        <f t="shared" si="0"/>
        <v>-12</v>
      </c>
      <c r="O4" s="56">
        <f t="shared" si="0"/>
        <v>160</v>
      </c>
    </row>
    <row r="6" spans="1:15">
      <c r="A6" s="50" t="s">
        <v>9</v>
      </c>
    </row>
    <row r="8" spans="1:15">
      <c r="A8" s="50" t="s">
        <v>28</v>
      </c>
      <c r="C8" s="57">
        <f>SUM(D8:O8)</f>
        <v>-3700254</v>
      </c>
      <c r="D8" s="174">
        <f>D9*D10*D$4</f>
        <v>801385</v>
      </c>
      <c r="E8" s="174">
        <f t="shared" ref="E8:O8" si="1">E9*E10*E$4</f>
        <v>-4675837</v>
      </c>
      <c r="F8" s="174">
        <f t="shared" si="1"/>
        <v>-2602571</v>
      </c>
      <c r="G8" s="174">
        <f t="shared" si="1"/>
        <v>556636</v>
      </c>
      <c r="H8" s="174">
        <f t="shared" si="1"/>
        <v>1601925</v>
      </c>
      <c r="I8" s="174">
        <f t="shared" si="1"/>
        <v>548638</v>
      </c>
      <c r="J8" s="174">
        <f t="shared" si="1"/>
        <v>273995</v>
      </c>
      <c r="K8" s="174">
        <f t="shared" si="1"/>
        <v>411853</v>
      </c>
      <c r="L8" s="174">
        <f t="shared" si="1"/>
        <v>-761951</v>
      </c>
      <c r="M8" s="57">
        <f t="shared" si="1"/>
        <v>-2247062</v>
      </c>
      <c r="N8" s="57">
        <f t="shared" si="1"/>
        <v>-162745</v>
      </c>
      <c r="O8" s="57">
        <f t="shared" si="1"/>
        <v>2555480</v>
      </c>
    </row>
    <row r="9" spans="1:15">
      <c r="A9" s="50" t="s">
        <v>23</v>
      </c>
      <c r="C9" s="57">
        <f>AVERAGE(D9:O9)</f>
        <v>153136</v>
      </c>
      <c r="D9" s="174">
        <f>'Cust Data'!F100</f>
        <v>152262</v>
      </c>
      <c r="E9" s="174">
        <f>'Cust Data'!G100</f>
        <v>149533</v>
      </c>
      <c r="F9" s="174">
        <f>'Cust Data'!H100</f>
        <v>154716</v>
      </c>
      <c r="G9" s="174">
        <f>'Cust Data'!I100</f>
        <v>150948</v>
      </c>
      <c r="H9" s="174">
        <f>'Cust Data'!J100</f>
        <v>154620</v>
      </c>
      <c r="I9" s="174">
        <f>'Cust Data'!K100</f>
        <v>152408</v>
      </c>
      <c r="J9" s="174">
        <f>'Cust Data'!L100</f>
        <v>153138</v>
      </c>
      <c r="K9" s="174">
        <f>'Cust Data'!M100</f>
        <v>153459</v>
      </c>
      <c r="L9" s="174">
        <f>'Cust Data'!N100</f>
        <v>150304</v>
      </c>
      <c r="M9" s="57">
        <f>'Cust Data'!O100</f>
        <v>157012</v>
      </c>
      <c r="N9" s="57">
        <f>'Cust Data'!P100</f>
        <v>154466</v>
      </c>
      <c r="O9" s="57">
        <f>'Cust Data'!Q100</f>
        <v>154765</v>
      </c>
    </row>
    <row r="10" spans="1:15">
      <c r="A10" s="50" t="s">
        <v>24</v>
      </c>
      <c r="B10" s="68"/>
      <c r="C10" s="57"/>
      <c r="D10" s="175">
        <f>'Gas Factors'!$E$7</f>
        <v>0.1032</v>
      </c>
      <c r="E10" s="175">
        <f>'Gas Factors'!$E$7</f>
        <v>0.1032</v>
      </c>
      <c r="F10" s="175">
        <f>'Gas Factors'!$E$7</f>
        <v>0.1032</v>
      </c>
      <c r="G10" s="175">
        <f>'Gas Factors'!$D$7</f>
        <v>8.7800000000000003E-2</v>
      </c>
      <c r="H10" s="175">
        <f>'Gas Factors'!$D$7</f>
        <v>8.7800000000000003E-2</v>
      </c>
      <c r="I10" s="175">
        <f>'Gas Factors'!$D$7</f>
        <v>8.7800000000000003E-2</v>
      </c>
      <c r="J10" s="175">
        <f>'Gas Factors'!$C$7</f>
        <v>9.9400000000000002E-2</v>
      </c>
      <c r="K10" s="175">
        <f>'Gas Factors'!$C$7</f>
        <v>9.9400000000000002E-2</v>
      </c>
      <c r="L10" s="175">
        <f>'Gas Factors'!$C$7</f>
        <v>9.9400000000000002E-2</v>
      </c>
      <c r="M10" s="69">
        <f>'Gas Factors'!$D$7</f>
        <v>8.7800000000000003E-2</v>
      </c>
      <c r="N10" s="69">
        <f>'Gas Factors'!$D$7</f>
        <v>8.7800000000000003E-2</v>
      </c>
      <c r="O10" s="69">
        <f>'Gas Factors'!$E$7</f>
        <v>0.1032</v>
      </c>
    </row>
    <row r="11" spans="1:15">
      <c r="C11" s="57"/>
      <c r="D11" s="143"/>
      <c r="E11" s="143"/>
      <c r="F11" s="143"/>
      <c r="G11" s="143"/>
      <c r="H11" s="143"/>
      <c r="I11" s="143"/>
      <c r="J11" s="143"/>
      <c r="K11" s="143"/>
      <c r="L11" s="143"/>
      <c r="M11" s="58"/>
      <c r="N11" s="58"/>
      <c r="O11" s="58"/>
    </row>
    <row r="12" spans="1:15">
      <c r="A12" s="50" t="s">
        <v>29</v>
      </c>
      <c r="C12" s="57">
        <f>SUM(D12:O12)</f>
        <v>-717319</v>
      </c>
      <c r="D12" s="174">
        <f t="shared" ref="D12:O12" si="2">D13*D14*D$4</f>
        <v>152508</v>
      </c>
      <c r="E12" s="174">
        <f t="shared" si="2"/>
        <v>-894162</v>
      </c>
      <c r="F12" s="174">
        <f t="shared" si="2"/>
        <v>-495086</v>
      </c>
      <c r="G12" s="174">
        <f t="shared" si="2"/>
        <v>89553</v>
      </c>
      <c r="H12" s="174">
        <f t="shared" si="2"/>
        <v>253875</v>
      </c>
      <c r="I12" s="174">
        <f t="shared" si="2"/>
        <v>87609</v>
      </c>
      <c r="J12" s="174">
        <f t="shared" si="2"/>
        <v>49082</v>
      </c>
      <c r="K12" s="174">
        <f t="shared" si="2"/>
        <v>73744</v>
      </c>
      <c r="L12" s="174">
        <f t="shared" si="2"/>
        <v>-136943</v>
      </c>
      <c r="M12" s="57">
        <f t="shared" si="2"/>
        <v>-355590</v>
      </c>
      <c r="N12" s="57">
        <f t="shared" si="2"/>
        <v>-25826</v>
      </c>
      <c r="O12" s="57">
        <f t="shared" si="2"/>
        <v>483917</v>
      </c>
    </row>
    <row r="13" spans="1:15">
      <c r="A13" s="50" t="s">
        <v>23</v>
      </c>
      <c r="C13" s="57">
        <f>AVERAGE(D13:O13)</f>
        <v>12130</v>
      </c>
      <c r="D13" s="143">
        <f>'Cust Data'!F101</f>
        <v>12092</v>
      </c>
      <c r="E13" s="143">
        <f>'Cust Data'!G101</f>
        <v>11933</v>
      </c>
      <c r="F13" s="143">
        <f>'Cust Data'!H101</f>
        <v>12282</v>
      </c>
      <c r="G13" s="143">
        <f>'Cust Data'!I101</f>
        <v>12060</v>
      </c>
      <c r="H13" s="143">
        <f>'Cust Data'!J101</f>
        <v>12169</v>
      </c>
      <c r="I13" s="143">
        <f>'Cust Data'!K101</f>
        <v>12086</v>
      </c>
      <c r="J13" s="143">
        <f>'Cust Data'!L101</f>
        <v>12119</v>
      </c>
      <c r="K13" s="143">
        <f>'Cust Data'!M101</f>
        <v>12139</v>
      </c>
      <c r="L13" s="143">
        <f>'Cust Data'!N101</f>
        <v>11934</v>
      </c>
      <c r="M13" s="58">
        <f>'Cust Data'!O101</f>
        <v>12339</v>
      </c>
      <c r="N13" s="58">
        <f>'Cust Data'!P101</f>
        <v>12173</v>
      </c>
      <c r="O13" s="58">
        <f>'Cust Data'!Q101</f>
        <v>12230</v>
      </c>
    </row>
    <row r="14" spans="1:15">
      <c r="A14" s="50" t="s">
        <v>24</v>
      </c>
      <c r="C14" s="57"/>
      <c r="D14" s="175">
        <f>'Gas Factors'!$E$8</f>
        <v>0.24729999999999999</v>
      </c>
      <c r="E14" s="175">
        <f>'Gas Factors'!$E$8</f>
        <v>0.24729999999999999</v>
      </c>
      <c r="F14" s="175">
        <f>'Gas Factors'!$E$8</f>
        <v>0.24729999999999999</v>
      </c>
      <c r="G14" s="175">
        <f>'Gas Factors'!$D$8</f>
        <v>0.17680000000000001</v>
      </c>
      <c r="H14" s="175">
        <f>'Gas Factors'!$D$8</f>
        <v>0.17680000000000001</v>
      </c>
      <c r="I14" s="175">
        <f>'Gas Factors'!$D$8</f>
        <v>0.17680000000000001</v>
      </c>
      <c r="J14" s="175">
        <f>'Gas Factors'!$C$8</f>
        <v>0.22500000000000001</v>
      </c>
      <c r="K14" s="175">
        <f>'Gas Factors'!$C$8</f>
        <v>0.22500000000000001</v>
      </c>
      <c r="L14" s="175">
        <f>'Gas Factors'!$C$8</f>
        <v>0.22500000000000001</v>
      </c>
      <c r="M14" s="69">
        <f>'Gas Factors'!$D$8</f>
        <v>0.17680000000000001</v>
      </c>
      <c r="N14" s="69">
        <f>'Gas Factors'!$D$8</f>
        <v>0.17680000000000001</v>
      </c>
      <c r="O14" s="69">
        <f>'Gas Factors'!$E$8</f>
        <v>0.24729999999999999</v>
      </c>
    </row>
    <row r="15" spans="1:15">
      <c r="C15" s="57"/>
      <c r="D15" s="143"/>
      <c r="E15" s="143"/>
      <c r="F15" s="143"/>
      <c r="G15" s="143"/>
      <c r="H15" s="143"/>
      <c r="I15" s="143"/>
      <c r="J15" s="143"/>
      <c r="K15" s="143"/>
      <c r="L15" s="143"/>
      <c r="M15" s="58"/>
      <c r="N15" s="58"/>
      <c r="O15" s="58"/>
    </row>
    <row r="16" spans="1:15">
      <c r="A16" s="50" t="s">
        <v>30</v>
      </c>
      <c r="C16" s="57">
        <f>SUM(D16:O16)</f>
        <v>-7803</v>
      </c>
      <c r="D16" s="174">
        <f t="shared" ref="D16:O16" si="3">D17*D18*D$4</f>
        <v>1779</v>
      </c>
      <c r="E16" s="174">
        <f t="shared" si="3"/>
        <v>-9989</v>
      </c>
      <c r="F16" s="174">
        <f t="shared" si="3"/>
        <v>-5530</v>
      </c>
      <c r="G16" s="174">
        <f t="shared" si="3"/>
        <v>1095</v>
      </c>
      <c r="H16" s="174">
        <f t="shared" si="3"/>
        <v>3077</v>
      </c>
      <c r="I16" s="174">
        <f t="shared" si="3"/>
        <v>1025</v>
      </c>
      <c r="J16" s="174">
        <f t="shared" si="3"/>
        <v>919</v>
      </c>
      <c r="K16" s="174">
        <f t="shared" si="3"/>
        <v>1323</v>
      </c>
      <c r="L16" s="174">
        <f t="shared" si="3"/>
        <v>-2464</v>
      </c>
      <c r="M16" s="57">
        <f t="shared" si="3"/>
        <v>-4310</v>
      </c>
      <c r="N16" s="57">
        <f t="shared" si="3"/>
        <v>-309</v>
      </c>
      <c r="O16" s="57">
        <f t="shared" si="3"/>
        <v>5581</v>
      </c>
    </row>
    <row r="17" spans="1:15">
      <c r="A17" s="50" t="s">
        <v>23</v>
      </c>
      <c r="C17" s="57">
        <f>AVERAGE(D17:O17)</f>
        <v>72</v>
      </c>
      <c r="D17" s="143">
        <f>'Cust Data'!F102</f>
        <v>73</v>
      </c>
      <c r="E17" s="143">
        <f>'Cust Data'!G102</f>
        <v>69</v>
      </c>
      <c r="F17" s="143">
        <f>'Cust Data'!H102</f>
        <v>71</v>
      </c>
      <c r="G17" s="143">
        <f>'Cust Data'!I102</f>
        <v>72</v>
      </c>
      <c r="H17" s="143">
        <f>'Cust Data'!J102</f>
        <v>72</v>
      </c>
      <c r="I17" s="143">
        <f>'Cust Data'!K102</f>
        <v>69</v>
      </c>
      <c r="J17" s="143">
        <f>'Cust Data'!L102</f>
        <v>74</v>
      </c>
      <c r="K17" s="143">
        <f>'Cust Data'!M102</f>
        <v>71</v>
      </c>
      <c r="L17" s="143">
        <f>'Cust Data'!N102</f>
        <v>70</v>
      </c>
      <c r="M17" s="58">
        <f>'Cust Data'!O102</f>
        <v>73</v>
      </c>
      <c r="N17" s="58">
        <f>'Cust Data'!P102</f>
        <v>71</v>
      </c>
      <c r="O17" s="58">
        <f>'Cust Data'!Q102</f>
        <v>73</v>
      </c>
    </row>
    <row r="18" spans="1:15">
      <c r="A18" s="50" t="s">
        <v>24</v>
      </c>
      <c r="C18" s="57"/>
      <c r="D18" s="175">
        <f>'Gas Factors'!$E$9</f>
        <v>0.4778</v>
      </c>
      <c r="E18" s="175">
        <f>'Gas Factors'!$E$9</f>
        <v>0.4778</v>
      </c>
      <c r="F18" s="175">
        <f>'Gas Factors'!$E$9</f>
        <v>0.4778</v>
      </c>
      <c r="G18" s="175">
        <f>'Gas Factors'!$D$9</f>
        <v>0.36220000000000002</v>
      </c>
      <c r="H18" s="175">
        <f>'Gas Factors'!$D$9</f>
        <v>0.36220000000000002</v>
      </c>
      <c r="I18" s="175">
        <f>'Gas Factors'!$D$9</f>
        <v>0.36220000000000002</v>
      </c>
      <c r="J18" s="175">
        <f>'Gas Factors'!$C$9</f>
        <v>0.69030000000000002</v>
      </c>
      <c r="K18" s="175">
        <f>'Gas Factors'!$C$9</f>
        <v>0.69030000000000002</v>
      </c>
      <c r="L18" s="175">
        <f>'Gas Factors'!$C$9</f>
        <v>0.69030000000000002</v>
      </c>
      <c r="M18" s="69">
        <f>'Gas Factors'!$D$9</f>
        <v>0.36220000000000002</v>
      </c>
      <c r="N18" s="69">
        <f>'Gas Factors'!$D$9</f>
        <v>0.36220000000000002</v>
      </c>
      <c r="O18" s="69">
        <f>'Gas Factors'!$E$9</f>
        <v>0.4778</v>
      </c>
    </row>
    <row r="19" spans="1:15">
      <c r="C19" s="57"/>
      <c r="D19" s="143"/>
      <c r="E19" s="143"/>
      <c r="F19" s="143"/>
      <c r="G19" s="143"/>
      <c r="H19" s="143"/>
      <c r="I19" s="143"/>
      <c r="J19" s="143"/>
      <c r="K19" s="143"/>
      <c r="L19" s="143"/>
      <c r="M19" s="58"/>
      <c r="N19" s="58"/>
      <c r="O19" s="58"/>
    </row>
    <row r="20" spans="1:15">
      <c r="A20" s="50" t="s">
        <v>31</v>
      </c>
      <c r="C20" s="57">
        <f>SUM(D20:O20)</f>
        <v>-57062</v>
      </c>
      <c r="D20" s="174">
        <f t="shared" ref="D20:O20" si="4">D21*D22*D$4</f>
        <v>12788</v>
      </c>
      <c r="E20" s="174">
        <f t="shared" si="4"/>
        <v>-73462</v>
      </c>
      <c r="F20" s="174">
        <f t="shared" si="4"/>
        <v>-41549</v>
      </c>
      <c r="G20" s="174">
        <f t="shared" si="4"/>
        <v>9869</v>
      </c>
      <c r="H20" s="174">
        <f t="shared" si="4"/>
        <v>27635</v>
      </c>
      <c r="I20" s="174">
        <f t="shared" si="4"/>
        <v>9699</v>
      </c>
      <c r="J20" s="174">
        <f t="shared" si="4"/>
        <v>0</v>
      </c>
      <c r="K20" s="174">
        <f t="shared" si="4"/>
        <v>0</v>
      </c>
      <c r="L20" s="174">
        <f t="shared" si="4"/>
        <v>0</v>
      </c>
      <c r="M20" s="57">
        <f t="shared" si="4"/>
        <v>-39712</v>
      </c>
      <c r="N20" s="57">
        <f t="shared" si="4"/>
        <v>-2716</v>
      </c>
      <c r="O20" s="57">
        <f t="shared" si="4"/>
        <v>40386</v>
      </c>
    </row>
    <row r="21" spans="1:15">
      <c r="A21" s="50" t="s">
        <v>23</v>
      </c>
      <c r="C21" s="57">
        <f>AVERAGE(D21:O21)</f>
        <v>299</v>
      </c>
      <c r="D21" s="174">
        <f>'Cust Data'!F104</f>
        <v>302</v>
      </c>
      <c r="E21" s="174">
        <f>'Cust Data'!G104</f>
        <v>292</v>
      </c>
      <c r="F21" s="174">
        <f>'Cust Data'!H104</f>
        <v>307</v>
      </c>
      <c r="G21" s="174">
        <f>'Cust Data'!I104</f>
        <v>299</v>
      </c>
      <c r="H21" s="174">
        <f>'Cust Data'!J104</f>
        <v>298</v>
      </c>
      <c r="I21" s="174">
        <f>'Cust Data'!K104</f>
        <v>301</v>
      </c>
      <c r="J21" s="174">
        <f>'Cust Data'!L104</f>
        <v>300</v>
      </c>
      <c r="K21" s="174">
        <f>'Cust Data'!M104</f>
        <v>299</v>
      </c>
      <c r="L21" s="174">
        <f>'Cust Data'!N104</f>
        <v>289</v>
      </c>
      <c r="M21" s="57">
        <f>'Cust Data'!O104</f>
        <v>310</v>
      </c>
      <c r="N21" s="57">
        <f>'Cust Data'!P104</f>
        <v>288</v>
      </c>
      <c r="O21" s="57">
        <f>'Cust Data'!Q104</f>
        <v>304</v>
      </c>
    </row>
    <row r="22" spans="1:15">
      <c r="A22" s="50" t="s">
        <v>24</v>
      </c>
      <c r="B22" s="68"/>
      <c r="C22" s="57"/>
      <c r="D22" s="175">
        <f>'Gas Factors'!$E$11</f>
        <v>0.83030000000000004</v>
      </c>
      <c r="E22" s="175">
        <f>'Gas Factors'!$E$11</f>
        <v>0.83030000000000004</v>
      </c>
      <c r="F22" s="175">
        <f>'Gas Factors'!$E$11</f>
        <v>0.83030000000000004</v>
      </c>
      <c r="G22" s="175">
        <f>'Gas Factors'!$D$11</f>
        <v>0.78590000000000004</v>
      </c>
      <c r="H22" s="175">
        <f>'Gas Factors'!$D$11</f>
        <v>0.78590000000000004</v>
      </c>
      <c r="I22" s="175">
        <f>'Gas Factors'!$D$11</f>
        <v>0.78590000000000004</v>
      </c>
      <c r="J22" s="175">
        <f>'Gas Factors'!$C$11</f>
        <v>0</v>
      </c>
      <c r="K22" s="175">
        <f>'Gas Factors'!$C$11</f>
        <v>0</v>
      </c>
      <c r="L22" s="175">
        <f>'Gas Factors'!$C$11</f>
        <v>0</v>
      </c>
      <c r="M22" s="69">
        <f>'Gas Factors'!$D$11</f>
        <v>0.78590000000000004</v>
      </c>
      <c r="N22" s="69">
        <f>'Gas Factors'!$D$11</f>
        <v>0.78590000000000004</v>
      </c>
      <c r="O22" s="69">
        <f>'Gas Factors'!$E$11</f>
        <v>0.83030000000000004</v>
      </c>
    </row>
    <row r="23" spans="1:15">
      <c r="C23" s="57"/>
      <c r="D23" s="143"/>
      <c r="E23" s="143"/>
      <c r="F23" s="143"/>
      <c r="G23" s="143"/>
      <c r="H23" s="143"/>
      <c r="I23" s="143"/>
      <c r="J23" s="143"/>
      <c r="K23" s="143"/>
      <c r="L23" s="143"/>
      <c r="M23" s="58"/>
      <c r="N23" s="58"/>
      <c r="O23" s="58"/>
    </row>
    <row r="24" spans="1:15">
      <c r="A24" s="50" t="s">
        <v>32</v>
      </c>
      <c r="C24" s="57">
        <f>SUM(D24:O24)</f>
        <v>-1271012</v>
      </c>
      <c r="D24" s="174">
        <f t="shared" ref="D24:O24" si="5">D25*D26*D$4</f>
        <v>277033</v>
      </c>
      <c r="E24" s="174">
        <f t="shared" si="5"/>
        <v>-1620507</v>
      </c>
      <c r="F24" s="174">
        <f t="shared" si="5"/>
        <v>-900058</v>
      </c>
      <c r="G24" s="174">
        <f t="shared" si="5"/>
        <v>218130</v>
      </c>
      <c r="H24" s="174">
        <f t="shared" si="5"/>
        <v>613516</v>
      </c>
      <c r="I24" s="174">
        <f t="shared" si="5"/>
        <v>212234</v>
      </c>
      <c r="J24" s="174">
        <f t="shared" si="5"/>
        <v>112785</v>
      </c>
      <c r="K24" s="174">
        <f t="shared" si="5"/>
        <v>168868</v>
      </c>
      <c r="L24" s="174">
        <f t="shared" si="5"/>
        <v>-312423</v>
      </c>
      <c r="M24" s="57">
        <f t="shared" si="5"/>
        <v>-854006</v>
      </c>
      <c r="N24" s="57">
        <f t="shared" si="5"/>
        <v>-62094</v>
      </c>
      <c r="O24" s="57">
        <f t="shared" si="5"/>
        <v>875510</v>
      </c>
    </row>
    <row r="25" spans="1:15">
      <c r="A25" s="50" t="s">
        <v>23</v>
      </c>
      <c r="C25" s="57">
        <f>AVERAGE(D25:O25)</f>
        <v>2723</v>
      </c>
      <c r="D25" s="143">
        <f>'Cust Data'!F105</f>
        <v>2722</v>
      </c>
      <c r="E25" s="143">
        <f>'Cust Data'!G105</f>
        <v>2680</v>
      </c>
      <c r="F25" s="143">
        <f>'Cust Data'!H105</f>
        <v>2767</v>
      </c>
      <c r="G25" s="143">
        <f>'Cust Data'!I105</f>
        <v>2726</v>
      </c>
      <c r="H25" s="143">
        <f>'Cust Data'!J105</f>
        <v>2729</v>
      </c>
      <c r="I25" s="143">
        <f>'Cust Data'!K105</f>
        <v>2717</v>
      </c>
      <c r="J25" s="143">
        <f>'Cust Data'!L105</f>
        <v>2732</v>
      </c>
      <c r="K25" s="143">
        <f>'Cust Data'!M105</f>
        <v>2727</v>
      </c>
      <c r="L25" s="143">
        <f>'Cust Data'!N105</f>
        <v>2671</v>
      </c>
      <c r="M25" s="58">
        <f>'Cust Data'!O105</f>
        <v>2750</v>
      </c>
      <c r="N25" s="58">
        <f>'Cust Data'!P105</f>
        <v>2716</v>
      </c>
      <c r="O25" s="58">
        <f>'Cust Data'!Q105</f>
        <v>2742</v>
      </c>
    </row>
    <row r="26" spans="1:15">
      <c r="A26" s="50" t="s">
        <v>24</v>
      </c>
      <c r="C26" s="57"/>
      <c r="D26" s="175">
        <f>'Gas Factors'!$E$12</f>
        <v>1.9956</v>
      </c>
      <c r="E26" s="175">
        <f>'Gas Factors'!$E$12</f>
        <v>1.9956</v>
      </c>
      <c r="F26" s="175">
        <f>'Gas Factors'!$E$12</f>
        <v>1.9956</v>
      </c>
      <c r="G26" s="175">
        <f>'Gas Factors'!$D$12</f>
        <v>1.9052</v>
      </c>
      <c r="H26" s="175">
        <f>'Gas Factors'!$D$12</f>
        <v>1.9052</v>
      </c>
      <c r="I26" s="175">
        <f>'Gas Factors'!$D$12</f>
        <v>1.9052</v>
      </c>
      <c r="J26" s="175">
        <f>'Gas Factors'!$C$12</f>
        <v>2.2934999999999999</v>
      </c>
      <c r="K26" s="175">
        <f>'Gas Factors'!$C$12</f>
        <v>2.2934999999999999</v>
      </c>
      <c r="L26" s="175">
        <f>'Gas Factors'!$C$12</f>
        <v>2.2934999999999999</v>
      </c>
      <c r="M26" s="69">
        <f>'Gas Factors'!$D$12</f>
        <v>1.9052</v>
      </c>
      <c r="N26" s="69">
        <f>'Gas Factors'!$D$12</f>
        <v>1.9052</v>
      </c>
      <c r="O26" s="69">
        <f>'Gas Factors'!$E$12</f>
        <v>1.9956</v>
      </c>
    </row>
    <row r="27" spans="1:15">
      <c r="C27" s="57"/>
      <c r="D27" s="143"/>
      <c r="E27" s="143"/>
      <c r="F27" s="143"/>
      <c r="G27" s="143"/>
      <c r="H27" s="143"/>
      <c r="I27" s="143"/>
      <c r="J27" s="143"/>
      <c r="K27" s="143"/>
      <c r="L27" s="143"/>
      <c r="M27" s="58"/>
      <c r="N27" s="58"/>
      <c r="O27" s="58"/>
    </row>
    <row r="28" spans="1:15">
      <c r="A28" s="50" t="s">
        <v>33</v>
      </c>
      <c r="C28" s="57">
        <f>SUM(D28:O28)</f>
        <v>-32554</v>
      </c>
      <c r="D28" s="174">
        <f t="shared" ref="D28:O28" si="6">D29*D30*D$4</f>
        <v>7345</v>
      </c>
      <c r="E28" s="174">
        <f t="shared" si="6"/>
        <v>-42873</v>
      </c>
      <c r="F28" s="174">
        <f t="shared" si="6"/>
        <v>-23887</v>
      </c>
      <c r="G28" s="174">
        <f t="shared" si="6"/>
        <v>5135</v>
      </c>
      <c r="H28" s="174">
        <f t="shared" si="6"/>
        <v>14427</v>
      </c>
      <c r="I28" s="174">
        <f t="shared" si="6"/>
        <v>4925</v>
      </c>
      <c r="J28" s="174">
        <f t="shared" si="6"/>
        <v>0</v>
      </c>
      <c r="K28" s="174">
        <f t="shared" si="6"/>
        <v>0</v>
      </c>
      <c r="L28" s="174">
        <f t="shared" si="6"/>
        <v>0</v>
      </c>
      <c r="M28" s="57">
        <f t="shared" si="6"/>
        <v>-19229</v>
      </c>
      <c r="N28" s="57">
        <f t="shared" si="6"/>
        <v>-1441</v>
      </c>
      <c r="O28" s="57">
        <f t="shared" si="6"/>
        <v>23044</v>
      </c>
    </row>
    <row r="29" spans="1:15">
      <c r="A29" s="50" t="s">
        <v>23</v>
      </c>
      <c r="C29" s="57">
        <f>AVERAGE(D29:O29)</f>
        <v>57</v>
      </c>
      <c r="D29" s="143">
        <f>'Cust Data'!F106</f>
        <v>57</v>
      </c>
      <c r="E29" s="143">
        <f>'Cust Data'!G106</f>
        <v>56</v>
      </c>
      <c r="F29" s="143">
        <f>'Cust Data'!H106</f>
        <v>58</v>
      </c>
      <c r="G29" s="143">
        <f>'Cust Data'!I106</f>
        <v>57</v>
      </c>
      <c r="H29" s="143">
        <f>'Cust Data'!J106</f>
        <v>57</v>
      </c>
      <c r="I29" s="143">
        <f>'Cust Data'!K106</f>
        <v>56</v>
      </c>
      <c r="J29" s="143">
        <f>'Cust Data'!L106</f>
        <v>57</v>
      </c>
      <c r="K29" s="143">
        <f>'Cust Data'!M106</f>
        <v>55</v>
      </c>
      <c r="L29" s="143">
        <f>'Cust Data'!N106</f>
        <v>57</v>
      </c>
      <c r="M29" s="58">
        <f>'Cust Data'!O106</f>
        <v>55</v>
      </c>
      <c r="N29" s="58">
        <f>'Cust Data'!P106</f>
        <v>56</v>
      </c>
      <c r="O29" s="58">
        <f>'Cust Data'!Q106</f>
        <v>57</v>
      </c>
    </row>
    <row r="30" spans="1:15">
      <c r="A30" s="50" t="s">
        <v>24</v>
      </c>
      <c r="C30" s="57"/>
      <c r="D30" s="175">
        <f>'Gas Factors'!$E$13</f>
        <v>2.5266999999999999</v>
      </c>
      <c r="E30" s="175">
        <f>'Gas Factors'!$E$13</f>
        <v>2.5266999999999999</v>
      </c>
      <c r="F30" s="175">
        <f>'Gas Factors'!$E$13</f>
        <v>2.5266999999999999</v>
      </c>
      <c r="G30" s="175">
        <f>'Gas Factors'!$D$13</f>
        <v>2.1448999999999998</v>
      </c>
      <c r="H30" s="175">
        <f>'Gas Factors'!$D$13</f>
        <v>2.1448999999999998</v>
      </c>
      <c r="I30" s="175">
        <f>'Gas Factors'!$D$13</f>
        <v>2.1448999999999998</v>
      </c>
      <c r="J30" s="175">
        <f>'Gas Factors'!$C$13</f>
        <v>0</v>
      </c>
      <c r="K30" s="175">
        <f>'Gas Factors'!$C$13</f>
        <v>0</v>
      </c>
      <c r="L30" s="175">
        <f>'Gas Factors'!$C$13</f>
        <v>0</v>
      </c>
      <c r="M30" s="69">
        <f>'Gas Factors'!$D$13</f>
        <v>2.1448999999999998</v>
      </c>
      <c r="N30" s="69">
        <f>'Gas Factors'!$D$13</f>
        <v>2.1448999999999998</v>
      </c>
      <c r="O30" s="69">
        <f>'Gas Factors'!$E$13</f>
        <v>2.5266999999999999</v>
      </c>
    </row>
    <row r="31" spans="1:15">
      <c r="C31" s="57"/>
      <c r="D31" s="174"/>
      <c r="E31" s="174"/>
      <c r="F31" s="174"/>
      <c r="G31" s="174"/>
      <c r="H31" s="174"/>
      <c r="I31" s="174"/>
      <c r="J31" s="174"/>
      <c r="K31" s="174"/>
      <c r="L31" s="174"/>
      <c r="M31" s="57"/>
      <c r="N31" s="57"/>
      <c r="O31" s="57"/>
    </row>
    <row r="32" spans="1:15">
      <c r="A32" s="50" t="s">
        <v>34</v>
      </c>
      <c r="C32" s="57">
        <f>SUM(D32:O32)</f>
        <v>-1850</v>
      </c>
      <c r="D32" s="174">
        <f t="shared" ref="D32:O32" si="7">D33*D34*D$4</f>
        <v>407</v>
      </c>
      <c r="E32" s="174">
        <f t="shared" si="7"/>
        <v>-2419</v>
      </c>
      <c r="F32" s="174">
        <f t="shared" si="7"/>
        <v>-1952</v>
      </c>
      <c r="G32" s="174">
        <f t="shared" si="7"/>
        <v>480</v>
      </c>
      <c r="H32" s="174">
        <f t="shared" si="7"/>
        <v>1349</v>
      </c>
      <c r="I32" s="174">
        <f t="shared" si="7"/>
        <v>-469</v>
      </c>
      <c r="J32" s="174">
        <f t="shared" si="7"/>
        <v>165</v>
      </c>
      <c r="K32" s="174">
        <f t="shared" si="7"/>
        <v>310</v>
      </c>
      <c r="L32" s="174">
        <f t="shared" si="7"/>
        <v>-585</v>
      </c>
      <c r="M32" s="57">
        <f t="shared" si="7"/>
        <v>-1553</v>
      </c>
      <c r="N32" s="57">
        <f t="shared" si="7"/>
        <v>-137</v>
      </c>
      <c r="O32" s="57">
        <f t="shared" si="7"/>
        <v>2554</v>
      </c>
    </row>
    <row r="33" spans="1:15">
      <c r="A33" s="50" t="s">
        <v>23</v>
      </c>
      <c r="C33" s="57">
        <f>AVERAGE(D33:O33)</f>
        <v>4</v>
      </c>
      <c r="D33" s="143">
        <f>'Cust Data'!F109</f>
        <v>4</v>
      </c>
      <c r="E33" s="143">
        <f>'Cust Data'!G109</f>
        <v>4</v>
      </c>
      <c r="F33" s="143">
        <f>'Cust Data'!H109</f>
        <v>6</v>
      </c>
      <c r="G33" s="143">
        <f>'Cust Data'!I109</f>
        <v>6</v>
      </c>
      <c r="H33" s="143">
        <f>'Cust Data'!J109</f>
        <v>6</v>
      </c>
      <c r="I33" s="143">
        <f>'Cust Data'!K109</f>
        <v>-6</v>
      </c>
      <c r="J33" s="143">
        <f>'Cust Data'!L109</f>
        <v>4</v>
      </c>
      <c r="K33" s="143">
        <f>'Cust Data'!M109</f>
        <v>5</v>
      </c>
      <c r="L33" s="143">
        <f>'Cust Data'!N109</f>
        <v>5</v>
      </c>
      <c r="M33" s="58">
        <f>'Cust Data'!O109</f>
        <v>5</v>
      </c>
      <c r="N33" s="58">
        <f>'Cust Data'!P109</f>
        <v>6</v>
      </c>
      <c r="O33" s="58">
        <f>'Cust Data'!Q109</f>
        <v>8</v>
      </c>
    </row>
    <row r="34" spans="1:15">
      <c r="A34" s="50" t="s">
        <v>24</v>
      </c>
      <c r="C34" s="57"/>
      <c r="D34" s="175">
        <f>'Gas Factors'!$E$15</f>
        <v>1.9956</v>
      </c>
      <c r="E34" s="175">
        <f>'Gas Factors'!$E$15</f>
        <v>1.9956</v>
      </c>
      <c r="F34" s="175">
        <f>'Gas Factors'!$E$15</f>
        <v>1.9956</v>
      </c>
      <c r="G34" s="175">
        <f>'Gas Factors'!$D$15</f>
        <v>1.9052</v>
      </c>
      <c r="H34" s="175">
        <f>'Gas Factors'!$D$15</f>
        <v>1.9052</v>
      </c>
      <c r="I34" s="175">
        <f>'Gas Factors'!$D$15</f>
        <v>1.9052</v>
      </c>
      <c r="J34" s="175">
        <f>'Gas Factors'!$C$15</f>
        <v>2.2934999999999999</v>
      </c>
      <c r="K34" s="175">
        <f>'Gas Factors'!$C$15</f>
        <v>2.2934999999999999</v>
      </c>
      <c r="L34" s="175">
        <f>'Gas Factors'!$C$15</f>
        <v>2.2934999999999999</v>
      </c>
      <c r="M34" s="69">
        <f>'Gas Factors'!$D$15</f>
        <v>1.9052</v>
      </c>
      <c r="N34" s="69">
        <f>'Gas Factors'!$D$15</f>
        <v>1.9052</v>
      </c>
      <c r="O34" s="69">
        <f>'Gas Factors'!$E$15</f>
        <v>1.9956</v>
      </c>
    </row>
    <row r="35" spans="1:15">
      <c r="C35" s="57"/>
      <c r="D35" s="174"/>
      <c r="E35" s="174"/>
      <c r="F35" s="174"/>
      <c r="G35" s="174"/>
      <c r="H35" s="174"/>
      <c r="I35" s="174"/>
      <c r="J35" s="174"/>
      <c r="K35" s="174"/>
      <c r="L35" s="174"/>
      <c r="M35" s="57"/>
      <c r="N35" s="57"/>
      <c r="O35" s="57"/>
    </row>
    <row r="36" spans="1:15">
      <c r="A36" s="50" t="s">
        <v>40</v>
      </c>
      <c r="C36" s="57">
        <f>SUM(D36:O36)</f>
        <v>-1686777</v>
      </c>
      <c r="D36" s="174">
        <f t="shared" ref="D36:O36" si="8">D37*D38*D$4</f>
        <v>365709</v>
      </c>
      <c r="E36" s="174">
        <f t="shared" si="8"/>
        <v>-2172055</v>
      </c>
      <c r="F36" s="174">
        <f t="shared" si="8"/>
        <v>-1170125</v>
      </c>
      <c r="G36" s="174">
        <f t="shared" si="8"/>
        <v>279093</v>
      </c>
      <c r="H36" s="174">
        <f t="shared" si="8"/>
        <v>785066</v>
      </c>
      <c r="I36" s="174">
        <f t="shared" si="8"/>
        <v>272541</v>
      </c>
      <c r="J36" s="174">
        <f t="shared" si="8"/>
        <v>121366</v>
      </c>
      <c r="K36" s="174">
        <f t="shared" si="8"/>
        <v>182508</v>
      </c>
      <c r="L36" s="174">
        <f t="shared" si="8"/>
        <v>-345273</v>
      </c>
      <c r="M36" s="57">
        <f t="shared" si="8"/>
        <v>-1096977</v>
      </c>
      <c r="N36" s="57">
        <f t="shared" si="8"/>
        <v>-80907</v>
      </c>
      <c r="O36" s="57">
        <f t="shared" si="8"/>
        <v>1172277</v>
      </c>
    </row>
    <row r="37" spans="1:15">
      <c r="A37" s="50" t="s">
        <v>23</v>
      </c>
      <c r="C37" s="57">
        <f>AVERAGE(D37:O37)</f>
        <v>76580</v>
      </c>
      <c r="D37" s="174">
        <f>'Cust Data'!F114</f>
        <v>76042</v>
      </c>
      <c r="E37" s="174">
        <f>'Cust Data'!G114</f>
        <v>76018</v>
      </c>
      <c r="F37" s="174">
        <f>'Cust Data'!H114</f>
        <v>76126</v>
      </c>
      <c r="G37" s="174">
        <f>'Cust Data'!I114</f>
        <v>76205</v>
      </c>
      <c r="H37" s="174">
        <f>'Cust Data'!J114</f>
        <v>76297</v>
      </c>
      <c r="I37" s="174">
        <f>'Cust Data'!K114</f>
        <v>76231</v>
      </c>
      <c r="J37" s="174">
        <f>'Cust Data'!L114</f>
        <v>76446</v>
      </c>
      <c r="K37" s="174">
        <f>'Cust Data'!M114</f>
        <v>76639</v>
      </c>
      <c r="L37" s="174">
        <f>'Cust Data'!N114</f>
        <v>76758</v>
      </c>
      <c r="M37" s="57">
        <f>'Cust Data'!O114</f>
        <v>77178</v>
      </c>
      <c r="N37" s="57">
        <f>'Cust Data'!P114</f>
        <v>77319</v>
      </c>
      <c r="O37" s="57">
        <f>'Cust Data'!Q114</f>
        <v>77696</v>
      </c>
    </row>
    <row r="38" spans="1:15">
      <c r="A38" s="50" t="s">
        <v>24</v>
      </c>
      <c r="B38" s="68"/>
      <c r="C38" s="57"/>
      <c r="D38" s="175">
        <f>'Gas Factors'!$E$19</f>
        <v>9.4299999999999995E-2</v>
      </c>
      <c r="E38" s="175">
        <f>'Gas Factors'!$E$19</f>
        <v>9.4299999999999995E-2</v>
      </c>
      <c r="F38" s="175">
        <f>'Gas Factors'!$E$19</f>
        <v>9.4299999999999995E-2</v>
      </c>
      <c r="G38" s="175">
        <f>'Gas Factors'!$D$19</f>
        <v>8.72E-2</v>
      </c>
      <c r="H38" s="175">
        <f>'Gas Factors'!$D$19</f>
        <v>8.72E-2</v>
      </c>
      <c r="I38" s="175">
        <f>'Gas Factors'!$D$19</f>
        <v>8.72E-2</v>
      </c>
      <c r="J38" s="175">
        <f>'Gas Factors'!$C$19</f>
        <v>8.8200000000000001E-2</v>
      </c>
      <c r="K38" s="175">
        <f>'Gas Factors'!$C$19</f>
        <v>8.8200000000000001E-2</v>
      </c>
      <c r="L38" s="175">
        <f>'Gas Factors'!$C$19</f>
        <v>8.8200000000000001E-2</v>
      </c>
      <c r="M38" s="69">
        <f>'Gas Factors'!$D$19</f>
        <v>8.72E-2</v>
      </c>
      <c r="N38" s="69">
        <f>'Gas Factors'!$D$19</f>
        <v>8.72E-2</v>
      </c>
      <c r="O38" s="69">
        <f>'Gas Factors'!$E$19</f>
        <v>9.4299999999999995E-2</v>
      </c>
    </row>
    <row r="39" spans="1:15">
      <c r="C39" s="57"/>
      <c r="D39" s="143"/>
      <c r="E39" s="143"/>
      <c r="F39" s="143"/>
      <c r="G39" s="143"/>
      <c r="H39" s="143"/>
      <c r="I39" s="143"/>
      <c r="J39" s="143"/>
      <c r="K39" s="143"/>
      <c r="L39" s="143"/>
      <c r="M39" s="58"/>
      <c r="N39" s="58"/>
      <c r="O39" s="58"/>
    </row>
    <row r="40" spans="1:15">
      <c r="A40" s="50" t="s">
        <v>35</v>
      </c>
      <c r="C40" s="57">
        <f>SUM(D40:O40)</f>
        <v>-339365</v>
      </c>
      <c r="D40" s="174">
        <f t="shared" ref="D40:O40" si="9">D41*D42*D$4</f>
        <v>74206</v>
      </c>
      <c r="E40" s="174">
        <f t="shared" si="9"/>
        <v>-436987</v>
      </c>
      <c r="F40" s="174">
        <f t="shared" si="9"/>
        <v>-234741</v>
      </c>
      <c r="G40" s="174">
        <f t="shared" si="9"/>
        <v>52726</v>
      </c>
      <c r="H40" s="174">
        <f t="shared" si="9"/>
        <v>148462</v>
      </c>
      <c r="I40" s="174">
        <f t="shared" si="9"/>
        <v>51112</v>
      </c>
      <c r="J40" s="174">
        <f t="shared" si="9"/>
        <v>23506</v>
      </c>
      <c r="K40" s="174">
        <f t="shared" si="9"/>
        <v>35159</v>
      </c>
      <c r="L40" s="174">
        <f t="shared" si="9"/>
        <v>-66128</v>
      </c>
      <c r="M40" s="57">
        <f t="shared" si="9"/>
        <v>-206428</v>
      </c>
      <c r="N40" s="57">
        <f t="shared" si="9"/>
        <v>-15104</v>
      </c>
      <c r="O40" s="57">
        <f t="shared" si="9"/>
        <v>234852</v>
      </c>
    </row>
    <row r="41" spans="1:15">
      <c r="A41" s="50" t="s">
        <v>23</v>
      </c>
      <c r="C41" s="57">
        <f>AVERAGE(D41:O41)</f>
        <v>7724</v>
      </c>
      <c r="D41" s="143">
        <f>'Cust Data'!F115</f>
        <v>7723</v>
      </c>
      <c r="E41" s="143">
        <f>'Cust Data'!G115</f>
        <v>7655</v>
      </c>
      <c r="F41" s="143">
        <f>'Cust Data'!H115</f>
        <v>7644</v>
      </c>
      <c r="G41" s="143">
        <f>'Cust Data'!I115</f>
        <v>7735</v>
      </c>
      <c r="H41" s="143">
        <f>'Cust Data'!J115</f>
        <v>7752</v>
      </c>
      <c r="I41" s="143">
        <f>'Cust Data'!K115</f>
        <v>7681</v>
      </c>
      <c r="J41" s="143">
        <f>'Cust Data'!L115</f>
        <v>7741</v>
      </c>
      <c r="K41" s="143">
        <f>'Cust Data'!M115</f>
        <v>7719</v>
      </c>
      <c r="L41" s="143">
        <f>'Cust Data'!N115</f>
        <v>7686</v>
      </c>
      <c r="M41" s="58">
        <f>'Cust Data'!O115</f>
        <v>7803</v>
      </c>
      <c r="N41" s="58">
        <f>'Cust Data'!P115</f>
        <v>7755</v>
      </c>
      <c r="O41" s="58">
        <f>'Cust Data'!Q115</f>
        <v>7791</v>
      </c>
    </row>
    <row r="42" spans="1:15">
      <c r="A42" s="50" t="s">
        <v>24</v>
      </c>
      <c r="C42" s="57"/>
      <c r="D42" s="175">
        <f>'Gas Factors'!$E$20</f>
        <v>0.18840000000000001</v>
      </c>
      <c r="E42" s="175">
        <f>'Gas Factors'!$E$20</f>
        <v>0.18840000000000001</v>
      </c>
      <c r="F42" s="175">
        <f>'Gas Factors'!$E$20</f>
        <v>0.18840000000000001</v>
      </c>
      <c r="G42" s="175">
        <f>'Gas Factors'!$D$20</f>
        <v>0.1623</v>
      </c>
      <c r="H42" s="175">
        <f>'Gas Factors'!$D$20</f>
        <v>0.1623</v>
      </c>
      <c r="I42" s="175">
        <f>'Gas Factors'!$D$20</f>
        <v>0.1623</v>
      </c>
      <c r="J42" s="175">
        <f>'Gas Factors'!$C$20</f>
        <v>0.16869999999999999</v>
      </c>
      <c r="K42" s="175">
        <f>'Gas Factors'!$C$20</f>
        <v>0.16869999999999999</v>
      </c>
      <c r="L42" s="175">
        <f>'Gas Factors'!$C$20</f>
        <v>0.16869999999999999</v>
      </c>
      <c r="M42" s="69">
        <f>'Gas Factors'!$D$20</f>
        <v>0.1623</v>
      </c>
      <c r="N42" s="69">
        <f>'Gas Factors'!$D$20</f>
        <v>0.1623</v>
      </c>
      <c r="O42" s="69">
        <f>'Gas Factors'!$E$20</f>
        <v>0.18840000000000001</v>
      </c>
    </row>
    <row r="43" spans="1:15">
      <c r="C43" s="57"/>
      <c r="D43" s="143"/>
      <c r="E43" s="143"/>
      <c r="F43" s="143"/>
      <c r="G43" s="143"/>
      <c r="H43" s="143"/>
      <c r="I43" s="143"/>
      <c r="J43" s="143"/>
      <c r="K43" s="143"/>
      <c r="L43" s="143"/>
      <c r="M43" s="58"/>
      <c r="N43" s="58"/>
      <c r="O43" s="58"/>
    </row>
    <row r="44" spans="1:15">
      <c r="A44" s="50" t="s">
        <v>36</v>
      </c>
      <c r="C44" s="57">
        <f>SUM(D44:O44)</f>
        <v>-4448</v>
      </c>
      <c r="D44" s="174">
        <f t="shared" ref="D44:O44" si="10">D45*D46*D$4</f>
        <v>983</v>
      </c>
      <c r="E44" s="174">
        <f t="shared" si="10"/>
        <v>-5730</v>
      </c>
      <c r="F44" s="174">
        <f t="shared" si="10"/>
        <v>-3024</v>
      </c>
      <c r="G44" s="174">
        <f t="shared" si="10"/>
        <v>692</v>
      </c>
      <c r="H44" s="174">
        <f t="shared" si="10"/>
        <v>1944</v>
      </c>
      <c r="I44" s="174">
        <f t="shared" si="10"/>
        <v>663</v>
      </c>
      <c r="J44" s="174">
        <f t="shared" si="10"/>
        <v>405</v>
      </c>
      <c r="K44" s="174">
        <f t="shared" si="10"/>
        <v>608</v>
      </c>
      <c r="L44" s="174">
        <f t="shared" si="10"/>
        <v>-1082</v>
      </c>
      <c r="M44" s="57">
        <f t="shared" si="10"/>
        <v>-2635</v>
      </c>
      <c r="N44" s="57">
        <f t="shared" si="10"/>
        <v>-183</v>
      </c>
      <c r="O44" s="57">
        <f t="shared" si="10"/>
        <v>2911</v>
      </c>
    </row>
    <row r="45" spans="1:15">
      <c r="A45" s="50" t="s">
        <v>23</v>
      </c>
      <c r="C45" s="57">
        <f>AVERAGE(D45:O45)</f>
        <v>52</v>
      </c>
      <c r="D45" s="143">
        <f>'Cust Data'!F116</f>
        <v>54</v>
      </c>
      <c r="E45" s="143">
        <f>'Cust Data'!G116</f>
        <v>53</v>
      </c>
      <c r="F45" s="143">
        <f>'Cust Data'!H116</f>
        <v>52</v>
      </c>
      <c r="G45" s="143">
        <f>'Cust Data'!I116</f>
        <v>53</v>
      </c>
      <c r="H45" s="143">
        <f>'Cust Data'!J116</f>
        <v>53</v>
      </c>
      <c r="I45" s="143">
        <f>'Cust Data'!K116</f>
        <v>52</v>
      </c>
      <c r="J45" s="143">
        <f>'Cust Data'!L116</f>
        <v>52</v>
      </c>
      <c r="K45" s="143">
        <f>'Cust Data'!M116</f>
        <v>52</v>
      </c>
      <c r="L45" s="143">
        <f>'Cust Data'!N116</f>
        <v>49</v>
      </c>
      <c r="M45" s="58">
        <f>'Cust Data'!O116</f>
        <v>52</v>
      </c>
      <c r="N45" s="58">
        <f>'Cust Data'!P116</f>
        <v>49</v>
      </c>
      <c r="O45" s="58">
        <f>'Cust Data'!Q116</f>
        <v>51</v>
      </c>
    </row>
    <row r="46" spans="1:15">
      <c r="A46" s="50" t="s">
        <v>24</v>
      </c>
      <c r="C46" s="57"/>
      <c r="D46" s="175">
        <f>'Gas Factors'!$E$21</f>
        <v>0.35680000000000001</v>
      </c>
      <c r="E46" s="175">
        <f>'Gas Factors'!$E$21</f>
        <v>0.35680000000000001</v>
      </c>
      <c r="F46" s="175">
        <f>'Gas Factors'!$E$21</f>
        <v>0.35680000000000001</v>
      </c>
      <c r="G46" s="175">
        <f>'Gas Factors'!$D$21</f>
        <v>0.31090000000000001</v>
      </c>
      <c r="H46" s="175">
        <f>'Gas Factors'!$D$21</f>
        <v>0.31090000000000001</v>
      </c>
      <c r="I46" s="175">
        <f>'Gas Factors'!$D$21</f>
        <v>0.31090000000000001</v>
      </c>
      <c r="J46" s="175">
        <f>'Gas Factors'!$C$21</f>
        <v>0.43309999999999998</v>
      </c>
      <c r="K46" s="175">
        <f>'Gas Factors'!$C$21</f>
        <v>0.43309999999999998</v>
      </c>
      <c r="L46" s="175">
        <f>'Gas Factors'!$C$21</f>
        <v>0.43309999999999998</v>
      </c>
      <c r="M46" s="69">
        <f>'Gas Factors'!$D$21</f>
        <v>0.31090000000000001</v>
      </c>
      <c r="N46" s="69">
        <f>'Gas Factors'!$D$21</f>
        <v>0.31090000000000001</v>
      </c>
      <c r="O46" s="69">
        <f>'Gas Factors'!$E$21</f>
        <v>0.35680000000000001</v>
      </c>
    </row>
    <row r="47" spans="1:15">
      <c r="C47" s="57"/>
      <c r="D47" s="143"/>
      <c r="E47" s="143"/>
      <c r="F47" s="143"/>
      <c r="G47" s="143"/>
      <c r="H47" s="143"/>
      <c r="I47" s="143"/>
      <c r="J47" s="143"/>
      <c r="K47" s="143"/>
      <c r="L47" s="143"/>
      <c r="M47" s="58"/>
      <c r="N47" s="58"/>
      <c r="O47" s="58"/>
    </row>
    <row r="48" spans="1:15">
      <c r="A48" s="50" t="s">
        <v>37</v>
      </c>
      <c r="C48" s="57">
        <f>SUM(D48:O48)</f>
        <v>-17944</v>
      </c>
      <c r="D48" s="174">
        <f t="shared" ref="D48:O48" si="11">D49*D50*D$4</f>
        <v>3704</v>
      </c>
      <c r="E48" s="174">
        <f t="shared" si="11"/>
        <v>-22415</v>
      </c>
      <c r="F48" s="174">
        <f t="shared" si="11"/>
        <v>-11948</v>
      </c>
      <c r="G48" s="174">
        <f t="shared" si="11"/>
        <v>2846</v>
      </c>
      <c r="H48" s="174">
        <f t="shared" si="11"/>
        <v>7639</v>
      </c>
      <c r="I48" s="174">
        <f t="shared" si="11"/>
        <v>2654</v>
      </c>
      <c r="J48" s="174">
        <f t="shared" si="11"/>
        <v>2154</v>
      </c>
      <c r="K48" s="174">
        <f t="shared" si="11"/>
        <v>3232</v>
      </c>
      <c r="L48" s="174">
        <f t="shared" si="11"/>
        <v>-6104</v>
      </c>
      <c r="M48" s="57">
        <f t="shared" si="11"/>
        <v>-10650</v>
      </c>
      <c r="N48" s="57">
        <f t="shared" si="11"/>
        <v>-784</v>
      </c>
      <c r="O48" s="57">
        <f t="shared" si="11"/>
        <v>11728</v>
      </c>
    </row>
    <row r="49" spans="1:15">
      <c r="A49" s="50" t="s">
        <v>23</v>
      </c>
      <c r="C49" s="57">
        <f>AVERAGE(D49:O49)</f>
        <v>108</v>
      </c>
      <c r="D49" s="174">
        <f>'Cust Data'!F118</f>
        <v>107</v>
      </c>
      <c r="E49" s="174">
        <f>'Cust Data'!G118</f>
        <v>109</v>
      </c>
      <c r="F49" s="174">
        <f>'Cust Data'!H118</f>
        <v>108</v>
      </c>
      <c r="G49" s="174">
        <f>'Cust Data'!I118</f>
        <v>112</v>
      </c>
      <c r="H49" s="174">
        <f>'Cust Data'!J118</f>
        <v>107</v>
      </c>
      <c r="I49" s="174">
        <f>'Cust Data'!K118</f>
        <v>107</v>
      </c>
      <c r="J49" s="174">
        <f>'Cust Data'!L118</f>
        <v>108</v>
      </c>
      <c r="K49" s="174">
        <f>'Cust Data'!M118</f>
        <v>108</v>
      </c>
      <c r="L49" s="174">
        <f>'Cust Data'!N118</f>
        <v>108</v>
      </c>
      <c r="M49" s="57">
        <f>'Cust Data'!O118</f>
        <v>108</v>
      </c>
      <c r="N49" s="57">
        <f>'Cust Data'!P118</f>
        <v>108</v>
      </c>
      <c r="O49" s="57">
        <f>'Cust Data'!Q118</f>
        <v>108</v>
      </c>
    </row>
    <row r="50" spans="1:15">
      <c r="A50" s="50" t="s">
        <v>24</v>
      </c>
      <c r="B50" s="68"/>
      <c r="C50" s="57"/>
      <c r="D50" s="175">
        <f>'Gas Factors'!$E$23</f>
        <v>0.67869999999999997</v>
      </c>
      <c r="E50" s="175">
        <f>'Gas Factors'!$E$23</f>
        <v>0.67869999999999997</v>
      </c>
      <c r="F50" s="175">
        <f>'Gas Factors'!$E$23</f>
        <v>0.67869999999999997</v>
      </c>
      <c r="G50" s="175">
        <f>'Gas Factors'!$D$23</f>
        <v>0.60499999999999998</v>
      </c>
      <c r="H50" s="175">
        <f>'Gas Factors'!$D$23</f>
        <v>0.60499999999999998</v>
      </c>
      <c r="I50" s="175">
        <f>'Gas Factors'!$D$23</f>
        <v>0.60499999999999998</v>
      </c>
      <c r="J50" s="175">
        <f>'Gas Factors'!$C$23</f>
        <v>1.1082000000000001</v>
      </c>
      <c r="K50" s="175">
        <f>'Gas Factors'!$C$23</f>
        <v>1.1082000000000001</v>
      </c>
      <c r="L50" s="175">
        <f>'Gas Factors'!$C$23</f>
        <v>1.1082000000000001</v>
      </c>
      <c r="M50" s="69">
        <f>'Gas Factors'!$D$23</f>
        <v>0.60499999999999998</v>
      </c>
      <c r="N50" s="69">
        <f>'Gas Factors'!$D$23</f>
        <v>0.60499999999999998</v>
      </c>
      <c r="O50" s="69">
        <f>'Gas Factors'!$E$23</f>
        <v>0.67869999999999997</v>
      </c>
    </row>
    <row r="51" spans="1:15">
      <c r="C51" s="57"/>
      <c r="D51" s="143"/>
      <c r="E51" s="143"/>
      <c r="F51" s="143"/>
      <c r="G51" s="143"/>
      <c r="H51" s="143"/>
      <c r="I51" s="143"/>
      <c r="J51" s="143"/>
      <c r="K51" s="143"/>
      <c r="L51" s="143"/>
      <c r="M51" s="58"/>
      <c r="N51" s="58"/>
      <c r="O51" s="58"/>
    </row>
    <row r="52" spans="1:15">
      <c r="A52" s="50" t="s">
        <v>38</v>
      </c>
      <c r="C52" s="57">
        <f>SUM(D52:O52)</f>
        <v>-473020</v>
      </c>
      <c r="D52" s="174">
        <f t="shared" ref="D52:O52" si="12">D53*D54*D$4</f>
        <v>100581</v>
      </c>
      <c r="E52" s="174">
        <f t="shared" si="12"/>
        <v>-597131</v>
      </c>
      <c r="F52" s="174">
        <f t="shared" si="12"/>
        <v>-321701</v>
      </c>
      <c r="G52" s="174">
        <f t="shared" si="12"/>
        <v>71301</v>
      </c>
      <c r="H52" s="174">
        <f t="shared" si="12"/>
        <v>199878</v>
      </c>
      <c r="I52" s="174">
        <f t="shared" si="12"/>
        <v>69244</v>
      </c>
      <c r="J52" s="174">
        <f t="shared" si="12"/>
        <v>36644</v>
      </c>
      <c r="K52" s="174">
        <f t="shared" si="12"/>
        <v>54684</v>
      </c>
      <c r="L52" s="174">
        <f t="shared" si="12"/>
        <v>-103215</v>
      </c>
      <c r="M52" s="57">
        <f t="shared" si="12"/>
        <v>-280790</v>
      </c>
      <c r="N52" s="57">
        <f t="shared" si="12"/>
        <v>-20612</v>
      </c>
      <c r="O52" s="57">
        <f t="shared" si="12"/>
        <v>318097</v>
      </c>
    </row>
    <row r="53" spans="1:15">
      <c r="A53" s="50" t="s">
        <v>23</v>
      </c>
      <c r="C53" s="57">
        <f>AVERAGE(D53:O53)</f>
        <v>1363</v>
      </c>
      <c r="D53" s="143">
        <f>'Cust Data'!F119</f>
        <v>1362</v>
      </c>
      <c r="E53" s="143">
        <f>'Cust Data'!G119</f>
        <v>1361</v>
      </c>
      <c r="F53" s="143">
        <f>'Cust Data'!H119</f>
        <v>1363</v>
      </c>
      <c r="G53" s="143">
        <f>'Cust Data'!I119</f>
        <v>1358</v>
      </c>
      <c r="H53" s="143">
        <f>'Cust Data'!J119</f>
        <v>1355</v>
      </c>
      <c r="I53" s="143">
        <f>'Cust Data'!K119</f>
        <v>1351</v>
      </c>
      <c r="J53" s="143">
        <f>'Cust Data'!L119</f>
        <v>1365</v>
      </c>
      <c r="K53" s="143">
        <f>'Cust Data'!M119</f>
        <v>1358</v>
      </c>
      <c r="L53" s="143">
        <f>'Cust Data'!N119</f>
        <v>1357</v>
      </c>
      <c r="M53" s="58">
        <f>'Cust Data'!O119</f>
        <v>1378</v>
      </c>
      <c r="N53" s="58">
        <f>'Cust Data'!P119</f>
        <v>1374</v>
      </c>
      <c r="O53" s="58">
        <f>'Cust Data'!Q119</f>
        <v>1373</v>
      </c>
    </row>
    <row r="54" spans="1:15">
      <c r="A54" s="50" t="s">
        <v>24</v>
      </c>
      <c r="C54" s="57"/>
      <c r="D54" s="175">
        <f>'Gas Factors'!$E$24</f>
        <v>1.448</v>
      </c>
      <c r="E54" s="175">
        <f>'Gas Factors'!$E$24</f>
        <v>1.448</v>
      </c>
      <c r="F54" s="175">
        <f>'Gas Factors'!$E$24</f>
        <v>1.448</v>
      </c>
      <c r="G54" s="175">
        <f>'Gas Factors'!$D$24</f>
        <v>1.2501</v>
      </c>
      <c r="H54" s="175">
        <f>'Gas Factors'!$D$24</f>
        <v>1.2501</v>
      </c>
      <c r="I54" s="175">
        <f>'Gas Factors'!$D$24</f>
        <v>1.2501</v>
      </c>
      <c r="J54" s="175">
        <f>'Gas Factors'!$C$24</f>
        <v>1.4914000000000001</v>
      </c>
      <c r="K54" s="175">
        <f>'Gas Factors'!$C$24</f>
        <v>1.4914000000000001</v>
      </c>
      <c r="L54" s="175">
        <f>'Gas Factors'!$C$24</f>
        <v>1.4914000000000001</v>
      </c>
      <c r="M54" s="69">
        <f>'Gas Factors'!$D$24</f>
        <v>1.2501</v>
      </c>
      <c r="N54" s="69">
        <f>'Gas Factors'!$D$24</f>
        <v>1.2501</v>
      </c>
      <c r="O54" s="69">
        <f>'Gas Factors'!$E$24</f>
        <v>1.448</v>
      </c>
    </row>
    <row r="55" spans="1:15">
      <c r="C55" s="57"/>
      <c r="D55" s="143"/>
      <c r="E55" s="143"/>
      <c r="F55" s="143"/>
      <c r="G55" s="143"/>
      <c r="H55" s="143"/>
      <c r="I55" s="143"/>
      <c r="J55" s="143"/>
      <c r="K55" s="143"/>
      <c r="L55" s="143"/>
      <c r="M55" s="58"/>
      <c r="N55" s="58"/>
      <c r="O55" s="58"/>
    </row>
    <row r="56" spans="1:15">
      <c r="A56" s="50" t="s">
        <v>39</v>
      </c>
      <c r="C56" s="57">
        <f>SUM(D56:O56)</f>
        <v>-22521</v>
      </c>
      <c r="D56" s="174">
        <f t="shared" ref="D56:O56" si="13">D57*D58*D$4</f>
        <v>5051</v>
      </c>
      <c r="E56" s="174">
        <f t="shared" si="13"/>
        <v>-29221</v>
      </c>
      <c r="F56" s="174">
        <f t="shared" si="13"/>
        <v>-16145</v>
      </c>
      <c r="G56" s="174">
        <f t="shared" si="13"/>
        <v>3227</v>
      </c>
      <c r="H56" s="174">
        <f t="shared" si="13"/>
        <v>9801</v>
      </c>
      <c r="I56" s="174">
        <f t="shared" si="13"/>
        <v>3065</v>
      </c>
      <c r="J56" s="174">
        <f t="shared" si="13"/>
        <v>0</v>
      </c>
      <c r="K56" s="174">
        <f t="shared" si="13"/>
        <v>0</v>
      </c>
      <c r="L56" s="174">
        <f t="shared" si="13"/>
        <v>0</v>
      </c>
      <c r="M56" s="57">
        <f t="shared" si="13"/>
        <v>-13200</v>
      </c>
      <c r="N56" s="57">
        <f t="shared" si="13"/>
        <v>-947</v>
      </c>
      <c r="O56" s="57">
        <f t="shared" si="13"/>
        <v>15848</v>
      </c>
    </row>
    <row r="57" spans="1:15">
      <c r="A57" s="50" t="s">
        <v>23</v>
      </c>
      <c r="C57" s="57">
        <f>AVERAGE(D57:O57)</f>
        <v>38</v>
      </c>
      <c r="D57" s="143">
        <f>'Cust Data'!F120</f>
        <v>38</v>
      </c>
      <c r="E57" s="143">
        <f>'Cust Data'!G120</f>
        <v>37</v>
      </c>
      <c r="F57" s="143">
        <f>'Cust Data'!H120</f>
        <v>38</v>
      </c>
      <c r="G57" s="143">
        <f>'Cust Data'!I120</f>
        <v>37</v>
      </c>
      <c r="H57" s="143">
        <f>'Cust Data'!J120</f>
        <v>40</v>
      </c>
      <c r="I57" s="143">
        <f>'Cust Data'!K120</f>
        <v>36</v>
      </c>
      <c r="J57" s="143">
        <f>'Cust Data'!L120</f>
        <v>40</v>
      </c>
      <c r="K57" s="143">
        <f>'Cust Data'!M120</f>
        <v>37</v>
      </c>
      <c r="L57" s="143">
        <f>'Cust Data'!N120</f>
        <v>37</v>
      </c>
      <c r="M57" s="58">
        <f>'Cust Data'!O120</f>
        <v>39</v>
      </c>
      <c r="N57" s="58">
        <f>'Cust Data'!P120</f>
        <v>38</v>
      </c>
      <c r="O57" s="58">
        <f>'Cust Data'!Q120</f>
        <v>38</v>
      </c>
    </row>
    <row r="58" spans="1:15">
      <c r="A58" s="50" t="s">
        <v>24</v>
      </c>
      <c r="C58" s="57"/>
      <c r="D58" s="175">
        <f>'Gas Factors'!$E$25</f>
        <v>2.6065</v>
      </c>
      <c r="E58" s="175">
        <f>'Gas Factors'!$E$25</f>
        <v>2.6065</v>
      </c>
      <c r="F58" s="175">
        <f>'Gas Factors'!$E$25</f>
        <v>2.6065</v>
      </c>
      <c r="G58" s="175">
        <f>'Gas Factors'!$D$25</f>
        <v>2.0764999999999998</v>
      </c>
      <c r="H58" s="175">
        <f>'Gas Factors'!$D$25</f>
        <v>2.0764999999999998</v>
      </c>
      <c r="I58" s="175">
        <f>'Gas Factors'!$D$25</f>
        <v>2.0764999999999998</v>
      </c>
      <c r="J58" s="175">
        <f>'Gas Factors'!$C$25</f>
        <v>0</v>
      </c>
      <c r="K58" s="175">
        <f>'Gas Factors'!$C$25</f>
        <v>0</v>
      </c>
      <c r="L58" s="175">
        <f>'Gas Factors'!$C$25</f>
        <v>0</v>
      </c>
      <c r="M58" s="69">
        <f>'Gas Factors'!$D$25</f>
        <v>2.0764999999999998</v>
      </c>
      <c r="N58" s="69">
        <f>'Gas Factors'!$D$25</f>
        <v>2.0764999999999998</v>
      </c>
      <c r="O58" s="69">
        <f>'Gas Factors'!$E$25</f>
        <v>2.6065</v>
      </c>
    </row>
    <row r="59" spans="1:15">
      <c r="C59" s="57"/>
      <c r="D59" s="174"/>
      <c r="E59" s="174"/>
      <c r="F59" s="174"/>
      <c r="G59" s="174"/>
      <c r="H59" s="174"/>
      <c r="I59" s="174"/>
      <c r="J59" s="174"/>
      <c r="K59" s="174"/>
      <c r="L59" s="174"/>
      <c r="M59" s="57"/>
      <c r="N59" s="57"/>
      <c r="O59" s="57"/>
    </row>
    <row r="62" spans="1:15">
      <c r="A62" s="50" t="s">
        <v>26</v>
      </c>
      <c r="C62" s="57">
        <f>SUM(D62:O62)</f>
        <v>-5787854</v>
      </c>
      <c r="D62" s="174">
        <f>D8+D12+D16+D20+D24+D28+D32</f>
        <v>1253245</v>
      </c>
      <c r="E62" s="174">
        <f t="shared" ref="E62:O62" si="14">E8+E12+E16+E20+E24+E28+E32</f>
        <v>-7319249</v>
      </c>
      <c r="F62" s="174">
        <f t="shared" si="14"/>
        <v>-4070633</v>
      </c>
      <c r="G62" s="174">
        <f t="shared" si="14"/>
        <v>880898</v>
      </c>
      <c r="H62" s="174">
        <f t="shared" si="14"/>
        <v>2515804</v>
      </c>
      <c r="I62" s="174">
        <f t="shared" si="14"/>
        <v>863661</v>
      </c>
      <c r="J62" s="174">
        <f t="shared" si="14"/>
        <v>436946</v>
      </c>
      <c r="K62" s="174">
        <f t="shared" si="14"/>
        <v>656098</v>
      </c>
      <c r="L62" s="174">
        <f t="shared" si="14"/>
        <v>-1214366</v>
      </c>
      <c r="M62" s="57">
        <f t="shared" si="14"/>
        <v>-3521462</v>
      </c>
      <c r="N62" s="57">
        <f t="shared" si="14"/>
        <v>-255268</v>
      </c>
      <c r="O62" s="57">
        <f t="shared" si="14"/>
        <v>3986472</v>
      </c>
    </row>
    <row r="64" spans="1:15">
      <c r="A64" s="50" t="s">
        <v>27</v>
      </c>
      <c r="C64" s="57">
        <f>SUM(D64:O64)</f>
        <v>-2544075</v>
      </c>
      <c r="D64" s="174">
        <f>D36+D40+D44+D48+D52+D56</f>
        <v>550234</v>
      </c>
      <c r="E64" s="174">
        <f t="shared" ref="E64:O64" si="15">E36+E40+E44+E48+E52+E56</f>
        <v>-3263539</v>
      </c>
      <c r="F64" s="174">
        <f t="shared" si="15"/>
        <v>-1757684</v>
      </c>
      <c r="G64" s="174">
        <f t="shared" si="15"/>
        <v>409885</v>
      </c>
      <c r="H64" s="174">
        <f t="shared" si="15"/>
        <v>1152790</v>
      </c>
      <c r="I64" s="174">
        <f t="shared" si="15"/>
        <v>399279</v>
      </c>
      <c r="J64" s="174">
        <f t="shared" si="15"/>
        <v>184075</v>
      </c>
      <c r="K64" s="174">
        <f t="shared" si="15"/>
        <v>276191</v>
      </c>
      <c r="L64" s="174">
        <f t="shared" si="15"/>
        <v>-521802</v>
      </c>
      <c r="M64" s="57">
        <f t="shared" si="15"/>
        <v>-1610680</v>
      </c>
      <c r="N64" s="57">
        <f t="shared" si="15"/>
        <v>-118537</v>
      </c>
      <c r="O64" s="57">
        <f t="shared" si="15"/>
        <v>1755713</v>
      </c>
    </row>
    <row r="66" spans="1:15">
      <c r="A66" s="50" t="s">
        <v>41</v>
      </c>
    </row>
    <row r="68" spans="1:15">
      <c r="A68" s="50" t="s">
        <v>42</v>
      </c>
      <c r="C68" s="57">
        <f>SUM(D68:O68)</f>
        <v>-4425376</v>
      </c>
      <c r="D68" s="174">
        <f>D8+D12+D16</f>
        <v>955672</v>
      </c>
      <c r="E68" s="174">
        <f t="shared" ref="E68:O68" si="16">E8+E12+E16</f>
        <v>-5579988</v>
      </c>
      <c r="F68" s="174">
        <f t="shared" si="16"/>
        <v>-3103187</v>
      </c>
      <c r="G68" s="174">
        <f t="shared" si="16"/>
        <v>647284</v>
      </c>
      <c r="H68" s="174">
        <f t="shared" si="16"/>
        <v>1858877</v>
      </c>
      <c r="I68" s="174">
        <f t="shared" si="16"/>
        <v>637272</v>
      </c>
      <c r="J68" s="174">
        <f t="shared" si="16"/>
        <v>323996</v>
      </c>
      <c r="K68" s="174">
        <f t="shared" si="16"/>
        <v>486920</v>
      </c>
      <c r="L68" s="174">
        <f t="shared" si="16"/>
        <v>-901358</v>
      </c>
      <c r="M68" s="57">
        <f t="shared" si="16"/>
        <v>-2606962</v>
      </c>
      <c r="N68" s="57">
        <f t="shared" si="16"/>
        <v>-188880</v>
      </c>
      <c r="O68" s="57">
        <f t="shared" si="16"/>
        <v>3044978</v>
      </c>
    </row>
    <row r="69" spans="1:15">
      <c r="A69" s="50" t="s">
        <v>43</v>
      </c>
      <c r="C69" s="57">
        <f>SUM(D69:O69)</f>
        <v>-1360628</v>
      </c>
      <c r="D69" s="174">
        <f>D20+D24+D28</f>
        <v>297166</v>
      </c>
      <c r="E69" s="174">
        <f t="shared" ref="E69:O69" si="17">E20+E24+E28</f>
        <v>-1736842</v>
      </c>
      <c r="F69" s="174">
        <f t="shared" si="17"/>
        <v>-965494</v>
      </c>
      <c r="G69" s="174">
        <f t="shared" si="17"/>
        <v>233134</v>
      </c>
      <c r="H69" s="174">
        <f t="shared" si="17"/>
        <v>655578</v>
      </c>
      <c r="I69" s="174">
        <f t="shared" si="17"/>
        <v>226858</v>
      </c>
      <c r="J69" s="174">
        <f t="shared" si="17"/>
        <v>112785</v>
      </c>
      <c r="K69" s="174">
        <f t="shared" si="17"/>
        <v>168868</v>
      </c>
      <c r="L69" s="174">
        <f t="shared" si="17"/>
        <v>-312423</v>
      </c>
      <c r="M69" s="57">
        <f t="shared" si="17"/>
        <v>-912947</v>
      </c>
      <c r="N69" s="57">
        <f t="shared" si="17"/>
        <v>-66251</v>
      </c>
      <c r="O69" s="57">
        <f t="shared" si="17"/>
        <v>938940</v>
      </c>
    </row>
    <row r="70" spans="1:15">
      <c r="A70" s="50" t="s">
        <v>44</v>
      </c>
      <c r="C70" s="57">
        <f>SUM(D70:O70)</f>
        <v>-1850</v>
      </c>
      <c r="D70" s="174">
        <f>D32</f>
        <v>407</v>
      </c>
      <c r="E70" s="174">
        <f t="shared" ref="E70:O70" si="18">E32</f>
        <v>-2419</v>
      </c>
      <c r="F70" s="174">
        <f t="shared" si="18"/>
        <v>-1952</v>
      </c>
      <c r="G70" s="174">
        <f t="shared" si="18"/>
        <v>480</v>
      </c>
      <c r="H70" s="174">
        <f t="shared" si="18"/>
        <v>1349</v>
      </c>
      <c r="I70" s="174">
        <f t="shared" si="18"/>
        <v>-469</v>
      </c>
      <c r="J70" s="174">
        <f t="shared" si="18"/>
        <v>165</v>
      </c>
      <c r="K70" s="174">
        <f t="shared" si="18"/>
        <v>310</v>
      </c>
      <c r="L70" s="174">
        <f t="shared" si="18"/>
        <v>-585</v>
      </c>
      <c r="M70" s="57">
        <f t="shared" si="18"/>
        <v>-1553</v>
      </c>
      <c r="N70" s="57">
        <f t="shared" si="18"/>
        <v>-137</v>
      </c>
      <c r="O70" s="57">
        <f t="shared" si="18"/>
        <v>2554</v>
      </c>
    </row>
    <row r="72" spans="1:15">
      <c r="A72" s="50" t="s">
        <v>45</v>
      </c>
      <c r="C72" s="57">
        <f>SUM(D72:O72)</f>
        <v>-2030590</v>
      </c>
      <c r="D72" s="174">
        <f>D36+D40+D44</f>
        <v>440898</v>
      </c>
      <c r="E72" s="174">
        <f t="shared" ref="E72:O72" si="19">E36+E40+E44</f>
        <v>-2614772</v>
      </c>
      <c r="F72" s="174">
        <f t="shared" si="19"/>
        <v>-1407890</v>
      </c>
      <c r="G72" s="174">
        <f t="shared" si="19"/>
        <v>332511</v>
      </c>
      <c r="H72" s="174">
        <f t="shared" si="19"/>
        <v>935472</v>
      </c>
      <c r="I72" s="174">
        <f t="shared" si="19"/>
        <v>324316</v>
      </c>
      <c r="J72" s="174">
        <f t="shared" si="19"/>
        <v>145277</v>
      </c>
      <c r="K72" s="174">
        <f t="shared" si="19"/>
        <v>218275</v>
      </c>
      <c r="L72" s="174">
        <f t="shared" si="19"/>
        <v>-412483</v>
      </c>
      <c r="M72" s="57">
        <f t="shared" si="19"/>
        <v>-1306040</v>
      </c>
      <c r="N72" s="57">
        <f t="shared" si="19"/>
        <v>-96194</v>
      </c>
      <c r="O72" s="57">
        <f t="shared" si="19"/>
        <v>1410040</v>
      </c>
    </row>
    <row r="73" spans="1:15">
      <c r="A73" s="50" t="s">
        <v>46</v>
      </c>
      <c r="C73" s="57">
        <f>SUM(D73:O73)</f>
        <v>-513485</v>
      </c>
      <c r="D73" s="174">
        <f>D48+D52+D56</f>
        <v>109336</v>
      </c>
      <c r="E73" s="174">
        <f t="shared" ref="E73:O73" si="20">E48+E52+E56</f>
        <v>-648767</v>
      </c>
      <c r="F73" s="174">
        <f t="shared" si="20"/>
        <v>-349794</v>
      </c>
      <c r="G73" s="174">
        <f t="shared" si="20"/>
        <v>77374</v>
      </c>
      <c r="H73" s="174">
        <f t="shared" si="20"/>
        <v>217318</v>
      </c>
      <c r="I73" s="174">
        <f t="shared" si="20"/>
        <v>74963</v>
      </c>
      <c r="J73" s="174">
        <f t="shared" si="20"/>
        <v>38798</v>
      </c>
      <c r="K73" s="174">
        <f t="shared" si="20"/>
        <v>57916</v>
      </c>
      <c r="L73" s="174">
        <f t="shared" si="20"/>
        <v>-109319</v>
      </c>
      <c r="M73" s="57">
        <f t="shared" si="20"/>
        <v>-304640</v>
      </c>
      <c r="N73" s="57">
        <f t="shared" si="20"/>
        <v>-22343</v>
      </c>
      <c r="O73" s="57">
        <f t="shared" si="20"/>
        <v>345673</v>
      </c>
    </row>
    <row r="92" spans="1:15">
      <c r="A92" s="50" t="s">
        <v>48</v>
      </c>
    </row>
    <row r="93" spans="1:15">
      <c r="A93" s="50" t="s">
        <v>42</v>
      </c>
      <c r="C93" s="113">
        <f>SUM(D93:O93)</f>
        <v>-3175654</v>
      </c>
      <c r="D93" s="176">
        <f t="shared" ref="D93:O95" si="21">D68*D140</f>
        <v>670452</v>
      </c>
      <c r="E93" s="176">
        <f t="shared" si="21"/>
        <v>-3914641</v>
      </c>
      <c r="F93" s="176">
        <f t="shared" si="21"/>
        <v>-2177041</v>
      </c>
      <c r="G93" s="176">
        <f t="shared" si="21"/>
        <v>454102</v>
      </c>
      <c r="H93" s="176">
        <f t="shared" si="21"/>
        <v>1304095</v>
      </c>
      <c r="I93" s="176">
        <f t="shared" si="21"/>
        <v>447078</v>
      </c>
      <c r="J93" s="176">
        <f t="shared" si="21"/>
        <v>227299</v>
      </c>
      <c r="K93" s="176">
        <f t="shared" si="21"/>
        <v>341599</v>
      </c>
      <c r="L93" s="176">
        <f t="shared" si="21"/>
        <v>-632348</v>
      </c>
      <c r="M93" s="113">
        <f t="shared" si="21"/>
        <v>-1828914</v>
      </c>
      <c r="N93" s="113">
        <f t="shared" si="21"/>
        <v>-127811</v>
      </c>
      <c r="O93" s="113">
        <f t="shared" si="21"/>
        <v>2060476</v>
      </c>
    </row>
    <row r="94" spans="1:15">
      <c r="A94" s="50" t="s">
        <v>43</v>
      </c>
      <c r="C94" s="113">
        <f>SUM(D94:O94)</f>
        <v>-754316</v>
      </c>
      <c r="D94" s="176">
        <f t="shared" si="21"/>
        <v>160158</v>
      </c>
      <c r="E94" s="176">
        <f t="shared" si="21"/>
        <v>-936071</v>
      </c>
      <c r="F94" s="176">
        <f t="shared" si="21"/>
        <v>-520353</v>
      </c>
      <c r="G94" s="176">
        <f t="shared" si="21"/>
        <v>125648</v>
      </c>
      <c r="H94" s="176">
        <f t="shared" si="21"/>
        <v>353324</v>
      </c>
      <c r="I94" s="176">
        <f t="shared" si="21"/>
        <v>122265</v>
      </c>
      <c r="J94" s="176">
        <f t="shared" si="21"/>
        <v>60785</v>
      </c>
      <c r="K94" s="176">
        <f t="shared" si="21"/>
        <v>91011</v>
      </c>
      <c r="L94" s="176">
        <f t="shared" si="21"/>
        <v>-168380</v>
      </c>
      <c r="M94" s="113">
        <f t="shared" si="21"/>
        <v>-492033</v>
      </c>
      <c r="N94" s="113">
        <f t="shared" si="21"/>
        <v>-34111</v>
      </c>
      <c r="O94" s="113">
        <f t="shared" si="21"/>
        <v>483441</v>
      </c>
    </row>
    <row r="95" spans="1:15" ht="13.5" thickBot="1">
      <c r="A95" s="50" t="s">
        <v>44</v>
      </c>
      <c r="C95" s="113">
        <f>SUM(D95:O95)</f>
        <v>-876</v>
      </c>
      <c r="D95" s="176">
        <f t="shared" si="21"/>
        <v>180</v>
      </c>
      <c r="E95" s="176">
        <f t="shared" si="21"/>
        <v>-1069</v>
      </c>
      <c r="F95" s="176">
        <f t="shared" si="21"/>
        <v>-863</v>
      </c>
      <c r="G95" s="176">
        <f t="shared" si="21"/>
        <v>212</v>
      </c>
      <c r="H95" s="176">
        <f t="shared" si="21"/>
        <v>596</v>
      </c>
      <c r="I95" s="176">
        <f t="shared" si="21"/>
        <v>-207</v>
      </c>
      <c r="J95" s="176">
        <f t="shared" si="21"/>
        <v>73</v>
      </c>
      <c r="K95" s="176">
        <f t="shared" si="21"/>
        <v>137</v>
      </c>
      <c r="L95" s="176">
        <f t="shared" si="21"/>
        <v>-259</v>
      </c>
      <c r="M95" s="113">
        <f t="shared" si="21"/>
        <v>-687</v>
      </c>
      <c r="N95" s="113">
        <f t="shared" si="21"/>
        <v>-57</v>
      </c>
      <c r="O95" s="113">
        <f t="shared" si="21"/>
        <v>1068</v>
      </c>
    </row>
    <row r="96" spans="1:15" ht="14.25" thickTop="1" thickBot="1">
      <c r="A96" s="50" t="s">
        <v>241</v>
      </c>
      <c r="C96" s="121">
        <f>SUM(C93:C95)</f>
        <v>-3930846</v>
      </c>
      <c r="D96" s="177">
        <f>SUM(D93:D95)</f>
        <v>830790</v>
      </c>
      <c r="E96" s="177">
        <f t="shared" ref="E96:O96" si="22">SUM(E93:E95)</f>
        <v>-4851781</v>
      </c>
      <c r="F96" s="177">
        <f t="shared" si="22"/>
        <v>-2698257</v>
      </c>
      <c r="G96" s="177">
        <f t="shared" si="22"/>
        <v>579962</v>
      </c>
      <c r="H96" s="177">
        <f t="shared" si="22"/>
        <v>1658015</v>
      </c>
      <c r="I96" s="177">
        <f t="shared" si="22"/>
        <v>569136</v>
      </c>
      <c r="J96" s="177">
        <f t="shared" si="22"/>
        <v>288157</v>
      </c>
      <c r="K96" s="177">
        <f t="shared" si="22"/>
        <v>432747</v>
      </c>
      <c r="L96" s="177">
        <f t="shared" si="22"/>
        <v>-800987</v>
      </c>
      <c r="M96" s="114">
        <f t="shared" si="22"/>
        <v>-2321634</v>
      </c>
      <c r="N96" s="114">
        <f t="shared" si="22"/>
        <v>-161979</v>
      </c>
      <c r="O96" s="114">
        <f t="shared" si="22"/>
        <v>2544985</v>
      </c>
    </row>
    <row r="97" spans="1:15" ht="13.5" thickTop="1">
      <c r="C97" s="164"/>
      <c r="D97" s="178"/>
      <c r="E97" s="178"/>
      <c r="F97" s="178"/>
      <c r="G97" s="178"/>
      <c r="H97" s="178"/>
      <c r="I97" s="178"/>
      <c r="J97" s="178"/>
      <c r="K97" s="178"/>
      <c r="L97" s="178"/>
      <c r="M97" s="165"/>
      <c r="N97" s="165"/>
      <c r="O97" s="165"/>
    </row>
    <row r="98" spans="1:15">
      <c r="A98" s="50" t="s">
        <v>306</v>
      </c>
      <c r="C98" s="164"/>
      <c r="D98" s="178"/>
      <c r="E98" s="178"/>
      <c r="F98" s="178"/>
      <c r="G98" s="178"/>
      <c r="H98" s="178"/>
      <c r="I98" s="178"/>
      <c r="J98" s="178"/>
      <c r="K98" s="178"/>
      <c r="L98" s="178"/>
      <c r="M98" s="165"/>
      <c r="N98" s="165"/>
      <c r="O98" s="165"/>
    </row>
    <row r="99" spans="1:15">
      <c r="A99" s="50" t="s">
        <v>42</v>
      </c>
      <c r="C99" s="113">
        <f t="shared" ref="C99:C101" si="23">SUM(D99:O99)</f>
        <v>-1837326</v>
      </c>
      <c r="D99" s="221">
        <f>D68*$M155</f>
        <v>396776</v>
      </c>
      <c r="E99" s="221">
        <f t="shared" ref="E99:M99" si="24">E68*$M155</f>
        <v>-2316699</v>
      </c>
      <c r="F99" s="221">
        <f t="shared" si="24"/>
        <v>-1288381</v>
      </c>
      <c r="G99" s="221">
        <f t="shared" si="24"/>
        <v>268739</v>
      </c>
      <c r="H99" s="221">
        <f t="shared" si="24"/>
        <v>771769</v>
      </c>
      <c r="I99" s="221">
        <f t="shared" si="24"/>
        <v>264583</v>
      </c>
      <c r="J99" s="221">
        <f t="shared" si="24"/>
        <v>134517</v>
      </c>
      <c r="K99" s="221">
        <f t="shared" si="24"/>
        <v>202159</v>
      </c>
      <c r="L99" s="221">
        <f t="shared" si="24"/>
        <v>-374226</v>
      </c>
      <c r="M99" s="221">
        <f t="shared" si="24"/>
        <v>-1082358</v>
      </c>
      <c r="N99" s="199">
        <f>N68*$N155</f>
        <v>-78419</v>
      </c>
      <c r="O99" s="199">
        <f>O68*$N155</f>
        <v>1264214</v>
      </c>
    </row>
    <row r="100" spans="1:15">
      <c r="A100" s="50" t="s">
        <v>43</v>
      </c>
      <c r="C100" s="113">
        <f t="shared" si="23"/>
        <v>-357941</v>
      </c>
      <c r="D100" s="221">
        <f>D69*$M163</f>
        <v>78175</v>
      </c>
      <c r="E100" s="221">
        <f t="shared" ref="E100:M100" si="25">E69*$M163</f>
        <v>-456911</v>
      </c>
      <c r="F100" s="221">
        <f t="shared" si="25"/>
        <v>-253993</v>
      </c>
      <c r="G100" s="221">
        <f t="shared" si="25"/>
        <v>61331</v>
      </c>
      <c r="H100" s="221">
        <f t="shared" si="25"/>
        <v>172463</v>
      </c>
      <c r="I100" s="221">
        <f t="shared" si="25"/>
        <v>59680</v>
      </c>
      <c r="J100" s="221">
        <f t="shared" si="25"/>
        <v>29670</v>
      </c>
      <c r="K100" s="221">
        <f t="shared" si="25"/>
        <v>44424</v>
      </c>
      <c r="L100" s="221">
        <f t="shared" si="25"/>
        <v>-82189</v>
      </c>
      <c r="M100" s="221">
        <f t="shared" si="25"/>
        <v>-240169</v>
      </c>
      <c r="N100" s="199">
        <f>N69*$N163</f>
        <v>-17429</v>
      </c>
      <c r="O100" s="199">
        <f>O69*$N163</f>
        <v>247007</v>
      </c>
    </row>
    <row r="101" spans="1:15">
      <c r="A101" s="50" t="s">
        <v>44</v>
      </c>
      <c r="C101" s="113">
        <f t="shared" si="23"/>
        <v>-307</v>
      </c>
      <c r="D101" s="221">
        <f>D70*$M173</f>
        <v>68</v>
      </c>
      <c r="E101" s="221">
        <f t="shared" ref="E101:M101" si="26">E70*$M173</f>
        <v>-402</v>
      </c>
      <c r="F101" s="221">
        <f t="shared" si="26"/>
        <v>-325</v>
      </c>
      <c r="G101" s="221">
        <f t="shared" si="26"/>
        <v>80</v>
      </c>
      <c r="H101" s="221">
        <f t="shared" si="26"/>
        <v>224</v>
      </c>
      <c r="I101" s="221">
        <f t="shared" si="26"/>
        <v>-78</v>
      </c>
      <c r="J101" s="221">
        <f t="shared" si="26"/>
        <v>27</v>
      </c>
      <c r="K101" s="221">
        <f t="shared" si="26"/>
        <v>52</v>
      </c>
      <c r="L101" s="221">
        <f t="shared" si="26"/>
        <v>-97</v>
      </c>
      <c r="M101" s="221">
        <f t="shared" si="26"/>
        <v>-258</v>
      </c>
      <c r="N101" s="199">
        <f>N70*$N173</f>
        <v>-23</v>
      </c>
      <c r="O101" s="199">
        <f>O70*$N173</f>
        <v>425</v>
      </c>
    </row>
    <row r="102" spans="1:15">
      <c r="A102" s="50" t="s">
        <v>255</v>
      </c>
      <c r="C102" s="195">
        <f>SUM(C99:C101)</f>
        <v>-2195574</v>
      </c>
      <c r="D102" s="177">
        <f t="shared" ref="D102:O102" si="27">SUM(D99:D101)</f>
        <v>475019</v>
      </c>
      <c r="E102" s="177">
        <f t="shared" si="27"/>
        <v>-2774012</v>
      </c>
      <c r="F102" s="177">
        <f t="shared" si="27"/>
        <v>-1542699</v>
      </c>
      <c r="G102" s="177">
        <f t="shared" si="27"/>
        <v>330150</v>
      </c>
      <c r="H102" s="177">
        <f t="shared" si="27"/>
        <v>944456</v>
      </c>
      <c r="I102" s="177">
        <f t="shared" si="27"/>
        <v>324185</v>
      </c>
      <c r="J102" s="177">
        <f t="shared" si="27"/>
        <v>164214</v>
      </c>
      <c r="K102" s="177">
        <f t="shared" si="27"/>
        <v>246635</v>
      </c>
      <c r="L102" s="177">
        <f t="shared" si="27"/>
        <v>-456512</v>
      </c>
      <c r="M102" s="177">
        <f t="shared" si="27"/>
        <v>-1322785</v>
      </c>
      <c r="N102" s="177">
        <f t="shared" si="27"/>
        <v>-95871</v>
      </c>
      <c r="O102" s="177">
        <f t="shared" si="27"/>
        <v>1511646</v>
      </c>
    </row>
    <row r="103" spans="1:15" ht="13.5" thickBot="1">
      <c r="A103" s="50" t="s">
        <v>339</v>
      </c>
      <c r="C103" s="62">
        <f>C102*-D103</f>
        <v>100267</v>
      </c>
      <c r="D103" s="205">
        <v>4.5668E-2</v>
      </c>
      <c r="E103" s="178" t="s">
        <v>336</v>
      </c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</row>
    <row r="104" spans="1:15" ht="14.25" thickTop="1" thickBot="1">
      <c r="A104" s="50" t="s">
        <v>338</v>
      </c>
      <c r="C104" s="122">
        <f>-(C102+C103)</f>
        <v>2095307</v>
      </c>
      <c r="D104" s="189">
        <f>D100+D101</f>
        <v>78243</v>
      </c>
      <c r="E104" s="189">
        <f t="shared" ref="E104:K104" si="28">E100+E101</f>
        <v>-457313</v>
      </c>
      <c r="F104" s="189">
        <f t="shared" si="28"/>
        <v>-254318</v>
      </c>
      <c r="G104" s="189">
        <f t="shared" si="28"/>
        <v>61411</v>
      </c>
      <c r="H104" s="189">
        <f t="shared" si="28"/>
        <v>172687</v>
      </c>
      <c r="I104" s="189">
        <f t="shared" si="28"/>
        <v>59602</v>
      </c>
      <c r="J104" s="189">
        <f t="shared" si="28"/>
        <v>29697</v>
      </c>
      <c r="K104" s="189">
        <f t="shared" si="28"/>
        <v>44476</v>
      </c>
      <c r="L104" s="178"/>
      <c r="M104" s="165"/>
      <c r="N104" s="165"/>
      <c r="O104" s="165"/>
    </row>
    <row r="105" spans="1:15" ht="13.5" thickTop="1">
      <c r="A105" s="50" t="s">
        <v>307</v>
      </c>
      <c r="C105" s="164"/>
      <c r="D105" s="178"/>
      <c r="E105" s="178"/>
      <c r="F105" s="178"/>
      <c r="G105" s="178"/>
      <c r="H105" s="178"/>
      <c r="I105" s="178"/>
      <c r="J105" s="178"/>
      <c r="K105" s="178"/>
      <c r="L105" s="178"/>
      <c r="M105" s="165"/>
      <c r="N105" s="165"/>
      <c r="O105" s="165"/>
    </row>
    <row r="106" spans="1:15">
      <c r="A106" s="50" t="s">
        <v>42</v>
      </c>
      <c r="C106" s="113">
        <f>SUM(D106:O106)</f>
        <v>-1338328</v>
      </c>
      <c r="D106" s="178">
        <f t="shared" ref="D106:O108" si="29">D93-D99</f>
        <v>273676</v>
      </c>
      <c r="E106" s="178">
        <f t="shared" si="29"/>
        <v>-1597942</v>
      </c>
      <c r="F106" s="178">
        <f t="shared" si="29"/>
        <v>-888660</v>
      </c>
      <c r="G106" s="178">
        <f t="shared" si="29"/>
        <v>185363</v>
      </c>
      <c r="H106" s="178">
        <f t="shared" si="29"/>
        <v>532326</v>
      </c>
      <c r="I106" s="178">
        <f t="shared" si="29"/>
        <v>182495</v>
      </c>
      <c r="J106" s="178">
        <f t="shared" si="29"/>
        <v>92782</v>
      </c>
      <c r="K106" s="178">
        <f t="shared" si="29"/>
        <v>139440</v>
      </c>
      <c r="L106" s="178">
        <f t="shared" si="29"/>
        <v>-258122</v>
      </c>
      <c r="M106" s="178">
        <f t="shared" si="29"/>
        <v>-746556</v>
      </c>
      <c r="N106" s="178">
        <f t="shared" si="29"/>
        <v>-49392</v>
      </c>
      <c r="O106" s="178">
        <f t="shared" si="29"/>
        <v>796262</v>
      </c>
    </row>
    <row r="107" spans="1:15">
      <c r="A107" s="50" t="s">
        <v>43</v>
      </c>
      <c r="C107" s="113">
        <f>SUM(D107:O107)</f>
        <v>-396375</v>
      </c>
      <c r="D107" s="178">
        <f>D94-D100</f>
        <v>81983</v>
      </c>
      <c r="E107" s="178">
        <f>E94-E100</f>
        <v>-479160</v>
      </c>
      <c r="F107" s="178">
        <f t="shared" si="29"/>
        <v>-266360</v>
      </c>
      <c r="G107" s="178">
        <f t="shared" si="29"/>
        <v>64317</v>
      </c>
      <c r="H107" s="178">
        <f t="shared" si="29"/>
        <v>180861</v>
      </c>
      <c r="I107" s="178">
        <f t="shared" si="29"/>
        <v>62585</v>
      </c>
      <c r="J107" s="178">
        <f t="shared" si="29"/>
        <v>31115</v>
      </c>
      <c r="K107" s="178">
        <f t="shared" si="29"/>
        <v>46587</v>
      </c>
      <c r="L107" s="178">
        <f t="shared" si="29"/>
        <v>-86191</v>
      </c>
      <c r="M107" s="178">
        <f t="shared" si="29"/>
        <v>-251864</v>
      </c>
      <c r="N107" s="178">
        <f t="shared" si="29"/>
        <v>-16682</v>
      </c>
      <c r="O107" s="178">
        <f t="shared" si="29"/>
        <v>236434</v>
      </c>
    </row>
    <row r="108" spans="1:15">
      <c r="A108" s="50" t="s">
        <v>44</v>
      </c>
      <c r="C108" s="113">
        <f>SUM(D108:O108)</f>
        <v>-569</v>
      </c>
      <c r="D108" s="178">
        <f>D95-D101</f>
        <v>112</v>
      </c>
      <c r="E108" s="178">
        <f>E95-E101</f>
        <v>-667</v>
      </c>
      <c r="F108" s="178">
        <f t="shared" si="29"/>
        <v>-538</v>
      </c>
      <c r="G108" s="178">
        <f t="shared" si="29"/>
        <v>132</v>
      </c>
      <c r="H108" s="178">
        <f t="shared" si="29"/>
        <v>372</v>
      </c>
      <c r="I108" s="178">
        <f t="shared" si="29"/>
        <v>-129</v>
      </c>
      <c r="J108" s="178">
        <f t="shared" si="29"/>
        <v>46</v>
      </c>
      <c r="K108" s="178">
        <f t="shared" si="29"/>
        <v>85</v>
      </c>
      <c r="L108" s="178">
        <f t="shared" si="29"/>
        <v>-162</v>
      </c>
      <c r="M108" s="178">
        <f t="shared" si="29"/>
        <v>-429</v>
      </c>
      <c r="N108" s="178">
        <f t="shared" si="29"/>
        <v>-34</v>
      </c>
      <c r="O108" s="178">
        <f t="shared" si="29"/>
        <v>643</v>
      </c>
    </row>
    <row r="109" spans="1:15">
      <c r="A109" s="50" t="s">
        <v>255</v>
      </c>
      <c r="C109" s="195">
        <f>SUM(C106:C108)</f>
        <v>-1735272</v>
      </c>
      <c r="D109" s="179">
        <f t="shared" ref="D109:O109" si="30">SUM(D106:D108)</f>
        <v>355771</v>
      </c>
      <c r="E109" s="179">
        <f t="shared" si="30"/>
        <v>-2077769</v>
      </c>
      <c r="F109" s="179">
        <f t="shared" si="30"/>
        <v>-1155558</v>
      </c>
      <c r="G109" s="179">
        <f t="shared" si="30"/>
        <v>249812</v>
      </c>
      <c r="H109" s="179">
        <f t="shared" si="30"/>
        <v>713559</v>
      </c>
      <c r="I109" s="179">
        <f t="shared" si="30"/>
        <v>244951</v>
      </c>
      <c r="J109" s="179">
        <f t="shared" si="30"/>
        <v>123943</v>
      </c>
      <c r="K109" s="179">
        <f t="shared" si="30"/>
        <v>186112</v>
      </c>
      <c r="L109" s="179">
        <f t="shared" si="30"/>
        <v>-344475</v>
      </c>
      <c r="M109" s="179">
        <f t="shared" si="30"/>
        <v>-998849</v>
      </c>
      <c r="N109" s="179">
        <f t="shared" si="30"/>
        <v>-66108</v>
      </c>
      <c r="O109" s="179">
        <f t="shared" si="30"/>
        <v>1033339</v>
      </c>
    </row>
    <row r="111" spans="1:15">
      <c r="A111" s="50" t="s">
        <v>45</v>
      </c>
      <c r="C111" s="113">
        <f>SUM(D111:O111)</f>
        <v>-1510916</v>
      </c>
      <c r="D111" s="176">
        <f t="shared" ref="D111:O112" si="31">D72*D143</f>
        <v>322393</v>
      </c>
      <c r="E111" s="176">
        <f t="shared" si="31"/>
        <v>-1911974</v>
      </c>
      <c r="F111" s="176">
        <f t="shared" si="31"/>
        <v>-1029477</v>
      </c>
      <c r="G111" s="176">
        <f t="shared" si="31"/>
        <v>243139</v>
      </c>
      <c r="H111" s="176">
        <f t="shared" si="31"/>
        <v>684036</v>
      </c>
      <c r="I111" s="176">
        <f t="shared" si="31"/>
        <v>237146</v>
      </c>
      <c r="J111" s="176">
        <f t="shared" si="31"/>
        <v>106229</v>
      </c>
      <c r="K111" s="176">
        <f t="shared" si="31"/>
        <v>159607</v>
      </c>
      <c r="L111" s="176">
        <f t="shared" si="31"/>
        <v>-301616</v>
      </c>
      <c r="M111" s="113">
        <f t="shared" si="31"/>
        <v>-955003</v>
      </c>
      <c r="N111" s="113">
        <f t="shared" si="31"/>
        <v>-68428</v>
      </c>
      <c r="O111" s="113">
        <f t="shared" si="31"/>
        <v>1003032</v>
      </c>
    </row>
    <row r="112" spans="1:15" ht="13.5" thickBot="1">
      <c r="A112" s="50" t="s">
        <v>46</v>
      </c>
      <c r="C112" s="113">
        <f>SUM(D112:O112)</f>
        <v>-250561</v>
      </c>
      <c r="D112" s="176">
        <f t="shared" si="31"/>
        <v>51984</v>
      </c>
      <c r="E112" s="176">
        <f t="shared" si="31"/>
        <v>-308456</v>
      </c>
      <c r="F112" s="176">
        <f t="shared" si="31"/>
        <v>-166310</v>
      </c>
      <c r="G112" s="176">
        <f t="shared" si="31"/>
        <v>36787</v>
      </c>
      <c r="H112" s="176">
        <f t="shared" si="31"/>
        <v>103324</v>
      </c>
      <c r="I112" s="176">
        <f t="shared" si="31"/>
        <v>35641</v>
      </c>
      <c r="J112" s="176">
        <f t="shared" si="31"/>
        <v>18447</v>
      </c>
      <c r="K112" s="176">
        <f t="shared" si="31"/>
        <v>27536</v>
      </c>
      <c r="L112" s="176">
        <f t="shared" si="31"/>
        <v>-51976</v>
      </c>
      <c r="M112" s="113">
        <f t="shared" si="31"/>
        <v>-144841</v>
      </c>
      <c r="N112" s="113">
        <f t="shared" si="31"/>
        <v>-10179</v>
      </c>
      <c r="O112" s="113">
        <f t="shared" si="31"/>
        <v>157482</v>
      </c>
    </row>
    <row r="113" spans="1:15" ht="14.25" thickTop="1" thickBot="1">
      <c r="A113" s="50" t="s">
        <v>241</v>
      </c>
      <c r="C113" s="121">
        <f>SUM(C111:C112)</f>
        <v>-1761477</v>
      </c>
      <c r="D113" s="177">
        <f>SUM(D111:D112)</f>
        <v>374377</v>
      </c>
      <c r="E113" s="177">
        <f t="shared" ref="E113:O113" si="32">SUM(E111:E112)</f>
        <v>-2220430</v>
      </c>
      <c r="F113" s="177">
        <f t="shared" si="32"/>
        <v>-1195787</v>
      </c>
      <c r="G113" s="177">
        <f t="shared" si="32"/>
        <v>279926</v>
      </c>
      <c r="H113" s="177">
        <f t="shared" si="32"/>
        <v>787360</v>
      </c>
      <c r="I113" s="177">
        <f t="shared" si="32"/>
        <v>272787</v>
      </c>
      <c r="J113" s="177">
        <f t="shared" si="32"/>
        <v>124676</v>
      </c>
      <c r="K113" s="177">
        <f t="shared" si="32"/>
        <v>187143</v>
      </c>
      <c r="L113" s="177">
        <f t="shared" si="32"/>
        <v>-353592</v>
      </c>
      <c r="M113" s="114">
        <f t="shared" si="32"/>
        <v>-1099844</v>
      </c>
      <c r="N113" s="114">
        <f t="shared" si="32"/>
        <v>-78607</v>
      </c>
      <c r="O113" s="114">
        <f t="shared" si="32"/>
        <v>1160514</v>
      </c>
    </row>
    <row r="114" spans="1:15" ht="13.5" thickTop="1">
      <c r="C114" s="164"/>
      <c r="D114" s="178"/>
      <c r="E114" s="178"/>
      <c r="F114" s="178"/>
      <c r="G114" s="178"/>
      <c r="H114" s="178"/>
      <c r="I114" s="178"/>
      <c r="J114" s="178"/>
      <c r="K114" s="178"/>
      <c r="L114" s="178"/>
      <c r="M114" s="165"/>
      <c r="N114" s="165"/>
      <c r="O114" s="165"/>
    </row>
    <row r="115" spans="1:15">
      <c r="A115" s="50" t="s">
        <v>337</v>
      </c>
      <c r="C115" s="164"/>
      <c r="D115" s="178"/>
      <c r="E115" s="178"/>
      <c r="F115" s="178"/>
      <c r="G115" s="178"/>
      <c r="H115" s="178"/>
      <c r="I115" s="178"/>
      <c r="J115" s="178"/>
      <c r="K115" s="178"/>
      <c r="L115" s="178"/>
      <c r="M115" s="165"/>
      <c r="N115" s="165"/>
      <c r="O115" s="165"/>
    </row>
    <row r="116" spans="1:15">
      <c r="A116" s="50" t="s">
        <v>45</v>
      </c>
      <c r="C116" s="113">
        <f t="shared" ref="C116:C117" si="33">SUM(D116:O116)</f>
        <v>-943352</v>
      </c>
      <c r="D116" s="221">
        <f>D72*$L$178</f>
        <v>204828</v>
      </c>
      <c r="E116" s="221">
        <f t="shared" ref="E116:M116" si="34">E72*$L$178</f>
        <v>-1214745</v>
      </c>
      <c r="F116" s="221">
        <f t="shared" si="34"/>
        <v>-654063</v>
      </c>
      <c r="G116" s="221">
        <f t="shared" si="34"/>
        <v>154475</v>
      </c>
      <c r="H116" s="221">
        <f t="shared" si="34"/>
        <v>434592</v>
      </c>
      <c r="I116" s="221">
        <f t="shared" si="34"/>
        <v>150667</v>
      </c>
      <c r="J116" s="221">
        <f t="shared" si="34"/>
        <v>67491</v>
      </c>
      <c r="K116" s="221">
        <f t="shared" si="34"/>
        <v>101404</v>
      </c>
      <c r="L116" s="221">
        <f t="shared" si="34"/>
        <v>-191627</v>
      </c>
      <c r="M116" s="221">
        <f t="shared" si="34"/>
        <v>-606747</v>
      </c>
      <c r="N116" s="199">
        <f>N72*$N$178</f>
        <v>-44689</v>
      </c>
      <c r="O116" s="199">
        <f>O72*$N$178</f>
        <v>655062</v>
      </c>
    </row>
    <row r="117" spans="1:15">
      <c r="A117" s="50" t="s">
        <v>46</v>
      </c>
      <c r="C117" s="113">
        <f t="shared" si="33"/>
        <v>-107216</v>
      </c>
      <c r="D117" s="221">
        <f>D73*$L$187</f>
        <v>22829</v>
      </c>
      <c r="E117" s="221">
        <f t="shared" ref="E117:M117" si="35">E73*$L$187</f>
        <v>-135463</v>
      </c>
      <c r="F117" s="221">
        <f t="shared" si="35"/>
        <v>-73037</v>
      </c>
      <c r="G117" s="221">
        <f t="shared" si="35"/>
        <v>16156</v>
      </c>
      <c r="H117" s="221">
        <f t="shared" si="35"/>
        <v>45376</v>
      </c>
      <c r="I117" s="221">
        <f t="shared" si="35"/>
        <v>15652</v>
      </c>
      <c r="J117" s="221">
        <f t="shared" si="35"/>
        <v>8101</v>
      </c>
      <c r="K117" s="221">
        <f t="shared" si="35"/>
        <v>12093</v>
      </c>
      <c r="L117" s="221">
        <f t="shared" si="35"/>
        <v>-22826</v>
      </c>
      <c r="M117" s="221">
        <f t="shared" si="35"/>
        <v>-63609</v>
      </c>
      <c r="N117" s="199">
        <f>N73*$N$187</f>
        <v>-4665</v>
      </c>
      <c r="O117" s="199">
        <f>O73*$N$187</f>
        <v>72177</v>
      </c>
    </row>
    <row r="118" spans="1:15">
      <c r="A118" s="50" t="s">
        <v>314</v>
      </c>
      <c r="C118" s="195">
        <f>SUM(C115:C117)</f>
        <v>-1050568</v>
      </c>
      <c r="D118" s="177">
        <f>SUM(D116:D117)</f>
        <v>227657</v>
      </c>
      <c r="E118" s="177">
        <f t="shared" ref="E118:O118" si="36">SUM(E116:E117)</f>
        <v>-1350208</v>
      </c>
      <c r="F118" s="177">
        <f t="shared" si="36"/>
        <v>-727100</v>
      </c>
      <c r="G118" s="177">
        <f t="shared" si="36"/>
        <v>170631</v>
      </c>
      <c r="H118" s="177">
        <f t="shared" si="36"/>
        <v>479968</v>
      </c>
      <c r="I118" s="177">
        <f t="shared" si="36"/>
        <v>166319</v>
      </c>
      <c r="J118" s="177">
        <f t="shared" si="36"/>
        <v>75592</v>
      </c>
      <c r="K118" s="177">
        <f t="shared" si="36"/>
        <v>113497</v>
      </c>
      <c r="L118" s="177">
        <f t="shared" si="36"/>
        <v>-214453</v>
      </c>
      <c r="M118" s="177">
        <f t="shared" si="36"/>
        <v>-670356</v>
      </c>
      <c r="N118" s="177">
        <f t="shared" si="36"/>
        <v>-49354</v>
      </c>
      <c r="O118" s="177">
        <f t="shared" si="36"/>
        <v>727239</v>
      </c>
    </row>
    <row r="119" spans="1:15" ht="13.5" thickBot="1">
      <c r="A119" s="50" t="s">
        <v>339</v>
      </c>
      <c r="C119" s="62">
        <f>C118*-D119</f>
        <v>6070</v>
      </c>
      <c r="D119" s="205">
        <v>5.7780000000000001E-3</v>
      </c>
      <c r="E119" s="189" t="s">
        <v>341</v>
      </c>
      <c r="F119" s="178"/>
      <c r="G119" s="178"/>
      <c r="H119" s="178"/>
      <c r="I119" s="178"/>
      <c r="J119" s="178"/>
      <c r="K119" s="178"/>
      <c r="L119" s="178"/>
      <c r="M119" s="165"/>
      <c r="N119" s="165"/>
      <c r="O119" s="165"/>
    </row>
    <row r="120" spans="1:15" ht="14.25" thickTop="1" thickBot="1">
      <c r="A120" s="50" t="s">
        <v>340</v>
      </c>
      <c r="C120" s="122">
        <f>-(C118+C119)</f>
        <v>1044498</v>
      </c>
      <c r="D120" s="218">
        <f>D117</f>
        <v>22829</v>
      </c>
      <c r="E120" s="218">
        <f t="shared" ref="E120:I120" si="37">E117</f>
        <v>-135463</v>
      </c>
      <c r="F120" s="218">
        <f t="shared" si="37"/>
        <v>-73037</v>
      </c>
      <c r="G120" s="218">
        <f t="shared" si="37"/>
        <v>16156</v>
      </c>
      <c r="H120" s="218">
        <f t="shared" si="37"/>
        <v>45376</v>
      </c>
      <c r="I120" s="218">
        <f t="shared" si="37"/>
        <v>15652</v>
      </c>
      <c r="J120" s="178"/>
      <c r="K120" s="178"/>
      <c r="L120" s="178"/>
      <c r="M120" s="165"/>
      <c r="N120" s="165"/>
      <c r="O120" s="165"/>
    </row>
    <row r="121" spans="1:15" ht="13.5" thickTop="1">
      <c r="A121" s="50" t="s">
        <v>307</v>
      </c>
      <c r="C121" s="164"/>
      <c r="D121" s="178"/>
      <c r="E121" s="178"/>
      <c r="F121" s="178"/>
      <c r="G121" s="178"/>
      <c r="H121" s="178"/>
      <c r="I121" s="178"/>
      <c r="J121" s="178"/>
      <c r="K121" s="178"/>
      <c r="L121" s="178"/>
      <c r="M121" s="165"/>
      <c r="N121" s="165"/>
      <c r="O121" s="165"/>
    </row>
    <row r="122" spans="1:15">
      <c r="A122" s="50" t="s">
        <v>45</v>
      </c>
      <c r="C122" s="113">
        <f>SUM(D122:O122)</f>
        <v>-567564</v>
      </c>
      <c r="D122" s="178">
        <f>D111-D116</f>
        <v>117565</v>
      </c>
      <c r="E122" s="178">
        <f t="shared" ref="E122:O123" si="38">E111-E116</f>
        <v>-697229</v>
      </c>
      <c r="F122" s="178">
        <f t="shared" si="38"/>
        <v>-375414</v>
      </c>
      <c r="G122" s="178">
        <f t="shared" si="38"/>
        <v>88664</v>
      </c>
      <c r="H122" s="178">
        <f t="shared" si="38"/>
        <v>249444</v>
      </c>
      <c r="I122" s="178">
        <f t="shared" si="38"/>
        <v>86479</v>
      </c>
      <c r="J122" s="178">
        <f t="shared" si="38"/>
        <v>38738</v>
      </c>
      <c r="K122" s="178">
        <f t="shared" si="38"/>
        <v>58203</v>
      </c>
      <c r="L122" s="178">
        <f t="shared" si="38"/>
        <v>-109989</v>
      </c>
      <c r="M122" s="178">
        <f t="shared" si="38"/>
        <v>-348256</v>
      </c>
      <c r="N122" s="178">
        <f t="shared" si="38"/>
        <v>-23739</v>
      </c>
      <c r="O122" s="178">
        <f t="shared" si="38"/>
        <v>347970</v>
      </c>
    </row>
    <row r="123" spans="1:15">
      <c r="A123" s="50" t="s">
        <v>46</v>
      </c>
      <c r="C123" s="113">
        <f>SUM(D123:O123)</f>
        <v>-143345</v>
      </c>
      <c r="D123" s="178">
        <f>D112-D117</f>
        <v>29155</v>
      </c>
      <c r="E123" s="178">
        <f t="shared" si="38"/>
        <v>-172993</v>
      </c>
      <c r="F123" s="178">
        <f t="shared" si="38"/>
        <v>-93273</v>
      </c>
      <c r="G123" s="178">
        <f t="shared" si="38"/>
        <v>20631</v>
      </c>
      <c r="H123" s="178">
        <f t="shared" si="38"/>
        <v>57948</v>
      </c>
      <c r="I123" s="178">
        <f t="shared" si="38"/>
        <v>19989</v>
      </c>
      <c r="J123" s="178">
        <f t="shared" si="38"/>
        <v>10346</v>
      </c>
      <c r="K123" s="178">
        <f t="shared" si="38"/>
        <v>15443</v>
      </c>
      <c r="L123" s="178">
        <f t="shared" si="38"/>
        <v>-29150</v>
      </c>
      <c r="M123" s="178">
        <f t="shared" si="38"/>
        <v>-81232</v>
      </c>
      <c r="N123" s="178">
        <f t="shared" si="38"/>
        <v>-5514</v>
      </c>
      <c r="O123" s="178">
        <f t="shared" si="38"/>
        <v>85305</v>
      </c>
    </row>
    <row r="124" spans="1:15">
      <c r="A124" s="50" t="s">
        <v>314</v>
      </c>
      <c r="C124" s="195">
        <f>SUM(C121:C123)</f>
        <v>-710909</v>
      </c>
      <c r="D124" s="177">
        <f>SUM(D122:D123)</f>
        <v>146720</v>
      </c>
      <c r="E124" s="177">
        <f t="shared" ref="E124:O124" si="39">SUM(E122:E123)</f>
        <v>-870222</v>
      </c>
      <c r="F124" s="177">
        <f t="shared" si="39"/>
        <v>-468687</v>
      </c>
      <c r="G124" s="177">
        <f t="shared" si="39"/>
        <v>109295</v>
      </c>
      <c r="H124" s="177">
        <f t="shared" si="39"/>
        <v>307392</v>
      </c>
      <c r="I124" s="177">
        <f t="shared" si="39"/>
        <v>106468</v>
      </c>
      <c r="J124" s="177">
        <f t="shared" si="39"/>
        <v>49084</v>
      </c>
      <c r="K124" s="177">
        <f t="shared" si="39"/>
        <v>73646</v>
      </c>
      <c r="L124" s="177">
        <f t="shared" si="39"/>
        <v>-139139</v>
      </c>
      <c r="M124" s="177">
        <f t="shared" si="39"/>
        <v>-429488</v>
      </c>
      <c r="N124" s="177">
        <f t="shared" si="39"/>
        <v>-29253</v>
      </c>
      <c r="O124" s="177">
        <f t="shared" si="39"/>
        <v>433275</v>
      </c>
    </row>
    <row r="125" spans="1:15">
      <c r="C125" s="72"/>
    </row>
    <row r="126" spans="1:15">
      <c r="A126" s="50" t="s">
        <v>270</v>
      </c>
    </row>
    <row r="127" spans="1:15">
      <c r="A127" s="50" t="s">
        <v>42</v>
      </c>
      <c r="C127" s="113">
        <f>SUM(D127:O127)</f>
        <v>-1276113</v>
      </c>
      <c r="D127" s="176">
        <f t="shared" ref="D127:O129" si="40">D68*D146</f>
        <v>260956</v>
      </c>
      <c r="E127" s="176">
        <f t="shared" si="40"/>
        <v>-1523672</v>
      </c>
      <c r="F127" s="176">
        <f t="shared" si="40"/>
        <v>-847356</v>
      </c>
      <c r="G127" s="176">
        <f t="shared" si="40"/>
        <v>176747</v>
      </c>
      <c r="H127" s="176">
        <f t="shared" si="40"/>
        <v>507585</v>
      </c>
      <c r="I127" s="176">
        <f t="shared" si="40"/>
        <v>174013</v>
      </c>
      <c r="J127" s="176">
        <f t="shared" si="40"/>
        <v>88470</v>
      </c>
      <c r="K127" s="176">
        <f t="shared" si="40"/>
        <v>132958</v>
      </c>
      <c r="L127" s="176">
        <f t="shared" si="40"/>
        <v>-246125</v>
      </c>
      <c r="M127" s="113">
        <f t="shared" si="40"/>
        <v>-711857</v>
      </c>
      <c r="N127" s="113">
        <f t="shared" si="40"/>
        <v>-47097</v>
      </c>
      <c r="O127" s="113">
        <f t="shared" si="40"/>
        <v>759265</v>
      </c>
    </row>
    <row r="128" spans="1:15">
      <c r="A128" s="50" t="s">
        <v>43</v>
      </c>
      <c r="C128" s="113">
        <f>SUM(D128:O128)</f>
        <v>-377889</v>
      </c>
      <c r="D128" s="176">
        <f t="shared" si="40"/>
        <v>78164</v>
      </c>
      <c r="E128" s="176">
        <f t="shared" si="40"/>
        <v>-456842</v>
      </c>
      <c r="F128" s="176">
        <f t="shared" si="40"/>
        <v>-253954</v>
      </c>
      <c r="G128" s="176">
        <f t="shared" si="40"/>
        <v>61321</v>
      </c>
      <c r="H128" s="176">
        <f t="shared" si="40"/>
        <v>172437</v>
      </c>
      <c r="I128" s="176">
        <f t="shared" si="40"/>
        <v>59670</v>
      </c>
      <c r="J128" s="176">
        <f t="shared" si="40"/>
        <v>29666</v>
      </c>
      <c r="K128" s="176">
        <f t="shared" si="40"/>
        <v>44417</v>
      </c>
      <c r="L128" s="176">
        <f t="shared" si="40"/>
        <v>-82177</v>
      </c>
      <c r="M128" s="113">
        <f t="shared" si="40"/>
        <v>-240132</v>
      </c>
      <c r="N128" s="113">
        <f t="shared" si="40"/>
        <v>-15908</v>
      </c>
      <c r="O128" s="113">
        <f t="shared" si="40"/>
        <v>225449</v>
      </c>
    </row>
    <row r="129" spans="1:15" ht="13.5" thickBot="1">
      <c r="A129" s="50" t="s">
        <v>44</v>
      </c>
      <c r="C129" s="113">
        <f>SUM(D129:O129)</f>
        <v>-541</v>
      </c>
      <c r="D129" s="176">
        <f t="shared" si="40"/>
        <v>107</v>
      </c>
      <c r="E129" s="176">
        <f t="shared" si="40"/>
        <v>-636</v>
      </c>
      <c r="F129" s="176">
        <f t="shared" si="40"/>
        <v>-513</v>
      </c>
      <c r="G129" s="176">
        <f t="shared" si="40"/>
        <v>126</v>
      </c>
      <c r="H129" s="176">
        <f t="shared" si="40"/>
        <v>355</v>
      </c>
      <c r="I129" s="176">
        <f t="shared" si="40"/>
        <v>-123</v>
      </c>
      <c r="J129" s="176">
        <f t="shared" si="40"/>
        <v>43</v>
      </c>
      <c r="K129" s="176">
        <f t="shared" si="40"/>
        <v>82</v>
      </c>
      <c r="L129" s="176">
        <f t="shared" si="40"/>
        <v>-154</v>
      </c>
      <c r="M129" s="113">
        <f t="shared" si="40"/>
        <v>-408</v>
      </c>
      <c r="N129" s="113">
        <f t="shared" si="40"/>
        <v>-33</v>
      </c>
      <c r="O129" s="113">
        <f t="shared" si="40"/>
        <v>613</v>
      </c>
    </row>
    <row r="130" spans="1:15" ht="14.25" thickTop="1" thickBot="1">
      <c r="A130" s="50" t="s">
        <v>242</v>
      </c>
      <c r="C130" s="121">
        <f>SUM(C127:C129)</f>
        <v>-1654543</v>
      </c>
      <c r="D130" s="179">
        <f>SUM(D127:D129)</f>
        <v>339227</v>
      </c>
      <c r="E130" s="179">
        <f t="shared" ref="E130:O130" si="41">SUM(E127:E129)</f>
        <v>-1981150</v>
      </c>
      <c r="F130" s="179">
        <f t="shared" si="41"/>
        <v>-1101823</v>
      </c>
      <c r="G130" s="179">
        <f t="shared" si="41"/>
        <v>238194</v>
      </c>
      <c r="H130" s="179">
        <f t="shared" si="41"/>
        <v>680377</v>
      </c>
      <c r="I130" s="179">
        <f t="shared" si="41"/>
        <v>233560</v>
      </c>
      <c r="J130" s="179">
        <f t="shared" si="41"/>
        <v>118179</v>
      </c>
      <c r="K130" s="179">
        <f t="shared" si="41"/>
        <v>177457</v>
      </c>
      <c r="L130" s="179">
        <f t="shared" si="41"/>
        <v>-328456</v>
      </c>
      <c r="M130" s="107">
        <f t="shared" si="41"/>
        <v>-952397</v>
      </c>
      <c r="N130" s="107">
        <f t="shared" si="41"/>
        <v>-63038</v>
      </c>
      <c r="O130" s="107">
        <f t="shared" si="41"/>
        <v>985327</v>
      </c>
    </row>
    <row r="131" spans="1:15" ht="14.25" thickTop="1" thickBot="1">
      <c r="B131" s="51" t="s">
        <v>309</v>
      </c>
      <c r="C131" s="121">
        <f>SUM(D131:O131)</f>
        <v>-2598</v>
      </c>
      <c r="D131" s="189">
        <f>D68*$M$158+D69*$M$166+D70*$M$176</f>
        <v>562</v>
      </c>
      <c r="E131" s="189">
        <f t="shared" ref="E131:M131" si="42">E68*$M$158+E69*$M$166+E70*$M$176</f>
        <v>-3283</v>
      </c>
      <c r="F131" s="189">
        <f t="shared" si="42"/>
        <v>-1826</v>
      </c>
      <c r="G131" s="189">
        <f t="shared" si="42"/>
        <v>393</v>
      </c>
      <c r="H131" s="189">
        <f t="shared" si="42"/>
        <v>1123</v>
      </c>
      <c r="I131" s="189">
        <f t="shared" si="42"/>
        <v>386</v>
      </c>
      <c r="J131" s="189">
        <f t="shared" si="42"/>
        <v>195</v>
      </c>
      <c r="K131" s="189">
        <f t="shared" si="42"/>
        <v>293</v>
      </c>
      <c r="L131" s="189">
        <f t="shared" si="42"/>
        <v>-543</v>
      </c>
      <c r="M131" s="189">
        <f t="shared" si="42"/>
        <v>-1573</v>
      </c>
      <c r="N131" s="189">
        <f>N68*$N$158+N69*$N$166+N70*$N$176</f>
        <v>-114</v>
      </c>
      <c r="O131" s="189">
        <f>O68*$N$158+O69*$N$166+O70*$N$176</f>
        <v>1789</v>
      </c>
    </row>
    <row r="132" spans="1:15" ht="13.5" thickTop="1">
      <c r="C132" s="62"/>
      <c r="D132" s="180"/>
      <c r="E132" s="180"/>
      <c r="F132" s="180"/>
      <c r="G132" s="180"/>
      <c r="H132" s="180"/>
      <c r="I132" s="180"/>
      <c r="J132" s="180"/>
      <c r="K132" s="180"/>
      <c r="L132" s="180"/>
      <c r="M132" s="61"/>
      <c r="N132" s="61"/>
      <c r="O132" s="61"/>
    </row>
    <row r="133" spans="1:15">
      <c r="A133" s="50" t="s">
        <v>45</v>
      </c>
      <c r="C133" s="113">
        <f>SUM(D133:O133)</f>
        <v>-564270</v>
      </c>
      <c r="D133" s="176">
        <f t="shared" ref="D133:O134" si="43">D72*D150</f>
        <v>116882</v>
      </c>
      <c r="E133" s="176">
        <f t="shared" si="43"/>
        <v>-693176</v>
      </c>
      <c r="F133" s="176">
        <f t="shared" si="43"/>
        <v>-373232</v>
      </c>
      <c r="G133" s="176">
        <f t="shared" si="43"/>
        <v>88149</v>
      </c>
      <c r="H133" s="176">
        <f t="shared" si="43"/>
        <v>247994</v>
      </c>
      <c r="I133" s="176">
        <f t="shared" si="43"/>
        <v>85976</v>
      </c>
      <c r="J133" s="176">
        <f t="shared" si="43"/>
        <v>38513</v>
      </c>
      <c r="K133" s="176">
        <f t="shared" si="43"/>
        <v>57865</v>
      </c>
      <c r="L133" s="176">
        <f t="shared" si="43"/>
        <v>-109349</v>
      </c>
      <c r="M133" s="113">
        <f t="shared" si="43"/>
        <v>-346231</v>
      </c>
      <c r="N133" s="113">
        <f t="shared" si="43"/>
        <v>-23600</v>
      </c>
      <c r="O133" s="113">
        <f t="shared" si="43"/>
        <v>345939</v>
      </c>
    </row>
    <row r="134" spans="1:15" ht="13.5" thickBot="1">
      <c r="A134" s="50" t="s">
        <v>46</v>
      </c>
      <c r="C134" s="113">
        <f>SUM(D134:O134)</f>
        <v>-142513</v>
      </c>
      <c r="D134" s="176">
        <f t="shared" si="43"/>
        <v>28985</v>
      </c>
      <c r="E134" s="176">
        <f t="shared" si="43"/>
        <v>-171988</v>
      </c>
      <c r="F134" s="176">
        <f t="shared" si="43"/>
        <v>-92730</v>
      </c>
      <c r="G134" s="176">
        <f t="shared" si="43"/>
        <v>20512</v>
      </c>
      <c r="H134" s="176">
        <f t="shared" si="43"/>
        <v>57611</v>
      </c>
      <c r="I134" s="176">
        <f t="shared" si="43"/>
        <v>19873</v>
      </c>
      <c r="J134" s="176">
        <f t="shared" si="43"/>
        <v>10285</v>
      </c>
      <c r="K134" s="176">
        <f t="shared" si="43"/>
        <v>15354</v>
      </c>
      <c r="L134" s="176">
        <f t="shared" si="43"/>
        <v>-28980</v>
      </c>
      <c r="M134" s="113">
        <f t="shared" si="43"/>
        <v>-80760</v>
      </c>
      <c r="N134" s="113">
        <f t="shared" si="43"/>
        <v>-5482</v>
      </c>
      <c r="O134" s="113">
        <f t="shared" si="43"/>
        <v>84807</v>
      </c>
    </row>
    <row r="135" spans="1:15" ht="14.25" thickTop="1" thickBot="1">
      <c r="A135" s="50" t="s">
        <v>242</v>
      </c>
      <c r="C135" s="121">
        <f>SUM(C133:C134)</f>
        <v>-706783</v>
      </c>
      <c r="D135" s="179">
        <f>SUM(D133:D134)</f>
        <v>145867</v>
      </c>
      <c r="E135" s="179">
        <f t="shared" ref="E135:O135" si="44">SUM(E133:E134)</f>
        <v>-865164</v>
      </c>
      <c r="F135" s="179">
        <f t="shared" si="44"/>
        <v>-465962</v>
      </c>
      <c r="G135" s="179">
        <f t="shared" si="44"/>
        <v>108661</v>
      </c>
      <c r="H135" s="179">
        <f t="shared" si="44"/>
        <v>305605</v>
      </c>
      <c r="I135" s="179">
        <f t="shared" si="44"/>
        <v>105849</v>
      </c>
      <c r="J135" s="179">
        <f t="shared" si="44"/>
        <v>48798</v>
      </c>
      <c r="K135" s="179">
        <f t="shared" si="44"/>
        <v>73219</v>
      </c>
      <c r="L135" s="179">
        <f t="shared" si="44"/>
        <v>-138329</v>
      </c>
      <c r="M135" s="107">
        <f t="shared" si="44"/>
        <v>-426991</v>
      </c>
      <c r="N135" s="107">
        <f t="shared" si="44"/>
        <v>-29082</v>
      </c>
      <c r="O135" s="107">
        <f t="shared" si="44"/>
        <v>430746</v>
      </c>
    </row>
    <row r="136" spans="1:15" ht="14.25" thickTop="1" thickBot="1">
      <c r="B136" s="51" t="s">
        <v>309</v>
      </c>
      <c r="C136" s="121">
        <f>SUM(D136:O136)</f>
        <v>-1017</v>
      </c>
      <c r="D136" s="180">
        <f t="shared" ref="D136:M136" si="45">D72*$L$181+D73*$L$190</f>
        <v>220</v>
      </c>
      <c r="E136" s="180">
        <f t="shared" si="45"/>
        <v>-1305</v>
      </c>
      <c r="F136" s="180">
        <f t="shared" si="45"/>
        <v>-703</v>
      </c>
      <c r="G136" s="180">
        <f t="shared" si="45"/>
        <v>164</v>
      </c>
      <c r="H136" s="180">
        <f t="shared" si="45"/>
        <v>461</v>
      </c>
      <c r="I136" s="180">
        <f t="shared" si="45"/>
        <v>160</v>
      </c>
      <c r="J136" s="180">
        <f t="shared" si="45"/>
        <v>74</v>
      </c>
      <c r="K136" s="180">
        <f t="shared" si="45"/>
        <v>110</v>
      </c>
      <c r="L136" s="180">
        <f t="shared" si="45"/>
        <v>-209</v>
      </c>
      <c r="M136" s="180">
        <f t="shared" si="45"/>
        <v>-644</v>
      </c>
      <c r="N136" s="180">
        <f>N72*$N$181+N73*$N$190</f>
        <v>-47</v>
      </c>
      <c r="O136" s="180">
        <f>O72*$N$181+O73*$N$190</f>
        <v>702</v>
      </c>
    </row>
    <row r="137" spans="1:15" ht="13.5" thickTop="1">
      <c r="B137" s="50" t="s">
        <v>259</v>
      </c>
      <c r="C137" s="113">
        <f>SUM(D137:O137)</f>
        <v>-81240</v>
      </c>
      <c r="D137" s="180">
        <f>D109+D124-D130-D135-D131-D136</f>
        <v>16615</v>
      </c>
      <c r="E137" s="180">
        <f t="shared" ref="E137:O137" si="46">E109+E124-E130-E135-E131-E136</f>
        <v>-97089</v>
      </c>
      <c r="F137" s="180">
        <f t="shared" si="46"/>
        <v>-53931</v>
      </c>
      <c r="G137" s="180">
        <f t="shared" si="46"/>
        <v>11695</v>
      </c>
      <c r="H137" s="180">
        <f t="shared" si="46"/>
        <v>33385</v>
      </c>
      <c r="I137" s="180">
        <f t="shared" si="46"/>
        <v>11464</v>
      </c>
      <c r="J137" s="180">
        <f t="shared" si="46"/>
        <v>5781</v>
      </c>
      <c r="K137" s="180">
        <f t="shared" si="46"/>
        <v>8679</v>
      </c>
      <c r="L137" s="180">
        <f t="shared" si="46"/>
        <v>-16077</v>
      </c>
      <c r="M137" s="180">
        <f t="shared" si="46"/>
        <v>-46732</v>
      </c>
      <c r="N137" s="180">
        <f t="shared" si="46"/>
        <v>-3080</v>
      </c>
      <c r="O137" s="180">
        <f t="shared" si="46"/>
        <v>48050</v>
      </c>
    </row>
    <row r="138" spans="1:15">
      <c r="A138" s="50" t="s">
        <v>243</v>
      </c>
    </row>
    <row r="139" spans="1:15">
      <c r="A139" s="50" t="s">
        <v>240</v>
      </c>
    </row>
    <row r="140" spans="1:15">
      <c r="A140" s="50" t="s">
        <v>42</v>
      </c>
      <c r="C140" s="64">
        <f>AVERAGE(D140:O140)</f>
        <v>0.69740999999999997</v>
      </c>
      <c r="D140" s="134">
        <f>$M$155+$M$156</f>
        <v>0.70155000000000001</v>
      </c>
      <c r="E140" s="60">
        <f t="shared" ref="E140:O144" si="47">D140</f>
        <v>0.70155000000000001</v>
      </c>
      <c r="F140" s="60">
        <f t="shared" si="47"/>
        <v>0.70155000000000001</v>
      </c>
      <c r="G140" s="60">
        <f t="shared" si="47"/>
        <v>0.70155000000000001</v>
      </c>
      <c r="H140" s="60">
        <f t="shared" si="47"/>
        <v>0.70155000000000001</v>
      </c>
      <c r="I140" s="60">
        <f t="shared" si="47"/>
        <v>0.70155000000000001</v>
      </c>
      <c r="J140" s="60">
        <f t="shared" si="47"/>
        <v>0.70155000000000001</v>
      </c>
      <c r="K140" s="60">
        <f t="shared" si="47"/>
        <v>0.70155000000000001</v>
      </c>
      <c r="L140" s="60">
        <f t="shared" si="47"/>
        <v>0.70155000000000001</v>
      </c>
      <c r="M140" s="60">
        <f t="shared" si="47"/>
        <v>0.70155000000000001</v>
      </c>
      <c r="N140" s="134">
        <f>$N$155+$N$156</f>
        <v>0.67667999999999995</v>
      </c>
      <c r="O140" s="60">
        <f t="shared" si="47"/>
        <v>0.67667999999999995</v>
      </c>
    </row>
    <row r="141" spans="1:15">
      <c r="A141" s="50" t="s">
        <v>43</v>
      </c>
      <c r="C141" s="64">
        <f>AVERAGE(D141:O141)</f>
        <v>0.53493999999999997</v>
      </c>
      <c r="D141" s="134">
        <f>$M$163+$M$164</f>
        <v>0.53895000000000004</v>
      </c>
      <c r="E141" s="60">
        <f t="shared" si="47"/>
        <v>0.53895000000000004</v>
      </c>
      <c r="F141" s="60">
        <f t="shared" si="47"/>
        <v>0.53895000000000004</v>
      </c>
      <c r="G141" s="60">
        <f t="shared" si="47"/>
        <v>0.53895000000000004</v>
      </c>
      <c r="H141" s="60">
        <f t="shared" si="47"/>
        <v>0.53895000000000004</v>
      </c>
      <c r="I141" s="60">
        <f t="shared" si="47"/>
        <v>0.53895000000000004</v>
      </c>
      <c r="J141" s="60">
        <f t="shared" si="47"/>
        <v>0.53895000000000004</v>
      </c>
      <c r="K141" s="60">
        <f t="shared" si="47"/>
        <v>0.53895000000000004</v>
      </c>
      <c r="L141" s="60">
        <f t="shared" si="47"/>
        <v>0.53895000000000004</v>
      </c>
      <c r="M141" s="60">
        <f t="shared" si="47"/>
        <v>0.53895000000000004</v>
      </c>
      <c r="N141" s="134">
        <f>$N$163+$N$164</f>
        <v>0.51488</v>
      </c>
      <c r="O141" s="60">
        <f t="shared" si="47"/>
        <v>0.51488</v>
      </c>
    </row>
    <row r="142" spans="1:15">
      <c r="A142" s="50" t="s">
        <v>44</v>
      </c>
      <c r="C142" s="64">
        <f>AVERAGE(D142:O142)</f>
        <v>0.43812000000000001</v>
      </c>
      <c r="D142" s="134">
        <f>$M$173+$M$174</f>
        <v>0.44211</v>
      </c>
      <c r="E142" s="60">
        <f t="shared" si="47"/>
        <v>0.44211</v>
      </c>
      <c r="F142" s="60">
        <f t="shared" si="47"/>
        <v>0.44211</v>
      </c>
      <c r="G142" s="60">
        <f t="shared" si="47"/>
        <v>0.44211</v>
      </c>
      <c r="H142" s="60">
        <f t="shared" si="47"/>
        <v>0.44211</v>
      </c>
      <c r="I142" s="60">
        <f t="shared" si="47"/>
        <v>0.44211</v>
      </c>
      <c r="J142" s="60">
        <f t="shared" si="47"/>
        <v>0.44211</v>
      </c>
      <c r="K142" s="60">
        <f t="shared" si="47"/>
        <v>0.44211</v>
      </c>
      <c r="L142" s="60">
        <f t="shared" si="47"/>
        <v>0.44211</v>
      </c>
      <c r="M142" s="60">
        <f t="shared" si="47"/>
        <v>0.44211</v>
      </c>
      <c r="N142" s="134">
        <f>$N$173+$N$174</f>
        <v>0.41818</v>
      </c>
      <c r="O142" s="60">
        <f t="shared" si="47"/>
        <v>0.41818</v>
      </c>
    </row>
    <row r="143" spans="1:15">
      <c r="A143" s="50" t="s">
        <v>45</v>
      </c>
      <c r="C143" s="64">
        <f>AVERAGE(D143:O143)</f>
        <v>0.72790999999999995</v>
      </c>
      <c r="D143" s="70">
        <f>$L$178+$L$179</f>
        <v>0.73121999999999998</v>
      </c>
      <c r="E143" s="60">
        <f t="shared" si="47"/>
        <v>0.73121999999999998</v>
      </c>
      <c r="F143" s="60">
        <f t="shared" si="47"/>
        <v>0.73121999999999998</v>
      </c>
      <c r="G143" s="60">
        <f t="shared" si="47"/>
        <v>0.73121999999999998</v>
      </c>
      <c r="H143" s="60">
        <f t="shared" si="47"/>
        <v>0.73121999999999998</v>
      </c>
      <c r="I143" s="60">
        <f t="shared" si="47"/>
        <v>0.73121999999999998</v>
      </c>
      <c r="J143" s="60">
        <f t="shared" si="47"/>
        <v>0.73121999999999998</v>
      </c>
      <c r="K143" s="60">
        <f t="shared" si="47"/>
        <v>0.73121999999999998</v>
      </c>
      <c r="L143" s="60">
        <f t="shared" si="47"/>
        <v>0.73121999999999998</v>
      </c>
      <c r="M143" s="60">
        <f t="shared" si="47"/>
        <v>0.73121999999999998</v>
      </c>
      <c r="N143" s="70">
        <f>$N$178+$N$179</f>
        <v>0.71135000000000004</v>
      </c>
      <c r="O143" s="60">
        <f t="shared" si="47"/>
        <v>0.71135000000000004</v>
      </c>
    </row>
    <row r="144" spans="1:15">
      <c r="A144" s="50" t="s">
        <v>46</v>
      </c>
      <c r="C144" s="64">
        <f>AVERAGE(D144:O144)</f>
        <v>0.47214</v>
      </c>
      <c r="D144" s="59">
        <f>$L$187+$L$188</f>
        <v>0.47544999999999998</v>
      </c>
      <c r="E144" s="54">
        <f t="shared" si="47"/>
        <v>0.47544999999999998</v>
      </c>
      <c r="F144" s="54">
        <f t="shared" si="47"/>
        <v>0.47544999999999998</v>
      </c>
      <c r="G144" s="54">
        <f t="shared" si="47"/>
        <v>0.47544999999999998</v>
      </c>
      <c r="H144" s="54">
        <f t="shared" si="47"/>
        <v>0.47544999999999998</v>
      </c>
      <c r="I144" s="54">
        <f t="shared" si="47"/>
        <v>0.47544999999999998</v>
      </c>
      <c r="J144" s="54">
        <f t="shared" si="47"/>
        <v>0.47544999999999998</v>
      </c>
      <c r="K144" s="54">
        <f t="shared" si="47"/>
        <v>0.47544999999999998</v>
      </c>
      <c r="L144" s="54">
        <f t="shared" si="47"/>
        <v>0.47544999999999998</v>
      </c>
      <c r="M144" s="54">
        <f t="shared" si="47"/>
        <v>0.47544999999999998</v>
      </c>
      <c r="N144" s="59">
        <f>$N$187+$N$188</f>
        <v>0.45557999999999998</v>
      </c>
      <c r="O144" s="54">
        <f t="shared" si="47"/>
        <v>0.45557999999999998</v>
      </c>
    </row>
    <row r="145" spans="1:15">
      <c r="A145" s="50" t="s">
        <v>47</v>
      </c>
      <c r="M145" s="54"/>
      <c r="N145" s="54"/>
      <c r="O145" s="54"/>
    </row>
    <row r="146" spans="1:15">
      <c r="A146" s="50" t="s">
        <v>42</v>
      </c>
      <c r="C146" s="64">
        <f>AVERAGE(D146:O146)</f>
        <v>0.26911000000000002</v>
      </c>
      <c r="D146" s="70">
        <f>$M$157</f>
        <v>0.27306000000000002</v>
      </c>
      <c r="E146" s="60">
        <f t="shared" ref="E146:O148" si="48">D146</f>
        <v>0.27306000000000002</v>
      </c>
      <c r="F146" s="60">
        <f t="shared" si="48"/>
        <v>0.27306000000000002</v>
      </c>
      <c r="G146" s="60">
        <f t="shared" si="48"/>
        <v>0.27306000000000002</v>
      </c>
      <c r="H146" s="60">
        <f t="shared" si="48"/>
        <v>0.27306000000000002</v>
      </c>
      <c r="I146" s="60">
        <f t="shared" si="48"/>
        <v>0.27306000000000002</v>
      </c>
      <c r="J146" s="60">
        <f t="shared" si="48"/>
        <v>0.27306000000000002</v>
      </c>
      <c r="K146" s="60">
        <f t="shared" si="48"/>
        <v>0.27306000000000002</v>
      </c>
      <c r="L146" s="60">
        <f t="shared" si="48"/>
        <v>0.27306000000000002</v>
      </c>
      <c r="M146" s="60">
        <f t="shared" si="48"/>
        <v>0.27306000000000002</v>
      </c>
      <c r="N146" s="70">
        <f>$N$157</f>
        <v>0.24934999999999999</v>
      </c>
      <c r="O146" s="60">
        <f t="shared" si="48"/>
        <v>0.24934999999999999</v>
      </c>
    </row>
    <row r="147" spans="1:15">
      <c r="A147" s="50" t="s">
        <v>43</v>
      </c>
      <c r="C147" s="64">
        <f>AVERAGE(D147:O147)</f>
        <v>0.25921</v>
      </c>
      <c r="D147" s="70">
        <f>$M$165</f>
        <v>0.26302999999999999</v>
      </c>
      <c r="E147" s="60">
        <f t="shared" si="48"/>
        <v>0.26302999999999999</v>
      </c>
      <c r="F147" s="60">
        <f t="shared" si="48"/>
        <v>0.26302999999999999</v>
      </c>
      <c r="G147" s="60">
        <f t="shared" si="48"/>
        <v>0.26302999999999999</v>
      </c>
      <c r="H147" s="60">
        <f t="shared" si="48"/>
        <v>0.26302999999999999</v>
      </c>
      <c r="I147" s="60">
        <f t="shared" si="48"/>
        <v>0.26302999999999999</v>
      </c>
      <c r="J147" s="60">
        <f t="shared" si="48"/>
        <v>0.26302999999999999</v>
      </c>
      <c r="K147" s="60">
        <f t="shared" si="48"/>
        <v>0.26302999999999999</v>
      </c>
      <c r="L147" s="60">
        <f t="shared" si="48"/>
        <v>0.26302999999999999</v>
      </c>
      <c r="M147" s="60">
        <f t="shared" si="48"/>
        <v>0.26302999999999999</v>
      </c>
      <c r="N147" s="70">
        <f>$N$165</f>
        <v>0.24010999999999999</v>
      </c>
      <c r="O147" s="60">
        <f t="shared" si="48"/>
        <v>0.24010999999999999</v>
      </c>
    </row>
    <row r="148" spans="1:15">
      <c r="A148" s="50" t="s">
        <v>44</v>
      </c>
      <c r="C148" s="64">
        <f>AVERAGE(D148:O148)</f>
        <v>0.25912000000000002</v>
      </c>
      <c r="D148" s="70">
        <f>$M$175</f>
        <v>0.26291999999999999</v>
      </c>
      <c r="E148" s="60">
        <f t="shared" si="48"/>
        <v>0.26291999999999999</v>
      </c>
      <c r="F148" s="60">
        <f t="shared" si="48"/>
        <v>0.26291999999999999</v>
      </c>
      <c r="G148" s="60">
        <f t="shared" si="48"/>
        <v>0.26291999999999999</v>
      </c>
      <c r="H148" s="60">
        <f t="shared" si="48"/>
        <v>0.26291999999999999</v>
      </c>
      <c r="I148" s="60">
        <f t="shared" si="48"/>
        <v>0.26291999999999999</v>
      </c>
      <c r="J148" s="60">
        <f t="shared" si="48"/>
        <v>0.26291999999999999</v>
      </c>
      <c r="K148" s="60">
        <f t="shared" si="48"/>
        <v>0.26291999999999999</v>
      </c>
      <c r="L148" s="60">
        <f t="shared" si="48"/>
        <v>0.26291999999999999</v>
      </c>
      <c r="M148" s="60">
        <f t="shared" si="48"/>
        <v>0.26291999999999999</v>
      </c>
      <c r="N148" s="70">
        <f>$N$175</f>
        <v>0.24010999999999999</v>
      </c>
      <c r="O148" s="60">
        <f t="shared" si="48"/>
        <v>0.24010999999999999</v>
      </c>
    </row>
    <row r="149" spans="1:15">
      <c r="D149" s="71"/>
      <c r="M149" s="54"/>
      <c r="N149" s="71"/>
      <c r="O149" s="54"/>
    </row>
    <row r="150" spans="1:15">
      <c r="A150" s="50" t="s">
        <v>45</v>
      </c>
      <c r="C150" s="64">
        <f>AVERAGE(D150:O150)</f>
        <v>0.26180999999999999</v>
      </c>
      <c r="D150" s="59">
        <f>$L$180</f>
        <v>0.2651</v>
      </c>
      <c r="E150" s="54">
        <f t="shared" ref="E150:O151" si="49">D150</f>
        <v>0.2651</v>
      </c>
      <c r="F150" s="54">
        <f t="shared" si="49"/>
        <v>0.2651</v>
      </c>
      <c r="G150" s="54">
        <f t="shared" si="49"/>
        <v>0.2651</v>
      </c>
      <c r="H150" s="54">
        <f t="shared" si="49"/>
        <v>0.2651</v>
      </c>
      <c r="I150" s="54">
        <f t="shared" si="49"/>
        <v>0.2651</v>
      </c>
      <c r="J150" s="54">
        <f t="shared" si="49"/>
        <v>0.2651</v>
      </c>
      <c r="K150" s="54">
        <f t="shared" si="49"/>
        <v>0.2651</v>
      </c>
      <c r="L150" s="54">
        <f t="shared" si="49"/>
        <v>0.2651</v>
      </c>
      <c r="M150" s="54">
        <f t="shared" si="49"/>
        <v>0.2651</v>
      </c>
      <c r="N150" s="59">
        <f>$N$180</f>
        <v>0.24534</v>
      </c>
      <c r="O150" s="60">
        <f t="shared" si="49"/>
        <v>0.24534</v>
      </c>
    </row>
    <row r="151" spans="1:15">
      <c r="A151" s="50" t="s">
        <v>46</v>
      </c>
      <c r="C151" s="64">
        <f>AVERAGE(D151:O151)</f>
        <v>0.26180999999999999</v>
      </c>
      <c r="D151" s="59">
        <f>$L$189</f>
        <v>0.2651</v>
      </c>
      <c r="E151" s="54">
        <f t="shared" si="49"/>
        <v>0.2651</v>
      </c>
      <c r="F151" s="54">
        <f t="shared" si="49"/>
        <v>0.2651</v>
      </c>
      <c r="G151" s="54">
        <f t="shared" si="49"/>
        <v>0.2651</v>
      </c>
      <c r="H151" s="54">
        <f t="shared" si="49"/>
        <v>0.2651</v>
      </c>
      <c r="I151" s="54">
        <f t="shared" si="49"/>
        <v>0.2651</v>
      </c>
      <c r="J151" s="54">
        <f t="shared" si="49"/>
        <v>0.2651</v>
      </c>
      <c r="K151" s="54">
        <f t="shared" si="49"/>
        <v>0.2651</v>
      </c>
      <c r="L151" s="54">
        <f t="shared" si="49"/>
        <v>0.2651</v>
      </c>
      <c r="M151" s="54">
        <f t="shared" si="49"/>
        <v>0.2651</v>
      </c>
      <c r="N151" s="59">
        <f>$N$189</f>
        <v>0.24534</v>
      </c>
      <c r="O151" s="60">
        <f t="shared" si="49"/>
        <v>0.24534</v>
      </c>
    </row>
    <row r="152" spans="1:15" ht="19.899999999999999" customHeight="1">
      <c r="A152" s="50" t="s">
        <v>264</v>
      </c>
      <c r="B152" s="71"/>
      <c r="C152" s="198" t="s">
        <v>345</v>
      </c>
      <c r="E152" s="97" t="s">
        <v>245</v>
      </c>
      <c r="F152" s="97" t="s">
        <v>246</v>
      </c>
      <c r="G152" s="97" t="s">
        <v>247</v>
      </c>
      <c r="H152" s="54" t="s">
        <v>246</v>
      </c>
      <c r="J152" s="202"/>
      <c r="K152" s="188"/>
      <c r="L152" s="202">
        <v>41759</v>
      </c>
      <c r="M152" s="202">
        <v>41943</v>
      </c>
      <c r="N152" s="203">
        <v>42308</v>
      </c>
    </row>
    <row r="153" spans="1:15">
      <c r="B153" s="50" t="s">
        <v>248</v>
      </c>
      <c r="C153" s="144">
        <v>70235875</v>
      </c>
      <c r="E153" s="143">
        <f>IF(C153&gt;E156,E156,C153)</f>
        <v>24017006</v>
      </c>
      <c r="F153" s="181">
        <f>E153/$E$155</f>
        <v>1</v>
      </c>
      <c r="G153" s="174">
        <f>C153-E153</f>
        <v>46218869</v>
      </c>
      <c r="H153" s="181">
        <f>G153/$G$155</f>
        <v>0.56430000000000002</v>
      </c>
      <c r="J153" s="70"/>
      <c r="L153" s="134">
        <v>0.36723</v>
      </c>
      <c r="M153" s="134">
        <v>0.36723</v>
      </c>
      <c r="N153" s="134">
        <v>0.36723</v>
      </c>
    </row>
    <row r="154" spans="1:15">
      <c r="B154" s="50" t="s">
        <v>249</v>
      </c>
      <c r="C154" s="144">
        <v>35679397</v>
      </c>
      <c r="F154" s="181">
        <f t="shared" ref="F154:F156" si="50">E154/$E$155</f>
        <v>0</v>
      </c>
      <c r="G154" s="174">
        <f>C154-E154</f>
        <v>35679397</v>
      </c>
      <c r="H154" s="181">
        <f t="shared" ref="H154:H155" si="51">G154/$G$155</f>
        <v>0.43569999999999998</v>
      </c>
      <c r="J154" s="70"/>
      <c r="L154" s="134">
        <v>0.47728999999999999</v>
      </c>
      <c r="M154" s="134">
        <v>0.47728999999999999</v>
      </c>
      <c r="N154" s="134">
        <v>0.47728999999999999</v>
      </c>
    </row>
    <row r="155" spans="1:15">
      <c r="C155" s="56">
        <f>SUM(C153:C154)</f>
        <v>105915272</v>
      </c>
      <c r="E155" s="96">
        <f>SUM(E153:E154)</f>
        <v>24017006</v>
      </c>
      <c r="F155" s="181">
        <f t="shared" si="50"/>
        <v>1</v>
      </c>
      <c r="G155" s="96">
        <f>SUM(G153:G154)</f>
        <v>81898266</v>
      </c>
      <c r="H155" s="181">
        <f t="shared" si="51"/>
        <v>1</v>
      </c>
      <c r="J155" s="182"/>
      <c r="L155" s="182">
        <f>ROUND(+L153*$H153+L154*$H154,5)</f>
        <v>0.41517999999999999</v>
      </c>
      <c r="M155" s="182">
        <f>ROUND(+M153*$H153+M154*$H154,5)</f>
        <v>0.41517999999999999</v>
      </c>
      <c r="N155" s="65">
        <f>ROUND(+N153*$H153+N154*$H154,5)</f>
        <v>0.41517999999999999</v>
      </c>
    </row>
    <row r="156" spans="1:15">
      <c r="C156" s="144">
        <v>1847462</v>
      </c>
      <c r="D156" s="144">
        <v>13</v>
      </c>
      <c r="E156" s="143">
        <f>C156*D156</f>
        <v>24017006</v>
      </c>
      <c r="F156" s="181">
        <f t="shared" si="50"/>
        <v>1</v>
      </c>
      <c r="I156" s="97" t="s">
        <v>267</v>
      </c>
      <c r="J156" s="134"/>
      <c r="K156" s="97"/>
      <c r="L156" s="134">
        <v>0.28488000000000002</v>
      </c>
      <c r="M156" s="187">
        <v>0.28637000000000001</v>
      </c>
      <c r="N156" s="136">
        <v>0.26150000000000001</v>
      </c>
    </row>
    <row r="157" spans="1:15">
      <c r="I157" s="97" t="s">
        <v>271</v>
      </c>
      <c r="J157" s="134"/>
      <c r="K157" s="196"/>
      <c r="L157" s="134">
        <v>0.27179999999999999</v>
      </c>
      <c r="M157" s="187">
        <v>0.27306000000000002</v>
      </c>
      <c r="N157" s="135">
        <v>0.24934999999999999</v>
      </c>
    </row>
    <row r="158" spans="1:15">
      <c r="I158" s="97" t="s">
        <v>310</v>
      </c>
      <c r="J158" s="134"/>
      <c r="K158" s="196"/>
      <c r="L158" s="187">
        <v>4.6999999999999999E-4</v>
      </c>
      <c r="M158" s="187">
        <v>4.6999999999999999E-4</v>
      </c>
      <c r="N158" s="135">
        <v>4.6999999999999999E-4</v>
      </c>
    </row>
    <row r="159" spans="1:15">
      <c r="A159" s="50" t="s">
        <v>244</v>
      </c>
      <c r="B159" s="71"/>
      <c r="C159" s="194"/>
      <c r="E159" s="97"/>
      <c r="F159" s="97"/>
      <c r="G159" s="97"/>
      <c r="J159" s="183"/>
      <c r="L159" s="183"/>
      <c r="M159" s="183"/>
      <c r="N159" s="63"/>
    </row>
    <row r="160" spans="1:15">
      <c r="B160" s="50" t="s">
        <v>248</v>
      </c>
      <c r="C160" s="144">
        <v>5785416</v>
      </c>
      <c r="E160" s="174">
        <f>C160</f>
        <v>5785416</v>
      </c>
      <c r="F160" s="181">
        <f>E160/E$163</f>
        <v>0.3367</v>
      </c>
      <c r="G160" s="174">
        <f>C160-E160</f>
        <v>0</v>
      </c>
      <c r="H160" s="181">
        <f>G160/G$163</f>
        <v>0</v>
      </c>
      <c r="J160" s="70"/>
      <c r="L160" s="70">
        <v>0.48625000000000002</v>
      </c>
      <c r="M160" s="70">
        <v>0.48625000000000002</v>
      </c>
      <c r="N160" s="74">
        <v>0.48625000000000002</v>
      </c>
    </row>
    <row r="161" spans="1:15">
      <c r="B161" s="50" t="s">
        <v>249</v>
      </c>
      <c r="C161" s="144">
        <v>14299409</v>
      </c>
      <c r="E161" s="174">
        <f>E164-E160</f>
        <v>11398727</v>
      </c>
      <c r="F161" s="181">
        <f t="shared" ref="F161:F162" si="52">E161/E$163</f>
        <v>0.6633</v>
      </c>
      <c r="G161" s="174">
        <f>C161-E161</f>
        <v>2900682</v>
      </c>
      <c r="H161" s="181">
        <f t="shared" ref="H161:H162" si="53">G161/G$163</f>
        <v>0.1113</v>
      </c>
      <c r="J161" s="171"/>
      <c r="L161" s="171">
        <v>0.33354</v>
      </c>
      <c r="M161" s="171">
        <v>0.33354</v>
      </c>
      <c r="N161" s="73">
        <v>0.33354</v>
      </c>
    </row>
    <row r="162" spans="1:15">
      <c r="B162" s="50" t="s">
        <v>250</v>
      </c>
      <c r="C162" s="144">
        <v>23171235</v>
      </c>
      <c r="E162" s="54">
        <v>0</v>
      </c>
      <c r="F162" s="181">
        <f t="shared" si="52"/>
        <v>0</v>
      </c>
      <c r="G162" s="174">
        <f>C162</f>
        <v>23171235</v>
      </c>
      <c r="H162" s="181">
        <f t="shared" si="53"/>
        <v>0.88870000000000005</v>
      </c>
      <c r="J162" s="171"/>
      <c r="L162" s="171">
        <v>0.25424000000000002</v>
      </c>
      <c r="M162" s="171">
        <v>0.25424000000000002</v>
      </c>
      <c r="N162" s="73">
        <v>0.25424000000000002</v>
      </c>
    </row>
    <row r="163" spans="1:15">
      <c r="C163" s="95">
        <f>SUM(C160:C162)</f>
        <v>43256060</v>
      </c>
      <c r="E163" s="96">
        <f>SUM(E160:E162)</f>
        <v>17184143</v>
      </c>
      <c r="F163" s="181">
        <f>SUM(F160:F162)</f>
        <v>1</v>
      </c>
      <c r="G163" s="96">
        <f>SUM(G160:G162)</f>
        <v>26071917</v>
      </c>
      <c r="H163" s="181">
        <f>SUM(H160:H162)</f>
        <v>1</v>
      </c>
      <c r="J163" s="182"/>
      <c r="L163" s="182">
        <f>ROUND(L160*$H160+L161*$H161+L162*$H162,5)</f>
        <v>0.26307000000000003</v>
      </c>
      <c r="M163" s="182">
        <f>ROUND(M160*$H160+M161*$H161+M162*$H162,5)</f>
        <v>0.26307000000000003</v>
      </c>
      <c r="N163" s="65">
        <f>ROUND(N160*$H160+N161*$H161+N162*$H162,5)</f>
        <v>0.26307000000000003</v>
      </c>
    </row>
    <row r="164" spans="1:15">
      <c r="C164" s="144">
        <v>32983</v>
      </c>
      <c r="D164" s="144">
        <v>521</v>
      </c>
      <c r="E164" s="143">
        <f>C164*D164</f>
        <v>17184143</v>
      </c>
      <c r="I164" s="97" t="s">
        <v>267</v>
      </c>
      <c r="J164" s="134"/>
      <c r="L164" s="134">
        <v>0.27567999999999998</v>
      </c>
      <c r="M164" s="187">
        <v>0.27588000000000001</v>
      </c>
      <c r="N164" s="135">
        <v>0.25180999999999998</v>
      </c>
    </row>
    <row r="165" spans="1:15">
      <c r="C165" s="144"/>
      <c r="D165" s="144"/>
      <c r="E165" s="143"/>
      <c r="I165" s="97" t="s">
        <v>271</v>
      </c>
      <c r="J165" s="134"/>
      <c r="K165" s="187"/>
      <c r="L165" s="134">
        <v>0.26301000000000002</v>
      </c>
      <c r="M165" s="187">
        <v>0.26302999999999999</v>
      </c>
      <c r="N165" s="135">
        <v>0.24010999999999999</v>
      </c>
    </row>
    <row r="166" spans="1:15">
      <c r="C166" s="144"/>
      <c r="D166" s="144"/>
      <c r="E166" s="143"/>
      <c r="I166" s="97" t="s">
        <v>310</v>
      </c>
      <c r="J166" s="134"/>
      <c r="K166" s="187"/>
      <c r="L166" s="187">
        <v>3.8000000000000002E-4</v>
      </c>
      <c r="M166" s="187">
        <v>3.8000000000000002E-4</v>
      </c>
      <c r="N166" s="135">
        <v>3.8000000000000002E-4</v>
      </c>
    </row>
    <row r="167" spans="1:15">
      <c r="A167" s="50" t="s">
        <v>251</v>
      </c>
      <c r="B167" s="54"/>
      <c r="C167" s="194"/>
      <c r="E167" s="97"/>
      <c r="F167" s="97"/>
      <c r="G167" s="97"/>
      <c r="J167" s="183"/>
      <c r="L167" s="183"/>
      <c r="M167" s="183"/>
      <c r="N167" s="63"/>
    </row>
    <row r="168" spans="1:15">
      <c r="B168" s="50" t="s">
        <v>248</v>
      </c>
      <c r="C168" s="144">
        <v>135553</v>
      </c>
      <c r="E168" s="174">
        <f>C168</f>
        <v>135553</v>
      </c>
      <c r="F168" s="181">
        <f>E168/E$173</f>
        <v>4.3900000000000002E-2</v>
      </c>
      <c r="G168" s="174">
        <f>C168-E168</f>
        <v>0</v>
      </c>
      <c r="H168" s="181">
        <f>G168/G$173</f>
        <v>0</v>
      </c>
      <c r="J168" s="171"/>
      <c r="L168" s="171">
        <v>0.48087999999999997</v>
      </c>
      <c r="M168" s="171">
        <v>0.48087999999999997</v>
      </c>
      <c r="N168" s="73">
        <v>0.48087999999999997</v>
      </c>
    </row>
    <row r="169" spans="1:15">
      <c r="B169" s="50" t="s">
        <v>249</v>
      </c>
      <c r="C169" s="144">
        <v>135553</v>
      </c>
      <c r="E169" s="174">
        <f>C169</f>
        <v>135553</v>
      </c>
      <c r="F169" s="181">
        <f t="shared" ref="F169:F172" si="54">E169/E$173</f>
        <v>4.3900000000000002E-2</v>
      </c>
      <c r="G169" s="174">
        <f>C169-E169</f>
        <v>0</v>
      </c>
      <c r="H169" s="181">
        <f t="shared" ref="H169:H172" si="55">G169/G$173</f>
        <v>0</v>
      </c>
      <c r="J169" s="171"/>
      <c r="L169" s="70">
        <v>0.34849999999999998</v>
      </c>
      <c r="M169" s="70">
        <v>0.34849999999999998</v>
      </c>
      <c r="N169" s="74">
        <v>0.34849999999999998</v>
      </c>
    </row>
    <row r="170" spans="1:15">
      <c r="A170" s="75"/>
      <c r="B170" s="75" t="s">
        <v>250</v>
      </c>
      <c r="C170" s="215">
        <v>2127460</v>
      </c>
      <c r="D170" s="184"/>
      <c r="E170" s="174">
        <f>C170</f>
        <v>2127460</v>
      </c>
      <c r="F170" s="181">
        <f t="shared" si="54"/>
        <v>0.68840000000000001</v>
      </c>
      <c r="G170" s="174">
        <f>C170-E170</f>
        <v>0</v>
      </c>
      <c r="H170" s="181">
        <f t="shared" si="55"/>
        <v>0</v>
      </c>
      <c r="I170" s="184"/>
      <c r="J170" s="171"/>
      <c r="K170" s="184"/>
      <c r="L170" s="171">
        <v>0.26767000000000002</v>
      </c>
      <c r="M170" s="171">
        <v>0.26767000000000002</v>
      </c>
      <c r="N170" s="73">
        <v>0.26767000000000002</v>
      </c>
      <c r="O170" s="75"/>
    </row>
    <row r="171" spans="1:15">
      <c r="A171" s="75"/>
      <c r="B171" s="75" t="s">
        <v>252</v>
      </c>
      <c r="C171" s="216">
        <v>953143</v>
      </c>
      <c r="D171" s="185"/>
      <c r="E171" s="174">
        <f>E174-SUM(E168:E170)</f>
        <v>692067</v>
      </c>
      <c r="F171" s="181">
        <f t="shared" si="54"/>
        <v>0.22389999999999999</v>
      </c>
      <c r="G171" s="174">
        <f>C171-E171</f>
        <v>261076</v>
      </c>
      <c r="H171" s="181">
        <f t="shared" si="55"/>
        <v>0.308</v>
      </c>
      <c r="I171" s="184"/>
      <c r="J171" s="171"/>
      <c r="K171" s="184"/>
      <c r="L171" s="171">
        <v>0.21692</v>
      </c>
      <c r="M171" s="171">
        <v>0.21692</v>
      </c>
      <c r="N171" s="73">
        <v>0.21692</v>
      </c>
      <c r="O171" s="75"/>
    </row>
    <row r="172" spans="1:15">
      <c r="A172" s="75"/>
      <c r="B172" s="75" t="s">
        <v>253</v>
      </c>
      <c r="C172" s="216">
        <v>586572</v>
      </c>
      <c r="D172" s="184"/>
      <c r="E172" s="174">
        <f>E174-SUM(E168:E171)</f>
        <v>0</v>
      </c>
      <c r="F172" s="181">
        <f t="shared" si="54"/>
        <v>0</v>
      </c>
      <c r="G172" s="174">
        <f>C172-E172</f>
        <v>586572</v>
      </c>
      <c r="H172" s="181">
        <f t="shared" si="55"/>
        <v>0.69199999999999995</v>
      </c>
      <c r="I172" s="184"/>
      <c r="J172" s="70"/>
      <c r="K172" s="184"/>
      <c r="L172" s="171">
        <v>0.14387</v>
      </c>
      <c r="M172" s="171">
        <v>0.14387</v>
      </c>
      <c r="N172" s="73">
        <v>0.14387</v>
      </c>
      <c r="O172" s="75"/>
    </row>
    <row r="173" spans="1:15">
      <c r="C173" s="96">
        <f>SUM(C168:C172)</f>
        <v>3938281</v>
      </c>
      <c r="E173" s="96">
        <f>SUM(E168:E172)</f>
        <v>3090633</v>
      </c>
      <c r="F173" s="181">
        <f>SUM(F168:F172)</f>
        <v>1.0001</v>
      </c>
      <c r="G173" s="96">
        <f>SUM(G168:G172)</f>
        <v>847648</v>
      </c>
      <c r="H173" s="181">
        <f>SUM(H168:H172)</f>
        <v>1</v>
      </c>
      <c r="J173" s="186"/>
      <c r="L173" s="186">
        <f>ROUND(L168*$H168+L169*$H169+L170*$H170+L171*$H171+L172*$H172,5)</f>
        <v>0.16636999999999999</v>
      </c>
      <c r="M173" s="186">
        <f>ROUND(M168*$H168+M169*$H169+M170*$H170+M171*$H171+M172*$H172,5)</f>
        <v>0.16636999999999999</v>
      </c>
      <c r="N173" s="66">
        <f>ROUND(N168*$H168+N169*$H169+N170*$H170+N171*$H171+N172*$H172,5)</f>
        <v>0.16636999999999999</v>
      </c>
    </row>
    <row r="174" spans="1:15">
      <c r="C174" s="144">
        <v>273</v>
      </c>
      <c r="D174" s="217">
        <v>11321</v>
      </c>
      <c r="E174" s="143">
        <f>C174*D174</f>
        <v>3090633</v>
      </c>
      <c r="I174" s="97" t="s">
        <v>267</v>
      </c>
      <c r="J174" s="134"/>
      <c r="L174" s="134">
        <v>0.28162999999999999</v>
      </c>
      <c r="M174" s="187">
        <v>0.27573999999999999</v>
      </c>
      <c r="N174" s="135">
        <v>0.25180999999999998</v>
      </c>
    </row>
    <row r="175" spans="1:15">
      <c r="C175" s="143"/>
      <c r="D175" s="174"/>
      <c r="E175" s="143"/>
      <c r="I175" s="97" t="s">
        <v>271</v>
      </c>
      <c r="J175" s="134"/>
      <c r="L175" s="134">
        <v>0.26868999999999998</v>
      </c>
      <c r="M175" s="187">
        <v>0.26291999999999999</v>
      </c>
      <c r="N175" s="136">
        <v>0.24010999999999999</v>
      </c>
    </row>
    <row r="176" spans="1:15">
      <c r="C176" s="143"/>
      <c r="D176" s="174"/>
      <c r="E176" s="143"/>
      <c r="I176" s="97" t="s">
        <v>310</v>
      </c>
      <c r="J176" s="134"/>
      <c r="L176" s="134">
        <v>3.1E-4</v>
      </c>
      <c r="M176" s="134">
        <v>3.1E-4</v>
      </c>
      <c r="N176" s="134">
        <v>3.1E-4</v>
      </c>
    </row>
    <row r="177" spans="1:14" ht="14.45" customHeight="1">
      <c r="A177" s="50" t="s">
        <v>266</v>
      </c>
      <c r="C177" s="143"/>
      <c r="D177" s="174"/>
      <c r="E177" s="143"/>
      <c r="J177" s="200"/>
      <c r="K177" s="200"/>
      <c r="L177" s="200">
        <v>42004</v>
      </c>
      <c r="M177" s="201">
        <v>41943</v>
      </c>
      <c r="N177" s="200">
        <v>42308</v>
      </c>
    </row>
    <row r="178" spans="1:14">
      <c r="B178" s="50" t="s">
        <v>248</v>
      </c>
      <c r="C178" s="137" t="s">
        <v>268</v>
      </c>
      <c r="D178" s="174"/>
      <c r="E178" s="143"/>
      <c r="J178" s="187"/>
      <c r="K178" s="187"/>
      <c r="L178" s="187">
        <f>0.50087-0.0363</f>
        <v>0.46456999999999998</v>
      </c>
      <c r="M178" s="187">
        <f>0.48363-0.03548</f>
        <v>0.44814999999999999</v>
      </c>
      <c r="N178" s="187">
        <f>0.50087-0.0363</f>
        <v>0.46456999999999998</v>
      </c>
    </row>
    <row r="179" spans="1:14">
      <c r="C179" s="143"/>
      <c r="D179" s="174"/>
      <c r="E179" s="143"/>
      <c r="I179" s="97" t="s">
        <v>267</v>
      </c>
      <c r="J179" s="135"/>
      <c r="K179" s="187"/>
      <c r="L179" s="187">
        <v>0.26665</v>
      </c>
      <c r="M179" s="187">
        <v>0.26665</v>
      </c>
      <c r="N179" s="187">
        <v>0.24678</v>
      </c>
    </row>
    <row r="180" spans="1:14">
      <c r="C180" s="143"/>
      <c r="D180" s="174"/>
      <c r="E180" s="143"/>
      <c r="I180" s="97" t="s">
        <v>271</v>
      </c>
      <c r="J180" s="135"/>
      <c r="K180" s="187"/>
      <c r="L180" s="134">
        <v>0.2651</v>
      </c>
      <c r="M180" s="134">
        <v>0.2651</v>
      </c>
      <c r="N180" s="134">
        <v>0.24534</v>
      </c>
    </row>
    <row r="181" spans="1:14">
      <c r="C181" s="143"/>
      <c r="D181" s="174"/>
      <c r="E181" s="143"/>
      <c r="I181" s="97" t="s">
        <v>310</v>
      </c>
      <c r="J181" s="134"/>
      <c r="K181" s="134"/>
      <c r="L181" s="134">
        <v>4.0000000000000002E-4</v>
      </c>
      <c r="M181" s="134">
        <v>4.0000000000000002E-4</v>
      </c>
      <c r="N181" s="134">
        <v>4.0000000000000002E-4</v>
      </c>
    </row>
    <row r="182" spans="1:14">
      <c r="A182" s="50" t="s">
        <v>254</v>
      </c>
      <c r="C182" s="198" t="s">
        <v>345</v>
      </c>
      <c r="J182" s="183"/>
      <c r="K182" s="183"/>
      <c r="L182" s="183"/>
      <c r="M182" s="183"/>
      <c r="N182" s="183"/>
    </row>
    <row r="183" spans="1:14">
      <c r="B183" s="50" t="s">
        <v>248</v>
      </c>
      <c r="C183" s="143">
        <v>2975097</v>
      </c>
      <c r="E183" s="174">
        <f>C183</f>
        <v>2975097</v>
      </c>
      <c r="F183" s="181">
        <f>E183/E$187</f>
        <v>0.2457</v>
      </c>
      <c r="G183" s="174">
        <f>C183-E183</f>
        <v>0</v>
      </c>
      <c r="H183" s="181">
        <f>G183/G$187</f>
        <v>0</v>
      </c>
      <c r="J183" s="70"/>
      <c r="K183" s="70"/>
      <c r="L183" s="70">
        <f>0.5309-0.01897</f>
        <v>0.51193</v>
      </c>
      <c r="M183" s="70">
        <f>0.51365-0.01854</f>
        <v>0.49510999999999999</v>
      </c>
      <c r="N183" s="70">
        <f>0.5309-0.01897</f>
        <v>0.51193</v>
      </c>
    </row>
    <row r="184" spans="1:14">
      <c r="B184" s="50" t="s">
        <v>249</v>
      </c>
      <c r="C184" s="143">
        <v>6965891</v>
      </c>
      <c r="E184" s="174">
        <f>C184</f>
        <v>6965891</v>
      </c>
      <c r="F184" s="181">
        <f t="shared" ref="F184:F186" si="56">E184/E$187</f>
        <v>0.57520000000000004</v>
      </c>
      <c r="G184" s="174">
        <f>C184-E184</f>
        <v>0</v>
      </c>
      <c r="H184" s="181">
        <f t="shared" ref="H184:H186" si="57">G184/G$187</f>
        <v>0</v>
      </c>
      <c r="J184" s="70"/>
      <c r="K184" s="70"/>
      <c r="L184" s="70">
        <f>0.32402-0.01897</f>
        <v>0.30504999999999999</v>
      </c>
      <c r="M184" s="70">
        <f>0.3222-0.01854</f>
        <v>0.30365999999999999</v>
      </c>
      <c r="N184" s="70">
        <f>0.32402-0.01897</f>
        <v>0.30504999999999999</v>
      </c>
    </row>
    <row r="185" spans="1:14">
      <c r="B185" s="50" t="s">
        <v>250</v>
      </c>
      <c r="C185" s="143">
        <v>8708834</v>
      </c>
      <c r="E185" s="174">
        <f>E188-E183-E184</f>
        <v>2169482</v>
      </c>
      <c r="F185" s="181">
        <f t="shared" si="56"/>
        <v>0.17910000000000001</v>
      </c>
      <c r="G185" s="174">
        <f>C185-E185</f>
        <v>6539352</v>
      </c>
      <c r="H185" s="181">
        <f t="shared" si="57"/>
        <v>0.75529999999999997</v>
      </c>
      <c r="J185" s="70"/>
      <c r="K185" s="70"/>
      <c r="L185" s="70">
        <f>0.24117-0.01897</f>
        <v>0.22220000000000001</v>
      </c>
      <c r="M185" s="70">
        <f>0.23981-0.01854</f>
        <v>0.22126999999999999</v>
      </c>
      <c r="N185" s="70">
        <f>0.24117-0.01897</f>
        <v>0.22220000000000001</v>
      </c>
    </row>
    <row r="186" spans="1:14">
      <c r="B186" s="50" t="s">
        <v>252</v>
      </c>
      <c r="C186" s="143">
        <v>2118897</v>
      </c>
      <c r="E186" s="174"/>
      <c r="F186" s="181">
        <f t="shared" si="56"/>
        <v>0</v>
      </c>
      <c r="G186" s="174">
        <f>C186-E186</f>
        <v>2118897</v>
      </c>
      <c r="H186" s="181">
        <f t="shared" si="57"/>
        <v>0.2447</v>
      </c>
      <c r="J186" s="70"/>
      <c r="K186" s="70"/>
      <c r="L186" s="70">
        <f>0.18639-0.01897</f>
        <v>0.16742000000000001</v>
      </c>
      <c r="M186" s="70">
        <f>0.18534-0.01854</f>
        <v>0.1668</v>
      </c>
      <c r="N186" s="70">
        <f>0.18639-0.01897</f>
        <v>0.16742000000000001</v>
      </c>
    </row>
    <row r="187" spans="1:14">
      <c r="C187" s="95">
        <f>SUM(C183:C186)</f>
        <v>20768719</v>
      </c>
      <c r="E187" s="95">
        <f>SUM(E183:E186)</f>
        <v>12110470</v>
      </c>
      <c r="F187" s="181">
        <f>SUM(F183:F186)</f>
        <v>1</v>
      </c>
      <c r="G187" s="95">
        <f>SUM(G185:G186)</f>
        <v>8658249</v>
      </c>
      <c r="H187" s="181">
        <f>SUM(H183:H186)</f>
        <v>1</v>
      </c>
      <c r="J187" s="188"/>
      <c r="K187" s="188"/>
      <c r="L187" s="186">
        <f>ROUND(L183*$H183+L184*$H184+L185*$H185+L186*$H186,5)</f>
        <v>0.20880000000000001</v>
      </c>
      <c r="M187" s="67">
        <f>ROUND(M183*$H183+M184*$H184+M185*$H185+M186*$H186,5)</f>
        <v>0.20794000000000001</v>
      </c>
      <c r="N187" s="186">
        <f>ROUND(N183*$H183+N184*$H184+N185*$H185+N186*$H186,5)</f>
        <v>0.20880000000000001</v>
      </c>
    </row>
    <row r="188" spans="1:14">
      <c r="C188" s="143">
        <v>17057</v>
      </c>
      <c r="D188" s="174">
        <v>710</v>
      </c>
      <c r="E188" s="143">
        <f>C188*D188</f>
        <v>12110470</v>
      </c>
      <c r="I188" s="97" t="s">
        <v>267</v>
      </c>
      <c r="J188" s="135"/>
      <c r="K188" s="187"/>
      <c r="L188" s="187">
        <v>0.26665</v>
      </c>
      <c r="M188" s="187">
        <v>0.26665</v>
      </c>
      <c r="N188" s="187">
        <v>0.24678</v>
      </c>
    </row>
    <row r="189" spans="1:14">
      <c r="I189" s="97" t="s">
        <v>271</v>
      </c>
      <c r="J189" s="135"/>
      <c r="K189" s="187"/>
      <c r="L189" s="134">
        <v>0.2651</v>
      </c>
      <c r="M189" s="134">
        <v>0.2651</v>
      </c>
      <c r="N189" s="134">
        <v>0.24534</v>
      </c>
    </row>
    <row r="190" spans="1:14">
      <c r="I190" s="97" t="s">
        <v>310</v>
      </c>
      <c r="J190" s="134"/>
      <c r="K190" s="134"/>
      <c r="L190" s="134">
        <v>4.0000000000000002E-4</v>
      </c>
      <c r="M190" s="134">
        <v>4.0000000000000002E-4</v>
      </c>
      <c r="N190" s="134">
        <v>4.0000000000000002E-4</v>
      </c>
    </row>
  </sheetData>
  <printOptions horizontalCentered="1"/>
  <pageMargins left="0.25" right="0.25" top="0.67" bottom="0.62" header="0.34" footer="0.33"/>
  <pageSetup scale="59" orientation="landscape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51" max="14" man="1"/>
    <brk id="91" max="14" man="1"/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3"/>
  <sheetViews>
    <sheetView topLeftCell="A4" workbookViewId="0">
      <selection activeCell="C7" sqref="C7"/>
    </sheetView>
  </sheetViews>
  <sheetFormatPr defaultColWidth="10" defaultRowHeight="12.75"/>
  <cols>
    <col min="1" max="1" width="7" style="77" customWidth="1"/>
    <col min="2" max="2" width="9.625" style="77" customWidth="1"/>
    <col min="3" max="3" width="10.125" style="77" customWidth="1"/>
    <col min="4" max="4" width="12.75" style="77" customWidth="1"/>
    <col min="5" max="5" width="11.75" style="77" customWidth="1"/>
    <col min="6" max="6" width="12" style="77" customWidth="1"/>
    <col min="7" max="7" width="10.75" style="80" customWidth="1"/>
    <col min="8" max="8" width="27" style="81" customWidth="1"/>
    <col min="9" max="9" width="2.625" style="77" customWidth="1"/>
    <col min="10" max="10" width="1.375" style="77" customWidth="1"/>
    <col min="11" max="16384" width="10" style="77"/>
  </cols>
  <sheetData>
    <row r="1" spans="1:8" ht="14.25">
      <c r="A1" s="222" t="s">
        <v>362</v>
      </c>
      <c r="B1" s="222"/>
      <c r="C1" s="222"/>
      <c r="D1" s="222"/>
      <c r="E1" s="222"/>
      <c r="F1" s="222"/>
      <c r="G1" s="222"/>
      <c r="H1" s="222"/>
    </row>
    <row r="3" spans="1:8" ht="15" customHeight="1">
      <c r="A3" s="83" t="s">
        <v>49</v>
      </c>
      <c r="B3" s="83" t="s">
        <v>50</v>
      </c>
      <c r="C3" s="83" t="s">
        <v>363</v>
      </c>
      <c r="D3" s="83" t="s">
        <v>162</v>
      </c>
      <c r="E3" s="82" t="s">
        <v>160</v>
      </c>
      <c r="F3" s="83" t="s">
        <v>51</v>
      </c>
      <c r="G3" s="109" t="s">
        <v>51</v>
      </c>
      <c r="H3" s="83" t="s">
        <v>161</v>
      </c>
    </row>
    <row r="4" spans="1:8" ht="15.75" customHeight="1">
      <c r="A4" s="83" t="s">
        <v>256</v>
      </c>
      <c r="B4" s="83" t="s">
        <v>52</v>
      </c>
      <c r="C4" s="83" t="s">
        <v>82</v>
      </c>
      <c r="D4" s="83" t="s">
        <v>82</v>
      </c>
      <c r="E4" s="83" t="s">
        <v>82</v>
      </c>
      <c r="F4" s="83" t="s">
        <v>53</v>
      </c>
      <c r="G4" s="109" t="s">
        <v>364</v>
      </c>
      <c r="H4" s="83" t="s">
        <v>163</v>
      </c>
    </row>
    <row r="5" spans="1:8" ht="30" customHeight="1">
      <c r="B5" s="81"/>
      <c r="C5" s="81" t="s">
        <v>365</v>
      </c>
      <c r="D5" s="84" t="s">
        <v>204</v>
      </c>
      <c r="E5" s="84" t="s">
        <v>205</v>
      </c>
      <c r="F5" s="81"/>
      <c r="G5" s="110"/>
    </row>
    <row r="6" spans="1:8">
      <c r="A6" s="82" t="s">
        <v>54</v>
      </c>
      <c r="G6" s="111"/>
    </row>
    <row r="7" spans="1:8" ht="15" customHeight="1">
      <c r="A7" s="120">
        <v>0.99099999999999999</v>
      </c>
      <c r="B7" s="76" t="s">
        <v>55</v>
      </c>
      <c r="C7" s="115">
        <v>9.9400000000000002E-2</v>
      </c>
      <c r="D7" s="115">
        <v>8.7800000000000003E-2</v>
      </c>
      <c r="E7" s="115">
        <v>0.1032</v>
      </c>
      <c r="F7" s="116">
        <v>9</v>
      </c>
      <c r="G7" s="190">
        <v>13</v>
      </c>
      <c r="H7" s="192" t="s">
        <v>95</v>
      </c>
    </row>
    <row r="8" spans="1:8" ht="15" customHeight="1">
      <c r="A8" s="119">
        <v>0.98299999999999998</v>
      </c>
      <c r="B8" s="78" t="s">
        <v>56</v>
      </c>
      <c r="C8" s="117">
        <v>0.22500000000000001</v>
      </c>
      <c r="D8" s="117">
        <v>0.17680000000000001</v>
      </c>
      <c r="E8" s="117">
        <v>0.24729999999999999</v>
      </c>
      <c r="F8" s="118">
        <v>0</v>
      </c>
      <c r="G8" s="191">
        <v>11</v>
      </c>
      <c r="H8" s="79" t="s">
        <v>95</v>
      </c>
    </row>
    <row r="9" spans="1:8" ht="15" customHeight="1">
      <c r="A9" s="119">
        <v>0.96299999999999997</v>
      </c>
      <c r="B9" s="78" t="s">
        <v>57</v>
      </c>
      <c r="C9" s="117">
        <v>0.69030000000000002</v>
      </c>
      <c r="D9" s="117">
        <v>0.36220000000000002</v>
      </c>
      <c r="E9" s="117">
        <v>0.4778</v>
      </c>
      <c r="F9" s="118">
        <v>-38</v>
      </c>
      <c r="G9" s="191">
        <v>5</v>
      </c>
      <c r="H9" s="79" t="s">
        <v>238</v>
      </c>
    </row>
    <row r="10" spans="1:8" ht="15" customHeight="1">
      <c r="A10" s="119">
        <v>0.99</v>
      </c>
      <c r="B10" s="78" t="s">
        <v>58</v>
      </c>
      <c r="C10" s="117">
        <v>0.1142</v>
      </c>
      <c r="D10" s="117">
        <v>9.5299999999999996E-2</v>
      </c>
      <c r="E10" s="117">
        <v>0.1153</v>
      </c>
      <c r="F10" s="118">
        <v>8</v>
      </c>
      <c r="G10" s="191">
        <v>13</v>
      </c>
      <c r="H10" s="79" t="s">
        <v>95</v>
      </c>
    </row>
    <row r="11" spans="1:8" ht="15" customHeight="1">
      <c r="A11" s="119">
        <v>0.95899999999999996</v>
      </c>
      <c r="B11" s="78" t="s">
        <v>59</v>
      </c>
      <c r="C11" s="117">
        <v>0</v>
      </c>
      <c r="D11" s="117">
        <v>0.78590000000000004</v>
      </c>
      <c r="E11" s="117">
        <v>0.83030000000000004</v>
      </c>
      <c r="F11" s="118">
        <v>488</v>
      </c>
      <c r="G11" s="191">
        <v>320</v>
      </c>
      <c r="H11" s="79" t="s">
        <v>238</v>
      </c>
    </row>
    <row r="12" spans="1:8" ht="15" customHeight="1">
      <c r="A12" s="119">
        <v>0.99199999999999999</v>
      </c>
      <c r="B12" s="78" t="s">
        <v>60</v>
      </c>
      <c r="C12" s="117">
        <v>2.2934999999999999</v>
      </c>
      <c r="D12" s="117">
        <v>1.9052</v>
      </c>
      <c r="E12" s="117">
        <v>1.9956</v>
      </c>
      <c r="F12" s="118">
        <v>483</v>
      </c>
      <c r="G12" s="191">
        <v>562</v>
      </c>
      <c r="H12" s="79" t="s">
        <v>366</v>
      </c>
    </row>
    <row r="13" spans="1:8" ht="15" customHeight="1">
      <c r="A13" s="119">
        <v>0.85799999999999998</v>
      </c>
      <c r="B13" s="78" t="s">
        <v>61</v>
      </c>
      <c r="C13" s="117">
        <v>0</v>
      </c>
      <c r="D13" s="117">
        <v>2.1448999999999998</v>
      </c>
      <c r="E13" s="117">
        <v>2.5266999999999999</v>
      </c>
      <c r="F13" s="118">
        <v>2246</v>
      </c>
      <c r="G13" s="191">
        <v>2196</v>
      </c>
      <c r="H13" s="79" t="s">
        <v>239</v>
      </c>
    </row>
    <row r="14" spans="1:8" ht="15" customHeight="1">
      <c r="A14" s="119">
        <v>0.99099999999999999</v>
      </c>
      <c r="B14" s="78" t="s">
        <v>173</v>
      </c>
      <c r="C14" s="117">
        <v>2.2429000000000001</v>
      </c>
      <c r="D14" s="117">
        <v>1.7789999999999999</v>
      </c>
      <c r="E14" s="117">
        <v>1.8827</v>
      </c>
      <c r="F14" s="118">
        <v>507</v>
      </c>
      <c r="G14" s="191">
        <v>568</v>
      </c>
      <c r="H14" s="79" t="s">
        <v>366</v>
      </c>
    </row>
    <row r="15" spans="1:8" ht="15" customHeight="1">
      <c r="A15" s="119">
        <f>A12</f>
        <v>0.99199999999999999</v>
      </c>
      <c r="B15" s="78" t="s">
        <v>62</v>
      </c>
      <c r="C15" s="117">
        <f>C12</f>
        <v>2.2934999999999999</v>
      </c>
      <c r="D15" s="117">
        <f>D12</f>
        <v>1.9052</v>
      </c>
      <c r="E15" s="117">
        <f>E12</f>
        <v>1.9956</v>
      </c>
      <c r="F15" s="118">
        <f>F12</f>
        <v>483</v>
      </c>
      <c r="G15" s="118">
        <f>G12</f>
        <v>562</v>
      </c>
      <c r="H15" s="79" t="s">
        <v>367</v>
      </c>
    </row>
    <row r="16" spans="1:8" ht="15" customHeight="1">
      <c r="A16" s="119">
        <f>A14</f>
        <v>0.99099999999999999</v>
      </c>
      <c r="B16" s="78" t="s">
        <v>175</v>
      </c>
      <c r="C16" s="117">
        <f>C14</f>
        <v>2.2429000000000001</v>
      </c>
      <c r="D16" s="117">
        <f>D14</f>
        <v>1.7789999999999999</v>
      </c>
      <c r="E16" s="117">
        <f>E14</f>
        <v>1.8827</v>
      </c>
      <c r="F16" s="118">
        <f>F14</f>
        <v>507</v>
      </c>
      <c r="G16" s="118">
        <f>G14</f>
        <v>568</v>
      </c>
      <c r="H16" s="79" t="s">
        <v>367</v>
      </c>
    </row>
    <row r="17" spans="1:8" ht="8.25" customHeight="1">
      <c r="A17" s="86"/>
      <c r="B17" s="89"/>
      <c r="C17" s="90"/>
      <c r="D17" s="87"/>
      <c r="E17" s="87"/>
      <c r="F17" s="88"/>
      <c r="G17" s="142"/>
      <c r="H17" s="86"/>
    </row>
    <row r="18" spans="1:8" ht="15.75" customHeight="1">
      <c r="A18" s="91" t="s">
        <v>63</v>
      </c>
      <c r="B18" s="89"/>
      <c r="C18" s="87"/>
      <c r="D18" s="87"/>
      <c r="E18" s="87"/>
      <c r="F18" s="89"/>
      <c r="G18" s="142"/>
      <c r="H18" s="86"/>
    </row>
    <row r="19" spans="1:8" ht="15" customHeight="1">
      <c r="A19" s="120">
        <v>0.995</v>
      </c>
      <c r="B19" s="76" t="s">
        <v>64</v>
      </c>
      <c r="C19" s="115">
        <v>8.8200000000000001E-2</v>
      </c>
      <c r="D19" s="115">
        <v>8.72E-2</v>
      </c>
      <c r="E19" s="115">
        <v>9.4299999999999995E-2</v>
      </c>
      <c r="F19" s="116">
        <v>9</v>
      </c>
      <c r="G19" s="190">
        <v>13</v>
      </c>
      <c r="H19" s="79" t="s">
        <v>239</v>
      </c>
    </row>
    <row r="20" spans="1:8" ht="15" customHeight="1">
      <c r="A20" s="119">
        <v>0.98099999999999998</v>
      </c>
      <c r="B20" s="78" t="s">
        <v>65</v>
      </c>
      <c r="C20" s="117">
        <v>0.16869999999999999</v>
      </c>
      <c r="D20" s="117">
        <v>0.1623</v>
      </c>
      <c r="E20" s="117">
        <v>0.18840000000000001</v>
      </c>
      <c r="F20" s="118">
        <v>0</v>
      </c>
      <c r="G20" s="191">
        <v>10</v>
      </c>
      <c r="H20" s="79" t="s">
        <v>239</v>
      </c>
    </row>
    <row r="21" spans="1:8" ht="15" customHeight="1">
      <c r="A21" s="119">
        <v>0.96499999999999997</v>
      </c>
      <c r="B21" s="78" t="s">
        <v>66</v>
      </c>
      <c r="C21" s="117">
        <v>0.43309999999999998</v>
      </c>
      <c r="D21" s="117">
        <v>0.31090000000000001</v>
      </c>
      <c r="E21" s="117">
        <v>0.35680000000000001</v>
      </c>
      <c r="F21" s="118">
        <v>-27</v>
      </c>
      <c r="G21" s="191">
        <v>6</v>
      </c>
      <c r="H21" s="79" t="s">
        <v>368</v>
      </c>
    </row>
    <row r="22" spans="1:8" ht="15" customHeight="1">
      <c r="A22" s="119">
        <v>0.99299999999999999</v>
      </c>
      <c r="B22" s="78" t="s">
        <v>67</v>
      </c>
      <c r="C22" s="117">
        <v>9.9500000000000005E-2</v>
      </c>
      <c r="D22" s="117">
        <v>9.2899999999999996E-2</v>
      </c>
      <c r="E22" s="117">
        <v>0.1042</v>
      </c>
      <c r="F22" s="118">
        <v>7</v>
      </c>
      <c r="G22" s="191">
        <v>12</v>
      </c>
      <c r="H22" s="79" t="s">
        <v>239</v>
      </c>
    </row>
    <row r="23" spans="1:8" ht="15" customHeight="1">
      <c r="A23" s="119">
        <v>0.97299999999999998</v>
      </c>
      <c r="B23" s="78" t="s">
        <v>68</v>
      </c>
      <c r="C23" s="117">
        <v>1.1082000000000001</v>
      </c>
      <c r="D23" s="117">
        <v>0.60499999999999998</v>
      </c>
      <c r="E23" s="117">
        <v>0.67869999999999997</v>
      </c>
      <c r="F23" s="118">
        <v>231</v>
      </c>
      <c r="G23" s="191">
        <v>229</v>
      </c>
      <c r="H23" s="79" t="s">
        <v>238</v>
      </c>
    </row>
    <row r="24" spans="1:8" ht="15" customHeight="1">
      <c r="A24" s="119">
        <v>0.97699999999999998</v>
      </c>
      <c r="B24" s="78" t="s">
        <v>69</v>
      </c>
      <c r="C24" s="117">
        <v>1.4914000000000001</v>
      </c>
      <c r="D24" s="117">
        <v>1.2501</v>
      </c>
      <c r="E24" s="117">
        <v>1.448</v>
      </c>
      <c r="F24" s="118">
        <v>592</v>
      </c>
      <c r="G24" s="191">
        <v>635</v>
      </c>
      <c r="H24" s="79" t="s">
        <v>239</v>
      </c>
    </row>
    <row r="25" spans="1:8" ht="15" customHeight="1">
      <c r="A25" s="119">
        <v>0.67100000000000004</v>
      </c>
      <c r="B25" s="78" t="s">
        <v>70</v>
      </c>
      <c r="C25" s="117">
        <v>0</v>
      </c>
      <c r="D25" s="117">
        <v>2.0764999999999998</v>
      </c>
      <c r="E25" s="117">
        <v>2.6065</v>
      </c>
      <c r="F25" s="118">
        <v>4133</v>
      </c>
      <c r="G25" s="118">
        <v>4076</v>
      </c>
      <c r="H25" s="79" t="s">
        <v>239</v>
      </c>
    </row>
    <row r="26" spans="1:8" ht="15" customHeight="1">
      <c r="A26" s="119">
        <v>0.97699999999999998</v>
      </c>
      <c r="B26" s="78" t="s">
        <v>165</v>
      </c>
      <c r="C26" s="117">
        <v>1.4853000000000001</v>
      </c>
      <c r="D26" s="117">
        <v>1.2863</v>
      </c>
      <c r="E26" s="117">
        <v>1.4261999999999999</v>
      </c>
      <c r="F26" s="118">
        <v>636</v>
      </c>
      <c r="G26" s="193">
        <v>692</v>
      </c>
      <c r="H26" s="79" t="s">
        <v>238</v>
      </c>
    </row>
    <row r="27" spans="1:8" ht="8.25" customHeight="1">
      <c r="A27" s="89"/>
      <c r="B27" s="89"/>
      <c r="C27" s="89"/>
      <c r="D27" s="89"/>
      <c r="E27" s="89"/>
      <c r="F27" s="89"/>
      <c r="G27" s="112"/>
      <c r="H27" s="86"/>
    </row>
    <row r="28" spans="1:8" ht="15" customHeight="1">
      <c r="A28" s="77" t="s">
        <v>71</v>
      </c>
    </row>
    <row r="29" spans="1:8" ht="15" customHeight="1">
      <c r="B29" s="85" t="s">
        <v>72</v>
      </c>
      <c r="E29" s="85" t="s">
        <v>73</v>
      </c>
      <c r="H29" s="92" t="s">
        <v>74</v>
      </c>
    </row>
    <row r="30" spans="1:8" ht="15" customHeight="1">
      <c r="B30" s="77" t="s">
        <v>75</v>
      </c>
      <c r="E30" s="77" t="s">
        <v>76</v>
      </c>
      <c r="H30" s="81" t="s">
        <v>77</v>
      </c>
    </row>
    <row r="31" spans="1:8" ht="15" customHeight="1">
      <c r="B31" s="77" t="s">
        <v>78</v>
      </c>
      <c r="E31" s="77" t="s">
        <v>79</v>
      </c>
    </row>
    <row r="32" spans="1:8" ht="15" customHeight="1">
      <c r="E32" s="77" t="s">
        <v>80</v>
      </c>
    </row>
    <row r="33" spans="5:5" ht="15" customHeight="1">
      <c r="E33" s="77" t="s">
        <v>81</v>
      </c>
    </row>
  </sheetData>
  <mergeCells count="1">
    <mergeCell ref="A1:H1"/>
  </mergeCells>
  <printOptions horizontalCentered="1"/>
  <pageMargins left="0.75" right="0.75" top="0.92" bottom="0.81" header="0.5" footer="0.5"/>
  <pageSetup scale="76" orientation="landscape" horizontalDpi="300" verticalDpi="300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cols>
    <col min="1" max="16384" width="9" style="206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0"/>
  <sheetViews>
    <sheetView tabSelected="1" workbookViewId="0">
      <selection activeCell="N140" sqref="N140 B54"/>
    </sheetView>
  </sheetViews>
  <sheetFormatPr defaultColWidth="8" defaultRowHeight="12" customHeight="1"/>
  <cols>
    <col min="1" max="1" width="11" style="15" customWidth="1"/>
    <col min="2" max="2" width="16.875" style="15" customWidth="1"/>
    <col min="3" max="3" width="6.5" style="16" customWidth="1"/>
    <col min="4" max="4" width="6.75" style="16" customWidth="1"/>
    <col min="5" max="5" width="8.75" style="16" customWidth="1"/>
    <col min="6" max="6" width="7.125" style="16" customWidth="1"/>
    <col min="7" max="8" width="8.625" style="16" customWidth="1"/>
    <col min="9" max="9" width="7.5" style="16" customWidth="1"/>
    <col min="10" max="10" width="8.5" style="16" customWidth="1"/>
    <col min="11" max="12" width="6.375" style="16" customWidth="1"/>
    <col min="13" max="13" width="6.25" style="16" customWidth="1"/>
    <col min="14" max="14" width="6.125" style="16" customWidth="1"/>
    <col min="15" max="16384" width="8" style="16"/>
  </cols>
  <sheetData>
    <row r="1" spans="1:21" ht="13.9" customHeight="1">
      <c r="A1" s="125" t="s">
        <v>209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6"/>
    </row>
    <row r="2" spans="1:21" ht="13.9" customHeight="1">
      <c r="A2" s="125" t="s">
        <v>233</v>
      </c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6" t="s">
        <v>82</v>
      </c>
    </row>
    <row r="3" spans="1:21" ht="13.15" customHeight="1">
      <c r="A3" s="125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6" t="s">
        <v>210</v>
      </c>
    </row>
    <row r="4" spans="1:21" ht="13.15" customHeight="1">
      <c r="A4" s="126"/>
      <c r="B4" s="126"/>
      <c r="C4" s="126" t="s">
        <v>17</v>
      </c>
      <c r="D4" s="126" t="s">
        <v>18</v>
      </c>
      <c r="E4" s="126" t="s">
        <v>19</v>
      </c>
      <c r="F4" s="126" t="s">
        <v>20</v>
      </c>
      <c r="G4" s="126" t="s">
        <v>21</v>
      </c>
      <c r="H4" s="126" t="s">
        <v>22</v>
      </c>
      <c r="I4" s="126" t="s">
        <v>11</v>
      </c>
      <c r="J4" s="126" t="s">
        <v>12</v>
      </c>
      <c r="K4" s="126" t="s">
        <v>13</v>
      </c>
      <c r="L4" s="126" t="s">
        <v>14</v>
      </c>
      <c r="M4" s="126" t="s">
        <v>15</v>
      </c>
      <c r="N4" s="126" t="s">
        <v>16</v>
      </c>
      <c r="O4" s="126" t="s">
        <v>10</v>
      </c>
    </row>
    <row r="5" spans="1:21" ht="12.75">
      <c r="A5" s="126">
        <v>1</v>
      </c>
      <c r="B5" s="126" t="s">
        <v>360</v>
      </c>
      <c r="C5" s="128">
        <v>15</v>
      </c>
      <c r="D5" s="128">
        <v>24</v>
      </c>
      <c r="E5" s="128">
        <v>169</v>
      </c>
      <c r="F5" s="128">
        <v>517</v>
      </c>
      <c r="G5" s="128">
        <v>836</v>
      </c>
      <c r="H5" s="128">
        <v>1021</v>
      </c>
      <c r="I5" s="128">
        <v>1052</v>
      </c>
      <c r="J5" s="128">
        <v>1218</v>
      </c>
      <c r="K5" s="128">
        <v>938</v>
      </c>
      <c r="L5" s="128">
        <v>500</v>
      </c>
      <c r="M5" s="128">
        <v>180</v>
      </c>
      <c r="N5" s="128">
        <v>96</v>
      </c>
      <c r="O5" s="129">
        <f>SUM(C5:N5)</f>
        <v>6566</v>
      </c>
    </row>
    <row r="6" spans="1:21" ht="12.75">
      <c r="A6" s="126">
        <v>2</v>
      </c>
      <c r="B6" s="126" t="s">
        <v>344</v>
      </c>
      <c r="C6" s="128">
        <v>0</v>
      </c>
      <c r="D6" s="128">
        <v>3</v>
      </c>
      <c r="E6" s="128">
        <v>166</v>
      </c>
      <c r="F6" s="128">
        <v>560</v>
      </c>
      <c r="G6" s="128">
        <v>811</v>
      </c>
      <c r="H6" s="128">
        <v>1179</v>
      </c>
      <c r="I6" s="128">
        <v>960</v>
      </c>
      <c r="J6" s="128">
        <v>968</v>
      </c>
      <c r="K6" s="128">
        <v>783</v>
      </c>
      <c r="L6" s="128">
        <v>543</v>
      </c>
      <c r="M6" s="128">
        <v>125</v>
      </c>
      <c r="N6" s="128">
        <v>103</v>
      </c>
      <c r="O6" s="129">
        <f>SUM(C6:N6)</f>
        <v>6201</v>
      </c>
    </row>
    <row r="7" spans="1:21" ht="12.75">
      <c r="A7" s="126">
        <v>3</v>
      </c>
      <c r="B7" s="126" t="s">
        <v>342</v>
      </c>
      <c r="C7" s="128">
        <v>20</v>
      </c>
      <c r="D7" s="128">
        <v>10</v>
      </c>
      <c r="E7" s="128">
        <v>158</v>
      </c>
      <c r="F7" s="128">
        <v>508</v>
      </c>
      <c r="G7" s="128">
        <v>637</v>
      </c>
      <c r="H7" s="128">
        <v>1289</v>
      </c>
      <c r="I7" s="128">
        <v>1379</v>
      </c>
      <c r="J7" s="128">
        <v>992</v>
      </c>
      <c r="K7" s="128">
        <v>741</v>
      </c>
      <c r="L7" s="128">
        <v>556</v>
      </c>
      <c r="M7" s="128">
        <v>272</v>
      </c>
      <c r="N7" s="128">
        <v>66</v>
      </c>
      <c r="O7" s="129">
        <f>SUM(C7:N7)</f>
        <v>6628</v>
      </c>
      <c r="P7" s="18"/>
      <c r="Q7" s="18"/>
      <c r="R7" s="18"/>
      <c r="S7" s="18"/>
      <c r="T7" s="18"/>
      <c r="U7" s="18"/>
    </row>
    <row r="8" spans="1:21" ht="12.75">
      <c r="A8" s="126">
        <v>4</v>
      </c>
      <c r="B8" s="126" t="s">
        <v>313</v>
      </c>
      <c r="C8" s="128">
        <v>5</v>
      </c>
      <c r="D8" s="128">
        <v>11</v>
      </c>
      <c r="E8" s="128">
        <v>197</v>
      </c>
      <c r="F8" s="128">
        <v>322</v>
      </c>
      <c r="G8" s="128">
        <v>899</v>
      </c>
      <c r="H8" s="128">
        <v>1054</v>
      </c>
      <c r="I8" s="128">
        <v>1048</v>
      </c>
      <c r="J8" s="128">
        <v>753</v>
      </c>
      <c r="K8" s="128">
        <v>683</v>
      </c>
      <c r="L8" s="128">
        <v>308</v>
      </c>
      <c r="M8" s="128">
        <v>198</v>
      </c>
      <c r="N8" s="128">
        <v>110</v>
      </c>
      <c r="O8" s="129">
        <f>SUM(C8:N8)</f>
        <v>5588</v>
      </c>
      <c r="P8" s="18"/>
      <c r="Q8" s="18"/>
      <c r="R8" s="18"/>
      <c r="S8" s="18"/>
      <c r="T8" s="18"/>
      <c r="U8" s="18"/>
    </row>
    <row r="9" spans="1:21" ht="12.75">
      <c r="A9" s="126">
        <v>5</v>
      </c>
      <c r="B9" s="126" t="s">
        <v>308</v>
      </c>
      <c r="C9" s="128">
        <v>7</v>
      </c>
      <c r="D9" s="128">
        <v>5</v>
      </c>
      <c r="E9" s="128">
        <v>94</v>
      </c>
      <c r="F9" s="128">
        <v>357</v>
      </c>
      <c r="G9" s="128">
        <v>906</v>
      </c>
      <c r="H9" s="128">
        <v>991</v>
      </c>
      <c r="I9" s="128">
        <v>1049</v>
      </c>
      <c r="J9" s="128">
        <v>713</v>
      </c>
      <c r="K9" s="128">
        <v>597</v>
      </c>
      <c r="L9" s="128">
        <v>519</v>
      </c>
      <c r="M9" s="128">
        <v>157</v>
      </c>
      <c r="N9" s="128">
        <v>25</v>
      </c>
      <c r="O9" s="129">
        <f t="shared" ref="O9:O34" si="0">SUM(C9:N9)</f>
        <v>5420</v>
      </c>
      <c r="P9" s="18"/>
      <c r="Q9" s="18"/>
      <c r="R9" s="18"/>
      <c r="S9" s="18"/>
      <c r="T9" s="18"/>
      <c r="U9" s="18"/>
    </row>
    <row r="10" spans="1:21" ht="12.75">
      <c r="A10" s="126">
        <v>6</v>
      </c>
      <c r="B10" s="126" t="s">
        <v>269</v>
      </c>
      <c r="C10" s="128">
        <v>0</v>
      </c>
      <c r="D10" s="128">
        <v>7</v>
      </c>
      <c r="E10" s="128">
        <v>160</v>
      </c>
      <c r="F10" s="128">
        <v>590</v>
      </c>
      <c r="G10" s="128">
        <v>898</v>
      </c>
      <c r="H10" s="128">
        <v>1213</v>
      </c>
      <c r="I10" s="128">
        <v>1090</v>
      </c>
      <c r="J10" s="128">
        <v>1085</v>
      </c>
      <c r="K10" s="128">
        <v>780</v>
      </c>
      <c r="L10" s="128">
        <v>537</v>
      </c>
      <c r="M10" s="128">
        <v>227</v>
      </c>
      <c r="N10" s="128">
        <v>106</v>
      </c>
      <c r="O10" s="129">
        <f t="shared" si="0"/>
        <v>6693</v>
      </c>
      <c r="P10" s="18"/>
      <c r="Q10" s="18"/>
      <c r="R10" s="18"/>
      <c r="S10" s="18"/>
      <c r="T10" s="18"/>
      <c r="U10" s="18"/>
    </row>
    <row r="11" spans="1:21" ht="12.75">
      <c r="A11" s="126">
        <v>7</v>
      </c>
      <c r="B11" s="126" t="s">
        <v>265</v>
      </c>
      <c r="C11" s="128">
        <v>20</v>
      </c>
      <c r="D11" s="128">
        <v>14</v>
      </c>
      <c r="E11" s="128">
        <v>68</v>
      </c>
      <c r="F11" s="128">
        <v>504</v>
      </c>
      <c r="G11" s="128">
        <v>779</v>
      </c>
      <c r="H11" s="128">
        <v>1040</v>
      </c>
      <c r="I11" s="128">
        <v>1243</v>
      </c>
      <c r="J11" s="128">
        <v>869</v>
      </c>
      <c r="K11" s="128">
        <v>730</v>
      </c>
      <c r="L11" s="128">
        <v>561</v>
      </c>
      <c r="M11" s="128">
        <v>272</v>
      </c>
      <c r="N11" s="128">
        <v>140</v>
      </c>
      <c r="O11" s="129">
        <f t="shared" si="0"/>
        <v>6240</v>
      </c>
      <c r="P11" s="19"/>
      <c r="Q11" s="18"/>
      <c r="R11" s="18"/>
      <c r="S11" s="18"/>
      <c r="T11" s="18"/>
      <c r="U11" s="18"/>
    </row>
    <row r="12" spans="1:21" ht="12.75">
      <c r="A12" s="126">
        <v>8</v>
      </c>
      <c r="B12" s="126" t="s">
        <v>262</v>
      </c>
      <c r="C12" s="128">
        <v>40</v>
      </c>
      <c r="D12" s="128">
        <v>8</v>
      </c>
      <c r="E12" s="128">
        <v>99</v>
      </c>
      <c r="F12" s="128">
        <v>516</v>
      </c>
      <c r="G12" s="128">
        <v>890</v>
      </c>
      <c r="H12" s="128">
        <v>1118</v>
      </c>
      <c r="I12" s="128">
        <v>1078</v>
      </c>
      <c r="J12" s="128">
        <v>930</v>
      </c>
      <c r="K12" s="128">
        <v>809</v>
      </c>
      <c r="L12" s="128">
        <v>494</v>
      </c>
      <c r="M12" s="128">
        <v>345</v>
      </c>
      <c r="N12" s="128">
        <v>175</v>
      </c>
      <c r="O12" s="129">
        <f t="shared" si="0"/>
        <v>6502</v>
      </c>
      <c r="Q12" s="18"/>
      <c r="R12" s="18"/>
      <c r="S12" s="18"/>
      <c r="T12" s="18"/>
      <c r="U12" s="18"/>
    </row>
    <row r="13" spans="1:21" ht="12.75">
      <c r="A13" s="126">
        <v>9</v>
      </c>
      <c r="B13" s="126" t="s">
        <v>257</v>
      </c>
      <c r="C13" s="130">
        <v>48</v>
      </c>
      <c r="D13" s="130">
        <v>47</v>
      </c>
      <c r="E13" s="130">
        <v>158</v>
      </c>
      <c r="F13" s="130">
        <v>472</v>
      </c>
      <c r="G13" s="130">
        <v>948</v>
      </c>
      <c r="H13" s="130">
        <v>1096</v>
      </c>
      <c r="I13" s="130">
        <v>1103</v>
      </c>
      <c r="J13" s="130">
        <v>1006</v>
      </c>
      <c r="K13" s="130">
        <v>790</v>
      </c>
      <c r="L13" s="130">
        <v>698</v>
      </c>
      <c r="M13" s="130">
        <v>401</v>
      </c>
      <c r="N13" s="130">
        <v>192</v>
      </c>
      <c r="O13" s="129">
        <f t="shared" si="0"/>
        <v>6959</v>
      </c>
      <c r="Q13" s="18"/>
      <c r="R13" s="18"/>
      <c r="S13" s="18"/>
      <c r="T13" s="18"/>
      <c r="U13" s="18"/>
    </row>
    <row r="14" spans="1:21" ht="12.75">
      <c r="A14" s="126">
        <v>10</v>
      </c>
      <c r="B14" s="126" t="s">
        <v>263</v>
      </c>
      <c r="C14" s="130">
        <v>17</v>
      </c>
      <c r="D14" s="130">
        <v>23</v>
      </c>
      <c r="E14" s="130">
        <v>103</v>
      </c>
      <c r="F14" s="130">
        <v>668</v>
      </c>
      <c r="G14" s="130">
        <v>834</v>
      </c>
      <c r="H14" s="130">
        <v>1252</v>
      </c>
      <c r="I14" s="130">
        <v>919</v>
      </c>
      <c r="J14" s="130">
        <v>751</v>
      </c>
      <c r="K14" s="130">
        <v>733</v>
      </c>
      <c r="L14" s="130">
        <v>538</v>
      </c>
      <c r="M14" s="130">
        <v>420</v>
      </c>
      <c r="N14" s="130">
        <v>190</v>
      </c>
      <c r="O14" s="129">
        <f t="shared" si="0"/>
        <v>6448</v>
      </c>
      <c r="Q14" s="18"/>
      <c r="R14" s="18"/>
      <c r="S14" s="18"/>
      <c r="T14" s="18"/>
      <c r="U14" s="18"/>
    </row>
    <row r="15" spans="1:21" ht="12.75">
      <c r="A15" s="126">
        <v>11</v>
      </c>
      <c r="B15" s="126" t="s">
        <v>236</v>
      </c>
      <c r="C15" s="130">
        <v>8</v>
      </c>
      <c r="D15" s="130">
        <v>52</v>
      </c>
      <c r="E15" s="130">
        <v>142</v>
      </c>
      <c r="F15" s="130">
        <v>529</v>
      </c>
      <c r="G15" s="130">
        <v>785</v>
      </c>
      <c r="H15" s="130">
        <v>1328</v>
      </c>
      <c r="I15" s="130">
        <v>1204</v>
      </c>
      <c r="J15" s="128">
        <v>957</v>
      </c>
      <c r="K15" s="130">
        <v>936</v>
      </c>
      <c r="L15" s="130">
        <v>586</v>
      </c>
      <c r="M15" s="130">
        <v>303</v>
      </c>
      <c r="N15" s="130">
        <v>93</v>
      </c>
      <c r="O15" s="129">
        <f t="shared" si="0"/>
        <v>6923</v>
      </c>
      <c r="Q15" s="18"/>
      <c r="R15" s="18"/>
      <c r="S15" s="18"/>
      <c r="T15" s="18"/>
      <c r="U15" s="18"/>
    </row>
    <row r="16" spans="1:21" ht="12.75">
      <c r="A16" s="126">
        <v>12</v>
      </c>
      <c r="B16" s="126" t="s">
        <v>232</v>
      </c>
      <c r="C16" s="130">
        <v>0</v>
      </c>
      <c r="D16" s="130">
        <v>27</v>
      </c>
      <c r="E16" s="130">
        <v>194</v>
      </c>
      <c r="F16" s="130">
        <v>553</v>
      </c>
      <c r="G16" s="130">
        <v>894</v>
      </c>
      <c r="H16" s="130">
        <v>1126</v>
      </c>
      <c r="I16" s="130">
        <v>1243</v>
      </c>
      <c r="J16" s="128">
        <v>952</v>
      </c>
      <c r="K16" s="130">
        <v>880</v>
      </c>
      <c r="L16" s="130">
        <v>683</v>
      </c>
      <c r="M16" s="130">
        <v>274</v>
      </c>
      <c r="N16" s="130">
        <v>176</v>
      </c>
      <c r="O16" s="129">
        <f t="shared" si="0"/>
        <v>7002</v>
      </c>
      <c r="Q16" s="18"/>
      <c r="R16" s="18"/>
      <c r="S16" s="18"/>
      <c r="T16" s="18"/>
      <c r="U16" s="18"/>
    </row>
    <row r="17" spans="1:21" ht="12.75">
      <c r="A17" s="126">
        <v>13</v>
      </c>
      <c r="B17" s="126" t="s">
        <v>211</v>
      </c>
      <c r="C17" s="130">
        <v>8</v>
      </c>
      <c r="D17" s="130">
        <v>30</v>
      </c>
      <c r="E17" s="130">
        <v>170</v>
      </c>
      <c r="F17" s="130">
        <v>552</v>
      </c>
      <c r="G17" s="130">
        <v>865</v>
      </c>
      <c r="H17" s="130">
        <v>1122</v>
      </c>
      <c r="I17" s="130">
        <v>1243</v>
      </c>
      <c r="J17" s="128">
        <v>864</v>
      </c>
      <c r="K17" s="130">
        <v>685</v>
      </c>
      <c r="L17" s="130">
        <v>548</v>
      </c>
      <c r="M17" s="130">
        <v>270</v>
      </c>
      <c r="N17" s="130">
        <v>136</v>
      </c>
      <c r="O17" s="129">
        <f t="shared" si="0"/>
        <v>6493</v>
      </c>
      <c r="Q17" s="18"/>
      <c r="R17" s="18"/>
      <c r="S17" s="18"/>
      <c r="T17" s="18"/>
      <c r="U17" s="18"/>
    </row>
    <row r="18" spans="1:21" ht="12.75">
      <c r="A18" s="126">
        <v>14</v>
      </c>
      <c r="B18" s="126" t="s">
        <v>212</v>
      </c>
      <c r="C18" s="130">
        <v>11</v>
      </c>
      <c r="D18" s="130">
        <v>22</v>
      </c>
      <c r="E18" s="130">
        <v>229</v>
      </c>
      <c r="F18" s="130">
        <v>489</v>
      </c>
      <c r="G18" s="130">
        <v>919</v>
      </c>
      <c r="H18" s="130">
        <v>1258</v>
      </c>
      <c r="I18" s="130">
        <v>905</v>
      </c>
      <c r="J18" s="128">
        <v>949</v>
      </c>
      <c r="K18" s="130">
        <v>812</v>
      </c>
      <c r="L18" s="130">
        <v>525</v>
      </c>
      <c r="M18" s="130">
        <v>301</v>
      </c>
      <c r="N18" s="130">
        <v>104</v>
      </c>
      <c r="O18" s="129">
        <f t="shared" si="0"/>
        <v>6524</v>
      </c>
      <c r="Q18" s="18"/>
      <c r="R18" s="18"/>
      <c r="S18" s="18"/>
      <c r="T18" s="18"/>
      <c r="U18" s="18"/>
    </row>
    <row r="19" spans="1:21" ht="12.75">
      <c r="A19" s="126">
        <v>15</v>
      </c>
      <c r="B19" s="126" t="s">
        <v>213</v>
      </c>
      <c r="C19" s="130">
        <v>16</v>
      </c>
      <c r="D19" s="130">
        <v>34</v>
      </c>
      <c r="E19" s="130">
        <v>204</v>
      </c>
      <c r="F19" s="130">
        <v>480</v>
      </c>
      <c r="G19" s="130">
        <v>857</v>
      </c>
      <c r="H19" s="130">
        <v>1020</v>
      </c>
      <c r="I19" s="130">
        <v>1128</v>
      </c>
      <c r="J19" s="128">
        <v>842</v>
      </c>
      <c r="K19" s="130">
        <v>711</v>
      </c>
      <c r="L19" s="130">
        <v>503</v>
      </c>
      <c r="M19" s="130">
        <v>260</v>
      </c>
      <c r="N19" s="130">
        <v>166</v>
      </c>
      <c r="O19" s="129">
        <f t="shared" si="0"/>
        <v>6221</v>
      </c>
      <c r="Q19" s="18"/>
      <c r="R19" s="18"/>
      <c r="S19" s="18"/>
      <c r="T19" s="18"/>
      <c r="U19" s="18"/>
    </row>
    <row r="20" spans="1:21" ht="12.75">
      <c r="A20" s="126">
        <v>16</v>
      </c>
      <c r="B20" s="126" t="s">
        <v>214</v>
      </c>
      <c r="C20" s="130">
        <v>9</v>
      </c>
      <c r="D20" s="130">
        <v>1</v>
      </c>
      <c r="E20" s="130">
        <v>151</v>
      </c>
      <c r="F20" s="130">
        <v>418</v>
      </c>
      <c r="G20" s="130">
        <v>1056</v>
      </c>
      <c r="H20" s="130">
        <v>1083</v>
      </c>
      <c r="I20" s="130">
        <v>1193</v>
      </c>
      <c r="J20" s="128">
        <v>945</v>
      </c>
      <c r="K20" s="130">
        <v>668</v>
      </c>
      <c r="L20" s="130">
        <v>455</v>
      </c>
      <c r="M20" s="130">
        <v>315</v>
      </c>
      <c r="N20" s="130">
        <v>131</v>
      </c>
      <c r="O20" s="129">
        <f t="shared" si="0"/>
        <v>6425</v>
      </c>
      <c r="Q20" s="18"/>
      <c r="R20" s="18"/>
      <c r="S20" s="18"/>
      <c r="T20" s="18"/>
      <c r="U20" s="18"/>
    </row>
    <row r="21" spans="1:21" ht="12.75">
      <c r="A21" s="126">
        <v>17</v>
      </c>
      <c r="B21" s="126" t="s">
        <v>215</v>
      </c>
      <c r="C21" s="130">
        <v>28</v>
      </c>
      <c r="D21" s="130">
        <v>26</v>
      </c>
      <c r="E21" s="130">
        <v>219</v>
      </c>
      <c r="F21" s="130">
        <v>678</v>
      </c>
      <c r="G21" s="130">
        <v>839</v>
      </c>
      <c r="H21" s="130">
        <v>962</v>
      </c>
      <c r="I21" s="130">
        <v>957</v>
      </c>
      <c r="J21" s="128">
        <v>885</v>
      </c>
      <c r="K21" s="130">
        <v>745</v>
      </c>
      <c r="L21" s="130">
        <v>588</v>
      </c>
      <c r="M21" s="130">
        <v>365</v>
      </c>
      <c r="N21" s="130">
        <v>90</v>
      </c>
      <c r="O21" s="129">
        <f t="shared" si="0"/>
        <v>6382</v>
      </c>
      <c r="Q21" s="18"/>
      <c r="R21" s="18"/>
      <c r="S21" s="18"/>
      <c r="T21" s="18"/>
      <c r="U21" s="18"/>
    </row>
    <row r="22" spans="1:21" ht="12.75">
      <c r="A22" s="126">
        <v>18</v>
      </c>
      <c r="B22" s="126" t="s">
        <v>216</v>
      </c>
      <c r="C22" s="130">
        <v>33</v>
      </c>
      <c r="D22" s="130">
        <v>20</v>
      </c>
      <c r="E22" s="130">
        <v>100</v>
      </c>
      <c r="F22" s="130">
        <v>588</v>
      </c>
      <c r="G22" s="130">
        <v>744</v>
      </c>
      <c r="H22" s="130">
        <v>1136</v>
      </c>
      <c r="I22" s="130">
        <v>1063</v>
      </c>
      <c r="J22" s="128">
        <v>934</v>
      </c>
      <c r="K22" s="130">
        <v>938</v>
      </c>
      <c r="L22" s="130">
        <v>581</v>
      </c>
      <c r="M22" s="130">
        <v>412</v>
      </c>
      <c r="N22" s="130">
        <v>137</v>
      </c>
      <c r="O22" s="129">
        <f t="shared" si="0"/>
        <v>6686</v>
      </c>
      <c r="Q22" s="18"/>
      <c r="R22" s="18"/>
      <c r="S22" s="18"/>
      <c r="T22" s="18"/>
      <c r="U22" s="18"/>
    </row>
    <row r="23" spans="1:21" ht="12.75">
      <c r="A23" s="126">
        <v>19</v>
      </c>
      <c r="B23" s="126" t="s">
        <v>217</v>
      </c>
      <c r="C23" s="130">
        <v>51</v>
      </c>
      <c r="D23" s="130">
        <v>43</v>
      </c>
      <c r="E23" s="130">
        <v>285</v>
      </c>
      <c r="F23" s="130">
        <v>572</v>
      </c>
      <c r="G23" s="130">
        <v>1134</v>
      </c>
      <c r="H23" s="130">
        <v>1245</v>
      </c>
      <c r="I23" s="130">
        <v>1168</v>
      </c>
      <c r="J23" s="128">
        <v>1060</v>
      </c>
      <c r="K23" s="130">
        <v>795</v>
      </c>
      <c r="L23" s="130">
        <v>634</v>
      </c>
      <c r="M23" s="130">
        <v>320</v>
      </c>
      <c r="N23" s="130">
        <v>201</v>
      </c>
      <c r="O23" s="129">
        <f t="shared" si="0"/>
        <v>7508</v>
      </c>
    </row>
    <row r="24" spans="1:21" ht="12.75">
      <c r="A24" s="126">
        <v>20</v>
      </c>
      <c r="B24" s="126" t="s">
        <v>218</v>
      </c>
      <c r="C24" s="130">
        <v>75</v>
      </c>
      <c r="D24" s="130">
        <v>36</v>
      </c>
      <c r="E24" s="130">
        <v>181</v>
      </c>
      <c r="F24" s="130">
        <v>540</v>
      </c>
      <c r="G24" s="130">
        <v>703</v>
      </c>
      <c r="H24" s="130">
        <v>1030</v>
      </c>
      <c r="I24" s="130">
        <v>1143</v>
      </c>
      <c r="J24" s="128">
        <v>908</v>
      </c>
      <c r="K24" s="130">
        <v>799</v>
      </c>
      <c r="L24" s="130">
        <v>496</v>
      </c>
      <c r="M24" s="130">
        <v>363</v>
      </c>
      <c r="N24" s="130">
        <v>142</v>
      </c>
      <c r="O24" s="129">
        <f t="shared" si="0"/>
        <v>6416</v>
      </c>
    </row>
    <row r="25" spans="1:21" ht="12.75">
      <c r="A25" s="126">
        <v>21</v>
      </c>
      <c r="B25" s="126" t="s">
        <v>219</v>
      </c>
      <c r="C25" s="130">
        <v>0</v>
      </c>
      <c r="D25" s="130">
        <v>20</v>
      </c>
      <c r="E25" s="130">
        <v>101</v>
      </c>
      <c r="F25" s="130">
        <v>565</v>
      </c>
      <c r="G25" s="130">
        <v>748</v>
      </c>
      <c r="H25" s="130">
        <v>1119</v>
      </c>
      <c r="I25" s="130">
        <v>1010</v>
      </c>
      <c r="J25" s="128">
        <v>836</v>
      </c>
      <c r="K25" s="130">
        <v>769</v>
      </c>
      <c r="L25" s="130">
        <v>594</v>
      </c>
      <c r="M25" s="130">
        <v>448</v>
      </c>
      <c r="N25" s="130">
        <v>186</v>
      </c>
      <c r="O25" s="129">
        <f t="shared" si="0"/>
        <v>6396</v>
      </c>
    </row>
    <row r="26" spans="1:21" ht="12.75">
      <c r="A26" s="126">
        <v>22</v>
      </c>
      <c r="B26" s="126" t="s">
        <v>220</v>
      </c>
      <c r="C26" s="130">
        <v>35</v>
      </c>
      <c r="D26" s="130">
        <v>15</v>
      </c>
      <c r="E26" s="130">
        <v>116</v>
      </c>
      <c r="F26" s="130">
        <v>549</v>
      </c>
      <c r="G26" s="130">
        <v>785</v>
      </c>
      <c r="H26" s="130">
        <v>1098</v>
      </c>
      <c r="I26" s="130">
        <v>1058</v>
      </c>
      <c r="J26" s="128">
        <v>747</v>
      </c>
      <c r="K26" s="130">
        <v>721</v>
      </c>
      <c r="L26" s="130">
        <v>505</v>
      </c>
      <c r="M26" s="130">
        <v>276</v>
      </c>
      <c r="N26" s="130">
        <v>90</v>
      </c>
      <c r="O26" s="129">
        <f t="shared" si="0"/>
        <v>5995</v>
      </c>
    </row>
    <row r="27" spans="1:21" ht="12.75">
      <c r="A27" s="126">
        <v>23</v>
      </c>
      <c r="B27" s="126" t="s">
        <v>221</v>
      </c>
      <c r="C27" s="130">
        <v>35</v>
      </c>
      <c r="D27" s="130">
        <v>49</v>
      </c>
      <c r="E27" s="130">
        <v>281</v>
      </c>
      <c r="F27" s="130">
        <v>603</v>
      </c>
      <c r="G27" s="130">
        <v>949</v>
      </c>
      <c r="H27" s="130">
        <v>1241</v>
      </c>
      <c r="I27" s="130">
        <v>1130</v>
      </c>
      <c r="J27" s="128">
        <v>928</v>
      </c>
      <c r="K27" s="130">
        <v>794</v>
      </c>
      <c r="L27" s="130">
        <v>642</v>
      </c>
      <c r="M27" s="130">
        <v>264</v>
      </c>
      <c r="N27" s="130">
        <v>154</v>
      </c>
      <c r="O27" s="129">
        <f t="shared" si="0"/>
        <v>7070</v>
      </c>
    </row>
    <row r="28" spans="1:21" ht="12.75">
      <c r="A28" s="126">
        <v>24</v>
      </c>
      <c r="B28" s="126" t="s">
        <v>222</v>
      </c>
      <c r="C28" s="130">
        <v>21</v>
      </c>
      <c r="D28" s="130">
        <v>88</v>
      </c>
      <c r="E28" s="130">
        <v>146</v>
      </c>
      <c r="F28" s="130">
        <v>648</v>
      </c>
      <c r="G28" s="130">
        <v>742</v>
      </c>
      <c r="H28" s="130">
        <v>1120</v>
      </c>
      <c r="I28" s="130">
        <v>1217</v>
      </c>
      <c r="J28" s="128">
        <v>1045</v>
      </c>
      <c r="K28" s="130">
        <v>880</v>
      </c>
      <c r="L28" s="130">
        <v>556</v>
      </c>
      <c r="M28" s="130">
        <v>471</v>
      </c>
      <c r="N28" s="130">
        <v>143</v>
      </c>
      <c r="O28" s="129">
        <f t="shared" si="0"/>
        <v>7077</v>
      </c>
    </row>
    <row r="29" spans="1:21" ht="12.75">
      <c r="A29" s="126">
        <v>25</v>
      </c>
      <c r="B29" s="126" t="s">
        <v>223</v>
      </c>
      <c r="C29" s="130">
        <v>26</v>
      </c>
      <c r="D29" s="130">
        <v>13</v>
      </c>
      <c r="E29" s="130">
        <v>81</v>
      </c>
      <c r="F29" s="130">
        <v>558</v>
      </c>
      <c r="G29" s="130">
        <v>970</v>
      </c>
      <c r="H29" s="130">
        <v>1071</v>
      </c>
      <c r="I29" s="130">
        <v>1045</v>
      </c>
      <c r="J29" s="128">
        <v>771</v>
      </c>
      <c r="K29" s="130">
        <v>771</v>
      </c>
      <c r="L29" s="130">
        <v>578</v>
      </c>
      <c r="M29" s="130">
        <v>262</v>
      </c>
      <c r="N29" s="130">
        <v>170</v>
      </c>
      <c r="O29" s="129">
        <f t="shared" si="0"/>
        <v>6316</v>
      </c>
      <c r="P29" s="19"/>
    </row>
    <row r="30" spans="1:21" ht="12.75">
      <c r="A30" s="126">
        <v>26</v>
      </c>
      <c r="B30" s="126" t="s">
        <v>224</v>
      </c>
      <c r="C30" s="130">
        <v>151</v>
      </c>
      <c r="D30" s="130">
        <v>83</v>
      </c>
      <c r="E30" s="130">
        <v>217</v>
      </c>
      <c r="F30" s="130">
        <v>457</v>
      </c>
      <c r="G30" s="130">
        <v>1063</v>
      </c>
      <c r="H30" s="130">
        <v>1051</v>
      </c>
      <c r="I30" s="130">
        <v>904</v>
      </c>
      <c r="J30" s="128">
        <v>998</v>
      </c>
      <c r="K30" s="130">
        <v>713</v>
      </c>
      <c r="L30" s="130">
        <v>469</v>
      </c>
      <c r="M30" s="130">
        <v>262</v>
      </c>
      <c r="N30" s="130">
        <v>160</v>
      </c>
      <c r="O30" s="129">
        <f t="shared" si="0"/>
        <v>6528</v>
      </c>
    </row>
    <row r="31" spans="1:21" ht="12.75">
      <c r="A31" s="126">
        <v>27</v>
      </c>
      <c r="B31" s="126" t="s">
        <v>225</v>
      </c>
      <c r="C31" s="130">
        <v>32</v>
      </c>
      <c r="D31" s="130">
        <v>60</v>
      </c>
      <c r="E31" s="130">
        <v>232</v>
      </c>
      <c r="F31" s="130">
        <v>481</v>
      </c>
      <c r="G31" s="130">
        <v>916</v>
      </c>
      <c r="H31" s="130">
        <v>1297</v>
      </c>
      <c r="I31" s="130">
        <v>1331</v>
      </c>
      <c r="J31" s="128">
        <v>1102</v>
      </c>
      <c r="K31" s="130">
        <v>834</v>
      </c>
      <c r="L31" s="130">
        <v>578</v>
      </c>
      <c r="M31" s="130">
        <v>192</v>
      </c>
      <c r="N31" s="130">
        <v>165</v>
      </c>
      <c r="O31" s="129">
        <f t="shared" si="0"/>
        <v>7220</v>
      </c>
    </row>
    <row r="32" spans="1:21" ht="12.75">
      <c r="A32" s="126">
        <v>28</v>
      </c>
      <c r="B32" s="126" t="s">
        <v>226</v>
      </c>
      <c r="C32" s="130">
        <v>15</v>
      </c>
      <c r="D32" s="130">
        <v>16</v>
      </c>
      <c r="E32" s="130">
        <v>108</v>
      </c>
      <c r="F32" s="130">
        <v>574</v>
      </c>
      <c r="G32" s="130">
        <v>918</v>
      </c>
      <c r="H32" s="130">
        <v>992</v>
      </c>
      <c r="I32" s="130">
        <v>1024</v>
      </c>
      <c r="J32" s="128">
        <v>750</v>
      </c>
      <c r="K32" s="130">
        <v>598</v>
      </c>
      <c r="L32" s="130">
        <v>477</v>
      </c>
      <c r="M32" s="130">
        <v>206</v>
      </c>
      <c r="N32" s="130">
        <v>61</v>
      </c>
      <c r="O32" s="129">
        <f t="shared" si="0"/>
        <v>5739</v>
      </c>
    </row>
    <row r="33" spans="1:15" ht="12.75">
      <c r="A33" s="126">
        <v>29</v>
      </c>
      <c r="B33" s="126" t="s">
        <v>227</v>
      </c>
      <c r="C33" s="130">
        <v>37</v>
      </c>
      <c r="D33" s="130">
        <v>42</v>
      </c>
      <c r="E33" s="130">
        <v>54</v>
      </c>
      <c r="F33" s="130">
        <v>610</v>
      </c>
      <c r="G33" s="130">
        <v>774</v>
      </c>
      <c r="H33" s="130">
        <v>1356</v>
      </c>
      <c r="I33" s="130">
        <v>1212</v>
      </c>
      <c r="J33" s="128">
        <v>716</v>
      </c>
      <c r="K33" s="130">
        <v>866</v>
      </c>
      <c r="L33" s="130">
        <v>568</v>
      </c>
      <c r="M33" s="130">
        <v>406</v>
      </c>
      <c r="N33" s="130">
        <v>248</v>
      </c>
      <c r="O33" s="129">
        <f t="shared" si="0"/>
        <v>6889</v>
      </c>
    </row>
    <row r="34" spans="1:15" ht="12.75">
      <c r="A34" s="126">
        <v>30</v>
      </c>
      <c r="B34" s="126" t="s">
        <v>228</v>
      </c>
      <c r="C34" s="130">
        <v>22</v>
      </c>
      <c r="D34" s="130">
        <v>76</v>
      </c>
      <c r="E34" s="130">
        <v>149</v>
      </c>
      <c r="F34" s="130">
        <v>554</v>
      </c>
      <c r="G34" s="130">
        <v>805</v>
      </c>
      <c r="H34" s="130">
        <v>1048</v>
      </c>
      <c r="I34" s="130">
        <v>976</v>
      </c>
      <c r="J34" s="128">
        <v>968</v>
      </c>
      <c r="K34" s="130">
        <v>739</v>
      </c>
      <c r="L34" s="130">
        <v>454</v>
      </c>
      <c r="M34" s="130">
        <v>373</v>
      </c>
      <c r="N34" s="130">
        <v>166</v>
      </c>
      <c r="O34" s="129">
        <f t="shared" si="0"/>
        <v>6330</v>
      </c>
    </row>
    <row r="35" spans="1:15" ht="12" customHeight="1">
      <c r="A35" s="126"/>
      <c r="B35" s="126"/>
      <c r="C35" s="130"/>
      <c r="D35" s="130"/>
      <c r="E35" s="130"/>
      <c r="F35" s="130"/>
      <c r="G35" s="130"/>
      <c r="H35" s="130"/>
      <c r="I35" s="130"/>
      <c r="J35" s="128"/>
      <c r="K35" s="130"/>
      <c r="L35" s="130"/>
      <c r="M35" s="130"/>
      <c r="N35" s="130"/>
      <c r="O35" s="129"/>
    </row>
    <row r="36" spans="1:15" ht="16.899999999999999" customHeight="1">
      <c r="A36" s="126"/>
      <c r="B36" s="131" t="s">
        <v>361</v>
      </c>
      <c r="C36" s="132">
        <f t="shared" ref="C36:N36" si="1">AVERAGE(C5:C34)</f>
        <v>26</v>
      </c>
      <c r="D36" s="132">
        <f t="shared" si="1"/>
        <v>30</v>
      </c>
      <c r="E36" s="132">
        <f t="shared" si="1"/>
        <v>158</v>
      </c>
      <c r="F36" s="132">
        <f t="shared" si="1"/>
        <v>534</v>
      </c>
      <c r="G36" s="132">
        <f t="shared" si="1"/>
        <v>863</v>
      </c>
      <c r="H36" s="132">
        <f t="shared" si="1"/>
        <v>1132</v>
      </c>
      <c r="I36" s="132">
        <f t="shared" si="1"/>
        <v>1103</v>
      </c>
      <c r="J36" s="132">
        <f t="shared" si="1"/>
        <v>915</v>
      </c>
      <c r="K36" s="132">
        <f t="shared" si="1"/>
        <v>775</v>
      </c>
      <c r="L36" s="132">
        <f t="shared" si="1"/>
        <v>542</v>
      </c>
      <c r="M36" s="132">
        <f t="shared" si="1"/>
        <v>298</v>
      </c>
      <c r="N36" s="132">
        <f t="shared" si="1"/>
        <v>137</v>
      </c>
      <c r="O36" s="129">
        <f>SUM(C36:N36)</f>
        <v>6513</v>
      </c>
    </row>
    <row r="37" spans="1:15" ht="12" customHeight="1">
      <c r="A37" s="126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1:15" ht="12" customHeight="1">
      <c r="A38" s="42"/>
      <c r="B38" s="46" t="s">
        <v>258</v>
      </c>
      <c r="C38" s="47">
        <v>32</v>
      </c>
      <c r="D38" s="47">
        <v>33</v>
      </c>
      <c r="E38" s="47">
        <v>183</v>
      </c>
      <c r="F38" s="47">
        <v>540</v>
      </c>
      <c r="G38" s="47">
        <v>879</v>
      </c>
      <c r="H38" s="47">
        <v>1167</v>
      </c>
      <c r="I38" s="47">
        <v>1099</v>
      </c>
      <c r="J38" s="47">
        <v>896</v>
      </c>
      <c r="K38" s="47">
        <v>767</v>
      </c>
      <c r="L38" s="47">
        <v>540</v>
      </c>
      <c r="M38" s="47">
        <v>321</v>
      </c>
      <c r="N38" s="47">
        <v>136</v>
      </c>
      <c r="O38" s="45">
        <f>SUM(C38:N38)</f>
        <v>6593</v>
      </c>
    </row>
    <row r="39" spans="1:15" ht="12" customHeight="1">
      <c r="A39" s="42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5"/>
    </row>
    <row r="40" spans="1:15" ht="12" customHeight="1">
      <c r="A40" s="42"/>
      <c r="B40" s="46" t="s">
        <v>234</v>
      </c>
      <c r="C40" s="47">
        <f>C36-C38</f>
        <v>-6</v>
      </c>
      <c r="D40" s="47">
        <f t="shared" ref="D40:N40" si="2">D36-D38</f>
        <v>-3</v>
      </c>
      <c r="E40" s="47">
        <f t="shared" si="2"/>
        <v>-25</v>
      </c>
      <c r="F40" s="47">
        <f t="shared" si="2"/>
        <v>-6</v>
      </c>
      <c r="G40" s="47">
        <f t="shared" si="2"/>
        <v>-16</v>
      </c>
      <c r="H40" s="47">
        <f t="shared" si="2"/>
        <v>-35</v>
      </c>
      <c r="I40" s="47">
        <f t="shared" si="2"/>
        <v>4</v>
      </c>
      <c r="J40" s="47">
        <f t="shared" si="2"/>
        <v>19</v>
      </c>
      <c r="K40" s="47">
        <f t="shared" si="2"/>
        <v>8</v>
      </c>
      <c r="L40" s="47">
        <f t="shared" si="2"/>
        <v>2</v>
      </c>
      <c r="M40" s="47">
        <f t="shared" si="2"/>
        <v>-23</v>
      </c>
      <c r="N40" s="47">
        <f t="shared" si="2"/>
        <v>1</v>
      </c>
      <c r="O40" s="45">
        <f>SUM(C40:N40)</f>
        <v>-80</v>
      </c>
    </row>
    <row r="41" spans="1:15" ht="12" customHeight="1">
      <c r="A41" s="42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5"/>
    </row>
    <row r="42" spans="1:15" ht="12" customHeight="1">
      <c r="A42" s="42"/>
      <c r="B42" s="46" t="s">
        <v>229</v>
      </c>
      <c r="C42" s="44">
        <v>44</v>
      </c>
      <c r="D42" s="44">
        <v>42</v>
      </c>
      <c r="E42" s="44">
        <v>196</v>
      </c>
      <c r="F42" s="44">
        <v>554</v>
      </c>
      <c r="G42" s="44">
        <v>897</v>
      </c>
      <c r="H42" s="44">
        <v>1168</v>
      </c>
      <c r="I42" s="44">
        <v>1169</v>
      </c>
      <c r="J42" s="44">
        <v>916</v>
      </c>
      <c r="K42" s="44">
        <v>790</v>
      </c>
      <c r="L42" s="44">
        <v>557</v>
      </c>
      <c r="M42" s="44">
        <v>338</v>
      </c>
      <c r="N42" s="44">
        <v>149</v>
      </c>
      <c r="O42" s="45">
        <f>SUM(C42:N42)</f>
        <v>6820</v>
      </c>
    </row>
    <row r="43" spans="1:15" ht="12" customHeight="1">
      <c r="A43" s="4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2" customHeight="1">
      <c r="A44" s="42"/>
      <c r="B44" s="46" t="s">
        <v>234</v>
      </c>
      <c r="C44" s="47">
        <f t="shared" ref="C44:N44" si="3">C36-C42</f>
        <v>-18</v>
      </c>
      <c r="D44" s="47">
        <f t="shared" si="3"/>
        <v>-12</v>
      </c>
      <c r="E44" s="47">
        <f t="shared" si="3"/>
        <v>-38</v>
      </c>
      <c r="F44" s="47">
        <f t="shared" si="3"/>
        <v>-20</v>
      </c>
      <c r="G44" s="47">
        <f t="shared" si="3"/>
        <v>-34</v>
      </c>
      <c r="H44" s="47">
        <f t="shared" si="3"/>
        <v>-36</v>
      </c>
      <c r="I44" s="47">
        <f t="shared" si="3"/>
        <v>-66</v>
      </c>
      <c r="J44" s="47">
        <f t="shared" si="3"/>
        <v>-1</v>
      </c>
      <c r="K44" s="47">
        <f t="shared" si="3"/>
        <v>-15</v>
      </c>
      <c r="L44" s="47">
        <f t="shared" si="3"/>
        <v>-15</v>
      </c>
      <c r="M44" s="47">
        <f t="shared" si="3"/>
        <v>-40</v>
      </c>
      <c r="N44" s="47">
        <f t="shared" si="3"/>
        <v>-12</v>
      </c>
      <c r="O44" s="45">
        <f>SUM(C44:N44)</f>
        <v>-307</v>
      </c>
    </row>
    <row r="45" spans="1:15" ht="12" customHeight="1">
      <c r="A45" s="42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5"/>
    </row>
    <row r="46" spans="1:15" ht="12" customHeight="1">
      <c r="A46" s="4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5"/>
    </row>
    <row r="48" spans="1:15" ht="12" customHeight="1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45"/>
    </row>
    <row r="50" spans="3:15" ht="12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5"/>
    </row>
  </sheetData>
  <phoneticPr fontId="11" type="noConversion"/>
  <printOptions horizontalCentered="1"/>
  <pageMargins left="0.5" right="0.5" top="0.88" bottom="0.92" header="0.5" footer="0.45"/>
  <pageSetup scale="80"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R125"/>
  <sheetViews>
    <sheetView tabSelected="1" workbookViewId="0">
      <selection activeCell="N140" sqref="N140 B54"/>
    </sheetView>
  </sheetViews>
  <sheetFormatPr defaultRowHeight="12"/>
  <cols>
    <col min="1" max="1" width="7.125" customWidth="1"/>
    <col min="2" max="2" width="6.125" customWidth="1"/>
    <col min="3" max="3" width="7.875" customWidth="1"/>
    <col min="4" max="4" width="6.25" customWidth="1"/>
    <col min="5" max="5" width="9" style="41"/>
    <col min="6" max="6" width="9.875" style="20" customWidth="1"/>
    <col min="7" max="7" width="9.875" style="166" customWidth="1"/>
    <col min="8" max="11" width="9.875" style="20" customWidth="1"/>
    <col min="12" max="14" width="9.875" style="2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24" t="s">
        <v>351</v>
      </c>
      <c r="B1" s="20"/>
      <c r="C1" s="20"/>
      <c r="D1" s="20"/>
      <c r="E1" s="40"/>
      <c r="H1" s="138"/>
      <c r="J1" s="141"/>
      <c r="O1" s="20"/>
      <c r="P1" s="20"/>
      <c r="Q1" s="20"/>
      <c r="R1" s="20"/>
    </row>
    <row r="2" spans="1:18">
      <c r="A2" s="20"/>
      <c r="B2" s="20"/>
      <c r="C2" s="20"/>
      <c r="D2" s="20"/>
      <c r="E2" s="40"/>
      <c r="O2" s="20"/>
      <c r="P2" s="20"/>
      <c r="Q2" s="20"/>
      <c r="R2" s="20"/>
    </row>
    <row r="3" spans="1:18" ht="13.5" thickBot="1">
      <c r="A3" s="21"/>
      <c r="B3" s="22"/>
      <c r="C3" s="22"/>
      <c r="D3" s="23"/>
      <c r="E3" s="24"/>
      <c r="F3" s="168" t="s">
        <v>237</v>
      </c>
      <c r="G3" s="167"/>
      <c r="H3" s="167"/>
      <c r="I3" s="169"/>
      <c r="J3" s="170"/>
      <c r="K3" s="170"/>
      <c r="L3" s="170"/>
      <c r="M3" s="170"/>
      <c r="N3" s="170"/>
      <c r="O3" s="170"/>
      <c r="P3" s="170"/>
      <c r="Q3" s="169"/>
      <c r="R3" s="25"/>
    </row>
    <row r="4" spans="1:18" ht="13.5" thickBot="1">
      <c r="A4" s="26"/>
      <c r="B4" s="27"/>
      <c r="C4" s="27"/>
      <c r="D4" s="28"/>
      <c r="E4" s="29" t="s">
        <v>96</v>
      </c>
      <c r="F4" s="209" t="s">
        <v>346</v>
      </c>
      <c r="G4" s="209" t="s">
        <v>347</v>
      </c>
      <c r="H4" s="209" t="s">
        <v>348</v>
      </c>
      <c r="I4" s="209" t="s">
        <v>349</v>
      </c>
      <c r="J4" s="209" t="s">
        <v>350</v>
      </c>
      <c r="K4" s="209">
        <v>201906</v>
      </c>
      <c r="L4" s="209" t="s">
        <v>352</v>
      </c>
      <c r="M4" s="209" t="s">
        <v>353</v>
      </c>
      <c r="N4" s="209" t="s">
        <v>355</v>
      </c>
      <c r="O4" s="209" t="s">
        <v>356</v>
      </c>
      <c r="P4" s="209" t="s">
        <v>357</v>
      </c>
      <c r="Q4" s="209" t="s">
        <v>358</v>
      </c>
      <c r="R4" s="210" t="s">
        <v>10</v>
      </c>
    </row>
    <row r="5" spans="1:18" ht="25.15" customHeight="1" thickBot="1">
      <c r="A5" s="29" t="s">
        <v>97</v>
      </c>
      <c r="B5" s="30" t="s">
        <v>98</v>
      </c>
      <c r="C5" s="214" t="s">
        <v>99</v>
      </c>
      <c r="D5" s="31" t="s">
        <v>100</v>
      </c>
      <c r="E5" s="39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</row>
    <row r="6" spans="1:18" ht="13.5" thickBot="1">
      <c r="A6" s="32" t="s">
        <v>164</v>
      </c>
      <c r="B6" s="33" t="s">
        <v>101</v>
      </c>
      <c r="C6" s="34" t="s">
        <v>316</v>
      </c>
      <c r="D6" s="31" t="s">
        <v>102</v>
      </c>
      <c r="E6" s="39" t="s">
        <v>64</v>
      </c>
      <c r="F6" s="207">
        <v>76042</v>
      </c>
      <c r="G6" s="207">
        <v>76018</v>
      </c>
      <c r="H6" s="207">
        <v>76126</v>
      </c>
      <c r="I6" s="207">
        <v>76205</v>
      </c>
      <c r="J6" s="207">
        <v>76297</v>
      </c>
      <c r="K6" s="207">
        <v>76231</v>
      </c>
      <c r="L6" s="207">
        <v>76446</v>
      </c>
      <c r="M6" s="207">
        <v>76639</v>
      </c>
      <c r="N6" s="207">
        <v>76758</v>
      </c>
      <c r="O6" s="207">
        <v>77178</v>
      </c>
      <c r="P6" s="207">
        <v>77319</v>
      </c>
      <c r="Q6" s="207">
        <v>77696</v>
      </c>
      <c r="R6" s="213">
        <v>895398</v>
      </c>
    </row>
    <row r="7" spans="1:18" ht="13.5" thickBot="1">
      <c r="A7" s="35"/>
      <c r="B7" s="36"/>
      <c r="C7" s="37"/>
      <c r="D7" s="31" t="s">
        <v>103</v>
      </c>
      <c r="E7" s="39" t="s">
        <v>65</v>
      </c>
      <c r="F7" s="207">
        <v>7723</v>
      </c>
      <c r="G7" s="207">
        <v>7655</v>
      </c>
      <c r="H7" s="207">
        <v>7644</v>
      </c>
      <c r="I7" s="207">
        <v>7735</v>
      </c>
      <c r="J7" s="207">
        <v>7752</v>
      </c>
      <c r="K7" s="207">
        <v>7681</v>
      </c>
      <c r="L7" s="207">
        <v>7741</v>
      </c>
      <c r="M7" s="207">
        <v>7719</v>
      </c>
      <c r="N7" s="207">
        <v>7686</v>
      </c>
      <c r="O7" s="207">
        <v>7803</v>
      </c>
      <c r="P7" s="207">
        <v>7755</v>
      </c>
      <c r="Q7" s="207">
        <v>7791</v>
      </c>
      <c r="R7" s="213">
        <v>91502</v>
      </c>
    </row>
    <row r="8" spans="1:18" ht="13.5" thickBot="1">
      <c r="A8" s="35"/>
      <c r="B8" s="36"/>
      <c r="C8" s="37"/>
      <c r="D8" s="31" t="s">
        <v>105</v>
      </c>
      <c r="E8" s="39" t="s">
        <v>66</v>
      </c>
      <c r="F8" s="207">
        <v>54</v>
      </c>
      <c r="G8" s="207">
        <v>53</v>
      </c>
      <c r="H8" s="207">
        <v>52</v>
      </c>
      <c r="I8" s="207">
        <v>53</v>
      </c>
      <c r="J8" s="207">
        <v>53</v>
      </c>
      <c r="K8" s="207">
        <v>52</v>
      </c>
      <c r="L8" s="207">
        <v>52</v>
      </c>
      <c r="M8" s="207">
        <v>52</v>
      </c>
      <c r="N8" s="207">
        <v>49</v>
      </c>
      <c r="O8" s="207">
        <v>52</v>
      </c>
      <c r="P8" s="207">
        <v>49</v>
      </c>
      <c r="Q8" s="207">
        <v>51</v>
      </c>
      <c r="R8" s="213">
        <v>649</v>
      </c>
    </row>
    <row r="9" spans="1:18" ht="13.5" thickBot="1">
      <c r="A9" s="35"/>
      <c r="B9" s="36"/>
      <c r="C9" s="37"/>
      <c r="D9" s="31" t="s">
        <v>104</v>
      </c>
      <c r="E9" s="39"/>
      <c r="F9" s="207">
        <v>5</v>
      </c>
      <c r="G9" s="207">
        <v>5</v>
      </c>
      <c r="H9" s="207">
        <v>5</v>
      </c>
      <c r="I9" s="207">
        <v>5</v>
      </c>
      <c r="J9" s="207">
        <v>5</v>
      </c>
      <c r="K9" s="207">
        <v>5</v>
      </c>
      <c r="L9" s="207">
        <v>5</v>
      </c>
      <c r="M9" s="207">
        <v>5</v>
      </c>
      <c r="N9" s="207">
        <v>5</v>
      </c>
      <c r="O9" s="207">
        <v>5</v>
      </c>
      <c r="P9" s="207">
        <v>5</v>
      </c>
      <c r="Q9" s="207">
        <v>5</v>
      </c>
      <c r="R9" s="213">
        <v>60</v>
      </c>
    </row>
    <row r="10" spans="1:18" ht="13.5" thickBot="1">
      <c r="A10" s="35"/>
      <c r="B10" s="36"/>
      <c r="C10" s="38"/>
      <c r="D10" s="204" t="s">
        <v>324</v>
      </c>
      <c r="E10" s="39" t="s">
        <v>67</v>
      </c>
      <c r="F10" s="208">
        <v>83824</v>
      </c>
      <c r="G10" s="208">
        <v>83731</v>
      </c>
      <c r="H10" s="208">
        <v>83827</v>
      </c>
      <c r="I10" s="208">
        <v>83998</v>
      </c>
      <c r="J10" s="208">
        <v>84107</v>
      </c>
      <c r="K10" s="208">
        <v>83969</v>
      </c>
      <c r="L10" s="208">
        <v>84244</v>
      </c>
      <c r="M10" s="208">
        <v>84415</v>
      </c>
      <c r="N10" s="208">
        <v>84498</v>
      </c>
      <c r="O10" s="208">
        <v>85038</v>
      </c>
      <c r="P10" s="208">
        <v>85128</v>
      </c>
      <c r="Q10" s="208">
        <v>85543</v>
      </c>
      <c r="R10" s="208">
        <v>987609</v>
      </c>
    </row>
    <row r="11" spans="1:18" ht="13.5" thickBot="1">
      <c r="A11" s="35"/>
      <c r="B11" s="36"/>
      <c r="C11" s="34" t="s">
        <v>317</v>
      </c>
      <c r="D11" s="31" t="s">
        <v>102</v>
      </c>
      <c r="E11" s="39" t="s">
        <v>68</v>
      </c>
      <c r="F11" s="207">
        <v>107</v>
      </c>
      <c r="G11" s="207">
        <v>109</v>
      </c>
      <c r="H11" s="207">
        <v>108</v>
      </c>
      <c r="I11" s="207">
        <v>112</v>
      </c>
      <c r="J11" s="207">
        <v>107</v>
      </c>
      <c r="K11" s="207">
        <v>107</v>
      </c>
      <c r="L11" s="207">
        <v>108</v>
      </c>
      <c r="M11" s="207">
        <v>108</v>
      </c>
      <c r="N11" s="207">
        <v>108</v>
      </c>
      <c r="O11" s="207">
        <v>108</v>
      </c>
      <c r="P11" s="207">
        <v>108</v>
      </c>
      <c r="Q11" s="207">
        <v>108</v>
      </c>
      <c r="R11" s="213">
        <v>1306</v>
      </c>
    </row>
    <row r="12" spans="1:18" ht="13.5" thickBot="1">
      <c r="A12" s="35"/>
      <c r="B12" s="36"/>
      <c r="C12" s="37"/>
      <c r="D12" s="31" t="s">
        <v>103</v>
      </c>
      <c r="E12" s="39" t="s">
        <v>69</v>
      </c>
      <c r="F12" s="207">
        <v>1362</v>
      </c>
      <c r="G12" s="207">
        <v>1361</v>
      </c>
      <c r="H12" s="207">
        <v>1363</v>
      </c>
      <c r="I12" s="207">
        <v>1358</v>
      </c>
      <c r="J12" s="207">
        <v>1355</v>
      </c>
      <c r="K12" s="207">
        <v>1351</v>
      </c>
      <c r="L12" s="207">
        <v>1365</v>
      </c>
      <c r="M12" s="207">
        <v>1358</v>
      </c>
      <c r="N12" s="207">
        <v>1357</v>
      </c>
      <c r="O12" s="207">
        <v>1378</v>
      </c>
      <c r="P12" s="207">
        <v>1374</v>
      </c>
      <c r="Q12" s="207">
        <v>1373</v>
      </c>
      <c r="R12" s="213">
        <v>16097</v>
      </c>
    </row>
    <row r="13" spans="1:18" ht="13.5" thickBot="1">
      <c r="A13" s="35"/>
      <c r="B13" s="36"/>
      <c r="C13" s="37"/>
      <c r="D13" s="31" t="s">
        <v>105</v>
      </c>
      <c r="E13" s="39" t="s">
        <v>70</v>
      </c>
      <c r="F13" s="207">
        <v>36</v>
      </c>
      <c r="G13" s="207">
        <v>35</v>
      </c>
      <c r="H13" s="207">
        <v>36</v>
      </c>
      <c r="I13" s="207">
        <v>35</v>
      </c>
      <c r="J13" s="207">
        <v>38</v>
      </c>
      <c r="K13" s="207">
        <v>34</v>
      </c>
      <c r="L13" s="207">
        <v>38</v>
      </c>
      <c r="M13" s="207">
        <v>35</v>
      </c>
      <c r="N13" s="207">
        <v>35</v>
      </c>
      <c r="O13" s="207">
        <v>37</v>
      </c>
      <c r="P13" s="207">
        <v>36</v>
      </c>
      <c r="Q13" s="207">
        <v>36</v>
      </c>
      <c r="R13" s="213">
        <v>433</v>
      </c>
    </row>
    <row r="14" spans="1:18" ht="13.5" thickBot="1">
      <c r="A14" s="35"/>
      <c r="B14" s="36"/>
      <c r="C14" s="37"/>
      <c r="D14" s="31" t="s">
        <v>104</v>
      </c>
      <c r="E14" s="39"/>
      <c r="F14" s="207">
        <v>4</v>
      </c>
      <c r="G14" s="207">
        <v>4</v>
      </c>
      <c r="H14" s="207">
        <v>4</v>
      </c>
      <c r="I14" s="207">
        <v>4</v>
      </c>
      <c r="J14" s="207">
        <v>4</v>
      </c>
      <c r="K14" s="207">
        <v>4</v>
      </c>
      <c r="L14" s="207">
        <v>4</v>
      </c>
      <c r="M14" s="207">
        <v>4</v>
      </c>
      <c r="N14" s="207">
        <v>4</v>
      </c>
      <c r="O14" s="207">
        <v>4</v>
      </c>
      <c r="P14" s="207">
        <v>4</v>
      </c>
      <c r="Q14" s="207">
        <v>4</v>
      </c>
      <c r="R14" s="213">
        <v>48</v>
      </c>
    </row>
    <row r="15" spans="1:18" ht="13.5" thickBot="1">
      <c r="A15" s="35"/>
      <c r="B15" s="36"/>
      <c r="C15" s="38"/>
      <c r="D15" s="204" t="s">
        <v>325</v>
      </c>
      <c r="E15" s="39" t="s">
        <v>165</v>
      </c>
      <c r="F15" s="208">
        <v>1509</v>
      </c>
      <c r="G15" s="208">
        <v>1509</v>
      </c>
      <c r="H15" s="208">
        <v>1511</v>
      </c>
      <c r="I15" s="208">
        <v>1509</v>
      </c>
      <c r="J15" s="208">
        <v>1504</v>
      </c>
      <c r="K15" s="208">
        <v>1496</v>
      </c>
      <c r="L15" s="208">
        <v>1515</v>
      </c>
      <c r="M15" s="208">
        <v>1505</v>
      </c>
      <c r="N15" s="208">
        <v>1504</v>
      </c>
      <c r="O15" s="208">
        <v>1527</v>
      </c>
      <c r="P15" s="208">
        <v>1522</v>
      </c>
      <c r="Q15" s="208">
        <v>1521</v>
      </c>
      <c r="R15" s="208">
        <v>17884</v>
      </c>
    </row>
    <row r="16" spans="1:18" ht="13.5" thickBot="1">
      <c r="A16" s="35"/>
      <c r="B16" s="36"/>
      <c r="C16" s="34" t="s">
        <v>332</v>
      </c>
      <c r="D16" s="31" t="s">
        <v>105</v>
      </c>
      <c r="E16" s="39" t="s">
        <v>70</v>
      </c>
      <c r="F16" s="207">
        <v>2</v>
      </c>
      <c r="G16" s="207">
        <v>2</v>
      </c>
      <c r="H16" s="207">
        <v>2</v>
      </c>
      <c r="I16" s="207">
        <v>2</v>
      </c>
      <c r="J16" s="207">
        <v>2</v>
      </c>
      <c r="K16" s="207">
        <v>2</v>
      </c>
      <c r="L16" s="207">
        <v>2</v>
      </c>
      <c r="M16" s="207">
        <v>2</v>
      </c>
      <c r="N16" s="207">
        <v>2</v>
      </c>
      <c r="O16" s="207">
        <v>2</v>
      </c>
      <c r="P16" s="207">
        <v>2</v>
      </c>
      <c r="Q16" s="207">
        <v>2</v>
      </c>
      <c r="R16" s="213">
        <v>24</v>
      </c>
    </row>
    <row r="17" spans="1:18" ht="13.5" thickBot="1">
      <c r="A17" s="35"/>
      <c r="B17" s="36"/>
      <c r="C17" s="38"/>
      <c r="D17" s="204" t="s">
        <v>333</v>
      </c>
      <c r="E17" s="39" t="s">
        <v>165</v>
      </c>
      <c r="F17" s="208">
        <v>2</v>
      </c>
      <c r="G17" s="208">
        <v>2</v>
      </c>
      <c r="H17" s="208">
        <v>2</v>
      </c>
      <c r="I17" s="208">
        <v>2</v>
      </c>
      <c r="J17" s="208">
        <v>2</v>
      </c>
      <c r="K17" s="208">
        <v>2</v>
      </c>
      <c r="L17" s="208">
        <v>2</v>
      </c>
      <c r="M17" s="208">
        <v>2</v>
      </c>
      <c r="N17" s="208">
        <v>2</v>
      </c>
      <c r="O17" s="208">
        <v>2</v>
      </c>
      <c r="P17" s="208">
        <v>2</v>
      </c>
      <c r="Q17" s="208">
        <v>2</v>
      </c>
      <c r="R17" s="208">
        <v>24</v>
      </c>
    </row>
    <row r="18" spans="1:18" ht="13.5" thickBot="1">
      <c r="A18" s="35"/>
      <c r="B18" s="36"/>
      <c r="C18" s="34" t="s">
        <v>321</v>
      </c>
      <c r="D18" s="31" t="s">
        <v>168</v>
      </c>
      <c r="E18" s="39"/>
      <c r="F18" s="207">
        <v>3</v>
      </c>
      <c r="G18" s="207">
        <v>3</v>
      </c>
      <c r="H18" s="207">
        <v>3</v>
      </c>
      <c r="I18" s="207">
        <v>3</v>
      </c>
      <c r="J18" s="207">
        <v>3</v>
      </c>
      <c r="K18" s="207">
        <v>3</v>
      </c>
      <c r="L18" s="207">
        <v>3</v>
      </c>
      <c r="M18" s="207">
        <v>3</v>
      </c>
      <c r="N18" s="207">
        <v>3</v>
      </c>
      <c r="O18" s="207">
        <v>3</v>
      </c>
      <c r="P18" s="207">
        <v>3</v>
      </c>
      <c r="Q18" s="207">
        <v>3</v>
      </c>
      <c r="R18" s="213">
        <v>36</v>
      </c>
    </row>
    <row r="19" spans="1:18" ht="13.5" thickBot="1">
      <c r="A19" s="35"/>
      <c r="B19" s="36"/>
      <c r="C19" s="37"/>
      <c r="D19" s="31" t="s">
        <v>172</v>
      </c>
      <c r="E19" s="39"/>
      <c r="F19" s="207">
        <v>3</v>
      </c>
      <c r="G19" s="207">
        <v>3</v>
      </c>
      <c r="H19" s="207">
        <v>3</v>
      </c>
      <c r="I19" s="207">
        <v>3</v>
      </c>
      <c r="J19" s="207">
        <v>3</v>
      </c>
      <c r="K19" s="207">
        <v>3</v>
      </c>
      <c r="L19" s="207">
        <v>3</v>
      </c>
      <c r="M19" s="207">
        <v>3</v>
      </c>
      <c r="N19" s="207">
        <v>3</v>
      </c>
      <c r="O19" s="207">
        <v>3</v>
      </c>
      <c r="P19" s="207">
        <v>3</v>
      </c>
      <c r="Q19" s="207">
        <v>3</v>
      </c>
      <c r="R19" s="213">
        <v>36</v>
      </c>
    </row>
    <row r="20" spans="1:18" ht="13.5" thickBot="1">
      <c r="A20" s="35"/>
      <c r="B20" s="36"/>
      <c r="C20" s="38"/>
      <c r="D20" s="204" t="s">
        <v>329</v>
      </c>
      <c r="E20" s="39"/>
      <c r="F20" s="208">
        <v>6</v>
      </c>
      <c r="G20" s="208">
        <v>6</v>
      </c>
      <c r="H20" s="208">
        <v>6</v>
      </c>
      <c r="I20" s="208">
        <v>6</v>
      </c>
      <c r="J20" s="208">
        <v>6</v>
      </c>
      <c r="K20" s="208">
        <v>6</v>
      </c>
      <c r="L20" s="208">
        <v>6</v>
      </c>
      <c r="M20" s="208">
        <v>6</v>
      </c>
      <c r="N20" s="208">
        <v>6</v>
      </c>
      <c r="O20" s="208">
        <v>6</v>
      </c>
      <c r="P20" s="208">
        <v>6</v>
      </c>
      <c r="Q20" s="208">
        <v>6</v>
      </c>
      <c r="R20" s="208">
        <v>72</v>
      </c>
    </row>
    <row r="21" spans="1:18" ht="13.5" thickBot="1">
      <c r="A21" s="35"/>
      <c r="B21" s="36"/>
      <c r="C21" s="34" t="s">
        <v>322</v>
      </c>
      <c r="D21" s="31" t="s">
        <v>172</v>
      </c>
      <c r="E21" s="39"/>
      <c r="F21" s="207">
        <v>1</v>
      </c>
      <c r="G21" s="207">
        <v>1</v>
      </c>
      <c r="H21" s="207">
        <v>1</v>
      </c>
      <c r="I21" s="207">
        <v>1</v>
      </c>
      <c r="J21" s="207">
        <v>1</v>
      </c>
      <c r="K21" s="207">
        <v>1</v>
      </c>
      <c r="L21" s="207">
        <v>1</v>
      </c>
      <c r="M21" s="207">
        <v>1</v>
      </c>
      <c r="N21" s="207">
        <v>1</v>
      </c>
      <c r="O21" s="207">
        <v>1</v>
      </c>
      <c r="P21" s="207">
        <v>1</v>
      </c>
      <c r="Q21" s="207">
        <v>1</v>
      </c>
      <c r="R21" s="213">
        <v>12</v>
      </c>
    </row>
    <row r="22" spans="1:18" ht="13.5" thickBot="1">
      <c r="A22" s="35"/>
      <c r="B22" s="36"/>
      <c r="C22" s="38"/>
      <c r="D22" s="204" t="s">
        <v>330</v>
      </c>
      <c r="E22" s="39"/>
      <c r="F22" s="208">
        <v>1</v>
      </c>
      <c r="G22" s="208">
        <v>1</v>
      </c>
      <c r="H22" s="208">
        <v>1</v>
      </c>
      <c r="I22" s="208">
        <v>1</v>
      </c>
      <c r="J22" s="208">
        <v>1</v>
      </c>
      <c r="K22" s="208">
        <v>1</v>
      </c>
      <c r="L22" s="208">
        <v>1</v>
      </c>
      <c r="M22" s="208">
        <v>1</v>
      </c>
      <c r="N22" s="208">
        <v>1</v>
      </c>
      <c r="O22" s="208">
        <v>1</v>
      </c>
      <c r="P22" s="208">
        <v>1</v>
      </c>
      <c r="Q22" s="208">
        <v>1</v>
      </c>
      <c r="R22" s="208">
        <v>12</v>
      </c>
    </row>
    <row r="23" spans="1:18" ht="13.5" thickBot="1">
      <c r="A23" s="35"/>
      <c r="B23" s="36"/>
      <c r="C23" s="34" t="s">
        <v>334</v>
      </c>
      <c r="D23" s="31" t="s">
        <v>172</v>
      </c>
      <c r="E23" s="39"/>
      <c r="F23" s="207">
        <v>1</v>
      </c>
      <c r="G23" s="207">
        <v>1</v>
      </c>
      <c r="H23" s="207">
        <v>1</v>
      </c>
      <c r="I23" s="207">
        <v>1</v>
      </c>
      <c r="J23" s="207">
        <v>1</v>
      </c>
      <c r="K23" s="207">
        <v>1</v>
      </c>
      <c r="L23" s="207">
        <v>1</v>
      </c>
      <c r="M23" s="207">
        <v>1</v>
      </c>
      <c r="N23" s="207">
        <v>1</v>
      </c>
      <c r="O23" s="207">
        <v>1</v>
      </c>
      <c r="P23" s="207">
        <v>1</v>
      </c>
      <c r="Q23" s="207">
        <v>1</v>
      </c>
      <c r="R23" s="213">
        <v>12</v>
      </c>
    </row>
    <row r="24" spans="1:18" ht="13.5" thickBot="1">
      <c r="A24" s="35"/>
      <c r="B24" s="36"/>
      <c r="C24" s="38"/>
      <c r="D24" s="204" t="s">
        <v>335</v>
      </c>
      <c r="E24" s="39"/>
      <c r="F24" s="208">
        <v>1</v>
      </c>
      <c r="G24" s="208">
        <v>1</v>
      </c>
      <c r="H24" s="208">
        <v>1</v>
      </c>
      <c r="I24" s="208">
        <v>1</v>
      </c>
      <c r="J24" s="208">
        <v>1</v>
      </c>
      <c r="K24" s="208">
        <v>1</v>
      </c>
      <c r="L24" s="208">
        <v>1</v>
      </c>
      <c r="M24" s="208">
        <v>1</v>
      </c>
      <c r="N24" s="208">
        <v>1</v>
      </c>
      <c r="O24" s="208">
        <v>1</v>
      </c>
      <c r="P24" s="208">
        <v>1</v>
      </c>
      <c r="Q24" s="208">
        <v>1</v>
      </c>
      <c r="R24" s="208">
        <v>12</v>
      </c>
    </row>
    <row r="25" spans="1:18" ht="13.5" thickBot="1">
      <c r="A25" s="35"/>
      <c r="B25" s="33" t="s">
        <v>106</v>
      </c>
      <c r="C25" s="34" t="s">
        <v>316</v>
      </c>
      <c r="D25" s="31" t="s">
        <v>102</v>
      </c>
      <c r="E25" s="39" t="s">
        <v>55</v>
      </c>
      <c r="F25" s="207">
        <v>152095</v>
      </c>
      <c r="G25" s="207">
        <v>149368</v>
      </c>
      <c r="H25" s="207">
        <v>154550</v>
      </c>
      <c r="I25" s="207">
        <v>150785</v>
      </c>
      <c r="J25" s="207">
        <v>154456</v>
      </c>
      <c r="K25" s="207">
        <v>152246</v>
      </c>
      <c r="L25" s="207">
        <v>152974</v>
      </c>
      <c r="M25" s="207">
        <v>153300</v>
      </c>
      <c r="N25" s="207">
        <v>150150</v>
      </c>
      <c r="O25" s="207">
        <v>156888</v>
      </c>
      <c r="P25" s="207">
        <v>154329</v>
      </c>
      <c r="Q25" s="207">
        <v>154610</v>
      </c>
      <c r="R25" s="213">
        <v>1793915</v>
      </c>
    </row>
    <row r="26" spans="1:18" ht="13.5" thickBot="1">
      <c r="A26" s="35"/>
      <c r="B26" s="36"/>
      <c r="C26" s="37"/>
      <c r="D26" s="31" t="s">
        <v>103</v>
      </c>
      <c r="E26" s="39" t="s">
        <v>56</v>
      </c>
      <c r="F26" s="207">
        <v>12092</v>
      </c>
      <c r="G26" s="207">
        <v>11933</v>
      </c>
      <c r="H26" s="207">
        <v>12282</v>
      </c>
      <c r="I26" s="207">
        <v>12060</v>
      </c>
      <c r="J26" s="207">
        <v>12169</v>
      </c>
      <c r="K26" s="207">
        <v>12086</v>
      </c>
      <c r="L26" s="207">
        <v>12119</v>
      </c>
      <c r="M26" s="207">
        <v>12139</v>
      </c>
      <c r="N26" s="207">
        <v>11934</v>
      </c>
      <c r="O26" s="207">
        <v>12339</v>
      </c>
      <c r="P26" s="207">
        <v>12173</v>
      </c>
      <c r="Q26" s="207">
        <v>12230</v>
      </c>
      <c r="R26" s="213">
        <v>144296</v>
      </c>
    </row>
    <row r="27" spans="1:18" ht="13.5" thickBot="1">
      <c r="A27" s="35"/>
      <c r="B27" s="36"/>
      <c r="C27" s="37"/>
      <c r="D27" s="31" t="s">
        <v>105</v>
      </c>
      <c r="E27" s="39" t="s">
        <v>57</v>
      </c>
      <c r="F27" s="207">
        <v>73</v>
      </c>
      <c r="G27" s="207">
        <v>69</v>
      </c>
      <c r="H27" s="207">
        <v>71</v>
      </c>
      <c r="I27" s="207">
        <v>72</v>
      </c>
      <c r="J27" s="207">
        <v>72</v>
      </c>
      <c r="K27" s="207">
        <v>69</v>
      </c>
      <c r="L27" s="207">
        <v>74</v>
      </c>
      <c r="M27" s="207">
        <v>71</v>
      </c>
      <c r="N27" s="207">
        <v>70</v>
      </c>
      <c r="O27" s="207">
        <v>73</v>
      </c>
      <c r="P27" s="207">
        <v>71</v>
      </c>
      <c r="Q27" s="207">
        <v>73</v>
      </c>
      <c r="R27" s="213">
        <v>866</v>
      </c>
    </row>
    <row r="28" spans="1:18" ht="13.5" thickBot="1">
      <c r="A28" s="35"/>
      <c r="B28" s="36"/>
      <c r="C28" s="37"/>
      <c r="D28" s="31" t="s">
        <v>104</v>
      </c>
      <c r="E28" s="39"/>
      <c r="F28" s="207">
        <v>28</v>
      </c>
      <c r="G28" s="207">
        <v>26</v>
      </c>
      <c r="H28" s="207">
        <v>26</v>
      </c>
      <c r="I28" s="207">
        <v>26</v>
      </c>
      <c r="J28" s="207">
        <v>25</v>
      </c>
      <c r="K28" s="207">
        <v>24</v>
      </c>
      <c r="L28" s="207">
        <v>24</v>
      </c>
      <c r="M28" s="207">
        <v>24</v>
      </c>
      <c r="N28" s="207">
        <v>24</v>
      </c>
      <c r="O28" s="207">
        <v>24</v>
      </c>
      <c r="P28" s="207">
        <v>19</v>
      </c>
      <c r="Q28" s="207">
        <v>24</v>
      </c>
      <c r="R28" s="213">
        <v>319</v>
      </c>
    </row>
    <row r="29" spans="1:18" ht="13.5" thickBot="1">
      <c r="A29" s="35"/>
      <c r="B29" s="36"/>
      <c r="C29" s="38"/>
      <c r="D29" s="204" t="s">
        <v>324</v>
      </c>
      <c r="E29" s="39" t="s">
        <v>58</v>
      </c>
      <c r="F29" s="208">
        <v>164288</v>
      </c>
      <c r="G29" s="208">
        <v>161396</v>
      </c>
      <c r="H29" s="208">
        <v>166929</v>
      </c>
      <c r="I29" s="208">
        <v>162943</v>
      </c>
      <c r="J29" s="208">
        <v>166722</v>
      </c>
      <c r="K29" s="208">
        <v>164425</v>
      </c>
      <c r="L29" s="208">
        <v>165191</v>
      </c>
      <c r="M29" s="208">
        <v>165534</v>
      </c>
      <c r="N29" s="208">
        <v>162178</v>
      </c>
      <c r="O29" s="208">
        <v>169324</v>
      </c>
      <c r="P29" s="208">
        <v>166592</v>
      </c>
      <c r="Q29" s="208">
        <v>166937</v>
      </c>
      <c r="R29" s="208">
        <v>1939396</v>
      </c>
    </row>
    <row r="30" spans="1:18" ht="13.5" thickBot="1">
      <c r="A30" s="35"/>
      <c r="B30" s="36"/>
      <c r="C30" s="34" t="s">
        <v>311</v>
      </c>
      <c r="D30" s="31" t="s">
        <v>102</v>
      </c>
      <c r="E30" s="39" t="s">
        <v>55</v>
      </c>
      <c r="F30" s="207">
        <v>167</v>
      </c>
      <c r="G30" s="207">
        <v>165</v>
      </c>
      <c r="H30" s="207">
        <v>166</v>
      </c>
      <c r="I30" s="207">
        <v>163</v>
      </c>
      <c r="J30" s="207">
        <v>164</v>
      </c>
      <c r="K30" s="207">
        <v>162</v>
      </c>
      <c r="L30" s="207">
        <v>164</v>
      </c>
      <c r="M30" s="207">
        <v>159</v>
      </c>
      <c r="N30" s="207">
        <v>154</v>
      </c>
      <c r="O30" s="207">
        <v>124</v>
      </c>
      <c r="P30" s="207">
        <v>137</v>
      </c>
      <c r="Q30" s="207">
        <v>155</v>
      </c>
      <c r="R30" s="213">
        <v>2099</v>
      </c>
    </row>
    <row r="31" spans="1:18" ht="13.5" thickBot="1">
      <c r="A31" s="35"/>
      <c r="B31" s="36"/>
      <c r="C31" s="38"/>
      <c r="D31" s="204" t="s">
        <v>312</v>
      </c>
      <c r="E31" s="39" t="s">
        <v>58</v>
      </c>
      <c r="F31" s="208">
        <v>167</v>
      </c>
      <c r="G31" s="208">
        <v>165</v>
      </c>
      <c r="H31" s="208">
        <v>166</v>
      </c>
      <c r="I31" s="208">
        <v>163</v>
      </c>
      <c r="J31" s="208">
        <v>164</v>
      </c>
      <c r="K31" s="208">
        <v>162</v>
      </c>
      <c r="L31" s="208">
        <v>164</v>
      </c>
      <c r="M31" s="208">
        <v>159</v>
      </c>
      <c r="N31" s="208">
        <v>154</v>
      </c>
      <c r="O31" s="208">
        <v>124</v>
      </c>
      <c r="P31" s="208">
        <v>137</v>
      </c>
      <c r="Q31" s="208">
        <v>155</v>
      </c>
      <c r="R31" s="208">
        <v>2099</v>
      </c>
    </row>
    <row r="32" spans="1:18" ht="13.5" thickBot="1">
      <c r="A32" s="35"/>
      <c r="B32" s="36"/>
      <c r="C32" s="34" t="s">
        <v>317</v>
      </c>
      <c r="D32" s="31" t="s">
        <v>102</v>
      </c>
      <c r="E32" s="39" t="s">
        <v>59</v>
      </c>
      <c r="F32" s="207">
        <v>302</v>
      </c>
      <c r="G32" s="207">
        <v>292</v>
      </c>
      <c r="H32" s="207">
        <v>307</v>
      </c>
      <c r="I32" s="207">
        <v>299</v>
      </c>
      <c r="J32" s="207">
        <v>298</v>
      </c>
      <c r="K32" s="207">
        <v>301</v>
      </c>
      <c r="L32" s="207">
        <v>300</v>
      </c>
      <c r="M32" s="207">
        <v>299</v>
      </c>
      <c r="N32" s="207">
        <v>289</v>
      </c>
      <c r="O32" s="207">
        <v>310</v>
      </c>
      <c r="P32" s="207">
        <v>288</v>
      </c>
      <c r="Q32" s="207">
        <v>304</v>
      </c>
      <c r="R32" s="213">
        <v>3451</v>
      </c>
    </row>
    <row r="33" spans="1:18" ht="13.5" thickBot="1">
      <c r="A33" s="35"/>
      <c r="B33" s="36"/>
      <c r="C33" s="37"/>
      <c r="D33" s="31" t="s">
        <v>103</v>
      </c>
      <c r="E33" s="39" t="s">
        <v>60</v>
      </c>
      <c r="F33" s="207">
        <v>2721</v>
      </c>
      <c r="G33" s="207">
        <v>2679</v>
      </c>
      <c r="H33" s="207">
        <v>2766</v>
      </c>
      <c r="I33" s="207">
        <v>2725</v>
      </c>
      <c r="J33" s="207">
        <v>2728</v>
      </c>
      <c r="K33" s="207">
        <v>2716</v>
      </c>
      <c r="L33" s="207">
        <v>2731</v>
      </c>
      <c r="M33" s="207">
        <v>2726</v>
      </c>
      <c r="N33" s="207">
        <v>2670</v>
      </c>
      <c r="O33" s="207">
        <v>2749</v>
      </c>
      <c r="P33" s="207">
        <v>2715</v>
      </c>
      <c r="Q33" s="207">
        <v>2741</v>
      </c>
      <c r="R33" s="213">
        <v>32828</v>
      </c>
    </row>
    <row r="34" spans="1:18" ht="13.5" thickBot="1">
      <c r="A34" s="35"/>
      <c r="B34" s="36"/>
      <c r="C34" s="37"/>
      <c r="D34" s="31" t="s">
        <v>105</v>
      </c>
      <c r="E34" s="39" t="s">
        <v>61</v>
      </c>
      <c r="F34" s="207">
        <v>57</v>
      </c>
      <c r="G34" s="207">
        <v>56</v>
      </c>
      <c r="H34" s="207">
        <v>58</v>
      </c>
      <c r="I34" s="207">
        <v>57</v>
      </c>
      <c r="J34" s="207">
        <v>57</v>
      </c>
      <c r="K34" s="207">
        <v>56</v>
      </c>
      <c r="L34" s="207">
        <v>57</v>
      </c>
      <c r="M34" s="207">
        <v>55</v>
      </c>
      <c r="N34" s="207">
        <v>57</v>
      </c>
      <c r="O34" s="207">
        <v>55</v>
      </c>
      <c r="P34" s="207">
        <v>56</v>
      </c>
      <c r="Q34" s="207">
        <v>57</v>
      </c>
      <c r="R34" s="213">
        <v>729</v>
      </c>
    </row>
    <row r="35" spans="1:18" ht="13.5" thickBot="1">
      <c r="A35" s="35"/>
      <c r="B35" s="36"/>
      <c r="C35" s="37"/>
      <c r="D35" s="31" t="s">
        <v>104</v>
      </c>
      <c r="E35" s="39"/>
      <c r="F35" s="207">
        <v>19</v>
      </c>
      <c r="G35" s="207">
        <v>20</v>
      </c>
      <c r="H35" s="207">
        <v>20</v>
      </c>
      <c r="I35" s="207">
        <v>20</v>
      </c>
      <c r="J35" s="207">
        <v>20</v>
      </c>
      <c r="K35" s="207">
        <v>21</v>
      </c>
      <c r="L35" s="207">
        <v>21</v>
      </c>
      <c r="M35" s="207">
        <v>21</v>
      </c>
      <c r="N35" s="207">
        <v>20</v>
      </c>
      <c r="O35" s="207">
        <v>22</v>
      </c>
      <c r="P35" s="207">
        <v>21</v>
      </c>
      <c r="Q35" s="207">
        <v>21</v>
      </c>
      <c r="R35" s="213">
        <v>211</v>
      </c>
    </row>
    <row r="36" spans="1:18" ht="13.5" thickBot="1">
      <c r="A36" s="35"/>
      <c r="B36" s="36"/>
      <c r="C36" s="38"/>
      <c r="D36" s="204" t="s">
        <v>325</v>
      </c>
      <c r="E36" s="39" t="s">
        <v>173</v>
      </c>
      <c r="F36" s="208">
        <v>3099</v>
      </c>
      <c r="G36" s="208">
        <v>3047</v>
      </c>
      <c r="H36" s="208">
        <v>3151</v>
      </c>
      <c r="I36" s="208">
        <v>3101</v>
      </c>
      <c r="J36" s="208">
        <v>3103</v>
      </c>
      <c r="K36" s="208">
        <v>3094</v>
      </c>
      <c r="L36" s="208">
        <v>3109</v>
      </c>
      <c r="M36" s="208">
        <v>3101</v>
      </c>
      <c r="N36" s="208">
        <v>3036</v>
      </c>
      <c r="O36" s="208">
        <v>3136</v>
      </c>
      <c r="P36" s="208">
        <v>3080</v>
      </c>
      <c r="Q36" s="208">
        <v>3123</v>
      </c>
      <c r="R36" s="208">
        <v>37219</v>
      </c>
    </row>
    <row r="37" spans="1:18" ht="13.5" thickBot="1">
      <c r="A37" s="35"/>
      <c r="B37" s="36"/>
      <c r="C37" s="34" t="s">
        <v>332</v>
      </c>
      <c r="D37" s="31">
        <v>21</v>
      </c>
      <c r="E37" s="39" t="s">
        <v>60</v>
      </c>
      <c r="F37" s="207">
        <v>1</v>
      </c>
      <c r="G37" s="207">
        <v>1</v>
      </c>
      <c r="H37" s="207">
        <v>1</v>
      </c>
      <c r="I37" s="207">
        <v>1</v>
      </c>
      <c r="J37" s="207">
        <v>1</v>
      </c>
      <c r="K37" s="207">
        <v>1</v>
      </c>
      <c r="L37" s="207">
        <v>1</v>
      </c>
      <c r="M37" s="207">
        <v>1</v>
      </c>
      <c r="N37" s="207">
        <v>1</v>
      </c>
      <c r="O37" s="207">
        <v>1</v>
      </c>
      <c r="P37" s="207">
        <v>1</v>
      </c>
      <c r="Q37" s="207">
        <v>1</v>
      </c>
      <c r="R37" s="213">
        <v>12</v>
      </c>
    </row>
    <row r="38" spans="1:18" ht="13.5" thickBot="1">
      <c r="A38" s="35"/>
      <c r="B38" s="36"/>
      <c r="C38" s="38"/>
      <c r="D38" s="204" t="s">
        <v>333</v>
      </c>
      <c r="E38" s="39" t="s">
        <v>173</v>
      </c>
      <c r="F38" s="208">
        <v>1</v>
      </c>
      <c r="G38" s="208">
        <v>1</v>
      </c>
      <c r="H38" s="208">
        <v>1</v>
      </c>
      <c r="I38" s="208">
        <v>1</v>
      </c>
      <c r="J38" s="208">
        <v>1</v>
      </c>
      <c r="K38" s="208">
        <v>1</v>
      </c>
      <c r="L38" s="208">
        <v>1</v>
      </c>
      <c r="M38" s="208">
        <v>1</v>
      </c>
      <c r="N38" s="208">
        <v>1</v>
      </c>
      <c r="O38" s="208">
        <v>1</v>
      </c>
      <c r="P38" s="208">
        <v>1</v>
      </c>
      <c r="Q38" s="208">
        <v>1</v>
      </c>
      <c r="R38" s="208">
        <v>12</v>
      </c>
    </row>
    <row r="39" spans="1:18" ht="13.5" thickBot="1">
      <c r="A39" s="35"/>
      <c r="B39" s="36"/>
      <c r="C39" s="34" t="s">
        <v>318</v>
      </c>
      <c r="D39" s="31" t="s">
        <v>103</v>
      </c>
      <c r="E39" s="39" t="s">
        <v>62</v>
      </c>
      <c r="F39" s="207">
        <v>3</v>
      </c>
      <c r="G39" s="207">
        <v>3</v>
      </c>
      <c r="H39" s="207">
        <v>5</v>
      </c>
      <c r="I39" s="207">
        <v>5</v>
      </c>
      <c r="J39" s="207">
        <v>5</v>
      </c>
      <c r="K39" s="207">
        <v>-7</v>
      </c>
      <c r="L39" s="207">
        <v>3</v>
      </c>
      <c r="M39" s="207">
        <v>4</v>
      </c>
      <c r="N39" s="207">
        <v>4</v>
      </c>
      <c r="O39" s="207">
        <v>4</v>
      </c>
      <c r="P39" s="207">
        <v>4</v>
      </c>
      <c r="Q39" s="207">
        <v>4</v>
      </c>
      <c r="R39" s="213">
        <v>-324</v>
      </c>
    </row>
    <row r="40" spans="1:18" ht="13.5" thickBot="1">
      <c r="A40" s="35"/>
      <c r="B40" s="36"/>
      <c r="C40" s="38"/>
      <c r="D40" s="204" t="s">
        <v>326</v>
      </c>
      <c r="E40" s="39" t="s">
        <v>175</v>
      </c>
      <c r="F40" s="208">
        <v>3</v>
      </c>
      <c r="G40" s="208">
        <v>3</v>
      </c>
      <c r="H40" s="208">
        <v>5</v>
      </c>
      <c r="I40" s="208">
        <v>5</v>
      </c>
      <c r="J40" s="208">
        <v>5</v>
      </c>
      <c r="K40" s="208">
        <v>-7</v>
      </c>
      <c r="L40" s="208">
        <v>3</v>
      </c>
      <c r="M40" s="208">
        <v>4</v>
      </c>
      <c r="N40" s="208">
        <v>4</v>
      </c>
      <c r="O40" s="208">
        <v>4</v>
      </c>
      <c r="P40" s="208">
        <v>4</v>
      </c>
      <c r="Q40" s="208">
        <v>4</v>
      </c>
      <c r="R40" s="208">
        <v>-366</v>
      </c>
    </row>
    <row r="41" spans="1:18" ht="13.5" thickBot="1">
      <c r="A41" s="35"/>
      <c r="B41" s="36"/>
      <c r="C41" s="34" t="s">
        <v>319</v>
      </c>
      <c r="D41" s="31" t="s">
        <v>103</v>
      </c>
      <c r="E41" s="39" t="s">
        <v>62</v>
      </c>
      <c r="F41" s="207">
        <v>1</v>
      </c>
      <c r="G41" s="207">
        <v>1</v>
      </c>
      <c r="H41" s="207">
        <v>1</v>
      </c>
      <c r="I41" s="207">
        <v>1</v>
      </c>
      <c r="J41" s="207">
        <v>1</v>
      </c>
      <c r="K41" s="207">
        <v>1</v>
      </c>
      <c r="L41" s="207">
        <v>1</v>
      </c>
      <c r="M41" s="207">
        <v>1</v>
      </c>
      <c r="N41" s="207">
        <v>1</v>
      </c>
      <c r="O41" s="207">
        <v>1</v>
      </c>
      <c r="P41" s="207">
        <v>2</v>
      </c>
      <c r="Q41" s="207">
        <v>4</v>
      </c>
      <c r="R41" s="213">
        <v>12</v>
      </c>
    </row>
    <row r="42" spans="1:18" ht="13.5" thickBot="1">
      <c r="A42" s="35"/>
      <c r="B42" s="36"/>
      <c r="C42" s="38"/>
      <c r="D42" s="204" t="s">
        <v>327</v>
      </c>
      <c r="E42" s="39" t="s">
        <v>175</v>
      </c>
      <c r="F42" s="208">
        <v>1</v>
      </c>
      <c r="G42" s="208">
        <v>1</v>
      </c>
      <c r="H42" s="208">
        <v>1</v>
      </c>
      <c r="I42" s="208">
        <v>1</v>
      </c>
      <c r="J42" s="208">
        <v>1</v>
      </c>
      <c r="K42" s="208">
        <v>1</v>
      </c>
      <c r="L42" s="208">
        <v>1</v>
      </c>
      <c r="M42" s="208">
        <v>1</v>
      </c>
      <c r="N42" s="208">
        <v>1</v>
      </c>
      <c r="O42" s="208">
        <v>1</v>
      </c>
      <c r="P42" s="208">
        <v>2</v>
      </c>
      <c r="Q42" s="208">
        <v>4</v>
      </c>
      <c r="R42" s="208">
        <v>12</v>
      </c>
    </row>
    <row r="43" spans="1:18" ht="13.5" thickBot="1">
      <c r="A43" s="35"/>
      <c r="B43" s="36"/>
      <c r="C43" s="34" t="s">
        <v>320</v>
      </c>
      <c r="D43" s="31" t="s">
        <v>171</v>
      </c>
      <c r="E43" s="39"/>
      <c r="F43" s="207">
        <v>2</v>
      </c>
      <c r="G43" s="207">
        <v>2</v>
      </c>
      <c r="H43" s="207">
        <v>2</v>
      </c>
      <c r="I43" s="207">
        <v>2</v>
      </c>
      <c r="J43" s="207">
        <v>2</v>
      </c>
      <c r="K43" s="207">
        <v>2</v>
      </c>
      <c r="L43" s="207">
        <v>2</v>
      </c>
      <c r="M43" s="207">
        <v>2</v>
      </c>
      <c r="N43" s="207">
        <v>1</v>
      </c>
      <c r="O43" s="207">
        <v>3</v>
      </c>
      <c r="P43" s="207">
        <v>2</v>
      </c>
      <c r="Q43" s="207">
        <v>1</v>
      </c>
      <c r="R43" s="213">
        <v>24</v>
      </c>
    </row>
    <row r="44" spans="1:18" ht="13.5" thickBot="1">
      <c r="A44" s="35"/>
      <c r="B44" s="36"/>
      <c r="C44" s="38"/>
      <c r="D44" s="204" t="s">
        <v>328</v>
      </c>
      <c r="E44" s="39" t="s">
        <v>176</v>
      </c>
      <c r="F44" s="208">
        <v>2</v>
      </c>
      <c r="G44" s="208">
        <v>2</v>
      </c>
      <c r="H44" s="208">
        <v>2</v>
      </c>
      <c r="I44" s="208">
        <v>2</v>
      </c>
      <c r="J44" s="208">
        <v>2</v>
      </c>
      <c r="K44" s="208">
        <v>2</v>
      </c>
      <c r="L44" s="208">
        <v>2</v>
      </c>
      <c r="M44" s="208">
        <v>2</v>
      </c>
      <c r="N44" s="208">
        <v>1</v>
      </c>
      <c r="O44" s="208">
        <v>3</v>
      </c>
      <c r="P44" s="208">
        <v>2</v>
      </c>
      <c r="Q44" s="208">
        <v>1</v>
      </c>
      <c r="R44" s="208">
        <v>24</v>
      </c>
    </row>
    <row r="45" spans="1:18" ht="13.5" thickBot="1">
      <c r="A45" s="35"/>
      <c r="B45" s="36"/>
      <c r="C45" s="34" t="s">
        <v>321</v>
      </c>
      <c r="D45" s="31" t="s">
        <v>168</v>
      </c>
      <c r="E45" s="39"/>
      <c r="F45" s="207">
        <v>19</v>
      </c>
      <c r="G45" s="207">
        <v>19</v>
      </c>
      <c r="H45" s="207">
        <v>19</v>
      </c>
      <c r="I45" s="207">
        <v>19</v>
      </c>
      <c r="J45" s="207">
        <v>19</v>
      </c>
      <c r="K45" s="207">
        <v>19</v>
      </c>
      <c r="L45" s="207">
        <v>19</v>
      </c>
      <c r="M45" s="207">
        <v>19</v>
      </c>
      <c r="N45" s="207">
        <v>19</v>
      </c>
      <c r="O45" s="207">
        <v>18</v>
      </c>
      <c r="P45" s="207">
        <v>18</v>
      </c>
      <c r="Q45" s="207">
        <v>18</v>
      </c>
      <c r="R45" s="213">
        <v>235</v>
      </c>
    </row>
    <row r="46" spans="1:18" ht="13.5" thickBot="1">
      <c r="A46" s="35"/>
      <c r="B46" s="36"/>
      <c r="C46" s="37"/>
      <c r="D46" s="31" t="s">
        <v>172</v>
      </c>
      <c r="E46" s="39"/>
      <c r="F46" s="207">
        <v>20</v>
      </c>
      <c r="G46" s="207">
        <v>20</v>
      </c>
      <c r="H46" s="207">
        <v>20</v>
      </c>
      <c r="I46" s="207">
        <v>20</v>
      </c>
      <c r="J46" s="207">
        <v>20</v>
      </c>
      <c r="K46" s="207">
        <v>20</v>
      </c>
      <c r="L46" s="207">
        <v>20</v>
      </c>
      <c r="M46" s="207">
        <v>20</v>
      </c>
      <c r="N46" s="207">
        <v>20</v>
      </c>
      <c r="O46" s="207">
        <v>20</v>
      </c>
      <c r="P46" s="207">
        <v>19</v>
      </c>
      <c r="Q46" s="207">
        <v>19</v>
      </c>
      <c r="R46" s="213">
        <v>251</v>
      </c>
    </row>
    <row r="47" spans="1:18" ht="13.5" thickBot="1">
      <c r="A47" s="35"/>
      <c r="B47" s="36"/>
      <c r="C47" s="38"/>
      <c r="D47" s="204" t="s">
        <v>329</v>
      </c>
      <c r="E47" s="39"/>
      <c r="F47" s="208">
        <v>39</v>
      </c>
      <c r="G47" s="208">
        <v>39</v>
      </c>
      <c r="H47" s="208">
        <v>39</v>
      </c>
      <c r="I47" s="208">
        <v>39</v>
      </c>
      <c r="J47" s="208">
        <v>39</v>
      </c>
      <c r="K47" s="208">
        <v>39</v>
      </c>
      <c r="L47" s="208">
        <v>39</v>
      </c>
      <c r="M47" s="208">
        <v>39</v>
      </c>
      <c r="N47" s="208">
        <v>39</v>
      </c>
      <c r="O47" s="208">
        <v>38</v>
      </c>
      <c r="P47" s="208">
        <v>37</v>
      </c>
      <c r="Q47" s="208">
        <v>37</v>
      </c>
      <c r="R47" s="208">
        <v>486</v>
      </c>
    </row>
    <row r="48" spans="1:18" ht="13.5" thickBot="1">
      <c r="A48" s="35"/>
      <c r="B48" s="36"/>
      <c r="C48" s="34" t="s">
        <v>322</v>
      </c>
      <c r="D48" s="31" t="s">
        <v>177</v>
      </c>
      <c r="E48" s="39"/>
      <c r="F48" s="207">
        <v>3</v>
      </c>
      <c r="G48" s="207">
        <v>3</v>
      </c>
      <c r="H48" s="207">
        <v>3</v>
      </c>
      <c r="I48" s="207">
        <v>3</v>
      </c>
      <c r="J48" s="207">
        <v>3</v>
      </c>
      <c r="K48" s="207">
        <v>1</v>
      </c>
      <c r="L48" s="207">
        <v>3</v>
      </c>
      <c r="M48" s="207">
        <v>3</v>
      </c>
      <c r="N48" s="207">
        <v>3</v>
      </c>
      <c r="O48" s="207">
        <v>3</v>
      </c>
      <c r="P48" s="207">
        <v>3</v>
      </c>
      <c r="Q48" s="207">
        <v>3</v>
      </c>
      <c r="R48" s="213">
        <v>34</v>
      </c>
    </row>
    <row r="49" spans="1:18" ht="13.5" thickBot="1">
      <c r="A49" s="35"/>
      <c r="B49" s="36"/>
      <c r="C49" s="38"/>
      <c r="D49" s="204" t="s">
        <v>330</v>
      </c>
      <c r="E49" s="39"/>
      <c r="F49" s="208">
        <v>3</v>
      </c>
      <c r="G49" s="208">
        <v>3</v>
      </c>
      <c r="H49" s="208">
        <v>3</v>
      </c>
      <c r="I49" s="208">
        <v>3</v>
      </c>
      <c r="J49" s="208">
        <v>3</v>
      </c>
      <c r="K49" s="208">
        <v>1</v>
      </c>
      <c r="L49" s="208">
        <v>3</v>
      </c>
      <c r="M49" s="208">
        <v>3</v>
      </c>
      <c r="N49" s="208">
        <v>3</v>
      </c>
      <c r="O49" s="208">
        <v>3</v>
      </c>
      <c r="P49" s="208">
        <v>3</v>
      </c>
      <c r="Q49" s="208">
        <v>3</v>
      </c>
      <c r="R49" s="208">
        <v>34</v>
      </c>
    </row>
    <row r="50" spans="1:18" ht="13.5" thickBot="1">
      <c r="A50" s="35"/>
      <c r="B50" s="36"/>
      <c r="C50" s="34" t="s">
        <v>323</v>
      </c>
      <c r="D50" s="31" t="s">
        <v>168</v>
      </c>
      <c r="E50" s="39"/>
      <c r="F50" s="207">
        <v>1</v>
      </c>
      <c r="G50" s="207">
        <v>1</v>
      </c>
      <c r="H50" s="207">
        <v>1</v>
      </c>
      <c r="I50" s="207">
        <v>1</v>
      </c>
      <c r="J50" s="207">
        <v>1</v>
      </c>
      <c r="K50" s="207">
        <v>1</v>
      </c>
      <c r="L50" s="207">
        <v>1</v>
      </c>
      <c r="M50" s="207">
        <v>1</v>
      </c>
      <c r="N50" s="207">
        <v>1</v>
      </c>
      <c r="O50" s="207">
        <v>1</v>
      </c>
      <c r="P50" s="207">
        <v>1</v>
      </c>
      <c r="Q50" s="207">
        <v>1</v>
      </c>
      <c r="R50" s="213">
        <v>12</v>
      </c>
    </row>
    <row r="51" spans="1:18" ht="13.5" thickBot="1">
      <c r="A51" s="35"/>
      <c r="B51" s="36"/>
      <c r="C51" s="37"/>
      <c r="D51" s="31" t="s">
        <v>172</v>
      </c>
      <c r="E51" s="39"/>
      <c r="F51" s="207">
        <v>4</v>
      </c>
      <c r="G51" s="207">
        <v>4</v>
      </c>
      <c r="H51" s="207">
        <v>4</v>
      </c>
      <c r="I51" s="207">
        <v>4</v>
      </c>
      <c r="J51" s="207">
        <v>4</v>
      </c>
      <c r="K51" s="207">
        <v>4</v>
      </c>
      <c r="L51" s="207">
        <v>4</v>
      </c>
      <c r="M51" s="207">
        <v>4</v>
      </c>
      <c r="N51" s="207">
        <v>4</v>
      </c>
      <c r="O51" s="207">
        <v>4</v>
      </c>
      <c r="P51" s="207">
        <v>4</v>
      </c>
      <c r="Q51" s="207">
        <v>4</v>
      </c>
      <c r="R51" s="213">
        <v>48</v>
      </c>
    </row>
    <row r="52" spans="1:18" ht="13.5" thickBot="1">
      <c r="A52" s="35"/>
      <c r="B52" s="36"/>
      <c r="C52" s="38"/>
      <c r="D52" s="204" t="s">
        <v>331</v>
      </c>
      <c r="E52" s="39"/>
      <c r="F52" s="208">
        <v>5</v>
      </c>
      <c r="G52" s="208">
        <v>5</v>
      </c>
      <c r="H52" s="208">
        <v>5</v>
      </c>
      <c r="I52" s="208">
        <v>5</v>
      </c>
      <c r="J52" s="208">
        <v>5</v>
      </c>
      <c r="K52" s="208">
        <v>5</v>
      </c>
      <c r="L52" s="208">
        <v>5</v>
      </c>
      <c r="M52" s="208">
        <v>5</v>
      </c>
      <c r="N52" s="208">
        <v>5</v>
      </c>
      <c r="O52" s="208">
        <v>5</v>
      </c>
      <c r="P52" s="208">
        <v>5</v>
      </c>
      <c r="Q52" s="208">
        <v>5</v>
      </c>
      <c r="R52" s="208">
        <v>60</v>
      </c>
    </row>
    <row r="57" spans="1:18" ht="12.75" hidden="1">
      <c r="A57" s="50" t="s">
        <v>159</v>
      </c>
      <c r="B57" s="50"/>
      <c r="C57" s="50"/>
      <c r="D57" s="50"/>
      <c r="E57" s="50"/>
      <c r="F57" s="54"/>
      <c r="G57" s="71"/>
      <c r="H57" s="54"/>
      <c r="I57" s="54"/>
      <c r="J57" s="54"/>
      <c r="K57" s="54"/>
      <c r="L57" s="54"/>
      <c r="M57" s="54"/>
      <c r="N57" s="54"/>
      <c r="O57" s="50"/>
      <c r="P57" s="50"/>
      <c r="Q57" s="50"/>
    </row>
    <row r="58" spans="1:18" ht="12.75" hidden="1">
      <c r="A58" s="50"/>
      <c r="B58" s="50"/>
      <c r="C58" s="50"/>
      <c r="D58" s="54"/>
      <c r="E58" s="97"/>
      <c r="F58" s="54"/>
      <c r="G58" s="71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8" ht="12.75" hidden="1">
      <c r="A59" s="50"/>
      <c r="B59" s="50"/>
      <c r="C59" s="50"/>
      <c r="D59" s="54"/>
      <c r="E59" s="97"/>
      <c r="F59" s="54"/>
      <c r="G59" s="71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 ht="12.75" hidden="1">
      <c r="A60" s="50"/>
      <c r="B60" s="50"/>
      <c r="C60" s="50"/>
      <c r="D60" s="50"/>
      <c r="E60" s="50"/>
      <c r="F60" s="139" t="str">
        <f t="shared" ref="F60:Q60" si="0">F4</f>
        <v>201901</v>
      </c>
      <c r="G60" s="139" t="str">
        <f t="shared" si="0"/>
        <v>201902</v>
      </c>
      <c r="H60" s="139" t="str">
        <f t="shared" si="0"/>
        <v>201903</v>
      </c>
      <c r="I60" s="139" t="str">
        <f t="shared" si="0"/>
        <v>201904</v>
      </c>
      <c r="J60" s="139" t="str">
        <f t="shared" si="0"/>
        <v>201905</v>
      </c>
      <c r="K60" s="139">
        <f t="shared" si="0"/>
        <v>201906</v>
      </c>
      <c r="L60" s="139" t="str">
        <f t="shared" si="0"/>
        <v>201907</v>
      </c>
      <c r="M60" s="139" t="str">
        <f t="shared" si="0"/>
        <v>201908</v>
      </c>
      <c r="N60" s="139" t="str">
        <f t="shared" si="0"/>
        <v>201909</v>
      </c>
      <c r="O60" s="53" t="str">
        <f t="shared" si="0"/>
        <v>201910</v>
      </c>
      <c r="P60" s="53" t="str">
        <f t="shared" si="0"/>
        <v>201911</v>
      </c>
      <c r="Q60" s="53" t="str">
        <f t="shared" si="0"/>
        <v>201912</v>
      </c>
    </row>
    <row r="61" spans="1:18" ht="12.75" hidden="1">
      <c r="A61" s="50" t="s">
        <v>127</v>
      </c>
      <c r="B61" s="50"/>
      <c r="C61" s="50"/>
      <c r="D61" s="50"/>
      <c r="E61" s="50" t="s">
        <v>83</v>
      </c>
      <c r="F61" s="140">
        <f t="shared" ref="F61:Q70" si="1">ROUND(SUMIF($E$6:$E$52,$E61,F$6:F$52),0)</f>
        <v>0</v>
      </c>
      <c r="G61" s="140">
        <f t="shared" si="1"/>
        <v>0</v>
      </c>
      <c r="H61" s="140">
        <f t="shared" si="1"/>
        <v>0</v>
      </c>
      <c r="I61" s="140">
        <f t="shared" si="1"/>
        <v>0</v>
      </c>
      <c r="J61" s="140">
        <f t="shared" si="1"/>
        <v>0</v>
      </c>
      <c r="K61" s="140">
        <f t="shared" si="1"/>
        <v>0</v>
      </c>
      <c r="L61" s="140">
        <f t="shared" si="1"/>
        <v>0</v>
      </c>
      <c r="M61" s="140">
        <f t="shared" si="1"/>
        <v>0</v>
      </c>
      <c r="N61" s="140">
        <f t="shared" si="1"/>
        <v>0</v>
      </c>
      <c r="O61" s="52">
        <f t="shared" si="1"/>
        <v>0</v>
      </c>
      <c r="P61" s="52">
        <f t="shared" si="1"/>
        <v>0</v>
      </c>
      <c r="Q61" s="52">
        <f t="shared" si="1"/>
        <v>0</v>
      </c>
    </row>
    <row r="62" spans="1:18" ht="12.75" hidden="1">
      <c r="A62" s="50" t="s">
        <v>128</v>
      </c>
      <c r="B62" s="50"/>
      <c r="C62" s="50"/>
      <c r="D62" s="50"/>
      <c r="E62" s="50" t="s">
        <v>84</v>
      </c>
      <c r="F62" s="140">
        <f t="shared" si="1"/>
        <v>0</v>
      </c>
      <c r="G62" s="140">
        <f t="shared" si="1"/>
        <v>0</v>
      </c>
      <c r="H62" s="140">
        <f t="shared" si="1"/>
        <v>0</v>
      </c>
      <c r="I62" s="140">
        <f t="shared" si="1"/>
        <v>0</v>
      </c>
      <c r="J62" s="140">
        <f t="shared" si="1"/>
        <v>0</v>
      </c>
      <c r="K62" s="140">
        <f t="shared" si="1"/>
        <v>0</v>
      </c>
      <c r="L62" s="140">
        <f t="shared" si="1"/>
        <v>0</v>
      </c>
      <c r="M62" s="140">
        <f t="shared" si="1"/>
        <v>0</v>
      </c>
      <c r="N62" s="140">
        <f t="shared" si="1"/>
        <v>0</v>
      </c>
      <c r="O62" s="52">
        <f t="shared" si="1"/>
        <v>0</v>
      </c>
      <c r="P62" s="52">
        <f t="shared" si="1"/>
        <v>0</v>
      </c>
      <c r="Q62" s="52">
        <f t="shared" si="1"/>
        <v>0</v>
      </c>
    </row>
    <row r="63" spans="1:18" ht="12.75" hidden="1">
      <c r="A63" s="50" t="s">
        <v>129</v>
      </c>
      <c r="B63" s="50"/>
      <c r="C63" s="50"/>
      <c r="D63" s="50"/>
      <c r="E63" s="50" t="s">
        <v>85</v>
      </c>
      <c r="F63" s="140">
        <f t="shared" si="1"/>
        <v>0</v>
      </c>
      <c r="G63" s="140">
        <f t="shared" si="1"/>
        <v>0</v>
      </c>
      <c r="H63" s="140">
        <f t="shared" si="1"/>
        <v>0</v>
      </c>
      <c r="I63" s="140">
        <f t="shared" si="1"/>
        <v>0</v>
      </c>
      <c r="J63" s="140">
        <f t="shared" si="1"/>
        <v>0</v>
      </c>
      <c r="K63" s="140">
        <f t="shared" si="1"/>
        <v>0</v>
      </c>
      <c r="L63" s="140">
        <f t="shared" si="1"/>
        <v>0</v>
      </c>
      <c r="M63" s="140">
        <f t="shared" si="1"/>
        <v>0</v>
      </c>
      <c r="N63" s="140">
        <f t="shared" si="1"/>
        <v>0</v>
      </c>
      <c r="O63" s="52">
        <f t="shared" si="1"/>
        <v>0</v>
      </c>
      <c r="P63" s="52">
        <f t="shared" si="1"/>
        <v>0</v>
      </c>
      <c r="Q63" s="52">
        <f t="shared" si="1"/>
        <v>0</v>
      </c>
    </row>
    <row r="64" spans="1:18" ht="12.75" hidden="1">
      <c r="A64" s="50" t="s">
        <v>130</v>
      </c>
      <c r="B64" s="50"/>
      <c r="C64" s="50"/>
      <c r="D64" s="50"/>
      <c r="E64" s="50" t="s">
        <v>86</v>
      </c>
      <c r="F64" s="140">
        <f t="shared" si="1"/>
        <v>0</v>
      </c>
      <c r="G64" s="140">
        <f t="shared" si="1"/>
        <v>0</v>
      </c>
      <c r="H64" s="140">
        <f t="shared" si="1"/>
        <v>0</v>
      </c>
      <c r="I64" s="140">
        <f t="shared" si="1"/>
        <v>0</v>
      </c>
      <c r="J64" s="140">
        <f t="shared" si="1"/>
        <v>0</v>
      </c>
      <c r="K64" s="140">
        <f t="shared" si="1"/>
        <v>0</v>
      </c>
      <c r="L64" s="140">
        <f t="shared" si="1"/>
        <v>0</v>
      </c>
      <c r="M64" s="140">
        <f t="shared" si="1"/>
        <v>0</v>
      </c>
      <c r="N64" s="140">
        <f t="shared" si="1"/>
        <v>0</v>
      </c>
      <c r="O64" s="52">
        <f t="shared" si="1"/>
        <v>0</v>
      </c>
      <c r="P64" s="52">
        <f t="shared" si="1"/>
        <v>0</v>
      </c>
      <c r="Q64" s="52">
        <f t="shared" si="1"/>
        <v>0</v>
      </c>
    </row>
    <row r="65" spans="1:17" ht="12.75" hidden="1">
      <c r="A65" s="50" t="s">
        <v>131</v>
      </c>
      <c r="B65" s="50"/>
      <c r="C65" s="50"/>
      <c r="D65" s="50"/>
      <c r="E65" s="50" t="s">
        <v>87</v>
      </c>
      <c r="F65" s="140">
        <f t="shared" si="1"/>
        <v>0</v>
      </c>
      <c r="G65" s="140">
        <f t="shared" si="1"/>
        <v>0</v>
      </c>
      <c r="H65" s="140">
        <f t="shared" si="1"/>
        <v>0</v>
      </c>
      <c r="I65" s="140">
        <f t="shared" si="1"/>
        <v>0</v>
      </c>
      <c r="J65" s="140">
        <f t="shared" si="1"/>
        <v>0</v>
      </c>
      <c r="K65" s="140">
        <f t="shared" si="1"/>
        <v>0</v>
      </c>
      <c r="L65" s="140">
        <f t="shared" si="1"/>
        <v>0</v>
      </c>
      <c r="M65" s="140">
        <f t="shared" si="1"/>
        <v>0</v>
      </c>
      <c r="N65" s="140">
        <f t="shared" si="1"/>
        <v>0</v>
      </c>
      <c r="O65" s="52">
        <f t="shared" si="1"/>
        <v>0</v>
      </c>
      <c r="P65" s="52">
        <f t="shared" si="1"/>
        <v>0</v>
      </c>
      <c r="Q65" s="52">
        <f t="shared" si="1"/>
        <v>0</v>
      </c>
    </row>
    <row r="66" spans="1:17" ht="12.75" hidden="1">
      <c r="A66" s="50" t="s">
        <v>132</v>
      </c>
      <c r="B66" s="50"/>
      <c r="C66" s="50"/>
      <c r="D66" s="50"/>
      <c r="E66" s="50" t="s">
        <v>88</v>
      </c>
      <c r="F66" s="140">
        <f t="shared" si="1"/>
        <v>0</v>
      </c>
      <c r="G66" s="140">
        <f t="shared" si="1"/>
        <v>0</v>
      </c>
      <c r="H66" s="140">
        <f t="shared" si="1"/>
        <v>0</v>
      </c>
      <c r="I66" s="140">
        <f t="shared" si="1"/>
        <v>0</v>
      </c>
      <c r="J66" s="140">
        <f t="shared" si="1"/>
        <v>0</v>
      </c>
      <c r="K66" s="140">
        <f t="shared" si="1"/>
        <v>0</v>
      </c>
      <c r="L66" s="140">
        <f t="shared" si="1"/>
        <v>0</v>
      </c>
      <c r="M66" s="140">
        <f t="shared" si="1"/>
        <v>0</v>
      </c>
      <c r="N66" s="140">
        <f t="shared" si="1"/>
        <v>0</v>
      </c>
      <c r="O66" s="52">
        <f t="shared" si="1"/>
        <v>0</v>
      </c>
      <c r="P66" s="52">
        <f t="shared" si="1"/>
        <v>0</v>
      </c>
      <c r="Q66" s="52">
        <f t="shared" si="1"/>
        <v>0</v>
      </c>
    </row>
    <row r="67" spans="1:17" ht="12.75" hidden="1">
      <c r="A67" s="50" t="s">
        <v>133</v>
      </c>
      <c r="B67" s="50"/>
      <c r="C67" s="50"/>
      <c r="D67" s="50"/>
      <c r="E67" s="50" t="s">
        <v>107</v>
      </c>
      <c r="F67" s="140">
        <f t="shared" si="1"/>
        <v>0</v>
      </c>
      <c r="G67" s="140">
        <f t="shared" si="1"/>
        <v>0</v>
      </c>
      <c r="H67" s="140">
        <f t="shared" si="1"/>
        <v>0</v>
      </c>
      <c r="I67" s="140">
        <f t="shared" si="1"/>
        <v>0</v>
      </c>
      <c r="J67" s="140">
        <f t="shared" si="1"/>
        <v>0</v>
      </c>
      <c r="K67" s="140">
        <f t="shared" si="1"/>
        <v>0</v>
      </c>
      <c r="L67" s="140">
        <f t="shared" si="1"/>
        <v>0</v>
      </c>
      <c r="M67" s="140">
        <f t="shared" si="1"/>
        <v>0</v>
      </c>
      <c r="N67" s="140">
        <f t="shared" si="1"/>
        <v>0</v>
      </c>
      <c r="O67" s="52">
        <f t="shared" si="1"/>
        <v>0</v>
      </c>
      <c r="P67" s="52">
        <f t="shared" si="1"/>
        <v>0</v>
      </c>
      <c r="Q67" s="52">
        <f t="shared" si="1"/>
        <v>0</v>
      </c>
    </row>
    <row r="68" spans="1:17" ht="12.75" hidden="1">
      <c r="A68" s="50" t="s">
        <v>134</v>
      </c>
      <c r="B68" s="50"/>
      <c r="C68" s="50"/>
      <c r="D68" s="50"/>
      <c r="E68" s="50" t="s">
        <v>108</v>
      </c>
      <c r="F68" s="140">
        <f t="shared" si="1"/>
        <v>0</v>
      </c>
      <c r="G68" s="140">
        <f t="shared" si="1"/>
        <v>0</v>
      </c>
      <c r="H68" s="140">
        <f t="shared" si="1"/>
        <v>0</v>
      </c>
      <c r="I68" s="140">
        <f t="shared" si="1"/>
        <v>0</v>
      </c>
      <c r="J68" s="140">
        <f t="shared" si="1"/>
        <v>0</v>
      </c>
      <c r="K68" s="140">
        <f t="shared" si="1"/>
        <v>0</v>
      </c>
      <c r="L68" s="140">
        <f t="shared" si="1"/>
        <v>0</v>
      </c>
      <c r="M68" s="140">
        <f t="shared" si="1"/>
        <v>0</v>
      </c>
      <c r="N68" s="140">
        <f t="shared" si="1"/>
        <v>0</v>
      </c>
      <c r="O68" s="52">
        <f t="shared" si="1"/>
        <v>0</v>
      </c>
      <c r="P68" s="52">
        <f t="shared" si="1"/>
        <v>0</v>
      </c>
      <c r="Q68" s="52">
        <f t="shared" si="1"/>
        <v>0</v>
      </c>
    </row>
    <row r="69" spans="1:17" ht="12.75" hidden="1">
      <c r="A69" s="50" t="s">
        <v>135</v>
      </c>
      <c r="B69" s="50"/>
      <c r="C69" s="50"/>
      <c r="D69" s="50"/>
      <c r="E69" s="50" t="s">
        <v>109</v>
      </c>
      <c r="F69" s="140">
        <f t="shared" si="1"/>
        <v>0</v>
      </c>
      <c r="G69" s="140">
        <f t="shared" si="1"/>
        <v>0</v>
      </c>
      <c r="H69" s="140">
        <f t="shared" si="1"/>
        <v>0</v>
      </c>
      <c r="I69" s="140">
        <f t="shared" si="1"/>
        <v>0</v>
      </c>
      <c r="J69" s="140">
        <f t="shared" si="1"/>
        <v>0</v>
      </c>
      <c r="K69" s="140">
        <f t="shared" si="1"/>
        <v>0</v>
      </c>
      <c r="L69" s="140">
        <f t="shared" si="1"/>
        <v>0</v>
      </c>
      <c r="M69" s="140">
        <f t="shared" si="1"/>
        <v>0</v>
      </c>
      <c r="N69" s="140">
        <f t="shared" si="1"/>
        <v>0</v>
      </c>
      <c r="O69" s="52">
        <f t="shared" si="1"/>
        <v>0</v>
      </c>
      <c r="P69" s="52">
        <f t="shared" si="1"/>
        <v>0</v>
      </c>
      <c r="Q69" s="52">
        <f t="shared" si="1"/>
        <v>0</v>
      </c>
    </row>
    <row r="70" spans="1:17" ht="12.75" hidden="1">
      <c r="A70" s="50" t="s">
        <v>136</v>
      </c>
      <c r="B70" s="50"/>
      <c r="C70" s="50"/>
      <c r="D70" s="50"/>
      <c r="E70" s="50" t="s">
        <v>110</v>
      </c>
      <c r="F70" s="140">
        <f t="shared" si="1"/>
        <v>0</v>
      </c>
      <c r="G70" s="140">
        <f t="shared" si="1"/>
        <v>0</v>
      </c>
      <c r="H70" s="140">
        <f t="shared" si="1"/>
        <v>0</v>
      </c>
      <c r="I70" s="140">
        <f t="shared" si="1"/>
        <v>0</v>
      </c>
      <c r="J70" s="140">
        <f t="shared" si="1"/>
        <v>0</v>
      </c>
      <c r="K70" s="140">
        <f t="shared" si="1"/>
        <v>0</v>
      </c>
      <c r="L70" s="140">
        <f t="shared" si="1"/>
        <v>0</v>
      </c>
      <c r="M70" s="140">
        <f t="shared" si="1"/>
        <v>0</v>
      </c>
      <c r="N70" s="140">
        <f t="shared" si="1"/>
        <v>0</v>
      </c>
      <c r="O70" s="52">
        <f t="shared" si="1"/>
        <v>0</v>
      </c>
      <c r="P70" s="52">
        <f t="shared" si="1"/>
        <v>0</v>
      </c>
      <c r="Q70" s="52">
        <f t="shared" si="1"/>
        <v>0</v>
      </c>
    </row>
    <row r="71" spans="1:17" ht="12.75" hidden="1">
      <c r="A71" s="50" t="s">
        <v>137</v>
      </c>
      <c r="B71" s="50"/>
      <c r="C71" s="50"/>
      <c r="D71" s="50"/>
      <c r="E71" s="50" t="s">
        <v>111</v>
      </c>
      <c r="F71" s="140">
        <f t="shared" ref="F71:Q80" si="2">ROUND(SUMIF($E$6:$E$52,$E71,F$6:F$52),0)</f>
        <v>0</v>
      </c>
      <c r="G71" s="140">
        <f t="shared" si="2"/>
        <v>0</v>
      </c>
      <c r="H71" s="140">
        <f t="shared" si="2"/>
        <v>0</v>
      </c>
      <c r="I71" s="140">
        <f t="shared" si="2"/>
        <v>0</v>
      </c>
      <c r="J71" s="140">
        <f t="shared" si="2"/>
        <v>0</v>
      </c>
      <c r="K71" s="140">
        <f t="shared" si="2"/>
        <v>0</v>
      </c>
      <c r="L71" s="140">
        <f t="shared" si="2"/>
        <v>0</v>
      </c>
      <c r="M71" s="140">
        <f t="shared" si="2"/>
        <v>0</v>
      </c>
      <c r="N71" s="140">
        <f t="shared" si="2"/>
        <v>0</v>
      </c>
      <c r="O71" s="52">
        <f t="shared" si="2"/>
        <v>0</v>
      </c>
      <c r="P71" s="52">
        <f t="shared" si="2"/>
        <v>0</v>
      </c>
      <c r="Q71" s="52">
        <f t="shared" si="2"/>
        <v>0</v>
      </c>
    </row>
    <row r="72" spans="1:17" ht="12.75" hidden="1">
      <c r="A72" s="50" t="s">
        <v>138</v>
      </c>
      <c r="B72" s="50"/>
      <c r="C72" s="50"/>
      <c r="D72" s="50"/>
      <c r="E72" s="50" t="s">
        <v>112</v>
      </c>
      <c r="F72" s="140">
        <f t="shared" si="2"/>
        <v>0</v>
      </c>
      <c r="G72" s="140">
        <f t="shared" si="2"/>
        <v>0</v>
      </c>
      <c r="H72" s="140">
        <f t="shared" si="2"/>
        <v>0</v>
      </c>
      <c r="I72" s="140">
        <f t="shared" si="2"/>
        <v>0</v>
      </c>
      <c r="J72" s="140">
        <f t="shared" si="2"/>
        <v>0</v>
      </c>
      <c r="K72" s="140">
        <f t="shared" si="2"/>
        <v>0</v>
      </c>
      <c r="L72" s="140">
        <f t="shared" si="2"/>
        <v>0</v>
      </c>
      <c r="M72" s="140">
        <f t="shared" si="2"/>
        <v>0</v>
      </c>
      <c r="N72" s="140">
        <f t="shared" si="2"/>
        <v>0</v>
      </c>
      <c r="O72" s="52">
        <f t="shared" si="2"/>
        <v>0</v>
      </c>
      <c r="P72" s="52">
        <f t="shared" si="2"/>
        <v>0</v>
      </c>
      <c r="Q72" s="52">
        <f t="shared" si="2"/>
        <v>0</v>
      </c>
    </row>
    <row r="73" spans="1:17" ht="12.75" hidden="1">
      <c r="A73" s="50" t="s">
        <v>139</v>
      </c>
      <c r="B73" s="50"/>
      <c r="C73" s="50"/>
      <c r="D73" s="50"/>
      <c r="E73" s="50" t="s">
        <v>115</v>
      </c>
      <c r="F73" s="140">
        <f t="shared" si="2"/>
        <v>0</v>
      </c>
      <c r="G73" s="140">
        <f t="shared" si="2"/>
        <v>0</v>
      </c>
      <c r="H73" s="140">
        <f t="shared" si="2"/>
        <v>0</v>
      </c>
      <c r="I73" s="140">
        <f t="shared" si="2"/>
        <v>0</v>
      </c>
      <c r="J73" s="140">
        <f t="shared" si="2"/>
        <v>0</v>
      </c>
      <c r="K73" s="140">
        <f t="shared" si="2"/>
        <v>0</v>
      </c>
      <c r="L73" s="140">
        <f t="shared" si="2"/>
        <v>0</v>
      </c>
      <c r="M73" s="140">
        <f t="shared" si="2"/>
        <v>0</v>
      </c>
      <c r="N73" s="140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</row>
    <row r="74" spans="1:17" ht="12.75" hidden="1">
      <c r="A74" s="50" t="s">
        <v>140</v>
      </c>
      <c r="B74" s="50"/>
      <c r="C74" s="50"/>
      <c r="D74" s="50"/>
      <c r="E74" s="50" t="s">
        <v>114</v>
      </c>
      <c r="F74" s="140">
        <f t="shared" si="2"/>
        <v>0</v>
      </c>
      <c r="G74" s="140">
        <f t="shared" si="2"/>
        <v>0</v>
      </c>
      <c r="H74" s="140">
        <f t="shared" si="2"/>
        <v>0</v>
      </c>
      <c r="I74" s="140">
        <f t="shared" si="2"/>
        <v>0</v>
      </c>
      <c r="J74" s="140">
        <f t="shared" si="2"/>
        <v>0</v>
      </c>
      <c r="K74" s="140">
        <f t="shared" si="2"/>
        <v>0</v>
      </c>
      <c r="L74" s="140">
        <f t="shared" si="2"/>
        <v>0</v>
      </c>
      <c r="M74" s="140">
        <f t="shared" si="2"/>
        <v>0</v>
      </c>
      <c r="N74" s="140">
        <f t="shared" si="2"/>
        <v>0</v>
      </c>
      <c r="O74" s="52">
        <f t="shared" si="2"/>
        <v>0</v>
      </c>
      <c r="P74" s="52">
        <f t="shared" si="2"/>
        <v>0</v>
      </c>
      <c r="Q74" s="52">
        <f t="shared" si="2"/>
        <v>0</v>
      </c>
    </row>
    <row r="75" spans="1:17" ht="12.75" hidden="1">
      <c r="A75" s="50" t="s">
        <v>141</v>
      </c>
      <c r="B75" s="50"/>
      <c r="C75" s="50"/>
      <c r="D75" s="50"/>
      <c r="E75" s="50" t="s">
        <v>113</v>
      </c>
      <c r="F75" s="140">
        <f t="shared" si="2"/>
        <v>0</v>
      </c>
      <c r="G75" s="140">
        <f t="shared" si="2"/>
        <v>0</v>
      </c>
      <c r="H75" s="140">
        <f t="shared" si="2"/>
        <v>0</v>
      </c>
      <c r="I75" s="140">
        <f t="shared" si="2"/>
        <v>0</v>
      </c>
      <c r="J75" s="140">
        <f t="shared" si="2"/>
        <v>0</v>
      </c>
      <c r="K75" s="140">
        <f t="shared" si="2"/>
        <v>0</v>
      </c>
      <c r="L75" s="140">
        <f t="shared" si="2"/>
        <v>0</v>
      </c>
      <c r="M75" s="140">
        <f t="shared" si="2"/>
        <v>0</v>
      </c>
      <c r="N75" s="140">
        <f t="shared" si="2"/>
        <v>0</v>
      </c>
      <c r="O75" s="52">
        <f t="shared" si="2"/>
        <v>0</v>
      </c>
      <c r="P75" s="52">
        <f t="shared" si="2"/>
        <v>0</v>
      </c>
      <c r="Q75" s="52">
        <f t="shared" si="2"/>
        <v>0</v>
      </c>
    </row>
    <row r="76" spans="1:17" ht="12.75" hidden="1">
      <c r="A76" s="50" t="s">
        <v>142</v>
      </c>
      <c r="B76" s="50"/>
      <c r="C76" s="50"/>
      <c r="D76" s="50"/>
      <c r="E76" s="50" t="s">
        <v>116</v>
      </c>
      <c r="F76" s="140">
        <f t="shared" si="2"/>
        <v>0</v>
      </c>
      <c r="G76" s="140">
        <f t="shared" si="2"/>
        <v>0</v>
      </c>
      <c r="H76" s="140">
        <f t="shared" si="2"/>
        <v>0</v>
      </c>
      <c r="I76" s="140">
        <f t="shared" si="2"/>
        <v>0</v>
      </c>
      <c r="J76" s="140">
        <f t="shared" si="2"/>
        <v>0</v>
      </c>
      <c r="K76" s="140">
        <f t="shared" si="2"/>
        <v>0</v>
      </c>
      <c r="L76" s="140">
        <f t="shared" si="2"/>
        <v>0</v>
      </c>
      <c r="M76" s="140">
        <f t="shared" si="2"/>
        <v>0</v>
      </c>
      <c r="N76" s="140">
        <f t="shared" si="2"/>
        <v>0</v>
      </c>
      <c r="O76" s="52">
        <f t="shared" si="2"/>
        <v>0</v>
      </c>
      <c r="P76" s="52">
        <f t="shared" si="2"/>
        <v>0</v>
      </c>
      <c r="Q76" s="52">
        <f t="shared" si="2"/>
        <v>0</v>
      </c>
    </row>
    <row r="77" spans="1:17" ht="12.75" hidden="1">
      <c r="A77" s="50"/>
      <c r="B77" s="50"/>
      <c r="C77" s="50"/>
      <c r="D77" s="50"/>
      <c r="E77" s="50"/>
      <c r="F77" s="140">
        <f t="shared" si="2"/>
        <v>0</v>
      </c>
      <c r="G77" s="140">
        <f t="shared" si="2"/>
        <v>0</v>
      </c>
      <c r="H77" s="140">
        <f t="shared" si="2"/>
        <v>0</v>
      </c>
      <c r="I77" s="140">
        <f t="shared" si="2"/>
        <v>0</v>
      </c>
      <c r="J77" s="140">
        <f t="shared" si="2"/>
        <v>0</v>
      </c>
      <c r="K77" s="140">
        <f t="shared" si="2"/>
        <v>0</v>
      </c>
      <c r="L77" s="140">
        <f t="shared" si="2"/>
        <v>0</v>
      </c>
      <c r="M77" s="140">
        <f t="shared" si="2"/>
        <v>0</v>
      </c>
      <c r="N77" s="140">
        <f t="shared" si="2"/>
        <v>0</v>
      </c>
      <c r="O77" s="52">
        <f t="shared" si="2"/>
        <v>0</v>
      </c>
      <c r="P77" s="52">
        <f t="shared" si="2"/>
        <v>0</v>
      </c>
      <c r="Q77" s="52">
        <f t="shared" si="2"/>
        <v>0</v>
      </c>
    </row>
    <row r="78" spans="1:17" ht="12.75" hidden="1">
      <c r="A78" s="50" t="s">
        <v>143</v>
      </c>
      <c r="B78" s="50"/>
      <c r="C78" s="50"/>
      <c r="D78" s="50"/>
      <c r="E78" s="50" t="s">
        <v>89</v>
      </c>
      <c r="F78" s="140">
        <f t="shared" si="2"/>
        <v>0</v>
      </c>
      <c r="G78" s="140">
        <f t="shared" si="2"/>
        <v>0</v>
      </c>
      <c r="H78" s="140">
        <f t="shared" si="2"/>
        <v>0</v>
      </c>
      <c r="I78" s="140">
        <f t="shared" si="2"/>
        <v>0</v>
      </c>
      <c r="J78" s="140">
        <f t="shared" si="2"/>
        <v>0</v>
      </c>
      <c r="K78" s="140">
        <f t="shared" si="2"/>
        <v>0</v>
      </c>
      <c r="L78" s="140">
        <f t="shared" si="2"/>
        <v>0</v>
      </c>
      <c r="M78" s="140">
        <f t="shared" si="2"/>
        <v>0</v>
      </c>
      <c r="N78" s="140">
        <f t="shared" si="2"/>
        <v>0</v>
      </c>
      <c r="O78" s="52">
        <f t="shared" si="2"/>
        <v>0</v>
      </c>
      <c r="P78" s="52">
        <f t="shared" si="2"/>
        <v>0</v>
      </c>
      <c r="Q78" s="52">
        <f t="shared" si="2"/>
        <v>0</v>
      </c>
    </row>
    <row r="79" spans="1:17" ht="12.75" hidden="1">
      <c r="A79" s="50" t="s">
        <v>144</v>
      </c>
      <c r="B79" s="50"/>
      <c r="C79" s="50"/>
      <c r="D79" s="50"/>
      <c r="E79" s="50" t="s">
        <v>90</v>
      </c>
      <c r="F79" s="140">
        <f t="shared" si="2"/>
        <v>0</v>
      </c>
      <c r="G79" s="140">
        <f t="shared" si="2"/>
        <v>0</v>
      </c>
      <c r="H79" s="140">
        <f t="shared" si="2"/>
        <v>0</v>
      </c>
      <c r="I79" s="140">
        <f t="shared" si="2"/>
        <v>0</v>
      </c>
      <c r="J79" s="140">
        <f t="shared" si="2"/>
        <v>0</v>
      </c>
      <c r="K79" s="140">
        <f t="shared" si="2"/>
        <v>0</v>
      </c>
      <c r="L79" s="140">
        <f t="shared" si="2"/>
        <v>0</v>
      </c>
      <c r="M79" s="140">
        <f t="shared" si="2"/>
        <v>0</v>
      </c>
      <c r="N79" s="140">
        <f t="shared" si="2"/>
        <v>0</v>
      </c>
      <c r="O79" s="52">
        <f t="shared" si="2"/>
        <v>0</v>
      </c>
      <c r="P79" s="52">
        <f t="shared" si="2"/>
        <v>0</v>
      </c>
      <c r="Q79" s="52">
        <f t="shared" si="2"/>
        <v>0</v>
      </c>
    </row>
    <row r="80" spans="1:17" ht="12.75" hidden="1">
      <c r="A80" s="50" t="s">
        <v>145</v>
      </c>
      <c r="B80" s="50"/>
      <c r="C80" s="50"/>
      <c r="D80" s="50"/>
      <c r="E80" s="50" t="s">
        <v>91</v>
      </c>
      <c r="F80" s="140">
        <f t="shared" si="2"/>
        <v>0</v>
      </c>
      <c r="G80" s="140">
        <f t="shared" si="2"/>
        <v>0</v>
      </c>
      <c r="H80" s="140">
        <f t="shared" si="2"/>
        <v>0</v>
      </c>
      <c r="I80" s="140">
        <f t="shared" si="2"/>
        <v>0</v>
      </c>
      <c r="J80" s="140">
        <f t="shared" si="2"/>
        <v>0</v>
      </c>
      <c r="K80" s="140">
        <f t="shared" si="2"/>
        <v>0</v>
      </c>
      <c r="L80" s="140">
        <f t="shared" si="2"/>
        <v>0</v>
      </c>
      <c r="M80" s="140">
        <f t="shared" si="2"/>
        <v>0</v>
      </c>
      <c r="N80" s="140">
        <f t="shared" si="2"/>
        <v>0</v>
      </c>
      <c r="O80" s="52">
        <f t="shared" si="2"/>
        <v>0</v>
      </c>
      <c r="P80" s="52">
        <f t="shared" si="2"/>
        <v>0</v>
      </c>
      <c r="Q80" s="52">
        <f t="shared" si="2"/>
        <v>0</v>
      </c>
    </row>
    <row r="81" spans="1:17" ht="12.75" hidden="1">
      <c r="A81" s="50" t="s">
        <v>146</v>
      </c>
      <c r="B81" s="50"/>
      <c r="C81" s="50"/>
      <c r="D81" s="50"/>
      <c r="E81" s="50" t="s">
        <v>92</v>
      </c>
      <c r="F81" s="140">
        <f t="shared" ref="F81:Q93" si="3">ROUND(SUMIF($E$6:$E$52,$E81,F$6:F$52),0)</f>
        <v>0</v>
      </c>
      <c r="G81" s="140">
        <f t="shared" si="3"/>
        <v>0</v>
      </c>
      <c r="H81" s="140">
        <f t="shared" si="3"/>
        <v>0</v>
      </c>
      <c r="I81" s="140">
        <f t="shared" si="3"/>
        <v>0</v>
      </c>
      <c r="J81" s="140">
        <f t="shared" si="3"/>
        <v>0</v>
      </c>
      <c r="K81" s="140">
        <f t="shared" si="3"/>
        <v>0</v>
      </c>
      <c r="L81" s="140">
        <f t="shared" si="3"/>
        <v>0</v>
      </c>
      <c r="M81" s="140">
        <f t="shared" si="3"/>
        <v>0</v>
      </c>
      <c r="N81" s="140">
        <f t="shared" si="3"/>
        <v>0</v>
      </c>
      <c r="O81" s="52">
        <f t="shared" si="3"/>
        <v>0</v>
      </c>
      <c r="P81" s="52">
        <f t="shared" si="3"/>
        <v>0</v>
      </c>
      <c r="Q81" s="52">
        <f t="shared" si="3"/>
        <v>0</v>
      </c>
    </row>
    <row r="82" spans="1:17" ht="12.75" hidden="1">
      <c r="A82" s="50" t="s">
        <v>147</v>
      </c>
      <c r="B82" s="50"/>
      <c r="C82" s="50"/>
      <c r="D82" s="50"/>
      <c r="E82" s="50" t="s">
        <v>93</v>
      </c>
      <c r="F82" s="140">
        <f t="shared" si="3"/>
        <v>0</v>
      </c>
      <c r="G82" s="140">
        <f t="shared" si="3"/>
        <v>0</v>
      </c>
      <c r="H82" s="140">
        <f t="shared" si="3"/>
        <v>0</v>
      </c>
      <c r="I82" s="140">
        <f t="shared" si="3"/>
        <v>0</v>
      </c>
      <c r="J82" s="140">
        <f t="shared" si="3"/>
        <v>0</v>
      </c>
      <c r="K82" s="140">
        <f t="shared" si="3"/>
        <v>0</v>
      </c>
      <c r="L82" s="140">
        <f t="shared" si="3"/>
        <v>0</v>
      </c>
      <c r="M82" s="140">
        <f t="shared" si="3"/>
        <v>0</v>
      </c>
      <c r="N82" s="140">
        <f t="shared" si="3"/>
        <v>0</v>
      </c>
      <c r="O82" s="52">
        <f t="shared" si="3"/>
        <v>0</v>
      </c>
      <c r="P82" s="52">
        <f t="shared" si="3"/>
        <v>0</v>
      </c>
      <c r="Q82" s="52">
        <f t="shared" si="3"/>
        <v>0</v>
      </c>
    </row>
    <row r="83" spans="1:17" ht="12.75" hidden="1">
      <c r="A83" s="50" t="s">
        <v>148</v>
      </c>
      <c r="B83" s="50"/>
      <c r="C83" s="50"/>
      <c r="D83" s="50"/>
      <c r="E83" s="50" t="s">
        <v>94</v>
      </c>
      <c r="F83" s="140">
        <f t="shared" si="3"/>
        <v>0</v>
      </c>
      <c r="G83" s="140">
        <f t="shared" si="3"/>
        <v>0</v>
      </c>
      <c r="H83" s="140">
        <f t="shared" si="3"/>
        <v>0</v>
      </c>
      <c r="I83" s="140">
        <f t="shared" si="3"/>
        <v>0</v>
      </c>
      <c r="J83" s="140">
        <f t="shared" si="3"/>
        <v>0</v>
      </c>
      <c r="K83" s="140">
        <f t="shared" si="3"/>
        <v>0</v>
      </c>
      <c r="L83" s="140">
        <f t="shared" si="3"/>
        <v>0</v>
      </c>
      <c r="M83" s="140">
        <f t="shared" si="3"/>
        <v>0</v>
      </c>
      <c r="N83" s="140">
        <f t="shared" si="3"/>
        <v>0</v>
      </c>
      <c r="O83" s="52">
        <f t="shared" si="3"/>
        <v>0</v>
      </c>
      <c r="P83" s="52">
        <f t="shared" si="3"/>
        <v>0</v>
      </c>
      <c r="Q83" s="52">
        <f t="shared" si="3"/>
        <v>0</v>
      </c>
    </row>
    <row r="84" spans="1:17" ht="12.75" hidden="1">
      <c r="A84" s="50" t="s">
        <v>149</v>
      </c>
      <c r="B84" s="50"/>
      <c r="C84" s="50"/>
      <c r="D84" s="50"/>
      <c r="E84" s="50" t="s">
        <v>117</v>
      </c>
      <c r="F84" s="140">
        <f t="shared" si="3"/>
        <v>0</v>
      </c>
      <c r="G84" s="140">
        <f t="shared" si="3"/>
        <v>0</v>
      </c>
      <c r="H84" s="140">
        <f t="shared" si="3"/>
        <v>0</v>
      </c>
      <c r="I84" s="140">
        <f t="shared" si="3"/>
        <v>0</v>
      </c>
      <c r="J84" s="140">
        <f t="shared" si="3"/>
        <v>0</v>
      </c>
      <c r="K84" s="140">
        <f t="shared" si="3"/>
        <v>0</v>
      </c>
      <c r="L84" s="140">
        <f t="shared" si="3"/>
        <v>0</v>
      </c>
      <c r="M84" s="140">
        <f t="shared" si="3"/>
        <v>0</v>
      </c>
      <c r="N84" s="140">
        <f t="shared" si="3"/>
        <v>0</v>
      </c>
      <c r="O84" s="52">
        <f t="shared" si="3"/>
        <v>0</v>
      </c>
      <c r="P84" s="52">
        <f t="shared" si="3"/>
        <v>0</v>
      </c>
      <c r="Q84" s="52">
        <f t="shared" si="3"/>
        <v>0</v>
      </c>
    </row>
    <row r="85" spans="1:17" ht="12.75" hidden="1">
      <c r="A85" s="50" t="s">
        <v>150</v>
      </c>
      <c r="B85" s="50"/>
      <c r="C85" s="50"/>
      <c r="D85" s="50"/>
      <c r="E85" s="50" t="s">
        <v>118</v>
      </c>
      <c r="F85" s="140">
        <f t="shared" si="3"/>
        <v>0</v>
      </c>
      <c r="G85" s="140">
        <f t="shared" si="3"/>
        <v>0</v>
      </c>
      <c r="H85" s="140">
        <f t="shared" si="3"/>
        <v>0</v>
      </c>
      <c r="I85" s="140">
        <f t="shared" si="3"/>
        <v>0</v>
      </c>
      <c r="J85" s="140">
        <f t="shared" si="3"/>
        <v>0</v>
      </c>
      <c r="K85" s="140">
        <f t="shared" si="3"/>
        <v>0</v>
      </c>
      <c r="L85" s="140">
        <f t="shared" si="3"/>
        <v>0</v>
      </c>
      <c r="M85" s="140">
        <f t="shared" si="3"/>
        <v>0</v>
      </c>
      <c r="N85" s="140">
        <f t="shared" si="3"/>
        <v>0</v>
      </c>
      <c r="O85" s="52">
        <f t="shared" si="3"/>
        <v>0</v>
      </c>
      <c r="P85" s="52">
        <f t="shared" si="3"/>
        <v>0</v>
      </c>
      <c r="Q85" s="52">
        <f t="shared" si="3"/>
        <v>0</v>
      </c>
    </row>
    <row r="86" spans="1:17" ht="12.75" hidden="1">
      <c r="A86" s="50" t="s">
        <v>151</v>
      </c>
      <c r="B86" s="50"/>
      <c r="C86" s="50"/>
      <c r="D86" s="50"/>
      <c r="E86" s="50" t="s">
        <v>119</v>
      </c>
      <c r="F86" s="140">
        <f t="shared" si="3"/>
        <v>0</v>
      </c>
      <c r="G86" s="140">
        <f t="shared" si="3"/>
        <v>0</v>
      </c>
      <c r="H86" s="140">
        <f t="shared" si="3"/>
        <v>0</v>
      </c>
      <c r="I86" s="140">
        <f t="shared" si="3"/>
        <v>0</v>
      </c>
      <c r="J86" s="140">
        <f t="shared" si="3"/>
        <v>0</v>
      </c>
      <c r="K86" s="140">
        <f t="shared" si="3"/>
        <v>0</v>
      </c>
      <c r="L86" s="140">
        <f t="shared" si="3"/>
        <v>0</v>
      </c>
      <c r="M86" s="140">
        <f t="shared" si="3"/>
        <v>0</v>
      </c>
      <c r="N86" s="140">
        <f t="shared" si="3"/>
        <v>0</v>
      </c>
      <c r="O86" s="52">
        <f t="shared" si="3"/>
        <v>0</v>
      </c>
      <c r="P86" s="52">
        <f t="shared" si="3"/>
        <v>0</v>
      </c>
      <c r="Q86" s="52">
        <f t="shared" si="3"/>
        <v>0</v>
      </c>
    </row>
    <row r="87" spans="1:17" ht="12.75" hidden="1">
      <c r="A87" s="50" t="s">
        <v>152</v>
      </c>
      <c r="B87" s="50"/>
      <c r="C87" s="50"/>
      <c r="D87" s="50"/>
      <c r="E87" s="50" t="s">
        <v>120</v>
      </c>
      <c r="F87" s="140">
        <f t="shared" si="3"/>
        <v>0</v>
      </c>
      <c r="G87" s="140">
        <f t="shared" si="3"/>
        <v>0</v>
      </c>
      <c r="H87" s="140">
        <f t="shared" si="3"/>
        <v>0</v>
      </c>
      <c r="I87" s="140">
        <f t="shared" si="3"/>
        <v>0</v>
      </c>
      <c r="J87" s="140">
        <f t="shared" si="3"/>
        <v>0</v>
      </c>
      <c r="K87" s="140">
        <f t="shared" si="3"/>
        <v>0</v>
      </c>
      <c r="L87" s="140">
        <f t="shared" si="3"/>
        <v>0</v>
      </c>
      <c r="M87" s="140">
        <f t="shared" si="3"/>
        <v>0</v>
      </c>
      <c r="N87" s="140">
        <f t="shared" si="3"/>
        <v>0</v>
      </c>
      <c r="O87" s="52">
        <f t="shared" si="3"/>
        <v>0</v>
      </c>
      <c r="P87" s="52">
        <f t="shared" si="3"/>
        <v>0</v>
      </c>
      <c r="Q87" s="52">
        <f t="shared" si="3"/>
        <v>0</v>
      </c>
    </row>
    <row r="88" spans="1:17" ht="12.75" hidden="1">
      <c r="A88" s="50" t="s">
        <v>153</v>
      </c>
      <c r="B88" s="50"/>
      <c r="C88" s="50"/>
      <c r="D88" s="50"/>
      <c r="E88" s="50" t="s">
        <v>121</v>
      </c>
      <c r="F88" s="140">
        <f t="shared" si="3"/>
        <v>0</v>
      </c>
      <c r="G88" s="140">
        <f t="shared" si="3"/>
        <v>0</v>
      </c>
      <c r="H88" s="140">
        <f t="shared" si="3"/>
        <v>0</v>
      </c>
      <c r="I88" s="140">
        <f t="shared" si="3"/>
        <v>0</v>
      </c>
      <c r="J88" s="140">
        <f t="shared" si="3"/>
        <v>0</v>
      </c>
      <c r="K88" s="140">
        <f t="shared" si="3"/>
        <v>0</v>
      </c>
      <c r="L88" s="140">
        <f t="shared" si="3"/>
        <v>0</v>
      </c>
      <c r="M88" s="140">
        <f t="shared" si="3"/>
        <v>0</v>
      </c>
      <c r="N88" s="140">
        <f t="shared" si="3"/>
        <v>0</v>
      </c>
      <c r="O88" s="52">
        <f t="shared" si="3"/>
        <v>0</v>
      </c>
      <c r="P88" s="52">
        <f t="shared" si="3"/>
        <v>0</v>
      </c>
      <c r="Q88" s="52">
        <f t="shared" si="3"/>
        <v>0</v>
      </c>
    </row>
    <row r="89" spans="1:17" ht="12.75" hidden="1">
      <c r="A89" s="50" t="s">
        <v>154</v>
      </c>
      <c r="B89" s="50"/>
      <c r="C89" s="50"/>
      <c r="D89" s="50"/>
      <c r="E89" s="50" t="s">
        <v>122</v>
      </c>
      <c r="F89" s="140">
        <f t="shared" si="3"/>
        <v>0</v>
      </c>
      <c r="G89" s="140">
        <f t="shared" si="3"/>
        <v>0</v>
      </c>
      <c r="H89" s="140">
        <f t="shared" si="3"/>
        <v>0</v>
      </c>
      <c r="I89" s="140">
        <f t="shared" si="3"/>
        <v>0</v>
      </c>
      <c r="J89" s="140">
        <f t="shared" si="3"/>
        <v>0</v>
      </c>
      <c r="K89" s="140">
        <f t="shared" si="3"/>
        <v>0</v>
      </c>
      <c r="L89" s="140">
        <f t="shared" si="3"/>
        <v>0</v>
      </c>
      <c r="M89" s="140">
        <f t="shared" si="3"/>
        <v>0</v>
      </c>
      <c r="N89" s="140">
        <f t="shared" si="3"/>
        <v>0</v>
      </c>
      <c r="O89" s="52">
        <f t="shared" si="3"/>
        <v>0</v>
      </c>
      <c r="P89" s="52">
        <f t="shared" si="3"/>
        <v>0</v>
      </c>
      <c r="Q89" s="52">
        <f t="shared" si="3"/>
        <v>0</v>
      </c>
    </row>
    <row r="90" spans="1:17" ht="12.75" hidden="1">
      <c r="A90" s="50" t="s">
        <v>155</v>
      </c>
      <c r="B90" s="50"/>
      <c r="C90" s="50"/>
      <c r="D90" s="50"/>
      <c r="E90" s="50" t="s">
        <v>125</v>
      </c>
      <c r="F90" s="140">
        <f t="shared" si="3"/>
        <v>0</v>
      </c>
      <c r="G90" s="140">
        <f t="shared" si="3"/>
        <v>0</v>
      </c>
      <c r="H90" s="140">
        <f t="shared" si="3"/>
        <v>0</v>
      </c>
      <c r="I90" s="140">
        <f t="shared" si="3"/>
        <v>0</v>
      </c>
      <c r="J90" s="140">
        <f t="shared" si="3"/>
        <v>0</v>
      </c>
      <c r="K90" s="140">
        <f t="shared" si="3"/>
        <v>0</v>
      </c>
      <c r="L90" s="140">
        <f t="shared" si="3"/>
        <v>0</v>
      </c>
      <c r="M90" s="140">
        <f t="shared" si="3"/>
        <v>0</v>
      </c>
      <c r="N90" s="140">
        <f t="shared" si="3"/>
        <v>0</v>
      </c>
      <c r="O90" s="52">
        <f t="shared" si="3"/>
        <v>0</v>
      </c>
      <c r="P90" s="52">
        <f t="shared" si="3"/>
        <v>0</v>
      </c>
      <c r="Q90" s="52">
        <f t="shared" si="3"/>
        <v>0</v>
      </c>
    </row>
    <row r="91" spans="1:17" ht="12.75" hidden="1">
      <c r="A91" s="50" t="s">
        <v>156</v>
      </c>
      <c r="B91" s="50"/>
      <c r="C91" s="50"/>
      <c r="D91" s="50"/>
      <c r="E91" s="50" t="s">
        <v>123</v>
      </c>
      <c r="F91" s="140">
        <f t="shared" si="3"/>
        <v>0</v>
      </c>
      <c r="G91" s="140">
        <f t="shared" si="3"/>
        <v>0</v>
      </c>
      <c r="H91" s="140">
        <f t="shared" si="3"/>
        <v>0</v>
      </c>
      <c r="I91" s="140">
        <f t="shared" si="3"/>
        <v>0</v>
      </c>
      <c r="J91" s="140">
        <f t="shared" si="3"/>
        <v>0</v>
      </c>
      <c r="K91" s="140">
        <f t="shared" si="3"/>
        <v>0</v>
      </c>
      <c r="L91" s="140">
        <f t="shared" si="3"/>
        <v>0</v>
      </c>
      <c r="M91" s="140">
        <f t="shared" si="3"/>
        <v>0</v>
      </c>
      <c r="N91" s="140">
        <f t="shared" si="3"/>
        <v>0</v>
      </c>
      <c r="O91" s="52">
        <f t="shared" si="3"/>
        <v>0</v>
      </c>
      <c r="P91" s="52">
        <f t="shared" si="3"/>
        <v>0</v>
      </c>
      <c r="Q91" s="52">
        <f t="shared" si="3"/>
        <v>0</v>
      </c>
    </row>
    <row r="92" spans="1:17" ht="12.75" hidden="1">
      <c r="A92" s="50" t="s">
        <v>157</v>
      </c>
      <c r="B92" s="50"/>
      <c r="C92" s="50"/>
      <c r="D92" s="50"/>
      <c r="E92" s="50" t="s">
        <v>124</v>
      </c>
      <c r="F92" s="140">
        <f t="shared" si="3"/>
        <v>0</v>
      </c>
      <c r="G92" s="140">
        <f t="shared" si="3"/>
        <v>0</v>
      </c>
      <c r="H92" s="140">
        <f t="shared" si="3"/>
        <v>0</v>
      </c>
      <c r="I92" s="140">
        <f t="shared" si="3"/>
        <v>0</v>
      </c>
      <c r="J92" s="140">
        <f t="shared" si="3"/>
        <v>0</v>
      </c>
      <c r="K92" s="140">
        <f t="shared" si="3"/>
        <v>0</v>
      </c>
      <c r="L92" s="140">
        <f t="shared" si="3"/>
        <v>0</v>
      </c>
      <c r="M92" s="140">
        <f t="shared" si="3"/>
        <v>0</v>
      </c>
      <c r="N92" s="140">
        <f t="shared" si="3"/>
        <v>0</v>
      </c>
      <c r="O92" s="52">
        <f t="shared" si="3"/>
        <v>0</v>
      </c>
      <c r="P92" s="52">
        <f t="shared" si="3"/>
        <v>0</v>
      </c>
      <c r="Q92" s="52">
        <f t="shared" si="3"/>
        <v>0</v>
      </c>
    </row>
    <row r="93" spans="1:17" ht="12.75" hidden="1">
      <c r="A93" s="50" t="s">
        <v>158</v>
      </c>
      <c r="B93" s="50"/>
      <c r="C93" s="50"/>
      <c r="D93" s="50"/>
      <c r="E93" s="50" t="s">
        <v>126</v>
      </c>
      <c r="F93" s="140">
        <f t="shared" si="3"/>
        <v>0</v>
      </c>
      <c r="G93" s="140">
        <f t="shared" si="3"/>
        <v>0</v>
      </c>
      <c r="H93" s="140">
        <f t="shared" si="3"/>
        <v>0</v>
      </c>
      <c r="I93" s="140">
        <f t="shared" si="3"/>
        <v>0</v>
      </c>
      <c r="J93" s="140">
        <f t="shared" si="3"/>
        <v>0</v>
      </c>
      <c r="K93" s="140">
        <f t="shared" si="3"/>
        <v>0</v>
      </c>
      <c r="L93" s="140">
        <f t="shared" si="3"/>
        <v>0</v>
      </c>
      <c r="M93" s="140">
        <f t="shared" si="3"/>
        <v>0</v>
      </c>
      <c r="N93" s="140">
        <f t="shared" si="3"/>
        <v>0</v>
      </c>
      <c r="O93" s="52">
        <f t="shared" si="3"/>
        <v>0</v>
      </c>
      <c r="P93" s="52">
        <f t="shared" si="3"/>
        <v>0</v>
      </c>
      <c r="Q93" s="52">
        <f t="shared" si="3"/>
        <v>0</v>
      </c>
    </row>
    <row r="94" spans="1:17" ht="12.75">
      <c r="A94" s="50"/>
      <c r="B94" s="50"/>
      <c r="C94" s="50"/>
      <c r="D94" s="50"/>
      <c r="E94" s="50"/>
      <c r="F94" s="54"/>
      <c r="G94" s="71"/>
      <c r="H94" s="54"/>
      <c r="I94" s="54"/>
      <c r="J94" s="54"/>
      <c r="K94" s="54"/>
      <c r="L94" s="54"/>
      <c r="M94" s="54"/>
      <c r="N94" s="54"/>
      <c r="O94" s="50"/>
      <c r="P94" s="50"/>
      <c r="Q94" s="50"/>
    </row>
    <row r="96" spans="1:17" ht="12.75">
      <c r="A96" s="50" t="s">
        <v>159</v>
      </c>
      <c r="B96" s="50"/>
      <c r="C96" s="50"/>
      <c r="D96" s="50"/>
      <c r="E96" s="50"/>
      <c r="F96" s="54"/>
      <c r="G96" s="71"/>
      <c r="H96" s="54"/>
      <c r="I96" s="54"/>
      <c r="J96" s="54"/>
      <c r="K96" s="54"/>
      <c r="L96" s="54"/>
      <c r="M96" s="54"/>
      <c r="N96" s="54"/>
      <c r="O96" s="50"/>
      <c r="P96" s="50"/>
      <c r="Q96" s="50"/>
    </row>
    <row r="97" spans="1:17" ht="12.75">
      <c r="A97" s="50"/>
      <c r="B97" s="50"/>
      <c r="C97" s="50"/>
      <c r="D97" s="50"/>
      <c r="E97" s="51"/>
      <c r="F97" s="54"/>
      <c r="G97" s="71"/>
      <c r="H97" s="54"/>
      <c r="I97" s="54"/>
      <c r="J97" s="54"/>
      <c r="K97" s="54"/>
      <c r="L97" s="54"/>
      <c r="M97" s="54"/>
      <c r="N97" s="54"/>
      <c r="O97" s="50"/>
      <c r="P97" s="50"/>
      <c r="Q97" s="50"/>
    </row>
    <row r="98" spans="1:17" ht="12.75">
      <c r="A98" s="50"/>
      <c r="B98" s="50"/>
      <c r="C98" s="50"/>
      <c r="D98" s="50"/>
      <c r="E98" s="51"/>
      <c r="F98" s="54"/>
      <c r="G98" s="71"/>
      <c r="H98" s="54"/>
      <c r="I98" s="54"/>
      <c r="J98" s="54"/>
      <c r="K98" s="54"/>
      <c r="L98" s="54"/>
      <c r="M98" s="54"/>
      <c r="N98" s="54"/>
      <c r="O98" s="50"/>
      <c r="P98" s="50"/>
      <c r="Q98" s="50"/>
    </row>
    <row r="99" spans="1:17" ht="12.75">
      <c r="A99" s="50"/>
      <c r="B99" s="50"/>
      <c r="C99" s="50"/>
      <c r="D99" s="50"/>
      <c r="E99" s="50"/>
      <c r="F99" s="139" t="str">
        <f t="shared" ref="F99:Q99" si="4">F4</f>
        <v>201901</v>
      </c>
      <c r="G99" s="139" t="str">
        <f t="shared" si="4"/>
        <v>201902</v>
      </c>
      <c r="H99" s="139" t="str">
        <f t="shared" si="4"/>
        <v>201903</v>
      </c>
      <c r="I99" s="139" t="str">
        <f t="shared" si="4"/>
        <v>201904</v>
      </c>
      <c r="J99" s="139" t="str">
        <f t="shared" si="4"/>
        <v>201905</v>
      </c>
      <c r="K99" s="139">
        <f t="shared" si="4"/>
        <v>201906</v>
      </c>
      <c r="L99" s="139" t="str">
        <f t="shared" si="4"/>
        <v>201907</v>
      </c>
      <c r="M99" s="139" t="str">
        <f t="shared" si="4"/>
        <v>201908</v>
      </c>
      <c r="N99" s="139" t="str">
        <f t="shared" si="4"/>
        <v>201909</v>
      </c>
      <c r="O99" s="53" t="str">
        <f t="shared" si="4"/>
        <v>201910</v>
      </c>
      <c r="P99" s="53" t="str">
        <f t="shared" si="4"/>
        <v>201911</v>
      </c>
      <c r="Q99" s="53" t="str">
        <f t="shared" si="4"/>
        <v>201912</v>
      </c>
    </row>
    <row r="100" spans="1:17" ht="12.75">
      <c r="A100" s="50" t="s">
        <v>178</v>
      </c>
      <c r="B100" s="50"/>
      <c r="C100" s="50"/>
      <c r="D100" s="50"/>
      <c r="E100" s="50" t="s">
        <v>55</v>
      </c>
      <c r="F100" s="140">
        <f t="shared" ref="F100:Q109" si="5">ROUND(SUMIF($E$6:$E$52,$E100,F$6:F$52),0)</f>
        <v>152262</v>
      </c>
      <c r="G100" s="140">
        <f t="shared" si="5"/>
        <v>149533</v>
      </c>
      <c r="H100" s="140">
        <f t="shared" si="5"/>
        <v>154716</v>
      </c>
      <c r="I100" s="140">
        <f t="shared" si="5"/>
        <v>150948</v>
      </c>
      <c r="J100" s="140">
        <f t="shared" si="5"/>
        <v>154620</v>
      </c>
      <c r="K100" s="140">
        <f t="shared" si="5"/>
        <v>152408</v>
      </c>
      <c r="L100" s="140">
        <f t="shared" si="5"/>
        <v>153138</v>
      </c>
      <c r="M100" s="140">
        <f t="shared" si="5"/>
        <v>153459</v>
      </c>
      <c r="N100" s="140">
        <f t="shared" si="5"/>
        <v>150304</v>
      </c>
      <c r="O100" s="52">
        <f t="shared" si="5"/>
        <v>157012</v>
      </c>
      <c r="P100" s="52">
        <f t="shared" si="5"/>
        <v>154466</v>
      </c>
      <c r="Q100" s="52">
        <f t="shared" si="5"/>
        <v>154765</v>
      </c>
    </row>
    <row r="101" spans="1:17" ht="12.75">
      <c r="A101" s="50" t="s">
        <v>179</v>
      </c>
      <c r="B101" s="50"/>
      <c r="C101" s="50"/>
      <c r="D101" s="50"/>
      <c r="E101" s="50" t="s">
        <v>56</v>
      </c>
      <c r="F101" s="140">
        <f t="shared" si="5"/>
        <v>12092</v>
      </c>
      <c r="G101" s="140">
        <f t="shared" si="5"/>
        <v>11933</v>
      </c>
      <c r="H101" s="140">
        <f t="shared" si="5"/>
        <v>12282</v>
      </c>
      <c r="I101" s="140">
        <f t="shared" si="5"/>
        <v>12060</v>
      </c>
      <c r="J101" s="140">
        <f t="shared" si="5"/>
        <v>12169</v>
      </c>
      <c r="K101" s="140">
        <f t="shared" si="5"/>
        <v>12086</v>
      </c>
      <c r="L101" s="140">
        <f t="shared" si="5"/>
        <v>12119</v>
      </c>
      <c r="M101" s="140">
        <f t="shared" si="5"/>
        <v>12139</v>
      </c>
      <c r="N101" s="140">
        <f t="shared" si="5"/>
        <v>11934</v>
      </c>
      <c r="O101" s="52">
        <f t="shared" si="5"/>
        <v>12339</v>
      </c>
      <c r="P101" s="52">
        <f t="shared" si="5"/>
        <v>12173</v>
      </c>
      <c r="Q101" s="52">
        <f t="shared" si="5"/>
        <v>12230</v>
      </c>
    </row>
    <row r="102" spans="1:17" ht="12.75">
      <c r="A102" s="50" t="s">
        <v>180</v>
      </c>
      <c r="B102" s="50"/>
      <c r="C102" s="50"/>
      <c r="D102" s="50"/>
      <c r="E102" s="50" t="s">
        <v>57</v>
      </c>
      <c r="F102" s="140">
        <f t="shared" si="5"/>
        <v>73</v>
      </c>
      <c r="G102" s="140">
        <f t="shared" si="5"/>
        <v>69</v>
      </c>
      <c r="H102" s="140">
        <f t="shared" si="5"/>
        <v>71</v>
      </c>
      <c r="I102" s="140">
        <f t="shared" si="5"/>
        <v>72</v>
      </c>
      <c r="J102" s="140">
        <f t="shared" si="5"/>
        <v>72</v>
      </c>
      <c r="K102" s="140">
        <f t="shared" si="5"/>
        <v>69</v>
      </c>
      <c r="L102" s="140">
        <f t="shared" si="5"/>
        <v>74</v>
      </c>
      <c r="M102" s="140">
        <f t="shared" si="5"/>
        <v>71</v>
      </c>
      <c r="N102" s="140">
        <f t="shared" si="5"/>
        <v>70</v>
      </c>
      <c r="O102" s="52">
        <f t="shared" si="5"/>
        <v>73</v>
      </c>
      <c r="P102" s="52">
        <f t="shared" si="5"/>
        <v>71</v>
      </c>
      <c r="Q102" s="52">
        <f t="shared" si="5"/>
        <v>73</v>
      </c>
    </row>
    <row r="103" spans="1:17" ht="12.75">
      <c r="A103" s="50" t="s">
        <v>181</v>
      </c>
      <c r="B103" s="50"/>
      <c r="C103" s="50"/>
      <c r="D103" s="50"/>
      <c r="E103" s="50" t="s">
        <v>58</v>
      </c>
      <c r="F103" s="140">
        <f t="shared" si="5"/>
        <v>164455</v>
      </c>
      <c r="G103" s="140">
        <f t="shared" si="5"/>
        <v>161561</v>
      </c>
      <c r="H103" s="140">
        <f t="shared" si="5"/>
        <v>167095</v>
      </c>
      <c r="I103" s="140">
        <f t="shared" si="5"/>
        <v>163106</v>
      </c>
      <c r="J103" s="140">
        <f t="shared" si="5"/>
        <v>166886</v>
      </c>
      <c r="K103" s="140">
        <f t="shared" si="5"/>
        <v>164587</v>
      </c>
      <c r="L103" s="140">
        <f t="shared" si="5"/>
        <v>165355</v>
      </c>
      <c r="M103" s="140">
        <f t="shared" si="5"/>
        <v>165693</v>
      </c>
      <c r="N103" s="140">
        <f t="shared" si="5"/>
        <v>162332</v>
      </c>
      <c r="O103" s="52">
        <f t="shared" si="5"/>
        <v>169448</v>
      </c>
      <c r="P103" s="52">
        <f t="shared" si="5"/>
        <v>166729</v>
      </c>
      <c r="Q103" s="52">
        <f t="shared" si="5"/>
        <v>167092</v>
      </c>
    </row>
    <row r="104" spans="1:17" ht="12.75">
      <c r="A104" s="50" t="s">
        <v>182</v>
      </c>
      <c r="B104" s="50"/>
      <c r="C104" s="50"/>
      <c r="D104" s="50"/>
      <c r="E104" s="50" t="s">
        <v>59</v>
      </c>
      <c r="F104" s="140">
        <f t="shared" si="5"/>
        <v>302</v>
      </c>
      <c r="G104" s="140">
        <f t="shared" si="5"/>
        <v>292</v>
      </c>
      <c r="H104" s="140">
        <f t="shared" si="5"/>
        <v>307</v>
      </c>
      <c r="I104" s="140">
        <f t="shared" si="5"/>
        <v>299</v>
      </c>
      <c r="J104" s="140">
        <f t="shared" si="5"/>
        <v>298</v>
      </c>
      <c r="K104" s="140">
        <f t="shared" si="5"/>
        <v>301</v>
      </c>
      <c r="L104" s="140">
        <f t="shared" si="5"/>
        <v>300</v>
      </c>
      <c r="M104" s="140">
        <f t="shared" si="5"/>
        <v>299</v>
      </c>
      <c r="N104" s="140">
        <f t="shared" si="5"/>
        <v>289</v>
      </c>
      <c r="O104" s="52">
        <f t="shared" si="5"/>
        <v>310</v>
      </c>
      <c r="P104" s="52">
        <f t="shared" si="5"/>
        <v>288</v>
      </c>
      <c r="Q104" s="52">
        <f t="shared" si="5"/>
        <v>304</v>
      </c>
    </row>
    <row r="105" spans="1:17" ht="12.75">
      <c r="A105" s="50" t="s">
        <v>183</v>
      </c>
      <c r="B105" s="50"/>
      <c r="C105" s="50"/>
      <c r="D105" s="50"/>
      <c r="E105" s="50" t="s">
        <v>60</v>
      </c>
      <c r="F105" s="140">
        <f t="shared" si="5"/>
        <v>2722</v>
      </c>
      <c r="G105" s="140">
        <f t="shared" si="5"/>
        <v>2680</v>
      </c>
      <c r="H105" s="140">
        <f t="shared" si="5"/>
        <v>2767</v>
      </c>
      <c r="I105" s="140">
        <f t="shared" si="5"/>
        <v>2726</v>
      </c>
      <c r="J105" s="140">
        <f t="shared" si="5"/>
        <v>2729</v>
      </c>
      <c r="K105" s="140">
        <f t="shared" si="5"/>
        <v>2717</v>
      </c>
      <c r="L105" s="140">
        <f t="shared" si="5"/>
        <v>2732</v>
      </c>
      <c r="M105" s="140">
        <f t="shared" si="5"/>
        <v>2727</v>
      </c>
      <c r="N105" s="140">
        <f t="shared" si="5"/>
        <v>2671</v>
      </c>
      <c r="O105" s="52">
        <f t="shared" si="5"/>
        <v>2750</v>
      </c>
      <c r="P105" s="52">
        <f t="shared" si="5"/>
        <v>2716</v>
      </c>
      <c r="Q105" s="52">
        <f t="shared" si="5"/>
        <v>2742</v>
      </c>
    </row>
    <row r="106" spans="1:17" ht="12.75">
      <c r="A106" s="50" t="s">
        <v>184</v>
      </c>
      <c r="B106" s="50"/>
      <c r="C106" s="50"/>
      <c r="D106" s="50"/>
      <c r="E106" s="50" t="s">
        <v>61</v>
      </c>
      <c r="F106" s="140">
        <f t="shared" si="5"/>
        <v>57</v>
      </c>
      <c r="G106" s="140">
        <f t="shared" si="5"/>
        <v>56</v>
      </c>
      <c r="H106" s="140">
        <f t="shared" si="5"/>
        <v>58</v>
      </c>
      <c r="I106" s="140">
        <f t="shared" si="5"/>
        <v>57</v>
      </c>
      <c r="J106" s="140">
        <f t="shared" si="5"/>
        <v>57</v>
      </c>
      <c r="K106" s="140">
        <f t="shared" si="5"/>
        <v>56</v>
      </c>
      <c r="L106" s="140">
        <f t="shared" si="5"/>
        <v>57</v>
      </c>
      <c r="M106" s="140">
        <f t="shared" si="5"/>
        <v>55</v>
      </c>
      <c r="N106" s="140">
        <f t="shared" si="5"/>
        <v>57</v>
      </c>
      <c r="O106" s="52">
        <f t="shared" si="5"/>
        <v>55</v>
      </c>
      <c r="P106" s="52">
        <f t="shared" si="5"/>
        <v>56</v>
      </c>
      <c r="Q106" s="52">
        <f t="shared" si="5"/>
        <v>57</v>
      </c>
    </row>
    <row r="107" spans="1:17" ht="12.75">
      <c r="A107" s="50" t="s">
        <v>185</v>
      </c>
      <c r="B107" s="50"/>
      <c r="C107" s="50"/>
      <c r="D107" s="50"/>
      <c r="E107" s="50" t="s">
        <v>173</v>
      </c>
      <c r="F107" s="140">
        <f t="shared" si="5"/>
        <v>3100</v>
      </c>
      <c r="G107" s="140">
        <f t="shared" si="5"/>
        <v>3048</v>
      </c>
      <c r="H107" s="140">
        <f t="shared" si="5"/>
        <v>3152</v>
      </c>
      <c r="I107" s="140">
        <f t="shared" si="5"/>
        <v>3102</v>
      </c>
      <c r="J107" s="140">
        <f t="shared" si="5"/>
        <v>3104</v>
      </c>
      <c r="K107" s="140">
        <f t="shared" si="5"/>
        <v>3095</v>
      </c>
      <c r="L107" s="140">
        <f t="shared" si="5"/>
        <v>3110</v>
      </c>
      <c r="M107" s="140">
        <f t="shared" si="5"/>
        <v>3102</v>
      </c>
      <c r="N107" s="140">
        <f t="shared" si="5"/>
        <v>3037</v>
      </c>
      <c r="O107" s="52">
        <f t="shared" si="5"/>
        <v>3137</v>
      </c>
      <c r="P107" s="52">
        <f t="shared" si="5"/>
        <v>3081</v>
      </c>
      <c r="Q107" s="52">
        <f t="shared" si="5"/>
        <v>3124</v>
      </c>
    </row>
    <row r="108" spans="1:17" ht="12.75">
      <c r="A108" s="50" t="s">
        <v>186</v>
      </c>
      <c r="B108" s="50"/>
      <c r="C108" s="50"/>
      <c r="D108" s="50"/>
      <c r="E108" s="50" t="s">
        <v>187</v>
      </c>
      <c r="F108" s="140">
        <f t="shared" si="5"/>
        <v>0</v>
      </c>
      <c r="G108" s="140">
        <f t="shared" si="5"/>
        <v>0</v>
      </c>
      <c r="H108" s="140">
        <f t="shared" si="5"/>
        <v>0</v>
      </c>
      <c r="I108" s="140">
        <f t="shared" si="5"/>
        <v>0</v>
      </c>
      <c r="J108" s="140">
        <f t="shared" si="5"/>
        <v>0</v>
      </c>
      <c r="K108" s="140">
        <f t="shared" si="5"/>
        <v>0</v>
      </c>
      <c r="L108" s="140">
        <f t="shared" si="5"/>
        <v>0</v>
      </c>
      <c r="M108" s="140">
        <f t="shared" si="5"/>
        <v>0</v>
      </c>
      <c r="N108" s="140">
        <f t="shared" si="5"/>
        <v>0</v>
      </c>
      <c r="O108" s="52">
        <f t="shared" si="5"/>
        <v>0</v>
      </c>
      <c r="P108" s="52">
        <f t="shared" si="5"/>
        <v>0</v>
      </c>
      <c r="Q108" s="52">
        <f t="shared" si="5"/>
        <v>0</v>
      </c>
    </row>
    <row r="109" spans="1:17" ht="12.75">
      <c r="A109" s="50" t="s">
        <v>188</v>
      </c>
      <c r="B109" s="50"/>
      <c r="C109" s="50"/>
      <c r="D109" s="50"/>
      <c r="E109" s="50" t="s">
        <v>62</v>
      </c>
      <c r="F109" s="140">
        <f t="shared" si="5"/>
        <v>4</v>
      </c>
      <c r="G109" s="140">
        <f t="shared" si="5"/>
        <v>4</v>
      </c>
      <c r="H109" s="140">
        <f t="shared" si="5"/>
        <v>6</v>
      </c>
      <c r="I109" s="140">
        <f t="shared" si="5"/>
        <v>6</v>
      </c>
      <c r="J109" s="140">
        <f t="shared" si="5"/>
        <v>6</v>
      </c>
      <c r="K109" s="140">
        <f t="shared" si="5"/>
        <v>-6</v>
      </c>
      <c r="L109" s="140">
        <f t="shared" si="5"/>
        <v>4</v>
      </c>
      <c r="M109" s="140">
        <f t="shared" si="5"/>
        <v>5</v>
      </c>
      <c r="N109" s="140">
        <f t="shared" si="5"/>
        <v>5</v>
      </c>
      <c r="O109" s="52">
        <f t="shared" si="5"/>
        <v>5</v>
      </c>
      <c r="P109" s="52">
        <f t="shared" si="5"/>
        <v>6</v>
      </c>
      <c r="Q109" s="52">
        <f t="shared" si="5"/>
        <v>8</v>
      </c>
    </row>
    <row r="110" spans="1:17" ht="12.75">
      <c r="A110" s="50" t="s">
        <v>189</v>
      </c>
      <c r="B110" s="50"/>
      <c r="C110" s="50"/>
      <c r="D110" s="50"/>
      <c r="E110" s="50" t="s">
        <v>174</v>
      </c>
      <c r="F110" s="140">
        <f t="shared" ref="F110:Q119" si="6">ROUND(SUMIF($E$6:$E$52,$E110,F$6:F$52),0)</f>
        <v>0</v>
      </c>
      <c r="G110" s="140">
        <f t="shared" si="6"/>
        <v>0</v>
      </c>
      <c r="H110" s="140">
        <f t="shared" si="6"/>
        <v>0</v>
      </c>
      <c r="I110" s="140">
        <f t="shared" si="6"/>
        <v>0</v>
      </c>
      <c r="J110" s="140">
        <f t="shared" si="6"/>
        <v>0</v>
      </c>
      <c r="K110" s="140">
        <f t="shared" si="6"/>
        <v>0</v>
      </c>
      <c r="L110" s="140">
        <f t="shared" si="6"/>
        <v>0</v>
      </c>
      <c r="M110" s="140">
        <f t="shared" si="6"/>
        <v>0</v>
      </c>
      <c r="N110" s="140">
        <f t="shared" si="6"/>
        <v>0</v>
      </c>
      <c r="O110" s="52">
        <f t="shared" si="6"/>
        <v>0</v>
      </c>
      <c r="P110" s="52">
        <f t="shared" si="6"/>
        <v>0</v>
      </c>
      <c r="Q110" s="52">
        <f t="shared" si="6"/>
        <v>0</v>
      </c>
    </row>
    <row r="111" spans="1:17" ht="12.75">
      <c r="A111" s="50" t="s">
        <v>190</v>
      </c>
      <c r="B111" s="50"/>
      <c r="C111" s="50"/>
      <c r="D111" s="50"/>
      <c r="E111" s="50" t="s">
        <v>175</v>
      </c>
      <c r="F111" s="140">
        <f t="shared" si="6"/>
        <v>4</v>
      </c>
      <c r="G111" s="140">
        <f t="shared" si="6"/>
        <v>4</v>
      </c>
      <c r="H111" s="140">
        <f t="shared" si="6"/>
        <v>6</v>
      </c>
      <c r="I111" s="140">
        <f t="shared" si="6"/>
        <v>6</v>
      </c>
      <c r="J111" s="140">
        <f t="shared" si="6"/>
        <v>6</v>
      </c>
      <c r="K111" s="140">
        <f t="shared" si="6"/>
        <v>-6</v>
      </c>
      <c r="L111" s="140">
        <f t="shared" si="6"/>
        <v>4</v>
      </c>
      <c r="M111" s="140">
        <f t="shared" si="6"/>
        <v>5</v>
      </c>
      <c r="N111" s="140">
        <f t="shared" si="6"/>
        <v>5</v>
      </c>
      <c r="O111" s="52">
        <f t="shared" si="6"/>
        <v>5</v>
      </c>
      <c r="P111" s="52">
        <f t="shared" si="6"/>
        <v>6</v>
      </c>
      <c r="Q111" s="52">
        <f t="shared" si="6"/>
        <v>8</v>
      </c>
    </row>
    <row r="112" spans="1:17" ht="12.75">
      <c r="A112" s="50" t="s">
        <v>191</v>
      </c>
      <c r="B112" s="50"/>
      <c r="C112" s="50"/>
      <c r="D112" s="50"/>
      <c r="E112" s="50" t="s">
        <v>176</v>
      </c>
      <c r="F112" s="140">
        <f t="shared" si="6"/>
        <v>2</v>
      </c>
      <c r="G112" s="140">
        <f t="shared" si="6"/>
        <v>2</v>
      </c>
      <c r="H112" s="140">
        <f t="shared" si="6"/>
        <v>2</v>
      </c>
      <c r="I112" s="140">
        <f t="shared" si="6"/>
        <v>2</v>
      </c>
      <c r="J112" s="140">
        <f t="shared" si="6"/>
        <v>2</v>
      </c>
      <c r="K112" s="140">
        <f t="shared" si="6"/>
        <v>2</v>
      </c>
      <c r="L112" s="140">
        <f t="shared" si="6"/>
        <v>2</v>
      </c>
      <c r="M112" s="140">
        <f t="shared" si="6"/>
        <v>2</v>
      </c>
      <c r="N112" s="140">
        <f t="shared" si="6"/>
        <v>1</v>
      </c>
      <c r="O112" s="52">
        <f t="shared" si="6"/>
        <v>3</v>
      </c>
      <c r="P112" s="52">
        <f t="shared" si="6"/>
        <v>2</v>
      </c>
      <c r="Q112" s="52">
        <f t="shared" si="6"/>
        <v>1</v>
      </c>
    </row>
    <row r="113" spans="1:17" ht="12.75">
      <c r="A113" s="50"/>
      <c r="B113" s="50"/>
      <c r="C113" s="50"/>
      <c r="D113" s="50"/>
      <c r="E113" s="50"/>
      <c r="F113" s="140">
        <f t="shared" si="6"/>
        <v>0</v>
      </c>
      <c r="G113" s="140">
        <f t="shared" si="6"/>
        <v>0</v>
      </c>
      <c r="H113" s="140">
        <f t="shared" si="6"/>
        <v>0</v>
      </c>
      <c r="I113" s="140">
        <f t="shared" si="6"/>
        <v>0</v>
      </c>
      <c r="J113" s="140">
        <f t="shared" si="6"/>
        <v>0</v>
      </c>
      <c r="K113" s="140">
        <f t="shared" si="6"/>
        <v>0</v>
      </c>
      <c r="L113" s="140">
        <f t="shared" si="6"/>
        <v>0</v>
      </c>
      <c r="M113" s="140">
        <f t="shared" si="6"/>
        <v>0</v>
      </c>
      <c r="N113" s="140">
        <f t="shared" si="6"/>
        <v>0</v>
      </c>
      <c r="O113" s="52">
        <f t="shared" si="6"/>
        <v>0</v>
      </c>
      <c r="P113" s="52">
        <f t="shared" si="6"/>
        <v>0</v>
      </c>
      <c r="Q113" s="52">
        <f t="shared" si="6"/>
        <v>0</v>
      </c>
    </row>
    <row r="114" spans="1:17" ht="12.75">
      <c r="A114" s="50" t="s">
        <v>192</v>
      </c>
      <c r="B114" s="50"/>
      <c r="C114" s="50"/>
      <c r="D114" s="50"/>
      <c r="E114" s="50" t="s">
        <v>64</v>
      </c>
      <c r="F114" s="140">
        <f t="shared" si="6"/>
        <v>76042</v>
      </c>
      <c r="G114" s="140">
        <f t="shared" si="6"/>
        <v>76018</v>
      </c>
      <c r="H114" s="140">
        <f t="shared" si="6"/>
        <v>76126</v>
      </c>
      <c r="I114" s="140">
        <f t="shared" si="6"/>
        <v>76205</v>
      </c>
      <c r="J114" s="140">
        <f t="shared" si="6"/>
        <v>76297</v>
      </c>
      <c r="K114" s="140">
        <f t="shared" si="6"/>
        <v>76231</v>
      </c>
      <c r="L114" s="140">
        <f t="shared" si="6"/>
        <v>76446</v>
      </c>
      <c r="M114" s="140">
        <f t="shared" si="6"/>
        <v>76639</v>
      </c>
      <c r="N114" s="140">
        <f t="shared" si="6"/>
        <v>76758</v>
      </c>
      <c r="O114" s="52">
        <f t="shared" si="6"/>
        <v>77178</v>
      </c>
      <c r="P114" s="52">
        <f t="shared" si="6"/>
        <v>77319</v>
      </c>
      <c r="Q114" s="52">
        <f t="shared" si="6"/>
        <v>77696</v>
      </c>
    </row>
    <row r="115" spans="1:17" ht="12.75">
      <c r="A115" s="50" t="s">
        <v>193</v>
      </c>
      <c r="B115" s="50"/>
      <c r="C115" s="50"/>
      <c r="D115" s="50"/>
      <c r="E115" s="50" t="s">
        <v>65</v>
      </c>
      <c r="F115" s="140">
        <f t="shared" si="6"/>
        <v>7723</v>
      </c>
      <c r="G115" s="140">
        <f t="shared" si="6"/>
        <v>7655</v>
      </c>
      <c r="H115" s="140">
        <f t="shared" si="6"/>
        <v>7644</v>
      </c>
      <c r="I115" s="140">
        <f t="shared" si="6"/>
        <v>7735</v>
      </c>
      <c r="J115" s="140">
        <f t="shared" si="6"/>
        <v>7752</v>
      </c>
      <c r="K115" s="140">
        <f t="shared" si="6"/>
        <v>7681</v>
      </c>
      <c r="L115" s="140">
        <f t="shared" si="6"/>
        <v>7741</v>
      </c>
      <c r="M115" s="140">
        <f t="shared" si="6"/>
        <v>7719</v>
      </c>
      <c r="N115" s="140">
        <f t="shared" si="6"/>
        <v>7686</v>
      </c>
      <c r="O115" s="52">
        <f t="shared" si="6"/>
        <v>7803</v>
      </c>
      <c r="P115" s="52">
        <f t="shared" si="6"/>
        <v>7755</v>
      </c>
      <c r="Q115" s="52">
        <f t="shared" si="6"/>
        <v>7791</v>
      </c>
    </row>
    <row r="116" spans="1:17" ht="12.75">
      <c r="A116" s="50" t="s">
        <v>194</v>
      </c>
      <c r="B116" s="50"/>
      <c r="C116" s="50"/>
      <c r="D116" s="50"/>
      <c r="E116" s="50" t="s">
        <v>66</v>
      </c>
      <c r="F116" s="140">
        <f t="shared" si="6"/>
        <v>54</v>
      </c>
      <c r="G116" s="140">
        <f t="shared" si="6"/>
        <v>53</v>
      </c>
      <c r="H116" s="140">
        <f t="shared" si="6"/>
        <v>52</v>
      </c>
      <c r="I116" s="140">
        <f t="shared" si="6"/>
        <v>53</v>
      </c>
      <c r="J116" s="140">
        <f t="shared" si="6"/>
        <v>53</v>
      </c>
      <c r="K116" s="140">
        <f t="shared" si="6"/>
        <v>52</v>
      </c>
      <c r="L116" s="140">
        <f t="shared" si="6"/>
        <v>52</v>
      </c>
      <c r="M116" s="140">
        <f t="shared" si="6"/>
        <v>52</v>
      </c>
      <c r="N116" s="140">
        <f t="shared" si="6"/>
        <v>49</v>
      </c>
      <c r="O116" s="52">
        <f t="shared" si="6"/>
        <v>52</v>
      </c>
      <c r="P116" s="52">
        <f t="shared" si="6"/>
        <v>49</v>
      </c>
      <c r="Q116" s="52">
        <f t="shared" si="6"/>
        <v>51</v>
      </c>
    </row>
    <row r="117" spans="1:17" ht="12.75">
      <c r="A117" s="50" t="s">
        <v>195</v>
      </c>
      <c r="B117" s="50"/>
      <c r="C117" s="50"/>
      <c r="D117" s="50"/>
      <c r="E117" s="50" t="s">
        <v>67</v>
      </c>
      <c r="F117" s="140">
        <f t="shared" si="6"/>
        <v>83824</v>
      </c>
      <c r="G117" s="140">
        <f t="shared" si="6"/>
        <v>83731</v>
      </c>
      <c r="H117" s="140">
        <f t="shared" si="6"/>
        <v>83827</v>
      </c>
      <c r="I117" s="140">
        <f t="shared" si="6"/>
        <v>83998</v>
      </c>
      <c r="J117" s="140">
        <f t="shared" si="6"/>
        <v>84107</v>
      </c>
      <c r="K117" s="140">
        <f t="shared" si="6"/>
        <v>83969</v>
      </c>
      <c r="L117" s="140">
        <f t="shared" si="6"/>
        <v>84244</v>
      </c>
      <c r="M117" s="140">
        <f t="shared" si="6"/>
        <v>84415</v>
      </c>
      <c r="N117" s="140">
        <f t="shared" si="6"/>
        <v>84498</v>
      </c>
      <c r="O117" s="52">
        <f t="shared" si="6"/>
        <v>85038</v>
      </c>
      <c r="P117" s="52">
        <f t="shared" si="6"/>
        <v>85128</v>
      </c>
      <c r="Q117" s="52">
        <f t="shared" si="6"/>
        <v>85543</v>
      </c>
    </row>
    <row r="118" spans="1:17" ht="12.75">
      <c r="A118" s="50" t="s">
        <v>196</v>
      </c>
      <c r="B118" s="50"/>
      <c r="C118" s="50"/>
      <c r="D118" s="50"/>
      <c r="E118" s="50" t="s">
        <v>68</v>
      </c>
      <c r="F118" s="140">
        <f t="shared" si="6"/>
        <v>107</v>
      </c>
      <c r="G118" s="140">
        <f t="shared" si="6"/>
        <v>109</v>
      </c>
      <c r="H118" s="140">
        <f t="shared" si="6"/>
        <v>108</v>
      </c>
      <c r="I118" s="140">
        <f t="shared" si="6"/>
        <v>112</v>
      </c>
      <c r="J118" s="140">
        <f t="shared" si="6"/>
        <v>107</v>
      </c>
      <c r="K118" s="140">
        <f t="shared" si="6"/>
        <v>107</v>
      </c>
      <c r="L118" s="140">
        <f t="shared" si="6"/>
        <v>108</v>
      </c>
      <c r="M118" s="140">
        <f t="shared" si="6"/>
        <v>108</v>
      </c>
      <c r="N118" s="140">
        <f t="shared" si="6"/>
        <v>108</v>
      </c>
      <c r="O118" s="52">
        <f t="shared" si="6"/>
        <v>108</v>
      </c>
      <c r="P118" s="52">
        <f t="shared" si="6"/>
        <v>108</v>
      </c>
      <c r="Q118" s="52">
        <f t="shared" si="6"/>
        <v>108</v>
      </c>
    </row>
    <row r="119" spans="1:17" ht="12.75">
      <c r="A119" s="50" t="s">
        <v>197</v>
      </c>
      <c r="B119" s="50"/>
      <c r="C119" s="50"/>
      <c r="D119" s="50"/>
      <c r="E119" s="50" t="s">
        <v>69</v>
      </c>
      <c r="F119" s="140">
        <f t="shared" si="6"/>
        <v>1362</v>
      </c>
      <c r="G119" s="140">
        <f t="shared" si="6"/>
        <v>1361</v>
      </c>
      <c r="H119" s="140">
        <f t="shared" si="6"/>
        <v>1363</v>
      </c>
      <c r="I119" s="140">
        <f t="shared" si="6"/>
        <v>1358</v>
      </c>
      <c r="J119" s="140">
        <f t="shared" si="6"/>
        <v>1355</v>
      </c>
      <c r="K119" s="140">
        <f t="shared" si="6"/>
        <v>1351</v>
      </c>
      <c r="L119" s="140">
        <f t="shared" si="6"/>
        <v>1365</v>
      </c>
      <c r="M119" s="140">
        <f t="shared" si="6"/>
        <v>1358</v>
      </c>
      <c r="N119" s="140">
        <f t="shared" si="6"/>
        <v>1357</v>
      </c>
      <c r="O119" s="52">
        <f t="shared" si="6"/>
        <v>1378</v>
      </c>
      <c r="P119" s="52">
        <f t="shared" si="6"/>
        <v>1374</v>
      </c>
      <c r="Q119" s="52">
        <f t="shared" si="6"/>
        <v>1373</v>
      </c>
    </row>
    <row r="120" spans="1:17" ht="12.75">
      <c r="A120" s="50" t="s">
        <v>198</v>
      </c>
      <c r="B120" s="50"/>
      <c r="C120" s="50"/>
      <c r="D120" s="50"/>
      <c r="E120" s="50" t="s">
        <v>70</v>
      </c>
      <c r="F120" s="140">
        <f t="shared" ref="F120:Q125" si="7">ROUND(SUMIF($E$6:$E$52,$E120,F$6:F$52),0)</f>
        <v>38</v>
      </c>
      <c r="G120" s="140">
        <f t="shared" si="7"/>
        <v>37</v>
      </c>
      <c r="H120" s="140">
        <f t="shared" si="7"/>
        <v>38</v>
      </c>
      <c r="I120" s="140">
        <f t="shared" si="7"/>
        <v>37</v>
      </c>
      <c r="J120" s="140">
        <f t="shared" si="7"/>
        <v>40</v>
      </c>
      <c r="K120" s="140">
        <f t="shared" si="7"/>
        <v>36</v>
      </c>
      <c r="L120" s="140">
        <f t="shared" si="7"/>
        <v>40</v>
      </c>
      <c r="M120" s="140">
        <f t="shared" si="7"/>
        <v>37</v>
      </c>
      <c r="N120" s="140">
        <f t="shared" si="7"/>
        <v>37</v>
      </c>
      <c r="O120" s="52">
        <f t="shared" si="7"/>
        <v>39</v>
      </c>
      <c r="P120" s="52">
        <f t="shared" si="7"/>
        <v>38</v>
      </c>
      <c r="Q120" s="52">
        <f t="shared" si="7"/>
        <v>38</v>
      </c>
    </row>
    <row r="121" spans="1:17" ht="12.75">
      <c r="A121" s="50" t="s">
        <v>199</v>
      </c>
      <c r="B121" s="50"/>
      <c r="C121" s="50"/>
      <c r="D121" s="50"/>
      <c r="E121" s="50" t="s">
        <v>165</v>
      </c>
      <c r="F121" s="140">
        <f t="shared" si="7"/>
        <v>1511</v>
      </c>
      <c r="G121" s="140">
        <f t="shared" si="7"/>
        <v>1511</v>
      </c>
      <c r="H121" s="140">
        <f t="shared" si="7"/>
        <v>1513</v>
      </c>
      <c r="I121" s="140">
        <f t="shared" si="7"/>
        <v>1511</v>
      </c>
      <c r="J121" s="140">
        <f t="shared" si="7"/>
        <v>1506</v>
      </c>
      <c r="K121" s="140">
        <f t="shared" si="7"/>
        <v>1498</v>
      </c>
      <c r="L121" s="140">
        <f t="shared" si="7"/>
        <v>1517</v>
      </c>
      <c r="M121" s="140">
        <f t="shared" si="7"/>
        <v>1507</v>
      </c>
      <c r="N121" s="140">
        <f t="shared" si="7"/>
        <v>1506</v>
      </c>
      <c r="O121" s="52">
        <f t="shared" si="7"/>
        <v>1529</v>
      </c>
      <c r="P121" s="52">
        <f t="shared" si="7"/>
        <v>1524</v>
      </c>
      <c r="Q121" s="52">
        <f t="shared" si="7"/>
        <v>1523</v>
      </c>
    </row>
    <row r="122" spans="1:17" ht="12.75">
      <c r="A122" s="50" t="s">
        <v>200</v>
      </c>
      <c r="B122" s="50"/>
      <c r="C122" s="50"/>
      <c r="D122" s="50"/>
      <c r="E122" s="50" t="s">
        <v>166</v>
      </c>
      <c r="F122" s="140">
        <f t="shared" si="7"/>
        <v>0</v>
      </c>
      <c r="G122" s="140">
        <f t="shared" si="7"/>
        <v>0</v>
      </c>
      <c r="H122" s="140">
        <f t="shared" si="7"/>
        <v>0</v>
      </c>
      <c r="I122" s="140">
        <f t="shared" si="7"/>
        <v>0</v>
      </c>
      <c r="J122" s="140">
        <f t="shared" si="7"/>
        <v>0</v>
      </c>
      <c r="K122" s="140">
        <f t="shared" si="7"/>
        <v>0</v>
      </c>
      <c r="L122" s="140">
        <f t="shared" si="7"/>
        <v>0</v>
      </c>
      <c r="M122" s="140">
        <f t="shared" si="7"/>
        <v>0</v>
      </c>
      <c r="N122" s="140">
        <f t="shared" si="7"/>
        <v>0</v>
      </c>
      <c r="O122" s="52">
        <f t="shared" si="7"/>
        <v>0</v>
      </c>
      <c r="P122" s="52">
        <f t="shared" si="7"/>
        <v>0</v>
      </c>
      <c r="Q122" s="52">
        <f t="shared" si="7"/>
        <v>0</v>
      </c>
    </row>
    <row r="123" spans="1:17" ht="12.75">
      <c r="A123" s="50" t="s">
        <v>201</v>
      </c>
      <c r="B123" s="50"/>
      <c r="C123" s="50"/>
      <c r="D123" s="50"/>
      <c r="E123" s="50" t="s">
        <v>167</v>
      </c>
      <c r="F123" s="140">
        <f t="shared" si="7"/>
        <v>0</v>
      </c>
      <c r="G123" s="140">
        <f t="shared" si="7"/>
        <v>0</v>
      </c>
      <c r="H123" s="140">
        <f t="shared" si="7"/>
        <v>0</v>
      </c>
      <c r="I123" s="140">
        <f t="shared" si="7"/>
        <v>0</v>
      </c>
      <c r="J123" s="140">
        <f t="shared" si="7"/>
        <v>0</v>
      </c>
      <c r="K123" s="140">
        <f t="shared" si="7"/>
        <v>0</v>
      </c>
      <c r="L123" s="140">
        <f t="shared" si="7"/>
        <v>0</v>
      </c>
      <c r="M123" s="140">
        <f t="shared" si="7"/>
        <v>0</v>
      </c>
      <c r="N123" s="140">
        <f t="shared" si="7"/>
        <v>0</v>
      </c>
      <c r="O123" s="52">
        <f t="shared" si="7"/>
        <v>0</v>
      </c>
      <c r="P123" s="52">
        <f t="shared" si="7"/>
        <v>0</v>
      </c>
      <c r="Q123" s="52">
        <f t="shared" si="7"/>
        <v>0</v>
      </c>
    </row>
    <row r="124" spans="1:17" ht="12.75">
      <c r="A124" s="50" t="s">
        <v>202</v>
      </c>
      <c r="B124" s="50"/>
      <c r="C124" s="50"/>
      <c r="D124" s="50"/>
      <c r="E124" s="50" t="s">
        <v>169</v>
      </c>
      <c r="F124" s="140">
        <f t="shared" si="7"/>
        <v>0</v>
      </c>
      <c r="G124" s="140">
        <f t="shared" si="7"/>
        <v>0</v>
      </c>
      <c r="H124" s="140">
        <f t="shared" si="7"/>
        <v>0</v>
      </c>
      <c r="I124" s="140">
        <f t="shared" si="7"/>
        <v>0</v>
      </c>
      <c r="J124" s="140">
        <f t="shared" si="7"/>
        <v>0</v>
      </c>
      <c r="K124" s="140">
        <f t="shared" si="7"/>
        <v>0</v>
      </c>
      <c r="L124" s="140">
        <f t="shared" si="7"/>
        <v>0</v>
      </c>
      <c r="M124" s="140">
        <f t="shared" si="7"/>
        <v>0</v>
      </c>
      <c r="N124" s="140">
        <f t="shared" si="7"/>
        <v>0</v>
      </c>
      <c r="O124" s="52">
        <f t="shared" si="7"/>
        <v>0</v>
      </c>
      <c r="P124" s="52">
        <f t="shared" si="7"/>
        <v>0</v>
      </c>
      <c r="Q124" s="52">
        <f t="shared" si="7"/>
        <v>0</v>
      </c>
    </row>
    <row r="125" spans="1:17" ht="12.75">
      <c r="A125" s="50" t="s">
        <v>203</v>
      </c>
      <c r="B125" s="50"/>
      <c r="C125" s="50"/>
      <c r="D125" s="50"/>
      <c r="E125" s="50" t="s">
        <v>170</v>
      </c>
      <c r="F125" s="140">
        <f t="shared" si="7"/>
        <v>0</v>
      </c>
      <c r="G125" s="140">
        <f t="shared" si="7"/>
        <v>0</v>
      </c>
      <c r="H125" s="140">
        <f t="shared" si="7"/>
        <v>0</v>
      </c>
      <c r="I125" s="140">
        <f t="shared" si="7"/>
        <v>0</v>
      </c>
      <c r="J125" s="140">
        <f t="shared" si="7"/>
        <v>0</v>
      </c>
      <c r="K125" s="140">
        <f t="shared" si="7"/>
        <v>0</v>
      </c>
      <c r="L125" s="140">
        <f t="shared" si="7"/>
        <v>0</v>
      </c>
      <c r="M125" s="140">
        <f t="shared" si="7"/>
        <v>0</v>
      </c>
      <c r="N125" s="140">
        <f t="shared" si="7"/>
        <v>0</v>
      </c>
      <c r="O125" s="52">
        <f t="shared" si="7"/>
        <v>0</v>
      </c>
      <c r="P125" s="52">
        <f t="shared" si="7"/>
        <v>0</v>
      </c>
      <c r="Q125" s="52">
        <f t="shared" si="7"/>
        <v>0</v>
      </c>
    </row>
  </sheetData>
  <phoneticPr fontId="9" type="noConversion"/>
  <printOptions horizontalCentered="1" verticalCentered="1"/>
  <pageMargins left="0.5" right="0.5" top="0.5" bottom="0.5" header="0.5" footer="0.3"/>
  <pageSetup scale="86" orientation="landscape" r:id="rId1"/>
  <headerFooter alignWithMargins="0">
    <oddFooter>&amp;L&amp;"Times New Roman,Regular"file: 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P58"/>
  <sheetViews>
    <sheetView tabSelected="1" workbookViewId="0">
      <selection activeCell="N140" sqref="N140 B54"/>
    </sheetView>
  </sheetViews>
  <sheetFormatPr defaultColWidth="11" defaultRowHeight="12.75"/>
  <cols>
    <col min="1" max="1" width="22.625" style="1" customWidth="1"/>
    <col min="2" max="2" width="15" style="1" customWidth="1"/>
    <col min="3" max="3" width="14.25" style="1" customWidth="1"/>
    <col min="4" max="4" width="14.625" style="1" customWidth="1"/>
    <col min="5" max="5" width="13.5" style="2" customWidth="1"/>
    <col min="6" max="8" width="10" style="2" customWidth="1"/>
    <col min="9" max="9" width="10.25" style="2" customWidth="1"/>
    <col min="10" max="10" width="10.625" style="2" customWidth="1"/>
    <col min="11" max="242" width="10" style="2" customWidth="1"/>
    <col min="243" max="16384" width="11" style="2"/>
  </cols>
  <sheetData>
    <row r="1" spans="1:12">
      <c r="A1" s="223" t="s">
        <v>5</v>
      </c>
      <c r="B1" s="223"/>
      <c r="C1" s="223"/>
      <c r="D1" s="223"/>
      <c r="E1" s="1"/>
    </row>
    <row r="2" spans="1:12">
      <c r="A2" s="223" t="s">
        <v>206</v>
      </c>
      <c r="B2" s="223"/>
      <c r="C2" s="223"/>
      <c r="D2" s="223"/>
      <c r="E2" s="1"/>
    </row>
    <row r="3" spans="1:12">
      <c r="A3" s="223" t="s">
        <v>207</v>
      </c>
      <c r="B3" s="223"/>
      <c r="C3" s="223"/>
      <c r="D3" s="223"/>
      <c r="E3" s="1"/>
    </row>
    <row r="4" spans="1:12">
      <c r="A4" s="223" t="s">
        <v>354</v>
      </c>
      <c r="B4" s="223"/>
      <c r="C4" s="223"/>
      <c r="D4" s="223"/>
      <c r="E4" s="1"/>
    </row>
    <row r="5" spans="1:12">
      <c r="A5" s="98"/>
      <c r="B5" s="98"/>
      <c r="C5" s="99" t="s">
        <v>359</v>
      </c>
      <c r="D5" s="100" t="s">
        <v>8</v>
      </c>
      <c r="E5" s="3"/>
      <c r="G5" s="11" t="s">
        <v>0</v>
      </c>
      <c r="H5" s="11" t="s">
        <v>0</v>
      </c>
      <c r="I5" s="8" t="s">
        <v>208</v>
      </c>
      <c r="J5" s="8" t="s">
        <v>208</v>
      </c>
      <c r="K5" s="4" t="s">
        <v>260</v>
      </c>
      <c r="L5" s="4" t="s">
        <v>260</v>
      </c>
    </row>
    <row r="6" spans="1:12">
      <c r="A6" s="100" t="s">
        <v>4</v>
      </c>
      <c r="B6" s="100" t="s">
        <v>2</v>
      </c>
      <c r="C6" s="219" t="s">
        <v>235</v>
      </c>
      <c r="D6" s="100" t="s">
        <v>25</v>
      </c>
      <c r="E6" s="3"/>
      <c r="G6" s="3" t="s">
        <v>1</v>
      </c>
      <c r="H6" s="3" t="s">
        <v>1</v>
      </c>
      <c r="I6" s="3" t="s">
        <v>1</v>
      </c>
      <c r="J6" s="3" t="s">
        <v>1</v>
      </c>
      <c r="K6" s="106" t="s">
        <v>1</v>
      </c>
      <c r="L6" s="106" t="s">
        <v>1</v>
      </c>
    </row>
    <row r="7" spans="1:12">
      <c r="A7" s="100" t="s">
        <v>6</v>
      </c>
      <c r="B7" s="100" t="s">
        <v>3</v>
      </c>
      <c r="C7" s="219" t="s">
        <v>3</v>
      </c>
      <c r="D7" s="100" t="s">
        <v>3</v>
      </c>
      <c r="E7" s="4"/>
      <c r="G7" s="3" t="s">
        <v>3</v>
      </c>
      <c r="H7" s="12" t="s">
        <v>7</v>
      </c>
      <c r="I7" s="3" t="s">
        <v>3</v>
      </c>
      <c r="J7" s="3" t="s">
        <v>7</v>
      </c>
      <c r="K7" s="106" t="s">
        <v>3</v>
      </c>
      <c r="L7" s="106" t="s">
        <v>7</v>
      </c>
    </row>
    <row r="8" spans="1:12">
      <c r="A8" s="101">
        <v>42004</v>
      </c>
      <c r="B8" s="172">
        <v>1052</v>
      </c>
      <c r="C8" s="102">
        <v>1103</v>
      </c>
      <c r="D8" s="103">
        <f t="shared" ref="D8:D19" si="0">C8-B8</f>
        <v>51</v>
      </c>
      <c r="E8" s="5"/>
      <c r="G8" s="5">
        <v>1175</v>
      </c>
      <c r="H8" s="10">
        <v>0</v>
      </c>
      <c r="I8" s="5">
        <v>1169</v>
      </c>
      <c r="J8" s="10">
        <v>0</v>
      </c>
      <c r="K8" s="5">
        <v>1099</v>
      </c>
      <c r="L8" s="10">
        <v>0</v>
      </c>
    </row>
    <row r="9" spans="1:12">
      <c r="A9" s="101">
        <f t="shared" ref="A9:A19" si="1">A8+31</f>
        <v>42035</v>
      </c>
      <c r="B9" s="172">
        <v>1218</v>
      </c>
      <c r="C9" s="123">
        <v>915</v>
      </c>
      <c r="D9" s="103">
        <f t="shared" si="0"/>
        <v>-303</v>
      </c>
      <c r="E9" s="5"/>
      <c r="G9" s="5">
        <f>888</f>
        <v>888</v>
      </c>
      <c r="H9" s="10">
        <v>0</v>
      </c>
      <c r="I9" s="5">
        <v>916</v>
      </c>
      <c r="J9" s="10">
        <v>0</v>
      </c>
      <c r="K9" s="5">
        <v>896</v>
      </c>
      <c r="L9" s="10">
        <v>0</v>
      </c>
    </row>
    <row r="10" spans="1:12">
      <c r="A10" s="101">
        <f t="shared" si="1"/>
        <v>42066</v>
      </c>
      <c r="B10" s="172">
        <v>938</v>
      </c>
      <c r="C10" s="102">
        <v>775</v>
      </c>
      <c r="D10" s="103">
        <f t="shared" si="0"/>
        <v>-163</v>
      </c>
      <c r="E10" s="5"/>
      <c r="G10" s="5">
        <v>815</v>
      </c>
      <c r="H10" s="10">
        <v>0</v>
      </c>
      <c r="I10" s="5">
        <v>790</v>
      </c>
      <c r="J10" s="10">
        <v>0</v>
      </c>
      <c r="K10" s="5">
        <v>767</v>
      </c>
      <c r="L10" s="10">
        <v>0</v>
      </c>
    </row>
    <row r="11" spans="1:12">
      <c r="A11" s="101">
        <f t="shared" si="1"/>
        <v>42097</v>
      </c>
      <c r="B11" s="172">
        <v>500</v>
      </c>
      <c r="C11" s="102">
        <v>542</v>
      </c>
      <c r="D11" s="103">
        <f t="shared" si="0"/>
        <v>42</v>
      </c>
      <c r="E11" s="5"/>
      <c r="G11" s="5">
        <v>573</v>
      </c>
      <c r="H11" s="10">
        <v>0</v>
      </c>
      <c r="I11" s="5">
        <v>557</v>
      </c>
      <c r="J11" s="10">
        <v>1</v>
      </c>
      <c r="K11" s="5">
        <v>540</v>
      </c>
      <c r="L11" s="10">
        <v>0</v>
      </c>
    </row>
    <row r="12" spans="1:12">
      <c r="A12" s="101">
        <f t="shared" si="1"/>
        <v>42128</v>
      </c>
      <c r="B12" s="172">
        <v>180</v>
      </c>
      <c r="C12" s="102">
        <v>298</v>
      </c>
      <c r="D12" s="103">
        <f t="shared" si="0"/>
        <v>118</v>
      </c>
      <c r="E12" s="5"/>
      <c r="G12" s="5">
        <v>344</v>
      </c>
      <c r="H12" s="10">
        <v>0</v>
      </c>
      <c r="I12" s="5">
        <v>338</v>
      </c>
      <c r="J12" s="10">
        <v>11</v>
      </c>
      <c r="K12" s="5">
        <v>321</v>
      </c>
      <c r="L12" s="10">
        <v>14</v>
      </c>
    </row>
    <row r="13" spans="1:12">
      <c r="A13" s="101">
        <f t="shared" si="1"/>
        <v>42159</v>
      </c>
      <c r="B13" s="172">
        <v>96</v>
      </c>
      <c r="C13" s="102">
        <v>137</v>
      </c>
      <c r="D13" s="103">
        <f t="shared" si="0"/>
        <v>41</v>
      </c>
      <c r="E13" s="5"/>
      <c r="G13" s="5">
        <v>139</v>
      </c>
      <c r="H13" s="10">
        <v>49</v>
      </c>
      <c r="I13" s="5">
        <v>149</v>
      </c>
      <c r="J13" s="10">
        <v>46</v>
      </c>
      <c r="K13" s="5">
        <v>136</v>
      </c>
      <c r="L13" s="10">
        <v>49</v>
      </c>
    </row>
    <row r="14" spans="1:12">
      <c r="A14" s="101">
        <f t="shared" si="1"/>
        <v>42190</v>
      </c>
      <c r="B14" s="172">
        <v>8</v>
      </c>
      <c r="C14" s="102">
        <v>26</v>
      </c>
      <c r="D14" s="103">
        <f t="shared" si="0"/>
        <v>18</v>
      </c>
      <c r="E14" s="5"/>
      <c r="G14" s="5">
        <v>30</v>
      </c>
      <c r="H14" s="10">
        <v>148</v>
      </c>
      <c r="I14" s="5">
        <v>44</v>
      </c>
      <c r="J14" s="10">
        <v>155</v>
      </c>
      <c r="K14" s="5">
        <v>32</v>
      </c>
      <c r="L14" s="10">
        <v>180</v>
      </c>
    </row>
    <row r="15" spans="1:12">
      <c r="A15" s="101">
        <f t="shared" si="1"/>
        <v>42221</v>
      </c>
      <c r="B15" s="172">
        <v>3</v>
      </c>
      <c r="C15" s="102">
        <v>30</v>
      </c>
      <c r="D15" s="103">
        <f t="shared" si="0"/>
        <v>27</v>
      </c>
      <c r="E15" s="5"/>
      <c r="G15" s="5">
        <v>56</v>
      </c>
      <c r="H15" s="10">
        <v>161</v>
      </c>
      <c r="I15" s="5">
        <v>42</v>
      </c>
      <c r="J15" s="10">
        <v>154</v>
      </c>
      <c r="K15" s="5">
        <v>33</v>
      </c>
      <c r="L15" s="10">
        <v>168</v>
      </c>
    </row>
    <row r="16" spans="1:12">
      <c r="A16" s="101">
        <f t="shared" si="1"/>
        <v>42252</v>
      </c>
      <c r="B16" s="172">
        <v>209</v>
      </c>
      <c r="C16" s="102">
        <v>158</v>
      </c>
      <c r="D16" s="103">
        <f t="shared" si="0"/>
        <v>-51</v>
      </c>
      <c r="E16" s="5"/>
      <c r="G16" s="5">
        <v>223</v>
      </c>
      <c r="H16" s="10">
        <v>40</v>
      </c>
      <c r="I16" s="5">
        <v>196</v>
      </c>
      <c r="J16" s="10">
        <v>26</v>
      </c>
      <c r="K16" s="5">
        <v>183</v>
      </c>
      <c r="L16" s="10">
        <v>38</v>
      </c>
    </row>
    <row r="17" spans="1:12">
      <c r="A17" s="101">
        <f t="shared" si="1"/>
        <v>42283</v>
      </c>
      <c r="B17" s="172">
        <v>697</v>
      </c>
      <c r="C17" s="102">
        <v>534</v>
      </c>
      <c r="D17" s="103">
        <f t="shared" si="0"/>
        <v>-163</v>
      </c>
      <c r="E17" s="5"/>
      <c r="G17" s="5">
        <v>549</v>
      </c>
      <c r="H17" s="10">
        <v>0</v>
      </c>
      <c r="I17" s="5">
        <v>554</v>
      </c>
      <c r="J17" s="10">
        <v>1</v>
      </c>
      <c r="K17" s="5">
        <v>540</v>
      </c>
      <c r="L17" s="10">
        <v>1</v>
      </c>
    </row>
    <row r="18" spans="1:12">
      <c r="A18" s="101">
        <f t="shared" si="1"/>
        <v>42314</v>
      </c>
      <c r="B18" s="172">
        <v>875</v>
      </c>
      <c r="C18" s="102">
        <v>863</v>
      </c>
      <c r="D18" s="103">
        <f t="shared" si="0"/>
        <v>-12</v>
      </c>
      <c r="E18" s="5"/>
      <c r="G18" s="5">
        <v>897</v>
      </c>
      <c r="H18" s="10">
        <v>0</v>
      </c>
      <c r="I18" s="5">
        <v>897</v>
      </c>
      <c r="J18" s="10">
        <v>0</v>
      </c>
      <c r="K18" s="5">
        <v>879</v>
      </c>
      <c r="L18" s="10">
        <v>0</v>
      </c>
    </row>
    <row r="19" spans="1:12">
      <c r="A19" s="101">
        <f t="shared" si="1"/>
        <v>42345</v>
      </c>
      <c r="B19" s="172">
        <v>972</v>
      </c>
      <c r="C19" s="102">
        <v>1132</v>
      </c>
      <c r="D19" s="103">
        <f t="shared" si="0"/>
        <v>160</v>
      </c>
      <c r="E19" s="5"/>
      <c r="G19" s="5">
        <v>1153</v>
      </c>
      <c r="H19" s="10">
        <v>0</v>
      </c>
      <c r="I19" s="5">
        <v>1168</v>
      </c>
      <c r="J19" s="10">
        <v>0</v>
      </c>
      <c r="K19" s="5">
        <v>1167</v>
      </c>
      <c r="L19" s="10">
        <v>0</v>
      </c>
    </row>
    <row r="20" spans="1:12">
      <c r="A20" s="104"/>
      <c r="B20" s="105">
        <f t="shared" ref="B20:D20" si="2">SUM(B7:B19)</f>
        <v>6748</v>
      </c>
      <c r="C20" s="105">
        <f t="shared" si="2"/>
        <v>6513</v>
      </c>
      <c r="D20" s="105">
        <f t="shared" si="2"/>
        <v>-235</v>
      </c>
      <c r="E20" s="7"/>
      <c r="G20" s="13">
        <f>SUM(G8:G19)</f>
        <v>6842</v>
      </c>
      <c r="H20" s="13">
        <f>SUM(H8:H19)</f>
        <v>398</v>
      </c>
      <c r="I20" s="6">
        <f>SUM(I7:I19)</f>
        <v>6820</v>
      </c>
      <c r="J20" s="6">
        <f>SUM(J7:J19)</f>
        <v>394</v>
      </c>
      <c r="K20" s="6">
        <f>SUM(K7:K19)</f>
        <v>6593</v>
      </c>
      <c r="L20" s="6">
        <f>SUM(L7:L19)</f>
        <v>450</v>
      </c>
    </row>
    <row r="21" spans="1:12" ht="12" customHeight="1"/>
    <row r="22" spans="1:12" ht="12" customHeight="1">
      <c r="A22" s="1" t="s">
        <v>261</v>
      </c>
      <c r="B22" s="108">
        <f>SUM(B17:B19,B8:B13)</f>
        <v>6528</v>
      </c>
      <c r="C22" s="220">
        <f>SUM(C17:C19,C8:C13)</f>
        <v>6299</v>
      </c>
      <c r="D22" s="108">
        <f>SUM(D17:D19,D8:D13)</f>
        <v>-229</v>
      </c>
      <c r="G22" s="108">
        <f>SUM(G17:G19,G8:G13)</f>
        <v>6533</v>
      </c>
      <c r="I22" s="108">
        <f>SUM(I17:I19,I8:I13)</f>
        <v>6538</v>
      </c>
      <c r="K22" s="108">
        <f>SUM(K17:K19,K8:K13)</f>
        <v>6345</v>
      </c>
    </row>
    <row r="24" spans="1:12">
      <c r="E24" s="9"/>
      <c r="G24"/>
    </row>
    <row r="25" spans="1:12">
      <c r="E25" s="9"/>
      <c r="G25"/>
    </row>
    <row r="26" spans="1:12">
      <c r="C26"/>
      <c r="E26" s="5"/>
      <c r="G26"/>
    </row>
    <row r="27" spans="1:12">
      <c r="C27"/>
      <c r="E27" s="5"/>
      <c r="G27"/>
    </row>
    <row r="28" spans="1:12">
      <c r="C28"/>
      <c r="E28" s="5"/>
      <c r="G28"/>
    </row>
    <row r="29" spans="1:12">
      <c r="C29"/>
      <c r="E29" s="5"/>
      <c r="G29"/>
    </row>
    <row r="30" spans="1:12">
      <c r="C30"/>
      <c r="E30" s="5"/>
      <c r="G30"/>
    </row>
    <row r="31" spans="1:12">
      <c r="C31"/>
      <c r="E31" s="5"/>
      <c r="G31"/>
    </row>
    <row r="32" spans="1:12">
      <c r="C32"/>
      <c r="E32" s="5"/>
      <c r="G32"/>
    </row>
    <row r="33" spans="3:16">
      <c r="C33"/>
      <c r="E33" s="5"/>
      <c r="G33"/>
    </row>
    <row r="34" spans="3:16">
      <c r="C34"/>
      <c r="E34" s="5"/>
      <c r="G34"/>
    </row>
    <row r="35" spans="3:16">
      <c r="C35"/>
      <c r="E35" s="5"/>
      <c r="G35"/>
    </row>
    <row r="36" spans="3:16">
      <c r="C36"/>
      <c r="E36" s="5"/>
      <c r="G36"/>
    </row>
    <row r="37" spans="3:16">
      <c r="C37"/>
      <c r="E37" s="5"/>
      <c r="G37"/>
    </row>
    <row r="38" spans="3:16">
      <c r="C38"/>
      <c r="E38" s="7"/>
      <c r="G38"/>
    </row>
    <row r="39" spans="3:16">
      <c r="G39"/>
    </row>
    <row r="40" spans="3:16">
      <c r="G40"/>
    </row>
    <row r="45" spans="3:16">
      <c r="O45" s="5"/>
      <c r="P45" s="5"/>
    </row>
    <row r="49" spans="6:10">
      <c r="H49" s="5"/>
      <c r="I49" s="5"/>
      <c r="J49" s="5"/>
    </row>
    <row r="57" spans="6:10">
      <c r="F57" s="14"/>
    </row>
    <row r="58" spans="6:10">
      <c r="F58" s="14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D34" sqref="D34"/>
    </sheetView>
  </sheetViews>
  <sheetFormatPr defaultRowHeight="12"/>
  <cols>
    <col min="1" max="1" width="6.25" customWidth="1"/>
    <col min="2" max="2" width="3.375" customWidth="1"/>
    <col min="3" max="3" width="21.875" customWidth="1"/>
    <col min="4" max="4" width="12.625" customWidth="1"/>
    <col min="5" max="5" width="15.125" customWidth="1"/>
  </cols>
  <sheetData>
    <row r="1" spans="1:5" ht="15">
      <c r="A1" s="145" t="s">
        <v>272</v>
      </c>
      <c r="B1" s="145"/>
      <c r="C1" s="145"/>
      <c r="D1" s="145"/>
    </row>
    <row r="2" spans="1:5" ht="15">
      <c r="A2" s="145" t="s">
        <v>277</v>
      </c>
      <c r="B2" s="145"/>
      <c r="C2" s="145"/>
      <c r="D2" s="145"/>
      <c r="E2" s="145" t="s">
        <v>315</v>
      </c>
    </row>
    <row r="3" spans="1:5" ht="15">
      <c r="A3" s="145" t="s">
        <v>354</v>
      </c>
      <c r="B3" s="145"/>
      <c r="C3" s="145"/>
      <c r="D3" s="145"/>
    </row>
    <row r="4" spans="1:5" ht="15">
      <c r="A4" s="145"/>
      <c r="B4" s="145"/>
      <c r="C4" s="145"/>
      <c r="D4" s="145"/>
    </row>
    <row r="5" spans="1:5" ht="15">
      <c r="A5" s="145"/>
      <c r="B5" s="145"/>
      <c r="C5" s="145"/>
      <c r="D5" s="145"/>
    </row>
    <row r="6" spans="1:5" ht="12.75">
      <c r="A6" s="147" t="s">
        <v>278</v>
      </c>
      <c r="B6" s="148"/>
      <c r="C6" s="148"/>
      <c r="D6" s="149"/>
    </row>
    <row r="7" spans="1:5" ht="45" customHeight="1">
      <c r="A7" s="150" t="s">
        <v>273</v>
      </c>
      <c r="B7" s="148"/>
      <c r="C7" s="148" t="s">
        <v>274</v>
      </c>
      <c r="D7" s="151" t="s">
        <v>275</v>
      </c>
      <c r="E7" s="152" t="s">
        <v>304</v>
      </c>
    </row>
    <row r="8" spans="1:5" ht="12.75">
      <c r="A8" s="153"/>
      <c r="B8" s="149"/>
      <c r="C8" s="149"/>
      <c r="D8" s="149"/>
      <c r="E8" s="163" t="s">
        <v>305</v>
      </c>
    </row>
    <row r="9" spans="1:5" ht="12.75">
      <c r="A9" s="150"/>
      <c r="B9" s="148" t="s">
        <v>279</v>
      </c>
      <c r="C9" s="148"/>
      <c r="D9" s="148"/>
      <c r="E9" s="146"/>
    </row>
    <row r="10" spans="1:5" ht="12.75">
      <c r="A10" s="154">
        <v>1</v>
      </c>
      <c r="B10" s="155" t="s">
        <v>280</v>
      </c>
      <c r="C10" s="155"/>
      <c r="D10" s="156">
        <v>0.95660000000000001</v>
      </c>
      <c r="E10" s="146">
        <f>ROUND('Gas by Mo'!C96/1000,0)</f>
        <v>-3931</v>
      </c>
    </row>
    <row r="11" spans="1:5" ht="12.75">
      <c r="A11" s="154">
        <v>2</v>
      </c>
      <c r="B11" s="157" t="s">
        <v>281</v>
      </c>
      <c r="C11" s="157"/>
      <c r="D11" s="157"/>
      <c r="E11" s="146"/>
    </row>
    <row r="12" spans="1:5" ht="12.75">
      <c r="A12" s="154">
        <v>3</v>
      </c>
      <c r="B12" s="157" t="s">
        <v>282</v>
      </c>
      <c r="C12" s="157"/>
      <c r="D12" s="157"/>
      <c r="E12" s="146">
        <f>ROUND('Gas by Mo'!C104/1000,0)</f>
        <v>2095</v>
      </c>
    </row>
    <row r="13" spans="1:5" ht="12.75">
      <c r="A13" s="154">
        <v>4</v>
      </c>
      <c r="B13" s="157" t="s">
        <v>283</v>
      </c>
      <c r="C13" s="157"/>
      <c r="D13" s="157"/>
      <c r="E13" s="158">
        <f>SUM(E10:E12)</f>
        <v>-1836</v>
      </c>
    </row>
    <row r="14" spans="1:5" ht="12.75">
      <c r="A14" s="154"/>
      <c r="B14" s="157"/>
      <c r="C14" s="157"/>
      <c r="D14" s="157"/>
      <c r="E14" s="146"/>
    </row>
    <row r="15" spans="1:5" ht="12.75">
      <c r="A15" s="154"/>
      <c r="B15" s="157" t="s">
        <v>284</v>
      </c>
      <c r="C15" s="157"/>
      <c r="D15" s="157"/>
      <c r="E15" s="146"/>
    </row>
    <row r="16" spans="1:5" ht="12.75">
      <c r="A16" s="154"/>
      <c r="B16" s="157" t="s">
        <v>285</v>
      </c>
      <c r="C16" s="157"/>
      <c r="D16" s="157"/>
      <c r="E16" s="146"/>
    </row>
    <row r="17" spans="1:5" ht="12.75">
      <c r="A17" s="154">
        <v>5</v>
      </c>
      <c r="B17" s="157"/>
      <c r="C17" s="157" t="s">
        <v>286</v>
      </c>
      <c r="D17" s="157"/>
      <c r="E17" s="146">
        <f>ROUND('Gas by Mo'!C130/1000,0)</f>
        <v>-1655</v>
      </c>
    </row>
    <row r="18" spans="1:5" ht="12.75">
      <c r="A18" s="154">
        <v>6</v>
      </c>
      <c r="B18" s="157"/>
      <c r="C18" s="157" t="s">
        <v>287</v>
      </c>
      <c r="D18" s="157"/>
      <c r="E18" s="146">
        <f>ROUND('Gas by Mo'!C131/1000,0)</f>
        <v>-3</v>
      </c>
    </row>
    <row r="19" spans="1:5" ht="12.75">
      <c r="A19" s="154">
        <v>7</v>
      </c>
      <c r="B19" s="157"/>
      <c r="C19" s="157" t="s">
        <v>288</v>
      </c>
      <c r="D19" s="157"/>
      <c r="E19" s="146"/>
    </row>
    <row r="20" spans="1:5" ht="12.75">
      <c r="A20" s="154">
        <v>8</v>
      </c>
      <c r="B20" s="157" t="s">
        <v>289</v>
      </c>
      <c r="C20" s="157"/>
      <c r="D20" s="157"/>
      <c r="E20" s="158">
        <f>SUM(E17:E19)</f>
        <v>-1658</v>
      </c>
    </row>
    <row r="21" spans="1:5" ht="12.75">
      <c r="A21" s="154"/>
      <c r="B21" s="157"/>
      <c r="C21" s="157"/>
      <c r="D21" s="157"/>
      <c r="E21" s="146"/>
    </row>
    <row r="22" spans="1:5" ht="12.75">
      <c r="A22" s="154"/>
      <c r="B22" s="157" t="s">
        <v>290</v>
      </c>
      <c r="C22" s="159"/>
      <c r="D22" s="159"/>
      <c r="E22" s="146"/>
    </row>
    <row r="23" spans="1:5" ht="12.75">
      <c r="A23" s="154">
        <v>9</v>
      </c>
      <c r="B23" s="157"/>
      <c r="C23" s="157" t="s">
        <v>291</v>
      </c>
      <c r="D23" s="157"/>
      <c r="E23" s="146"/>
    </row>
    <row r="24" spans="1:5" ht="12.75">
      <c r="A24" s="154">
        <v>10</v>
      </c>
      <c r="B24" s="157"/>
      <c r="C24" s="157" t="s">
        <v>276</v>
      </c>
      <c r="D24" s="157"/>
      <c r="E24" s="146"/>
    </row>
    <row r="25" spans="1:5" ht="12.75">
      <c r="A25" s="154">
        <v>11</v>
      </c>
      <c r="B25" s="157"/>
      <c r="C25" s="157" t="s">
        <v>292</v>
      </c>
      <c r="D25" s="157"/>
      <c r="E25" s="146"/>
    </row>
    <row r="26" spans="1:5" ht="12.75">
      <c r="A26" s="154">
        <v>12</v>
      </c>
      <c r="B26" s="157" t="s">
        <v>293</v>
      </c>
      <c r="C26" s="157"/>
      <c r="D26" s="157"/>
      <c r="E26" s="158">
        <f>SUM(E23:E25)</f>
        <v>0</v>
      </c>
    </row>
    <row r="27" spans="1:5" ht="12.75">
      <c r="A27" s="154"/>
      <c r="B27" s="157"/>
      <c r="C27" s="157"/>
      <c r="D27" s="157"/>
      <c r="E27" s="146"/>
    </row>
    <row r="28" spans="1:5" ht="12.75">
      <c r="A28" s="154"/>
      <c r="B28" s="157" t="s">
        <v>294</v>
      </c>
      <c r="C28" s="157"/>
      <c r="D28" s="157"/>
      <c r="E28" s="146"/>
    </row>
    <row r="29" spans="1:5" ht="12.75">
      <c r="A29" s="154">
        <v>13</v>
      </c>
      <c r="B29" s="157"/>
      <c r="C29" s="157" t="s">
        <v>291</v>
      </c>
      <c r="D29" s="156"/>
      <c r="E29" s="146"/>
    </row>
    <row r="30" spans="1:5" ht="12.75">
      <c r="A30" s="154">
        <v>14</v>
      </c>
      <c r="B30" s="157"/>
      <c r="C30" s="157" t="s">
        <v>276</v>
      </c>
      <c r="D30" s="156"/>
      <c r="E30" s="146"/>
    </row>
    <row r="31" spans="1:5" ht="12.75">
      <c r="A31" s="154">
        <v>15</v>
      </c>
      <c r="B31" s="157"/>
      <c r="C31" s="157" t="s">
        <v>292</v>
      </c>
      <c r="D31" s="156">
        <v>3.8405000000000002E-2</v>
      </c>
      <c r="E31" s="146">
        <f>(E$10)*$D31</f>
        <v>-151</v>
      </c>
    </row>
    <row r="32" spans="1:5" ht="12.75">
      <c r="A32" s="154">
        <v>16</v>
      </c>
      <c r="B32" s="157" t="s">
        <v>295</v>
      </c>
      <c r="C32" s="157"/>
      <c r="D32" s="156"/>
      <c r="E32" s="158">
        <f>SUM(E29:E31)</f>
        <v>-151</v>
      </c>
    </row>
    <row r="33" spans="1:5" ht="12.75">
      <c r="A33" s="154"/>
      <c r="B33" s="157"/>
      <c r="C33" s="157"/>
      <c r="D33" s="156"/>
      <c r="E33" s="146"/>
    </row>
    <row r="34" spans="1:5" ht="12.75">
      <c r="A34" s="154">
        <v>17</v>
      </c>
      <c r="B34" s="157" t="s">
        <v>296</v>
      </c>
      <c r="C34" s="157"/>
      <c r="D34" s="156">
        <v>2.996E-3</v>
      </c>
      <c r="E34" s="146">
        <f>(E$10)*$D34</f>
        <v>-12</v>
      </c>
    </row>
    <row r="35" spans="1:5" ht="12.75">
      <c r="A35" s="154">
        <v>18</v>
      </c>
      <c r="B35" s="157" t="s">
        <v>297</v>
      </c>
      <c r="C35" s="157"/>
      <c r="D35" s="156"/>
      <c r="E35" s="146"/>
    </row>
    <row r="36" spans="1:5" ht="12.75">
      <c r="A36" s="154">
        <v>19</v>
      </c>
      <c r="B36" s="157" t="s">
        <v>298</v>
      </c>
      <c r="C36" s="157"/>
      <c r="D36" s="156"/>
      <c r="E36" s="146"/>
    </row>
    <row r="37" spans="1:5" ht="12.75">
      <c r="A37" s="154"/>
      <c r="B37" s="157"/>
      <c r="C37" s="157"/>
      <c r="D37" s="156"/>
      <c r="E37" s="146"/>
    </row>
    <row r="38" spans="1:5" ht="12.75">
      <c r="A38" s="154"/>
      <c r="B38" s="157" t="s">
        <v>299</v>
      </c>
      <c r="C38" s="157"/>
      <c r="D38" s="156"/>
      <c r="E38" s="146"/>
    </row>
    <row r="39" spans="1:5" ht="12.75">
      <c r="A39" s="160">
        <v>20</v>
      </c>
      <c r="B39" s="157"/>
      <c r="C39" s="157" t="s">
        <v>291</v>
      </c>
      <c r="D39" s="156">
        <v>2E-3</v>
      </c>
      <c r="E39" s="146">
        <f>(E$10)*$D39</f>
        <v>-8</v>
      </c>
    </row>
    <row r="40" spans="1:5" ht="12.75">
      <c r="A40" s="154">
        <v>21</v>
      </c>
      <c r="B40" s="157"/>
      <c r="C40" s="157" t="s">
        <v>276</v>
      </c>
      <c r="D40" s="157"/>
      <c r="E40" s="146"/>
    </row>
    <row r="41" spans="1:5" ht="12.75">
      <c r="A41" s="154">
        <v>22</v>
      </c>
      <c r="B41" s="157"/>
      <c r="C41" s="157" t="s">
        <v>300</v>
      </c>
      <c r="D41" s="157"/>
      <c r="E41" s="146"/>
    </row>
    <row r="42" spans="1:5" ht="12.75">
      <c r="A42" s="154">
        <v>23</v>
      </c>
      <c r="B42" s="157"/>
      <c r="C42" s="157" t="s">
        <v>292</v>
      </c>
      <c r="D42" s="157"/>
      <c r="E42" s="146"/>
    </row>
    <row r="43" spans="1:5" ht="12.75">
      <c r="A43" s="154">
        <v>24</v>
      </c>
      <c r="B43" s="157" t="s">
        <v>301</v>
      </c>
      <c r="C43" s="157"/>
      <c r="D43" s="157"/>
      <c r="E43" s="158">
        <f>SUM(E39:E42)</f>
        <v>-8</v>
      </c>
    </row>
    <row r="44" spans="1:5" ht="15">
      <c r="A44" s="161">
        <v>25</v>
      </c>
      <c r="B44" s="162" t="s">
        <v>302</v>
      </c>
      <c r="C44" s="162"/>
      <c r="D44" s="145"/>
      <c r="E44" s="146">
        <f>E20+E26+E32+E34+E35+E36+E43</f>
        <v>-1829</v>
      </c>
    </row>
    <row r="45" spans="1:5" ht="15">
      <c r="A45" s="161"/>
      <c r="B45" s="162"/>
      <c r="C45" s="162"/>
      <c r="D45" s="145"/>
      <c r="E45" s="146"/>
    </row>
    <row r="46" spans="1:5" ht="15">
      <c r="A46" s="161">
        <v>26</v>
      </c>
      <c r="B46" s="162" t="s">
        <v>303</v>
      </c>
      <c r="C46" s="162"/>
      <c r="D46" s="145"/>
      <c r="E46" s="146">
        <f>E13-E44</f>
        <v>-7</v>
      </c>
    </row>
  </sheetData>
  <pageMargins left="0.7" right="0.7" top="0.38" bottom="0.33" header="0.54" footer="0.3"/>
  <pageSetup scale="7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6B154C-F1A8-4416-A8F2-784DCCBDD3DC}"/>
</file>

<file path=customXml/itemProps2.xml><?xml version="1.0" encoding="utf-8"?>
<ds:datastoreItem xmlns:ds="http://schemas.openxmlformats.org/officeDocument/2006/customXml" ds:itemID="{304EDDFB-555B-4373-ACF4-BD2552CC08C7}"/>
</file>

<file path=customXml/itemProps3.xml><?xml version="1.0" encoding="utf-8"?>
<ds:datastoreItem xmlns:ds="http://schemas.openxmlformats.org/officeDocument/2006/customXml" ds:itemID="{5191813A-6EF4-42FF-9429-2380863B1FEA}"/>
</file>

<file path=customXml/itemProps4.xml><?xml version="1.0" encoding="utf-8"?>
<ds:datastoreItem xmlns:ds="http://schemas.openxmlformats.org/officeDocument/2006/customXml" ds:itemID="{E71C08E8-1BF0-44C2-A205-CB96EF1C0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Gas by Mo</vt:lpstr>
      <vt:lpstr>Gas Factors</vt:lpstr>
      <vt:lpstr>30 yr avg Heating </vt:lpstr>
      <vt:lpstr>Cust Data</vt:lpstr>
      <vt:lpstr>DDH</vt:lpstr>
      <vt:lpstr>WA Adj Summary</vt:lpstr>
      <vt:lpstr>'30 yr avg Heating '!Print_Area</vt:lpstr>
      <vt:lpstr>'Cust Data'!Print_Area</vt:lpstr>
      <vt:lpstr>DDH!Print_Area</vt:lpstr>
      <vt:lpstr>'Gas by Mo'!Print_Area</vt:lpstr>
      <vt:lpstr>'Gas Factors'!Print_Area</vt:lpstr>
      <vt:lpstr>'Gas by Mo'!Print_Titles</vt:lpstr>
      <vt:lpstr>'Gas Factors'!Print_Titles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2019-02-19T22:00:15Z</cp:lastPrinted>
  <dcterms:created xsi:type="dcterms:W3CDTF">1997-07-31T22:54:06Z</dcterms:created>
  <dcterms:modified xsi:type="dcterms:W3CDTF">2020-04-21T23:05:28Z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