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Deferrals\Deferrals 2020\2-2020\WA\"/>
    </mc:Choice>
  </mc:AlternateContent>
  <xr:revisionPtr revIDLastSave="0" documentId="13_ncr:1_{49C201F5-7E30-4662-8888-A05A5A9B7891}" xr6:coauthVersionLast="44" xr6:coauthVersionMax="44" xr10:uidLastSave="{00000000-0000-0000-0000-000000000000}"/>
  <bookViews>
    <workbookView xWindow="-23205" yWindow="1905" windowWidth="21600" windowHeight="11100" xr2:uid="{3F7DBF06-4718-478E-B17B-5EF59DADDFD1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Incurred'!$B$1:$Z$48</definedName>
    <definedName name="_xlnm.Print_Area" localSheetId="2">DEFERRALS!$B$1:$H$24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7" i="14"/>
  <c r="E7" i="14"/>
  <c r="F7" i="14"/>
  <c r="F9" i="14" s="1"/>
  <c r="G8" i="14"/>
  <c r="D9" i="14"/>
  <c r="D11" i="14" s="1"/>
  <c r="E9" i="14"/>
  <c r="E11" i="14" s="1"/>
  <c r="D10" i="14"/>
  <c r="E10" i="14"/>
  <c r="G10" i="14"/>
  <c r="G12" i="14"/>
  <c r="G13" i="14"/>
  <c r="D14" i="14" l="1"/>
  <c r="D20" i="14" s="1"/>
  <c r="E20" i="14"/>
  <c r="G20" i="14" s="1"/>
  <c r="E14" i="14"/>
  <c r="F14" i="14"/>
  <c r="F20" i="14" s="1"/>
  <c r="F11" i="14"/>
  <c r="G7" i="14"/>
  <c r="G9" i="14" s="1"/>
  <c r="G11" i="14" s="1"/>
  <c r="G14" i="14" s="1"/>
  <c r="V71" i="13" l="1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W43" i="13"/>
  <c r="AC42" i="13"/>
  <c r="AC44" i="13" s="1"/>
  <c r="AB42" i="13"/>
  <c r="AB44" i="13" s="1"/>
  <c r="Z42" i="13"/>
  <c r="Z44" i="13" s="1"/>
  <c r="W42" i="13"/>
  <c r="W44" i="13" s="1"/>
  <c r="Q47" i="13" s="1"/>
  <c r="AC38" i="13"/>
  <c r="AC40" i="13" s="1"/>
  <c r="AB38" i="13"/>
  <c r="AB40" i="13" s="1"/>
  <c r="Z38" i="13"/>
  <c r="Z40" i="13" s="1"/>
  <c r="W38" i="13"/>
  <c r="W40" i="13" s="1"/>
  <c r="N37" i="13"/>
  <c r="K37" i="13"/>
  <c r="H37" i="13"/>
  <c r="N36" i="13"/>
  <c r="K36" i="13"/>
  <c r="H36" i="13"/>
  <c r="N35" i="13"/>
  <c r="K35" i="13"/>
  <c r="H35" i="13" s="1"/>
  <c r="N34" i="13"/>
  <c r="K34" i="13"/>
  <c r="H34" i="13" s="1"/>
  <c r="N33" i="13"/>
  <c r="K33" i="13"/>
  <c r="H33" i="13"/>
  <c r="N32" i="13"/>
  <c r="K32" i="13"/>
  <c r="H32" i="13"/>
  <c r="N31" i="13"/>
  <c r="K31" i="13"/>
  <c r="H31" i="13" s="1"/>
  <c r="N30" i="13"/>
  <c r="K30" i="13"/>
  <c r="H30" i="13" s="1"/>
  <c r="N29" i="13"/>
  <c r="K29" i="13"/>
  <c r="H29" i="13"/>
  <c r="N28" i="13"/>
  <c r="K28" i="13"/>
  <c r="H28" i="13"/>
  <c r="N27" i="13"/>
  <c r="K27" i="13"/>
  <c r="H27" i="13" s="1"/>
  <c r="N26" i="13"/>
  <c r="K26" i="13"/>
  <c r="H26" i="13" s="1"/>
  <c r="T25" i="13"/>
  <c r="T38" i="13" s="1"/>
  <c r="Q25" i="13"/>
  <c r="Q38" i="13" s="1"/>
  <c r="N25" i="13"/>
  <c r="K25" i="13"/>
  <c r="H25" i="13" s="1"/>
  <c r="N24" i="13"/>
  <c r="N38" i="13" s="1"/>
  <c r="K24" i="13"/>
  <c r="H24" i="13" s="1"/>
  <c r="AC22" i="13"/>
  <c r="AB22" i="13"/>
  <c r="Z22" i="13"/>
  <c r="W22" i="13"/>
  <c r="T21" i="13"/>
  <c r="Q21" i="13"/>
  <c r="K21" i="13" s="1"/>
  <c r="H21" i="13" s="1"/>
  <c r="N21" i="13"/>
  <c r="T20" i="13"/>
  <c r="N20" i="13" s="1"/>
  <c r="H20" i="13" s="1"/>
  <c r="K20" i="13"/>
  <c r="N19" i="13"/>
  <c r="K19" i="13"/>
  <c r="H19" i="13" s="1"/>
  <c r="N18" i="13"/>
  <c r="K18" i="13"/>
  <c r="H18" i="13" s="1"/>
  <c r="T17" i="13"/>
  <c r="T22" i="13" s="1"/>
  <c r="Q17" i="13"/>
  <c r="Q22" i="13" s="1"/>
  <c r="N17" i="13"/>
  <c r="N22" i="13" s="1"/>
  <c r="K17" i="13"/>
  <c r="H17" i="13" s="1"/>
  <c r="AC15" i="13"/>
  <c r="AB15" i="13"/>
  <c r="Z15" i="13"/>
  <c r="Y15" i="13"/>
  <c r="Y40" i="13" s="1"/>
  <c r="W15" i="13"/>
  <c r="V15" i="13"/>
  <c r="V40" i="13" s="1"/>
  <c r="P15" i="13"/>
  <c r="P40" i="13" s="1"/>
  <c r="N14" i="13"/>
  <c r="H14" i="13" s="1"/>
  <c r="M14" i="13"/>
  <c r="K14" i="13"/>
  <c r="J14" i="13"/>
  <c r="G14" i="13"/>
  <c r="N13" i="13"/>
  <c r="M13" i="13"/>
  <c r="K13" i="13"/>
  <c r="H13" i="13" s="1"/>
  <c r="J13" i="13"/>
  <c r="G13" i="13" s="1"/>
  <c r="N12" i="13"/>
  <c r="M12" i="13"/>
  <c r="G12" i="13" s="1"/>
  <c r="K12" i="13"/>
  <c r="H12" i="13" s="1"/>
  <c r="J12" i="13"/>
  <c r="N11" i="13"/>
  <c r="M11" i="13"/>
  <c r="K11" i="13"/>
  <c r="J11" i="13"/>
  <c r="G11" i="13" s="1"/>
  <c r="H11" i="13"/>
  <c r="T10" i="13"/>
  <c r="T15" i="13" s="1"/>
  <c r="S10" i="13"/>
  <c r="S15" i="13" s="1"/>
  <c r="S40" i="13" s="1"/>
  <c r="Q10" i="13"/>
  <c r="P10" i="13"/>
  <c r="M10" i="13"/>
  <c r="G10" i="13" s="1"/>
  <c r="K10" i="13"/>
  <c r="J10" i="13"/>
  <c r="N9" i="13"/>
  <c r="K9" i="13"/>
  <c r="H9" i="13"/>
  <c r="Q8" i="13"/>
  <c r="Q15" i="13" s="1"/>
  <c r="N8" i="13"/>
  <c r="M8" i="13"/>
  <c r="M15" i="13" s="1"/>
  <c r="M40" i="13" s="1"/>
  <c r="J8" i="13"/>
  <c r="G8" i="13" s="1"/>
  <c r="N7" i="13"/>
  <c r="K7" i="13"/>
  <c r="H7" i="13" s="1"/>
  <c r="N6" i="13"/>
  <c r="K6" i="13"/>
  <c r="H6" i="13"/>
  <c r="W3" i="13"/>
  <c r="W1" i="13"/>
  <c r="L45" i="10"/>
  <c r="K45" i="10"/>
  <c r="I45" i="10"/>
  <c r="H45" i="10"/>
  <c r="G45" i="10"/>
  <c r="G47" i="10" s="1"/>
  <c r="G49" i="10" s="1"/>
  <c r="G72" i="10" s="1"/>
  <c r="L43" i="10"/>
  <c r="K43" i="10"/>
  <c r="I43" i="10"/>
  <c r="H43" i="10"/>
  <c r="L42" i="10"/>
  <c r="K42" i="10"/>
  <c r="J42" i="10"/>
  <c r="M42" i="10" s="1"/>
  <c r="I42" i="10"/>
  <c r="H42" i="10"/>
  <c r="K41" i="10"/>
  <c r="I41" i="10"/>
  <c r="L41" i="10" s="1"/>
  <c r="H41" i="10"/>
  <c r="I40" i="10"/>
  <c r="L40" i="10" s="1"/>
  <c r="H40" i="10"/>
  <c r="K40" i="10" s="1"/>
  <c r="I39" i="10"/>
  <c r="L39" i="10" s="1"/>
  <c r="H39" i="10"/>
  <c r="K39" i="10" s="1"/>
  <c r="I38" i="10"/>
  <c r="L38" i="10" s="1"/>
  <c r="H38" i="10"/>
  <c r="K38" i="10" s="1"/>
  <c r="I36" i="10"/>
  <c r="L36" i="10" s="1"/>
  <c r="H36" i="10"/>
  <c r="K36" i="10" s="1"/>
  <c r="I35" i="10"/>
  <c r="L35" i="10" s="1"/>
  <c r="H35" i="10"/>
  <c r="K35" i="10" s="1"/>
  <c r="L34" i="10"/>
  <c r="H34" i="10"/>
  <c r="K34" i="10" s="1"/>
  <c r="L32" i="10"/>
  <c r="K32" i="10"/>
  <c r="J32" i="10"/>
  <c r="M32" i="10" s="1"/>
  <c r="I32" i="10"/>
  <c r="H32" i="10"/>
  <c r="K31" i="10"/>
  <c r="J31" i="10"/>
  <c r="M31" i="10" s="1"/>
  <c r="I31" i="10"/>
  <c r="L31" i="10" s="1"/>
  <c r="H31" i="10"/>
  <c r="J30" i="10"/>
  <c r="M30" i="10" s="1"/>
  <c r="I30" i="10"/>
  <c r="L30" i="10" s="1"/>
  <c r="H30" i="10"/>
  <c r="K30" i="10" s="1"/>
  <c r="I28" i="10"/>
  <c r="L28" i="10" s="1"/>
  <c r="H28" i="10"/>
  <c r="K28" i="10" s="1"/>
  <c r="I27" i="10"/>
  <c r="L27" i="10" s="1"/>
  <c r="H27" i="10"/>
  <c r="K27" i="10" s="1"/>
  <c r="I26" i="10"/>
  <c r="L26" i="10" s="1"/>
  <c r="H26" i="10"/>
  <c r="K26" i="10" s="1"/>
  <c r="H24" i="10"/>
  <c r="K24" i="10" s="1"/>
  <c r="L23" i="10"/>
  <c r="K23" i="10"/>
  <c r="I23" i="10"/>
  <c r="H23" i="10"/>
  <c r="K22" i="10"/>
  <c r="J22" i="10"/>
  <c r="M22" i="10" s="1"/>
  <c r="H22" i="10"/>
  <c r="K21" i="10"/>
  <c r="J21" i="10"/>
  <c r="M21" i="10" s="1"/>
  <c r="I21" i="10"/>
  <c r="I22" i="10" s="1"/>
  <c r="H21" i="10"/>
  <c r="J20" i="10"/>
  <c r="M20" i="10" s="1"/>
  <c r="I20" i="10"/>
  <c r="L20" i="10" s="1"/>
  <c r="H20" i="10"/>
  <c r="K20" i="10" s="1"/>
  <c r="N20" i="10" s="1"/>
  <c r="U19" i="10"/>
  <c r="R19" i="10"/>
  <c r="K19" i="10"/>
  <c r="J19" i="10"/>
  <c r="M19" i="10" s="1"/>
  <c r="I19" i="10"/>
  <c r="L19" i="10" s="1"/>
  <c r="H19" i="10"/>
  <c r="U18" i="10"/>
  <c r="L18" i="10"/>
  <c r="J18" i="10"/>
  <c r="M18" i="10" s="1"/>
  <c r="H18" i="10"/>
  <c r="K18" i="10" s="1"/>
  <c r="N18" i="10" s="1"/>
  <c r="J16" i="10"/>
  <c r="I16" i="10"/>
  <c r="L16" i="10" s="1"/>
  <c r="H16" i="10"/>
  <c r="K16" i="10" s="1"/>
  <c r="N16" i="10" s="1"/>
  <c r="U15" i="10"/>
  <c r="R15" i="10"/>
  <c r="J15" i="10"/>
  <c r="I15" i="10"/>
  <c r="L15" i="10" s="1"/>
  <c r="H15" i="10"/>
  <c r="K15" i="10" s="1"/>
  <c r="N15" i="10" s="1"/>
  <c r="L14" i="10"/>
  <c r="H14" i="10"/>
  <c r="K14" i="10" s="1"/>
  <c r="L12" i="10"/>
  <c r="K12" i="10"/>
  <c r="N12" i="10" s="1"/>
  <c r="J12" i="10"/>
  <c r="I12" i="10"/>
  <c r="H12" i="10"/>
  <c r="J11" i="10"/>
  <c r="I11" i="10"/>
  <c r="L11" i="10" s="1"/>
  <c r="H11" i="10"/>
  <c r="K11" i="10" s="1"/>
  <c r="N11" i="10" s="1"/>
  <c r="L10" i="10"/>
  <c r="K10" i="10"/>
  <c r="J10" i="10"/>
  <c r="J45" i="10" s="1"/>
  <c r="U9" i="10"/>
  <c r="T9" i="10"/>
  <c r="R9" i="10"/>
  <c r="Q9" i="10"/>
  <c r="M9" i="10"/>
  <c r="L9" i="10"/>
  <c r="K9" i="10"/>
  <c r="N9" i="10" s="1"/>
  <c r="I8" i="10"/>
  <c r="J8" i="10" s="1"/>
  <c r="R7" i="10"/>
  <c r="F3" i="10"/>
  <c r="T40" i="13" l="1"/>
  <c r="H22" i="13"/>
  <c r="G15" i="13"/>
  <c r="G40" i="13" s="1"/>
  <c r="H38" i="13"/>
  <c r="T47" i="13"/>
  <c r="AE44" i="13"/>
  <c r="AE46" i="13" s="1"/>
  <c r="Q40" i="13"/>
  <c r="N10" i="13"/>
  <c r="N15" i="13" s="1"/>
  <c r="N40" i="13" s="1"/>
  <c r="N43" i="13"/>
  <c r="J15" i="13"/>
  <c r="J40" i="13" s="1"/>
  <c r="K38" i="13"/>
  <c r="Q42" i="13"/>
  <c r="Q43" i="13"/>
  <c r="K22" i="13"/>
  <c r="T42" i="13"/>
  <c r="T43" i="13"/>
  <c r="K43" i="13"/>
  <c r="K8" i="13"/>
  <c r="N32" i="10"/>
  <c r="N43" i="10"/>
  <c r="N22" i="10"/>
  <c r="N28" i="10"/>
  <c r="N31" i="10"/>
  <c r="N42" i="10"/>
  <c r="I24" i="10"/>
  <c r="L24" i="10" s="1"/>
  <c r="N24" i="10" s="1"/>
  <c r="L22" i="10"/>
  <c r="N23" i="10"/>
  <c r="N19" i="10"/>
  <c r="N30" i="10"/>
  <c r="J41" i="10"/>
  <c r="M41" i="10" s="1"/>
  <c r="N41" i="10" s="1"/>
  <c r="J40" i="10"/>
  <c r="M40" i="10" s="1"/>
  <c r="N40" i="10" s="1"/>
  <c r="M45" i="10"/>
  <c r="N45" i="10" s="1"/>
  <c r="L21" i="10"/>
  <c r="N21" i="10" s="1"/>
  <c r="J28" i="10"/>
  <c r="M28" i="10" s="1"/>
  <c r="J39" i="10"/>
  <c r="M39" i="10" s="1"/>
  <c r="N39" i="10" s="1"/>
  <c r="J27" i="10"/>
  <c r="M27" i="10" s="1"/>
  <c r="N27" i="10" s="1"/>
  <c r="J38" i="10"/>
  <c r="M38" i="10" s="1"/>
  <c r="N38" i="10" s="1"/>
  <c r="J14" i="10"/>
  <c r="M14" i="10" s="1"/>
  <c r="N14" i="10" s="1"/>
  <c r="J26" i="10"/>
  <c r="M26" i="10" s="1"/>
  <c r="N26" i="10" s="1"/>
  <c r="J35" i="10"/>
  <c r="M35" i="10" s="1"/>
  <c r="N35" i="10" s="1"/>
  <c r="O35" i="10" s="1"/>
  <c r="J36" i="10"/>
  <c r="M36" i="10" s="1"/>
  <c r="N36" i="10" s="1"/>
  <c r="K47" i="10"/>
  <c r="K49" i="10" s="1"/>
  <c r="M10" i="10"/>
  <c r="M47" i="10" s="1"/>
  <c r="M49" i="10" s="1"/>
  <c r="J24" i="10"/>
  <c r="M24" i="10" s="1"/>
  <c r="J34" i="10"/>
  <c r="M34" i="10" s="1"/>
  <c r="N34" i="10" s="1"/>
  <c r="J23" i="10"/>
  <c r="M23" i="10" s="1"/>
  <c r="J43" i="10"/>
  <c r="M43" i="10" s="1"/>
  <c r="T44" i="13" l="1"/>
  <c r="T46" i="13" s="1"/>
  <c r="T48" i="13" s="1"/>
  <c r="H10" i="13"/>
  <c r="K42" i="13"/>
  <c r="K44" i="13" s="1"/>
  <c r="H8" i="13"/>
  <c r="H15" i="13" s="1"/>
  <c r="H40" i="13" s="1"/>
  <c r="K15" i="13"/>
  <c r="K40" i="13" s="1"/>
  <c r="Q44" i="13"/>
  <c r="Q46" i="13" s="1"/>
  <c r="Q48" i="13" s="1"/>
  <c r="N42" i="13"/>
  <c r="N44" i="13" s="1"/>
  <c r="L47" i="10"/>
  <c r="L49" i="10" s="1"/>
  <c r="N10" i="10"/>
  <c r="N47" i="10" s="1"/>
  <c r="K46" i="13" l="1"/>
  <c r="N49" i="10"/>
  <c r="Q4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6CD874A5-802A-49F3-B6B4-D4F65430ED3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FEDF9965-7D5C-4568-A998-6F77040DE254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F1A6DA69-DBC7-4A1D-A400-E91E95776D99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561E6B47-C20B-4642-9208-CEDD661B43E3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32A004A4-2676-4044-82ED-950FADF2074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1CB457A0-BB81-45D2-B33D-8F76852F4B6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A8B04B01-50AB-4648-8B45-A1FEB1433319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F619471A-D8A8-4214-85E3-1BB7FE2B957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3A7D5E99-9BFD-49C1-A0ED-A50CBB45BE5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F8840DAE-8447-4B04-9511-5CB19A151AB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9B571216-C973-4D6E-B54B-4DFA0EA249A1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7C4C794C-6610-4821-9DE1-6D20E6CB15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BE4B3835-6618-48FC-9903-DC6E71247F2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CC9F30C9-4FF1-4DA5-BD7F-975E77F0458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639C5250-7F3F-4CEE-8532-D8BA045A4CE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8DE8A757-956B-4297-98C5-9A0157C3059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E5FC1E88-7216-4A78-BDBC-7CA35B09B69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A4D51769-8374-456A-969E-6403130EFF4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0EE4F89F-3C9C-4CED-8650-DB684B9EFA0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22E82C9E-3E32-4EBD-BD89-4C92800A391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10F1CDBF-2957-4B24-8E43-76B0855BF53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025E6C9A-014A-4076-A508-0651C021492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F991160E-5E76-4627-A0AF-AC5B26285BC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9473A42B-B8DB-40E0-B218-161973199D7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C786D545-997E-4712-9052-3CDAAE65B5A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9BE936B5-D031-49B8-9D49-E24DC4D262E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BD086FD1-0DD7-489F-A45C-D192D018026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861DF982-60B8-4C57-AEFB-4CE01B5AD10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82A6CD7E-25C8-49B5-A009-33FF59A4BE7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CBDC0849-5657-45E9-B983-48AA3BC4558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6C1A6B37-B3B8-42CA-838F-343FF980860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45310790-FA86-4CC0-B9CD-0B495C99C63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8BADC884-25B9-4F29-8B5C-D87F5B4EB06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91F23420-144D-42BF-966F-768B2BA10F0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7C994360-3824-4637-B94B-0D0549E0317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A0086CFE-9731-417F-9C04-07B27B08DBED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2D633B8B-38C5-4CEA-992B-07C2AC722AA4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1F3A1684-E6DA-49AE-B237-BA27AD59B242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BCEB557A-4ACC-4361-8635-9D99BECC10F2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C6FAE092-8C7F-49BA-A659-0BEEEA298961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85A809CB-07FD-4A35-8A83-2DF8B7BE9ED8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1E24ED33-3812-46A2-899B-F0CC40E26C9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4638C519-A4AA-4C03-B770-4C843CA450E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D8A5C42B-B4BA-4901-9536-0D173F266F8A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<sst xmlns="http://schemas.openxmlformats.org/spreadsheetml/2006/main" count="460" uniqueCount="203">
  <si>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</si>
  <si>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</si>
  <si>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</si>
  <si>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</si>
  <si>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</si>
  <si>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</si>
  <si>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</si>
  <si>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</si>
  <si>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</si>
  <si>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</si>
  <si>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</si>
  <si>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</si>
  <si>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</si>
  <si>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</si>
  <si>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Under the Rates - Effective 11/1/2019</t>
  </si>
  <si>
    <t>Under the Rates - Effective 11/1/2018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</si>
  <si>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</si>
  <si>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</si>
  <si>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</si>
  <si>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</si>
  <si>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</si>
  <si>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</si>
  <si>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</si>
  <si>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</si>
  <si>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</si>
  <si>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</si>
  <si>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</si>
  <si>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</si>
  <si>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</si>
  <si>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</si>
  <si>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</si>
  <si>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</si>
  <si>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</si>
  <si>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</si>
  <si>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</si>
  <si>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</si>
  <si>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</si>
  <si>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</si>
  <si>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</si>
  <si>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</si>
  <si>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</si>
  <si>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</si>
  <si>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</si>
  <si>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</si>
  <si>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</si>
  <si>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</si>
  <si>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</si>
  <si>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</si>
  <si>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</si>
  <si>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</si>
  <si>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</si>
  <si>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</si>
  <si>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</si>
  <si>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</si>
  <si>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</si>
  <si>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</si>
  <si>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</si>
  <si>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</si>
  <si>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</si>
  <si>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</si>
  <si>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</si>
  <si>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</si>
  <si>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</si>
  <si>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</si>
  <si>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</si>
  <si>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</si>
  <si>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</si>
  <si>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</si>
  <si>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</si>
  <si>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</si>
  <si>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</si>
  <si>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</si>
  <si>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</si>
  <si>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</si>
  <si>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</si>
  <si>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</si>
  <si>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</si>
  <si>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</si>
  <si>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</si>
  <si>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</si>
  <si>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</si>
  <si>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</si>
  <si>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</si>
  <si>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</si>
  <si>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</si>
  <si>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</si>
  <si>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</si>
  <si>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</si>
  <si>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</si>
  <si>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</si>
  <si>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</si>
  <si>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</si>
  <si>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</si>
  <si>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</si>
  <si>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</si>
  <si>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</si>
  <si>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</si>
  <si>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</si>
  <si>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</si>
  <si>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</si>
  <si>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</si>
  <si>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</si>
  <si>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</si>
  <si>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</si>
  <si>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</si>
  <si>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</si>
  <si>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</si>
  <si>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</si>
  <si>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</si>
  <si>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</si>
  <si>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</si>
  <si>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</si>
  <si>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</si>
  <si>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</si>
  <si>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</si>
  <si>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</si>
  <si>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</si>
  <si>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</si>
  <si>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</si>
  <si>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</si>
  <si>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</si>
  <si>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</si>
  <si>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</si>
  <si>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</si>
  <si>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</si>
  <si>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Pg 3</t>
  </si>
  <si>
    <t>CNGWA 11LV</t>
  </si>
  <si>
    <t>WASHINGTON - New Rates 2019</t>
  </si>
  <si>
    <t>Nov 1 2019</t>
  </si>
  <si>
    <t>Change Demand rate in March to .16013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</si>
  <si>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</si>
  <si>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</si>
  <si>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</si>
  <si>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</si>
  <si>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</si>
  <si>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</si>
  <si>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</si>
  <si>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</si>
  <si>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</si>
  <si>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</si>
  <si>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</si>
  <si>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</si>
  <si>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</si>
  <si>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</si>
  <si>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</si>
  <si>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</si>
  <si>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</si>
  <si>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</si>
  <si>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</si>
  <si>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</si>
  <si>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</si>
  <si>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</si>
  <si>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</si>
  <si>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</si>
  <si>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</si>
  <si>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</si>
  <si>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</si>
  <si>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</si>
  <si>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</si>
  <si>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</si>
  <si>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</si>
  <si>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</si>
  <si>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</si>
  <si>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</si>
  <si>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</si>
  <si>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</si>
  <si>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</si>
  <si>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</si>
  <si>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</si>
  <si>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</si>
  <si>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</si>
  <si>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</si>
  <si>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</si>
  <si>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</si>
  <si>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</si>
  <si>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</si>
  <si>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</si>
  <si>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</si>
  <si>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</si>
  <si>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</si>
  <si>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</si>
  <si>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</si>
  <si>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</si>
  <si>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</si>
  <si>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</si>
  <si>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</si>
  <si>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</si>
  <si>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</si>
  <si>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</si>
  <si>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</si>
  <si>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</si>
  <si>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</si>
  <si>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2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</si>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</sst>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0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0" fontId="5" fillId="0" borderId="0" xfId="0" applyFont="1"/>
    <xf numFmtId="44" fontId="2" fillId="0" borderId="0" xfId="2" applyFont="1"/>
    <xf numFmtId="165" fontId="1" fillId="0" borderId="0" xfId="1" applyNumberFormat="1"/>
    <xf numFmtId="165" fontId="5" fillId="0" borderId="0" xfId="1" applyNumberFormat="1" applyFont="1"/>
    <xf numFmtId="49" fontId="2" fillId="0" borderId="0" xfId="1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/>
    <xf numFmtId="0" fontId="1" fillId="5" borderId="0" xfId="0" applyFont="1" applyFill="1"/>
    <xf numFmtId="49" fontId="1" fillId="5" borderId="0" xfId="1" applyNumberFormat="1" applyFill="1"/>
    <xf numFmtId="49" fontId="1" fillId="5" borderId="0" xfId="0" applyNumberFormat="1" applyFont="1" applyFill="1"/>
    <xf numFmtId="165" fontId="1" fillId="5" borderId="0" xfId="1" applyNumberFormat="1" applyFill="1" applyAlignment="1">
      <alignment horizontal="center"/>
    </xf>
    <xf numFmtId="166" fontId="1" fillId="5" borderId="0" xfId="2" applyNumberFormat="1" applyFill="1" applyAlignment="1">
      <alignment horizontal="center"/>
    </xf>
    <xf numFmtId="166" fontId="1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165" fontId="22" fillId="0" borderId="0" xfId="1" applyNumberFormat="1" applyFont="1"/>
    <xf numFmtId="166" fontId="23" fillId="8" borderId="0" xfId="2" applyNumberFormat="1" applyFont="1" applyFill="1"/>
    <xf numFmtId="44" fontId="1" fillId="0" borderId="0" xfId="2"/>
    <xf numFmtId="44" fontId="1" fillId="3" borderId="0" xfId="2" applyFill="1"/>
    <xf numFmtId="44" fontId="1" fillId="0" borderId="0" xfId="0" applyNumberFormat="1" applyFont="1"/>
    <xf numFmtId="166" fontId="23" fillId="9" borderId="0" xfId="2" applyNumberFormat="1" applyFont="1" applyFill="1"/>
    <xf numFmtId="44" fontId="1" fillId="0" borderId="11" xfId="2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/>
    <xf numFmtId="165" fontId="25" fillId="10" borderId="0" xfId="1" applyNumberFormat="1" applyFont="1" applyFill="1"/>
    <xf numFmtId="44" fontId="27" fillId="3" borderId="0" xfId="2" applyFont="1" applyFill="1"/>
    <xf numFmtId="44" fontId="27" fillId="0" borderId="0" xfId="2" applyFont="1"/>
    <xf numFmtId="44" fontId="1" fillId="11" borderId="0" xfId="2" applyFill="1"/>
    <xf numFmtId="165" fontId="28" fillId="0" borderId="0" xfId="1" applyNumberFormat="1" applyFont="1"/>
    <xf numFmtId="165" fontId="29" fillId="10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9" borderId="0" xfId="2" applyNumberFormat="1" applyFont="1" applyFill="1"/>
    <xf numFmtId="166" fontId="1" fillId="0" borderId="0" xfId="2" applyNumberFormat="1"/>
    <xf numFmtId="165" fontId="30" fillId="10" borderId="0" xfId="1" applyNumberFormat="1" applyFont="1" applyFill="1"/>
    <xf numFmtId="165" fontId="31" fillId="0" borderId="0" xfId="1" applyNumberFormat="1" applyFont="1"/>
    <xf numFmtId="165" fontId="9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12" borderId="0" xfId="0" applyNumberFormat="1" applyFont="1" applyFill="1" applyAlignment="1">
      <alignment horizontal="center"/>
    </xf>
    <xf numFmtId="44" fontId="4" fillId="13" borderId="11" xfId="2" applyFont="1" applyFill="1" applyBorder="1"/>
    <xf numFmtId="44" fontId="4" fillId="0" borderId="0" xfId="2" applyFont="1"/>
    <xf numFmtId="44" fontId="4" fillId="3" borderId="0" xfId="2" applyFont="1" applyFill="1"/>
    <xf numFmtId="165" fontId="8" fillId="10" borderId="0" xfId="1" applyNumberFormat="1" applyFont="1" applyFill="1"/>
    <xf numFmtId="168" fontId="1" fillId="0" borderId="0" xfId="2" applyNumberFormat="1"/>
    <xf numFmtId="44" fontId="28" fillId="0" borderId="0" xfId="2" applyFont="1"/>
    <xf numFmtId="165" fontId="3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1" fillId="0" borderId="0" xfId="2" applyNumberFormat="1" applyAlignment="1">
      <alignment horizontal="left"/>
    </xf>
    <xf numFmtId="43" fontId="1" fillId="0" borderId="0" xfId="1" applyAlignment="1">
      <alignment horizontal="left"/>
    </xf>
    <xf numFmtId="169" fontId="1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1" fillId="0" borderId="0" xfId="1"/>
    <xf numFmtId="44" fontId="1" fillId="0" borderId="12" xfId="2" applyBorder="1"/>
    <xf numFmtId="0" fontId="1" fillId="0" borderId="0" xfId="3"/>
    <xf numFmtId="0" fontId="1" fillId="0" borderId="0" xfId="3" applyAlignment="1">
      <alignment horizontal="center"/>
    </xf>
    <xf numFmtId="0" fontId="1" fillId="0" borderId="1" xfId="3" applyBorder="1" applyAlignment="1">
      <alignment horizontal="center"/>
    </xf>
    <xf numFmtId="44" fontId="1" fillId="0" borderId="0" xfId="3" applyNumberFormat="1"/>
    <xf numFmtId="165" fontId="1" fillId="0" borderId="2" xfId="1" applyNumberFormat="1" applyBorder="1"/>
    <xf numFmtId="44" fontId="1" fillId="0" borderId="2" xfId="2" applyBorder="1"/>
    <xf numFmtId="0" fontId="4" fillId="0" borderId="0" xfId="3" applyFont="1"/>
    <xf numFmtId="44" fontId="2" fillId="4" borderId="0" xfId="2" applyFont="1" applyFill="1"/>
    <xf numFmtId="0" fontId="1" fillId="3" borderId="0" xfId="0" applyFont="1" applyFill="1" applyAlignment="1">
      <alignment horizontal="left" indent="1"/>
    </xf>
    <xf numFmtId="49" fontId="1" fillId="3" borderId="0" xfId="1" applyNumberFormat="1" applyFill="1"/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/>
    <xf numFmtId="166" fontId="19" fillId="16" borderId="0" xfId="2" applyNumberFormat="1" applyFont="1" applyFill="1"/>
    <xf numFmtId="44" fontId="37" fillId="16" borderId="0" xfId="0" applyNumberFormat="1" applyFont="1" applyFill="1" applyAlignment="1">
      <alignment horizontal="center"/>
    </xf>
    <xf numFmtId="49" fontId="2" fillId="0" borderId="0" xfId="0" applyNumberFormat="1" applyFont="1"/>
    <xf numFmtId="165" fontId="6" fillId="0" borderId="0" xfId="1" applyNumberFormat="1" applyFont="1" applyAlignment="1">
      <alignment horizontal="center"/>
    </xf>
    <xf numFmtId="49" fontId="6" fillId="0" borderId="0" xfId="1" applyNumberFormat="1" applyFo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8" fillId="0" borderId="0" xfId="1" applyFont="1"/>
    <xf numFmtId="165" fontId="34" fillId="0" borderId="0" xfId="1" applyNumberFormat="1" applyFont="1"/>
    <xf numFmtId="43" fontId="34" fillId="0" borderId="0" xfId="1" applyFont="1"/>
    <xf numFmtId="164" fontId="9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8" fillId="0" borderId="0" xfId="1" applyNumberFormat="1" applyFont="1"/>
    <xf numFmtId="165" fontId="1" fillId="14" borderId="0" xfId="1" applyNumberFormat="1" applyFill="1"/>
    <xf numFmtId="164" fontId="9" fillId="0" borderId="0" xfId="1" applyNumberFormat="1" applyFont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1" fillId="5" borderId="1" xfId="1" applyNumberForma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Font="1" applyFill="1" applyBorder="1" applyAlignment="1">
      <alignment horizontal="center"/>
    </xf>
    <xf numFmtId="43" fontId="33" fillId="5" borderId="1" xfId="1" applyFont="1" applyFill="1" applyBorder="1" applyAlignment="1">
      <alignment horizontal="center"/>
    </xf>
    <xf numFmtId="165" fontId="40" fillId="5" borderId="1" xfId="1" applyNumberFormat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1" fillId="17" borderId="0" xfId="1" applyNumberFormat="1" applyFill="1" applyAlignment="1">
      <alignment horizontal="right"/>
    </xf>
    <xf numFmtId="0" fontId="1" fillId="17" borderId="0" xfId="1" applyNumberForma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Alignment="1">
      <alignment horizontal="left" indent="3"/>
    </xf>
    <xf numFmtId="44" fontId="1" fillId="18" borderId="0" xfId="2" applyFill="1"/>
    <xf numFmtId="165" fontId="1" fillId="0" borderId="0" xfId="1" applyNumberFormat="1" applyAlignment="1">
      <alignment horizontal="left"/>
    </xf>
    <xf numFmtId="44" fontId="16" fillId="18" borderId="0" xfId="2" applyFont="1" applyFill="1"/>
    <xf numFmtId="165" fontId="32" fillId="0" borderId="0" xfId="1" applyNumberFormat="1" applyFont="1" applyAlignment="1">
      <alignment horizontal="left"/>
    </xf>
    <xf numFmtId="44" fontId="9" fillId="18" borderId="0" xfId="2" applyFont="1" applyFill="1"/>
    <xf numFmtId="0" fontId="8" fillId="18" borderId="0" xfId="2" applyNumberFormat="1" applyFont="1" applyFill="1" applyAlignment="1">
      <alignment horizontal="center"/>
    </xf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44" fontId="1" fillId="19" borderId="0" xfId="2" applyFill="1"/>
    <xf numFmtId="165" fontId="16" fillId="0" borderId="0" xfId="1" applyNumberFormat="1" applyFont="1"/>
    <xf numFmtId="44" fontId="16" fillId="19" borderId="0" xfId="2" applyFont="1" applyFill="1"/>
    <xf numFmtId="165" fontId="41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35" fillId="20" borderId="0" xfId="2" applyFont="1" applyFill="1"/>
    <xf numFmtId="0" fontId="8" fillId="19" borderId="0" xfId="1" applyNumberFormat="1" applyFont="1" applyFill="1" applyAlignment="1">
      <alignment horizontal="center"/>
    </xf>
    <xf numFmtId="165" fontId="1" fillId="0" borderId="0" xfId="1" applyNumberFormat="1" applyAlignment="1">
      <alignment horizontal="left" indent="4"/>
    </xf>
    <xf numFmtId="44" fontId="9" fillId="19" borderId="0" xfId="2" applyFont="1" applyFill="1"/>
    <xf numFmtId="165" fontId="41" fillId="0" borderId="0" xfId="1" applyNumberFormat="1" applyFont="1" applyAlignment="1">
      <alignment horizontal="left" indent="4"/>
    </xf>
    <xf numFmtId="165" fontId="42" fillId="0" borderId="0" xfId="1" applyNumberFormat="1" applyFont="1" applyAlignment="1">
      <alignment horizontal="left"/>
    </xf>
    <xf numFmtId="43" fontId="5" fillId="14" borderId="0" xfId="1" applyFont="1" applyFill="1"/>
    <xf numFmtId="49" fontId="1" fillId="2" borderId="0" xfId="1" applyNumberFormat="1" applyFill="1" applyAlignment="1">
      <alignment horizontal="right"/>
    </xf>
    <xf numFmtId="0" fontId="1" fillId="2" borderId="0" xfId="1" applyNumberFormat="1" applyFill="1" applyAlignment="1">
      <alignment horizontal="center"/>
    </xf>
    <xf numFmtId="0" fontId="8" fillId="21" borderId="0" xfId="1" applyNumberFormat="1" applyFont="1" applyFill="1" applyAlignment="1">
      <alignment horizontal="center"/>
    </xf>
    <xf numFmtId="165" fontId="1" fillId="21" borderId="0" xfId="1" applyNumberFormat="1" applyFill="1"/>
    <xf numFmtId="44" fontId="16" fillId="21" borderId="0" xfId="2" applyFont="1" applyFill="1"/>
    <xf numFmtId="165" fontId="43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4" fillId="0" borderId="0" xfId="1" applyFont="1"/>
    <xf numFmtId="165" fontId="44" fillId="0" borderId="0" xfId="1" applyNumberFormat="1" applyFont="1"/>
    <xf numFmtId="165" fontId="1" fillId="0" borderId="1" xfId="1" applyNumberFormat="1" applyBorder="1"/>
    <xf numFmtId="44" fontId="1" fillId="19" borderId="1" xfId="2" applyFill="1" applyBorder="1"/>
    <xf numFmtId="165" fontId="28" fillId="0" borderId="1" xfId="1" applyNumberFormat="1" applyFont="1" applyBorder="1"/>
    <xf numFmtId="44" fontId="28" fillId="19" borderId="0" xfId="2" applyFont="1" applyFill="1"/>
    <xf numFmtId="44" fontId="16" fillId="19" borderId="1" xfId="2" applyFont="1" applyFill="1" applyBorder="1"/>
    <xf numFmtId="49" fontId="1" fillId="17" borderId="0" xfId="1" applyNumberForma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Border="1"/>
    <xf numFmtId="165" fontId="32" fillId="0" borderId="12" xfId="1" applyNumberFormat="1" applyFont="1" applyBorder="1"/>
    <xf numFmtId="44" fontId="32" fillId="0" borderId="12" xfId="2" applyFont="1" applyBorder="1"/>
    <xf numFmtId="165" fontId="1" fillId="0" borderId="12" xfId="1" applyNumberFormat="1" applyBorder="1"/>
    <xf numFmtId="44" fontId="2" fillId="0" borderId="2" xfId="2" applyFont="1" applyBorder="1"/>
    <xf numFmtId="165" fontId="34" fillId="0" borderId="2" xfId="1" applyNumberFormat="1" applyFont="1" applyBorder="1" applyAlignment="1">
      <alignment horizontal="left"/>
    </xf>
    <xf numFmtId="44" fontId="8" fillId="0" borderId="2" xfId="2" applyFont="1" applyBorder="1"/>
    <xf numFmtId="44" fontId="34" fillId="0" borderId="0" xfId="2" applyFont="1"/>
    <xf numFmtId="43" fontId="32" fillId="0" borderId="12" xfId="1" applyFont="1" applyBorder="1"/>
    <xf numFmtId="43" fontId="32" fillId="0" borderId="0" xfId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43" fillId="0" borderId="0" xfId="1" applyNumberFormat="1" applyFont="1" applyAlignment="1">
      <alignment horizontal="left"/>
    </xf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8" borderId="1" xfId="2" applyFill="1" applyBorder="1"/>
    <xf numFmtId="165" fontId="1" fillId="0" borderId="0" xfId="1" applyNumberFormat="1" applyAlignment="1">
      <alignment horizontal="center"/>
    </xf>
    <xf numFmtId="165" fontId="1" fillId="0" borderId="1" xfId="1" applyNumberFormat="1" applyBorder="1" applyAlignment="1">
      <alignment horizontal="left" indent="3"/>
    </xf>
    <xf numFmtId="44" fontId="16" fillId="18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2" xfId="1" applyNumberFormat="1" applyBorder="1" applyAlignment="1">
      <alignment horizontal="left" indent="3"/>
    </xf>
    <xf numFmtId="44" fontId="2" fillId="0" borderId="12" xfId="2" applyFont="1" applyBorder="1"/>
    <xf numFmtId="165" fontId="5" fillId="0" borderId="12" xfId="1" applyNumberFormat="1" applyFont="1" applyBorder="1"/>
    <xf numFmtId="165" fontId="32" fillId="0" borderId="12" xfId="1" applyNumberFormat="1" applyFont="1" applyBorder="1" applyAlignment="1">
      <alignment horizontal="left" indent="3"/>
    </xf>
    <xf numFmtId="165" fontId="8" fillId="0" borderId="0" xfId="1" applyNumberFormat="1" applyFont="1" applyAlignment="1">
      <alignment horizontal="left"/>
    </xf>
    <xf numFmtId="44" fontId="32" fillId="0" borderId="1" xfId="2" applyFont="1" applyBorder="1"/>
    <xf numFmtId="44" fontId="9" fillId="19" borderId="1" xfId="2" applyFont="1" applyFill="1" applyBorder="1"/>
    <xf numFmtId="165" fontId="32" fillId="0" borderId="1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5" fillId="0" borderId="2" xfId="1" applyFont="1" applyBorder="1"/>
    <xf numFmtId="43" fontId="32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Alignment="1">
      <alignment horizontal="left"/>
    </xf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Font="1" applyBorder="1"/>
    <xf numFmtId="165" fontId="4" fillId="0" borderId="0" xfId="1" applyNumberFormat="1" applyFont="1" applyAlignment="1">
      <alignment horizontal="center"/>
    </xf>
    <xf numFmtId="44" fontId="2" fillId="15" borderId="0" xfId="2" applyFont="1" applyFill="1"/>
    <xf numFmtId="165" fontId="32" fillId="14" borderId="0" xfId="1" applyNumberFormat="1" applyFont="1" applyFill="1"/>
    <xf numFmtId="44" fontId="2" fillId="19" borderId="0" xfId="2" applyFont="1" applyFill="1"/>
    <xf numFmtId="44" fontId="5" fillId="20" borderId="0" xfId="2" applyFont="1" applyFill="1"/>
    <xf numFmtId="44" fontId="2" fillId="18" borderId="0" xfId="2" applyFont="1" applyFill="1"/>
    <xf numFmtId="44" fontId="5" fillId="18" borderId="0" xfId="2" applyFont="1" applyFill="1"/>
    <xf numFmtId="44" fontId="34" fillId="0" borderId="2" xfId="2" applyFont="1" applyBorder="1"/>
    <xf numFmtId="43" fontId="8" fillId="3" borderId="2" xfId="1" applyFont="1" applyFill="1" applyBorder="1"/>
    <xf numFmtId="165" fontId="45" fillId="0" borderId="0" xfId="1" applyNumberFormat="1" applyFont="1"/>
    <xf numFmtId="43" fontId="8" fillId="0" borderId="0" xfId="1" applyFont="1" applyAlignment="1">
      <alignment horizontal="left"/>
    </xf>
    <xf numFmtId="43" fontId="4" fillId="0" borderId="12" xfId="1" applyFont="1" applyBorder="1"/>
    <xf numFmtId="165" fontId="46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8" fillId="22" borderId="2" xfId="1" applyFont="1" applyFill="1" applyBorder="1" applyAlignment="1">
      <alignment horizontal="left"/>
    </xf>
    <xf numFmtId="43" fontId="2" fillId="0" borderId="0" xfId="1" applyFont="1" applyAlignment="1">
      <alignment horizontal="left"/>
    </xf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12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9" fillId="0" borderId="0" xfId="3" applyFont="1" applyAlignment="1">
      <alignment horizontal="center"/>
    </xf>
    <xf numFmtId="0" fontId="9" fillId="0" borderId="10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9" fillId="0" borderId="4" xfId="3" applyNumberFormat="1" applyFont="1" applyBorder="1" applyAlignment="1">
      <alignment horizontal="center"/>
    </xf>
    <xf numFmtId="44" fontId="2" fillId="0" borderId="8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8" xfId="3" applyFont="1" applyBorder="1"/>
    <xf numFmtId="44" fontId="8" fillId="0" borderId="2" xfId="3" applyNumberFormat="1" applyFont="1" applyBorder="1"/>
    <xf numFmtId="44" fontId="8" fillId="0" borderId="9" xfId="3" applyNumberFormat="1" applyFont="1" applyBorder="1"/>
    <xf numFmtId="0" fontId="4" fillId="0" borderId="2" xfId="3" applyFont="1" applyBorder="1"/>
    <xf numFmtId="0" fontId="8" fillId="0" borderId="2" xfId="3" applyFont="1" applyBorder="1" applyAlignment="1">
      <alignment horizontal="left" indent="1"/>
    </xf>
    <xf numFmtId="44" fontId="2" fillId="0" borderId="4" xfId="5" applyFont="1" applyBorder="1"/>
    <xf numFmtId="44" fontId="2" fillId="0" borderId="0" xfId="5" applyFont="1"/>
    <xf numFmtId="0" fontId="2" fillId="0" borderId="1" xfId="3" applyFont="1" applyBorder="1"/>
    <xf numFmtId="44" fontId="1" fillId="0" borderId="0" xfId="3" applyNumberFormat="1" applyAlignment="1">
      <alignment horizontal="left"/>
    </xf>
    <xf numFmtId="0" fontId="2" fillId="0" borderId="8" xfId="5" applyNumberFormat="1" applyFont="1" applyBorder="1" applyAlignment="1">
      <alignment horizontal="left"/>
    </xf>
    <xf numFmtId="44" fontId="2" fillId="0" borderId="8" xfId="5" applyFont="1" applyBorder="1"/>
    <xf numFmtId="44" fontId="2" fillId="0" borderId="7" xfId="5" applyFont="1" applyBorder="1"/>
    <xf numFmtId="44" fontId="2" fillId="0" borderId="1" xfId="3" applyNumberFormat="1" applyFont="1" applyBorder="1"/>
    <xf numFmtId="44" fontId="2" fillId="0" borderId="5" xfId="5" applyFont="1" applyBorder="1"/>
    <xf numFmtId="44" fontId="2" fillId="0" borderId="1" xfId="5" applyFont="1" applyBorder="1"/>
    <xf numFmtId="44" fontId="2" fillId="0" borderId="6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44" fontId="2" fillId="0" borderId="5" xfId="3" applyNumberFormat="1" applyFont="1" applyBorder="1" applyAlignment="1">
      <alignment horizontal="center"/>
    </xf>
    <xf numFmtId="44" fontId="2" fillId="0" borderId="1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8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85E4A36B-5A56-4A81-904B-8EAB4DC9B679}"/>
    <cellStyle name="Currency" xfId="2" builtinId="4"/>
    <cellStyle name="Currency 3" xfId="5" xr:uid="{CBB59786-B257-453B-A9F6-D82F4CA5EB0B}"/>
    <cellStyle name="Normal" xfId="0" builtinId="0"/>
    <cellStyle name="Normal 3" xfId="3" xr:uid="{C9B82ECD-3BAD-484F-8362-77DB32B56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Deferrals/Deferrals%202020/2-2020/PGA%20Allocations%202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h.volk\Application%20Data\Microsoft\Excel\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GASCOST/Gas%20Cost%20CY2020/Gas%20Supply%20Analysis/1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G-190773%20CNGC%20Monthly%20PGA%20Rpt%20February%202020,%203.3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OR Deferral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K47">
            <v>8199244.2100000009</v>
          </cell>
          <cell r="L47">
            <v>5747551.1699999999</v>
          </cell>
          <cell r="M47">
            <v>4443021.7200000007</v>
          </cell>
        </row>
      </sheetData>
      <sheetData sheetId="10" refreshError="1"/>
      <sheetData sheetId="11" refreshError="1"/>
      <sheetData sheetId="12">
        <row r="2">
          <cell r="B2">
            <v>43886</v>
          </cell>
        </row>
        <row r="42">
          <cell r="K42">
            <v>9255671.8499999996</v>
          </cell>
        </row>
        <row r="43">
          <cell r="K43">
            <v>3839281.9299999992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94">
          <cell r="Q94">
            <v>-12044.807602999063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0.20481"/>
      <sheetName val="RA 1862.20480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4.9599999999999998E-2</v>
          </cell>
          <cell r="C97">
            <v>30</v>
          </cell>
        </row>
        <row r="98">
          <cell r="A98">
            <v>43982</v>
          </cell>
          <cell r="B98">
            <v>4.9599999999999998E-2</v>
          </cell>
          <cell r="C98">
            <v>31</v>
          </cell>
        </row>
        <row r="99">
          <cell r="A99">
            <v>44012</v>
          </cell>
          <cell r="B99">
            <v>4.9599999999999998E-2</v>
          </cell>
          <cell r="C99">
            <v>30</v>
          </cell>
        </row>
        <row r="100">
          <cell r="A100">
            <v>44043</v>
          </cell>
          <cell r="B100">
            <v>4.9599999999999998E-2</v>
          </cell>
          <cell r="C100">
            <v>31</v>
          </cell>
        </row>
        <row r="101">
          <cell r="A101">
            <v>44074</v>
          </cell>
          <cell r="B101">
            <v>4.9599999999999998E-2</v>
          </cell>
          <cell r="C101">
            <v>31</v>
          </cell>
        </row>
        <row r="102">
          <cell r="A102">
            <v>44104</v>
          </cell>
          <cell r="B102">
            <v>4.9599999999999998E-2</v>
          </cell>
          <cell r="C102">
            <v>30</v>
          </cell>
        </row>
        <row r="103">
          <cell r="A103">
            <v>44135</v>
          </cell>
          <cell r="B103">
            <v>4.9599999999999998E-2</v>
          </cell>
          <cell r="C103">
            <v>31</v>
          </cell>
        </row>
        <row r="104">
          <cell r="A104">
            <v>44165</v>
          </cell>
          <cell r="B104">
            <v>4.9599999999999998E-2</v>
          </cell>
          <cell r="C104">
            <v>30</v>
          </cell>
        </row>
        <row r="105">
          <cell r="A105">
            <v>44196</v>
          </cell>
          <cell r="B105">
            <v>4.9599999999999998E-2</v>
          </cell>
          <cell r="C105">
            <v>31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6ED9-DA5D-4BBA-80C8-C9363036DD73}">
  <dimension ref="B1:AL111"/>
  <sheetViews>
    <sheetView showGridLines="0" tabSelected="1" topLeftCell="A7" zoomScaleNormal="100" workbookViewId="0">
      <selection activeCell="G16" sqref="G16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20" customWidth="1"/>
    <col min="4" max="4" width="3.5703125" style="10" hidden="1" customWidth="1"/>
    <col min="5" max="5" width="4" style="10" bestFit="1" customWidth="1"/>
    <col min="6" max="6" width="13.7109375" style="10" customWidth="1"/>
    <col min="7" max="7" width="15" style="58" bestFit="1" customWidth="1"/>
    <col min="8" max="8" width="12.140625" style="63" customWidth="1"/>
    <col min="9" max="9" width="11.85546875" style="63" bestFit="1" customWidth="1"/>
    <col min="10" max="10" width="14" style="63" bestFit="1" customWidth="1"/>
    <col min="11" max="12" width="16.140625" style="63" bestFit="1" customWidth="1"/>
    <col min="13" max="13" width="14.5703125" style="63" bestFit="1" customWidth="1"/>
    <col min="14" max="14" width="16.85546875" style="63" bestFit="1" customWidth="1"/>
    <col min="15" max="15" width="8.28515625" style="63" bestFit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13.28515625" customWidth="1"/>
    <col min="23" max="23" width="12.85546875" bestFit="1" customWidth="1"/>
    <col min="24" max="24" width="11.85546875" bestFit="1" customWidth="1"/>
    <col min="25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3" t="s">
        <v>26</v>
      </c>
      <c r="C1" s="9"/>
      <c r="E1" s="11" t="s">
        <v>127</v>
      </c>
      <c r="F1" s="11"/>
      <c r="G1" s="11"/>
      <c r="H1" s="11"/>
      <c r="I1" s="11"/>
      <c r="J1" s="11"/>
      <c r="K1" s="11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2:38" ht="14.25" customHeight="1" x14ac:dyDescent="0.25">
      <c r="B2" s="3" t="s">
        <v>27</v>
      </c>
      <c r="C2" s="9"/>
      <c r="D2" s="13"/>
      <c r="E2" s="11"/>
      <c r="F2" s="11"/>
      <c r="G2" s="11"/>
      <c r="H2" s="11"/>
      <c r="I2" s="11"/>
      <c r="J2" s="11"/>
      <c r="K2" s="11"/>
      <c r="L2" s="14" t="s">
        <v>28</v>
      </c>
      <c r="M2" s="14"/>
      <c r="N2" s="14"/>
      <c r="O2" s="14"/>
      <c r="P2" s="14"/>
    </row>
    <row r="3" spans="2:38" ht="14.25" customHeight="1" x14ac:dyDescent="0.25">
      <c r="B3" s="15" t="s">
        <v>29</v>
      </c>
      <c r="C3" s="15"/>
      <c r="D3" s="13"/>
      <c r="E3" s="16"/>
      <c r="F3" s="17">
        <f>'Core Cost Incurred'!B2</f>
        <v>43886</v>
      </c>
      <c r="G3" s="17"/>
      <c r="H3" s="17"/>
      <c r="I3" s="17"/>
      <c r="J3" s="17"/>
      <c r="K3" s="17"/>
      <c r="L3" s="18" t="s">
        <v>30</v>
      </c>
      <c r="M3" s="18"/>
      <c r="N3" s="18"/>
      <c r="O3" s="18"/>
      <c r="P3" s="18"/>
    </row>
    <row r="4" spans="2:38" ht="14.25" customHeight="1" x14ac:dyDescent="0.25">
      <c r="B4" s="15" t="s">
        <v>31</v>
      </c>
      <c r="C4" s="15"/>
      <c r="D4" s="13"/>
      <c r="E4" s="16"/>
      <c r="F4" s="17"/>
      <c r="G4" s="17"/>
      <c r="H4" s="17"/>
      <c r="I4" s="17"/>
      <c r="J4" s="17"/>
      <c r="K4" s="17"/>
      <c r="L4" s="19" t="s">
        <v>32</v>
      </c>
      <c r="M4" s="19"/>
      <c r="N4" s="19"/>
      <c r="O4" s="19"/>
      <c r="P4" s="19"/>
    </row>
    <row r="5" spans="2:38" ht="14.25" customHeight="1" x14ac:dyDescent="0.2">
      <c r="D5" s="13"/>
      <c r="E5" s="16"/>
      <c r="F5" s="16"/>
      <c r="G5" s="16"/>
      <c r="H5" s="16"/>
      <c r="I5" s="16"/>
      <c r="J5" s="16"/>
      <c r="K5" s="16"/>
      <c r="L5" s="12"/>
      <c r="M5" s="12"/>
      <c r="N5" s="12"/>
      <c r="O5" s="12"/>
      <c r="P5" s="12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2:38" ht="15" x14ac:dyDescent="0.25">
      <c r="B6" s="21"/>
      <c r="C6" s="22"/>
      <c r="D6" s="23"/>
      <c r="E6" s="23"/>
      <c r="F6" s="23"/>
      <c r="G6" s="24" t="s">
        <v>33</v>
      </c>
      <c r="H6" s="25" t="s">
        <v>3</v>
      </c>
      <c r="I6" s="25" t="s">
        <v>6</v>
      </c>
      <c r="J6" s="25" t="s">
        <v>34</v>
      </c>
      <c r="K6" s="25" t="s">
        <v>3</v>
      </c>
      <c r="L6" s="25" t="s">
        <v>6</v>
      </c>
      <c r="M6" s="25"/>
      <c r="N6" s="25" t="s">
        <v>12</v>
      </c>
      <c r="O6" s="26"/>
      <c r="Q6" s="27"/>
      <c r="R6" s="32">
        <v>200294.94</v>
      </c>
      <c r="S6" s="27"/>
      <c r="T6" s="27"/>
      <c r="U6" s="32">
        <v>140046.39000000001</v>
      </c>
      <c r="V6" s="27"/>
      <c r="W6" s="27"/>
      <c r="X6" s="27"/>
      <c r="Y6" s="27"/>
      <c r="Z6" s="27"/>
      <c r="AA6" s="27"/>
      <c r="AB6" s="27"/>
      <c r="AC6" s="27"/>
      <c r="AD6" s="28"/>
    </row>
    <row r="7" spans="2:38" ht="15" x14ac:dyDescent="0.25">
      <c r="B7" s="29"/>
      <c r="C7" s="30"/>
      <c r="D7" s="31"/>
      <c r="E7" s="31"/>
      <c r="F7" s="29" t="s">
        <v>35</v>
      </c>
      <c r="G7" s="24" t="s">
        <v>36</v>
      </c>
      <c r="H7" s="25" t="s">
        <v>37</v>
      </c>
      <c r="I7" s="25" t="s">
        <v>37</v>
      </c>
      <c r="J7" s="25" t="s">
        <v>11</v>
      </c>
      <c r="K7" s="25" t="s">
        <v>38</v>
      </c>
      <c r="L7" s="25" t="s">
        <v>38</v>
      </c>
      <c r="M7" s="25" t="s">
        <v>34</v>
      </c>
      <c r="N7" s="25" t="s">
        <v>34</v>
      </c>
      <c r="O7" s="26"/>
      <c r="Q7" s="32">
        <v>11214374</v>
      </c>
      <c r="R7" s="32">
        <f>2345597.06+78799.97+56688.77</f>
        <v>2481085.8000000003</v>
      </c>
      <c r="S7" s="27"/>
      <c r="T7" s="32">
        <v>2845776</v>
      </c>
      <c r="U7" s="32">
        <v>459339.89</v>
      </c>
      <c r="V7" s="27"/>
      <c r="W7" s="27"/>
      <c r="X7" s="27"/>
      <c r="Y7" s="27"/>
      <c r="Z7" s="27"/>
      <c r="AA7" s="27"/>
      <c r="AB7" s="27"/>
      <c r="AC7" s="27"/>
      <c r="AD7" s="33"/>
      <c r="AE7" s="2"/>
    </row>
    <row r="8" spans="2:38" s="41" customFormat="1" x14ac:dyDescent="0.2">
      <c r="B8" s="34"/>
      <c r="C8" s="35"/>
      <c r="D8" s="34" t="s">
        <v>39</v>
      </c>
      <c r="E8" s="34" t="s">
        <v>40</v>
      </c>
      <c r="F8" s="34" t="s">
        <v>40</v>
      </c>
      <c r="G8" s="36" t="s">
        <v>41</v>
      </c>
      <c r="H8" s="37" t="s">
        <v>128</v>
      </c>
      <c r="I8" s="37" t="str">
        <f>+H8</f>
        <v>Nov 1 2019</v>
      </c>
      <c r="J8" s="37" t="str">
        <f>I8</f>
        <v>Nov 1 2019</v>
      </c>
      <c r="K8" s="38" t="s">
        <v>42</v>
      </c>
      <c r="L8" s="38" t="s">
        <v>42</v>
      </c>
      <c r="M8" s="38" t="s">
        <v>11</v>
      </c>
      <c r="N8" s="38" t="s">
        <v>42</v>
      </c>
      <c r="O8" s="26"/>
      <c r="P8"/>
      <c r="V8" s="27"/>
      <c r="W8" s="27"/>
      <c r="X8" s="27"/>
      <c r="Y8" s="27"/>
      <c r="Z8" s="27"/>
      <c r="AA8" s="27"/>
      <c r="AB8" s="27"/>
      <c r="AC8" s="27"/>
      <c r="AD8" s="39"/>
      <c r="AE8" s="2" t="s">
        <v>43</v>
      </c>
      <c r="AF8" s="2" t="s">
        <v>44</v>
      </c>
      <c r="AG8" s="2" t="s">
        <v>45</v>
      </c>
      <c r="AH8" s="40" t="s">
        <v>0</v>
      </c>
      <c r="AI8" s="2" t="s">
        <v>46</v>
      </c>
      <c r="AJ8" s="2" t="s">
        <v>47</v>
      </c>
      <c r="AK8" s="2" t="s">
        <v>48</v>
      </c>
      <c r="AL8" s="2" t="s">
        <v>49</v>
      </c>
    </row>
    <row r="9" spans="2:38" ht="15.75" hidden="1" x14ac:dyDescent="0.25">
      <c r="B9" s="42" t="s">
        <v>50</v>
      </c>
      <c r="C9" s="20" t="s">
        <v>53</v>
      </c>
      <c r="D9" s="43">
        <v>1</v>
      </c>
      <c r="E9" s="10" t="s">
        <v>54</v>
      </c>
      <c r="F9" s="10" t="s">
        <v>55</v>
      </c>
      <c r="G9" s="44">
        <v>0</v>
      </c>
      <c r="H9" s="45"/>
      <c r="I9" s="45"/>
      <c r="J9" s="45"/>
      <c r="K9" s="46">
        <f>ROUND(H9*G9,2)</f>
        <v>0</v>
      </c>
      <c r="L9" s="46">
        <f>ROUND(G9*I9,2)</f>
        <v>0</v>
      </c>
      <c r="M9" s="50">
        <f>ROUND(G9*J9,2)</f>
        <v>0</v>
      </c>
      <c r="N9" s="46">
        <f>SUM(K9:M9)</f>
        <v>0</v>
      </c>
      <c r="O9" s="46"/>
      <c r="Q9" s="51">
        <f>+-1529533-194708</f>
        <v>-1724241</v>
      </c>
      <c r="R9" s="51">
        <f>+-304369.99-70364.48</f>
        <v>-374734.47</v>
      </c>
      <c r="S9" s="48"/>
      <c r="T9" s="52">
        <f>+-505447-64182</f>
        <v>-569629</v>
      </c>
      <c r="U9" s="52">
        <f>+-100581.61-23194.4</f>
        <v>-123776.01000000001</v>
      </c>
      <c r="V9" s="48"/>
      <c r="W9" s="48"/>
      <c r="X9" s="48"/>
      <c r="Y9" s="48"/>
      <c r="Z9" s="48"/>
      <c r="AA9" s="48"/>
      <c r="AB9" s="48"/>
      <c r="AC9" s="48"/>
      <c r="AD9" s="27"/>
      <c r="AE9" t="s">
        <v>52</v>
      </c>
      <c r="AH9" s="27">
        <v>0</v>
      </c>
      <c r="AL9" t="s">
        <v>56</v>
      </c>
    </row>
    <row r="10" spans="2:38" ht="15.75" x14ac:dyDescent="0.25">
      <c r="B10" s="42" t="s">
        <v>50</v>
      </c>
      <c r="C10" s="20" t="s">
        <v>57</v>
      </c>
      <c r="D10" s="43">
        <v>1</v>
      </c>
      <c r="E10" s="10" t="s">
        <v>58</v>
      </c>
      <c r="F10" s="10" t="s">
        <v>59</v>
      </c>
      <c r="G10" s="53">
        <v>17506775</v>
      </c>
      <c r="H10" s="45">
        <v>0.24510999999999999</v>
      </c>
      <c r="I10" s="45">
        <v>0.17580000000000001</v>
      </c>
      <c r="J10" s="45">
        <f>0.05671+0.07276</f>
        <v>0.12947</v>
      </c>
      <c r="K10" s="46">
        <f>ROUND(H10*G10,2)</f>
        <v>4291085.62</v>
      </c>
      <c r="L10" s="46">
        <f>ROUND(G10*I10,2)</f>
        <v>3077691.05</v>
      </c>
      <c r="M10" s="50">
        <f>ROUND(G10*J10,2)</f>
        <v>2266602.16</v>
      </c>
      <c r="N10" s="47">
        <f>SUM(K10:M10)</f>
        <v>9635378.8300000001</v>
      </c>
      <c r="O10" s="46"/>
      <c r="Q10" s="52"/>
      <c r="R10" s="52"/>
      <c r="S10" s="52"/>
      <c r="T10" s="52"/>
      <c r="U10" s="52"/>
      <c r="V10" s="48"/>
      <c r="W10" s="48"/>
      <c r="X10" s="48"/>
      <c r="Y10" s="48"/>
      <c r="Z10" s="48"/>
      <c r="AA10" s="48"/>
      <c r="AB10" s="48"/>
      <c r="AC10" s="48"/>
      <c r="AD10" s="27"/>
      <c r="AE10" t="s">
        <v>52</v>
      </c>
      <c r="AH10" s="27">
        <v>0</v>
      </c>
      <c r="AL10" t="s">
        <v>60</v>
      </c>
    </row>
    <row r="11" spans="2:38" ht="15.75" x14ac:dyDescent="0.25">
      <c r="B11" s="42" t="s">
        <v>61</v>
      </c>
      <c r="C11" s="20" t="s">
        <v>62</v>
      </c>
      <c r="D11" s="43">
        <v>1</v>
      </c>
      <c r="E11" s="10" t="s">
        <v>58</v>
      </c>
      <c r="F11" s="10" t="s">
        <v>59</v>
      </c>
      <c r="G11" s="54">
        <v>-11533219</v>
      </c>
      <c r="H11" s="49">
        <f>$H$10</f>
        <v>0.24510999999999999</v>
      </c>
      <c r="I11" s="49">
        <f>$I$10</f>
        <v>0.17580000000000001</v>
      </c>
      <c r="J11" s="49">
        <f>+$J$10</f>
        <v>0.12947</v>
      </c>
      <c r="K11" s="46">
        <f>ROUND(H11*G11,2)</f>
        <v>-2826907.31</v>
      </c>
      <c r="L11" s="46">
        <f>ROUND(G11*I11,2)</f>
        <v>-2027539.9</v>
      </c>
      <c r="M11" s="50"/>
      <c r="N11" s="47">
        <f>SUM(K11:M11)</f>
        <v>-4854447.21</v>
      </c>
      <c r="O11" s="46"/>
      <c r="Q11" s="52"/>
      <c r="R11" s="52"/>
      <c r="S11" s="52"/>
      <c r="T11" s="52"/>
      <c r="U11" s="52"/>
      <c r="V11" s="48"/>
      <c r="W11" s="48"/>
      <c r="X11" s="48"/>
      <c r="Y11" s="48"/>
      <c r="Z11" s="48"/>
      <c r="AA11" s="48"/>
      <c r="AB11" s="48"/>
      <c r="AC11" s="48"/>
      <c r="AD11" s="27"/>
      <c r="AE11" t="s">
        <v>52</v>
      </c>
      <c r="AH11" s="27">
        <v>0</v>
      </c>
      <c r="AL11" t="s">
        <v>60</v>
      </c>
    </row>
    <row r="12" spans="2:38" ht="15.75" x14ac:dyDescent="0.25">
      <c r="B12" s="42" t="s">
        <v>61</v>
      </c>
      <c r="C12" s="20" t="s">
        <v>63</v>
      </c>
      <c r="D12" s="43">
        <v>1</v>
      </c>
      <c r="E12" s="10" t="s">
        <v>58</v>
      </c>
      <c r="F12" s="10" t="s">
        <v>59</v>
      </c>
      <c r="G12" s="54">
        <v>10865780</v>
      </c>
      <c r="H12" s="49">
        <f>$H$10</f>
        <v>0.24510999999999999</v>
      </c>
      <c r="I12" s="49">
        <f>$I$10</f>
        <v>0.17580000000000001</v>
      </c>
      <c r="J12" s="49">
        <f>+$J$10</f>
        <v>0.12947</v>
      </c>
      <c r="K12" s="46">
        <f>ROUND(H12*G12,2)</f>
        <v>2663311.34</v>
      </c>
      <c r="L12" s="46">
        <f>ROUND(G12*I12,2)</f>
        <v>1910204.12</v>
      </c>
      <c r="M12" s="50"/>
      <c r="N12" s="47">
        <f>SUM(K12:M12)</f>
        <v>4573515.46</v>
      </c>
      <c r="O12" s="46"/>
      <c r="Q12" s="52"/>
      <c r="R12" s="52"/>
      <c r="S12" s="52"/>
      <c r="T12" s="52"/>
      <c r="U12" s="52"/>
      <c r="V12" s="48"/>
      <c r="W12" s="48"/>
      <c r="X12" s="48"/>
      <c r="Y12" s="48"/>
      <c r="Z12" s="48"/>
      <c r="AA12" s="48"/>
      <c r="AB12" s="48"/>
      <c r="AC12" s="48"/>
      <c r="AD12" s="27"/>
      <c r="AE12" t="s">
        <v>52</v>
      </c>
      <c r="AH12" s="27">
        <v>0</v>
      </c>
      <c r="AL12" t="s">
        <v>60</v>
      </c>
    </row>
    <row r="13" spans="2:38" ht="12.2" customHeight="1" x14ac:dyDescent="0.2">
      <c r="B13" s="42"/>
      <c r="D13" s="43"/>
      <c r="G13" s="44"/>
      <c r="H13" s="49"/>
      <c r="I13" s="49"/>
      <c r="J13" s="49"/>
      <c r="K13" s="46"/>
      <c r="L13" s="46"/>
      <c r="M13" s="50"/>
      <c r="N13" s="46"/>
      <c r="O13" s="46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27"/>
      <c r="AH13" s="27"/>
    </row>
    <row r="14" spans="2:38" ht="15.75" x14ac:dyDescent="0.25">
      <c r="B14" s="42" t="s">
        <v>64</v>
      </c>
      <c r="C14" s="20" t="s">
        <v>65</v>
      </c>
      <c r="D14" s="43">
        <v>2</v>
      </c>
      <c r="E14" s="10" t="s">
        <v>66</v>
      </c>
      <c r="F14" s="10" t="s">
        <v>67</v>
      </c>
      <c r="G14" s="53">
        <v>11970901</v>
      </c>
      <c r="H14" s="49">
        <f t="shared" ref="H14:H16" si="0">$H$10</f>
        <v>0.24510999999999999</v>
      </c>
      <c r="I14" s="45">
        <v>0.17316000000000001</v>
      </c>
      <c r="J14" s="49">
        <f t="shared" ref="J14:J16" si="1">+$J$10</f>
        <v>0.12947</v>
      </c>
      <c r="K14" s="46">
        <f>ROUND(H14*G14,2)</f>
        <v>2934187.54</v>
      </c>
      <c r="L14" s="46">
        <f>ROUND(G14*I14,2)</f>
        <v>2072881.22</v>
      </c>
      <c r="M14" s="50">
        <f>ROUND(G14*J14,2)</f>
        <v>1549872.55</v>
      </c>
      <c r="N14" s="55">
        <f>SUM(K14:M14)</f>
        <v>6556941.3099999996</v>
      </c>
      <c r="O14" s="56">
        <v>-0.02</v>
      </c>
      <c r="Q14" s="48" t="s">
        <v>51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27"/>
      <c r="AE14" t="s">
        <v>52</v>
      </c>
      <c r="AH14" s="27">
        <v>0</v>
      </c>
      <c r="AL14" t="s">
        <v>68</v>
      </c>
    </row>
    <row r="15" spans="2:38" ht="15.75" x14ac:dyDescent="0.25">
      <c r="B15" s="42" t="s">
        <v>69</v>
      </c>
      <c r="C15" s="20" t="s">
        <v>70</v>
      </c>
      <c r="D15" s="43">
        <v>2</v>
      </c>
      <c r="E15" s="10" t="s">
        <v>66</v>
      </c>
      <c r="F15" s="10" t="s">
        <v>67</v>
      </c>
      <c r="G15" s="54">
        <v>-9522833</v>
      </c>
      <c r="H15" s="49">
        <f t="shared" si="0"/>
        <v>0.24510999999999999</v>
      </c>
      <c r="I15" s="49">
        <f>+$I$14</f>
        <v>0.17316000000000001</v>
      </c>
      <c r="J15" s="49">
        <f t="shared" si="1"/>
        <v>0.12947</v>
      </c>
      <c r="K15" s="46">
        <f>ROUND(H15*G15,2)</f>
        <v>-2334141.6</v>
      </c>
      <c r="L15" s="46">
        <f>ROUND(G15*I15,2)</f>
        <v>-1648973.76</v>
      </c>
      <c r="M15" s="50"/>
      <c r="N15" s="55">
        <f>SUM(K15:M15)</f>
        <v>-3983115.3600000003</v>
      </c>
      <c r="O15" s="56"/>
      <c r="Q15" s="48" t="s">
        <v>71</v>
      </c>
      <c r="R15" s="48">
        <f>101807.82+3135667.8</f>
        <v>3237475.6199999996</v>
      </c>
      <c r="S15" s="48"/>
      <c r="T15" s="48"/>
      <c r="U15" s="52">
        <f>242253.38+412186.68</f>
        <v>654440.06000000006</v>
      </c>
      <c r="V15" s="48"/>
      <c r="W15" s="48"/>
      <c r="X15" s="48"/>
      <c r="Y15" s="48"/>
      <c r="Z15" s="48"/>
      <c r="AA15" s="48"/>
      <c r="AB15" s="48"/>
      <c r="AC15" s="48"/>
      <c r="AD15" s="27"/>
      <c r="AE15" t="s">
        <v>52</v>
      </c>
      <c r="AH15" s="27">
        <v>0</v>
      </c>
      <c r="AL15" t="s">
        <v>68</v>
      </c>
    </row>
    <row r="16" spans="2:38" ht="15.75" x14ac:dyDescent="0.25">
      <c r="B16" s="42" t="s">
        <v>69</v>
      </c>
      <c r="C16" s="20" t="s">
        <v>72</v>
      </c>
      <c r="D16" s="43">
        <v>2</v>
      </c>
      <c r="E16" s="10" t="s">
        <v>66</v>
      </c>
      <c r="F16" s="10" t="s">
        <v>67</v>
      </c>
      <c r="G16" s="54">
        <v>9324558</v>
      </c>
      <c r="H16" s="49">
        <f t="shared" si="0"/>
        <v>0.24510999999999999</v>
      </c>
      <c r="I16" s="49">
        <f>+$I$14</f>
        <v>0.17316000000000001</v>
      </c>
      <c r="J16" s="49">
        <f t="shared" si="1"/>
        <v>0.12947</v>
      </c>
      <c r="K16" s="46">
        <f>ROUND(H16*G16,2)</f>
        <v>2285542.41</v>
      </c>
      <c r="L16" s="46">
        <f>ROUND(G16*I16,2)</f>
        <v>1614640.46</v>
      </c>
      <c r="M16" s="50"/>
      <c r="N16" s="47">
        <f>SUM(K16:M16)</f>
        <v>3900182.87</v>
      </c>
      <c r="O16" s="46"/>
      <c r="Q16" s="48" t="s">
        <v>71</v>
      </c>
      <c r="R16" s="48">
        <v>55387.57</v>
      </c>
      <c r="S16" s="48"/>
      <c r="T16" s="48"/>
      <c r="U16" s="52">
        <v>7182.43</v>
      </c>
      <c r="V16" s="48"/>
      <c r="W16" s="48"/>
      <c r="X16" s="48"/>
      <c r="Y16" s="48"/>
      <c r="Z16" s="48"/>
      <c r="AA16" s="48"/>
      <c r="AB16" s="48"/>
      <c r="AC16" s="48"/>
      <c r="AD16" s="27"/>
      <c r="AE16" t="s">
        <v>52</v>
      </c>
      <c r="AH16" s="27">
        <v>0</v>
      </c>
      <c r="AL16" t="s">
        <v>68</v>
      </c>
    </row>
    <row r="17" spans="2:38" ht="12.2" customHeight="1" x14ac:dyDescent="0.2">
      <c r="B17" s="42"/>
      <c r="D17" s="43"/>
      <c r="G17" s="44"/>
      <c r="H17" s="49"/>
      <c r="I17" s="49"/>
      <c r="J17" s="49"/>
      <c r="K17" s="46"/>
      <c r="L17" s="46"/>
      <c r="M17" s="50"/>
      <c r="N17" s="46"/>
      <c r="O17" s="46"/>
      <c r="Q17" s="4"/>
      <c r="R17" s="4"/>
      <c r="S17" s="4"/>
      <c r="T17" s="4"/>
      <c r="U17" s="52"/>
      <c r="V17" s="4"/>
      <c r="W17" s="4"/>
      <c r="X17" s="4"/>
      <c r="Y17" s="4"/>
      <c r="Z17" s="4"/>
      <c r="AA17" s="4"/>
      <c r="AB17" s="4"/>
      <c r="AC17" s="4"/>
      <c r="AD17" s="27"/>
      <c r="AH17" s="27"/>
    </row>
    <row r="18" spans="2:38" ht="15.75" x14ac:dyDescent="0.25">
      <c r="B18" s="42" t="s">
        <v>64</v>
      </c>
      <c r="C18" s="20" t="s">
        <v>73</v>
      </c>
      <c r="D18" s="43">
        <v>2</v>
      </c>
      <c r="E18" s="10" t="s">
        <v>74</v>
      </c>
      <c r="F18" s="10" t="s">
        <v>75</v>
      </c>
      <c r="G18" s="53">
        <v>1227695</v>
      </c>
      <c r="H18" s="49">
        <f t="shared" ref="H18:H24" si="2">$H$10</f>
        <v>0.24510999999999999</v>
      </c>
      <c r="I18" s="45">
        <v>0.16012999999999999</v>
      </c>
      <c r="J18" s="49">
        <f t="shared" ref="J18:J24" si="3">+$J$10</f>
        <v>0.12947</v>
      </c>
      <c r="K18" s="46">
        <f t="shared" ref="K18:K24" si="4">ROUND(H18*G18,2)</f>
        <v>300920.32000000001</v>
      </c>
      <c r="L18" s="46">
        <f t="shared" ref="L18:L24" si="5">ROUND(G18*I18,2)</f>
        <v>196590.8</v>
      </c>
      <c r="M18" s="50">
        <f t="shared" ref="M18:M24" si="6">ROUND(G18*J18,2)</f>
        <v>158949.67000000001</v>
      </c>
      <c r="N18" s="57">
        <f t="shared" ref="N18:N24" si="7">SUM(K18:M18)</f>
        <v>656460.79</v>
      </c>
      <c r="O18" s="56">
        <v>2.0699999999999998</v>
      </c>
      <c r="Q18" s="48" t="s">
        <v>51</v>
      </c>
      <c r="R18" s="48">
        <v>625208.07999999996</v>
      </c>
      <c r="S18" s="48"/>
      <c r="T18" s="48"/>
      <c r="U18" s="52">
        <f>44136.69+5300</f>
        <v>49436.69</v>
      </c>
      <c r="V18" s="48"/>
      <c r="W18" s="48"/>
      <c r="X18" s="48"/>
      <c r="Y18" s="48"/>
      <c r="Z18" s="48"/>
      <c r="AA18" s="48"/>
      <c r="AB18" s="48"/>
      <c r="AC18" s="48"/>
      <c r="AD18" s="27"/>
      <c r="AE18" t="s">
        <v>52</v>
      </c>
      <c r="AH18" s="27">
        <v>0</v>
      </c>
      <c r="AL18" t="s">
        <v>76</v>
      </c>
    </row>
    <row r="19" spans="2:38" ht="15" x14ac:dyDescent="0.2">
      <c r="B19" s="42" t="s">
        <v>64</v>
      </c>
      <c r="C19" s="20" t="s">
        <v>77</v>
      </c>
      <c r="D19" s="43">
        <v>2</v>
      </c>
      <c r="E19" s="10" t="s">
        <v>78</v>
      </c>
      <c r="F19" s="10" t="s">
        <v>79</v>
      </c>
      <c r="G19" s="44"/>
      <c r="H19" s="49">
        <f t="shared" si="2"/>
        <v>0.24510999999999999</v>
      </c>
      <c r="I19" s="49">
        <f t="shared" ref="I19:I23" si="8">+$I$14</f>
        <v>0.17316000000000001</v>
      </c>
      <c r="J19" s="49">
        <f t="shared" si="3"/>
        <v>0.12947</v>
      </c>
      <c r="K19" s="46">
        <f t="shared" si="4"/>
        <v>0</v>
      </c>
      <c r="L19" s="46">
        <f t="shared" si="5"/>
        <v>0</v>
      </c>
      <c r="M19" s="50">
        <f t="shared" si="6"/>
        <v>0</v>
      </c>
      <c r="N19" s="47">
        <f>SUM(K19:M19)</f>
        <v>0</v>
      </c>
      <c r="O19" s="46">
        <v>0.01</v>
      </c>
      <c r="Q19" s="48" t="s">
        <v>51</v>
      </c>
      <c r="R19" s="48">
        <f>+-128.04-565547.01</f>
        <v>-565675.05000000005</v>
      </c>
      <c r="S19" s="48"/>
      <c r="T19" s="48"/>
      <c r="U19" s="52">
        <f>+-193.7-79036.58</f>
        <v>-79230.28</v>
      </c>
      <c r="V19" s="48"/>
      <c r="W19" s="48"/>
      <c r="X19" s="48"/>
      <c r="Y19" s="48"/>
      <c r="Z19" s="48"/>
      <c r="AA19" s="48"/>
      <c r="AB19" s="48"/>
      <c r="AC19" s="48"/>
      <c r="AD19" s="58"/>
      <c r="AE19" t="s">
        <v>52</v>
      </c>
      <c r="AH19" s="27">
        <v>0</v>
      </c>
      <c r="AL19" t="s">
        <v>80</v>
      </c>
    </row>
    <row r="20" spans="2:38" ht="15" x14ac:dyDescent="0.2">
      <c r="B20" s="42" t="s">
        <v>64</v>
      </c>
      <c r="C20" s="20" t="s">
        <v>81</v>
      </c>
      <c r="D20" s="43">
        <v>2</v>
      </c>
      <c r="E20" s="10" t="s">
        <v>54</v>
      </c>
      <c r="F20" s="10" t="s">
        <v>55</v>
      </c>
      <c r="G20" s="44">
        <v>0</v>
      </c>
      <c r="H20" s="49">
        <f t="shared" si="2"/>
        <v>0.24510999999999999</v>
      </c>
      <c r="I20" s="49">
        <f t="shared" si="8"/>
        <v>0.17316000000000001</v>
      </c>
      <c r="J20" s="49">
        <f t="shared" si="3"/>
        <v>0.12947</v>
      </c>
      <c r="K20" s="46">
        <f t="shared" si="4"/>
        <v>0</v>
      </c>
      <c r="L20" s="46">
        <f t="shared" si="5"/>
        <v>0</v>
      </c>
      <c r="M20" s="50">
        <f t="shared" si="6"/>
        <v>0</v>
      </c>
      <c r="N20" s="46">
        <f t="shared" si="7"/>
        <v>0</v>
      </c>
      <c r="O20" s="46"/>
      <c r="Q20" s="48" t="s">
        <v>51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58"/>
      <c r="AE20" t="s">
        <v>52</v>
      </c>
      <c r="AH20" s="27">
        <v>0</v>
      </c>
      <c r="AL20" t="s">
        <v>82</v>
      </c>
    </row>
    <row r="21" spans="2:38" ht="15.75" x14ac:dyDescent="0.25">
      <c r="B21" s="42" t="s">
        <v>64</v>
      </c>
      <c r="C21" s="20" t="s">
        <v>73</v>
      </c>
      <c r="D21" s="43">
        <v>2</v>
      </c>
      <c r="E21" s="10" t="s">
        <v>74</v>
      </c>
      <c r="F21" s="10" t="s">
        <v>84</v>
      </c>
      <c r="G21" s="53">
        <v>4887</v>
      </c>
      <c r="H21" s="49">
        <f t="shared" si="2"/>
        <v>0.24510999999999999</v>
      </c>
      <c r="I21" s="49">
        <f>+$I$18</f>
        <v>0.16012999999999999</v>
      </c>
      <c r="J21" s="49">
        <f t="shared" si="3"/>
        <v>0.12947</v>
      </c>
      <c r="K21" s="46">
        <f t="shared" si="4"/>
        <v>1197.8499999999999</v>
      </c>
      <c r="L21" s="46">
        <f t="shared" si="5"/>
        <v>782.56</v>
      </c>
      <c r="M21" s="50">
        <f t="shared" si="6"/>
        <v>632.72</v>
      </c>
      <c r="N21" s="55">
        <f t="shared" si="7"/>
        <v>2613.13</v>
      </c>
      <c r="O21" s="56"/>
      <c r="Q21" s="48" t="s">
        <v>51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27"/>
      <c r="AE21" t="s">
        <v>52</v>
      </c>
      <c r="AH21" s="27">
        <v>0</v>
      </c>
      <c r="AL21" t="s">
        <v>76</v>
      </c>
    </row>
    <row r="22" spans="2:38" ht="15.75" x14ac:dyDescent="0.25">
      <c r="B22" s="98" t="s">
        <v>64</v>
      </c>
      <c r="C22" s="99" t="s">
        <v>73</v>
      </c>
      <c r="D22" s="100">
        <v>2</v>
      </c>
      <c r="E22" s="101" t="s">
        <v>74</v>
      </c>
      <c r="F22" s="101" t="s">
        <v>126</v>
      </c>
      <c r="G22" s="53">
        <v>1783146</v>
      </c>
      <c r="H22" s="49">
        <f t="shared" si="2"/>
        <v>0.24510999999999999</v>
      </c>
      <c r="I22" s="49">
        <f>+I21</f>
        <v>0.16012999999999999</v>
      </c>
      <c r="J22" s="49">
        <f t="shared" si="3"/>
        <v>0.12947</v>
      </c>
      <c r="K22" s="46">
        <f t="shared" si="4"/>
        <v>437066.92</v>
      </c>
      <c r="L22" s="46">
        <f t="shared" si="5"/>
        <v>285535.17</v>
      </c>
      <c r="M22" s="50">
        <f t="shared" si="6"/>
        <v>230863.91</v>
      </c>
      <c r="N22" s="55">
        <f t="shared" si="7"/>
        <v>953466</v>
      </c>
      <c r="O22" s="56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27"/>
      <c r="AH22" s="27"/>
    </row>
    <row r="23" spans="2:38" ht="15.75" x14ac:dyDescent="0.25">
      <c r="B23" s="42" t="s">
        <v>69</v>
      </c>
      <c r="C23" s="20" t="s">
        <v>83</v>
      </c>
      <c r="D23" s="43">
        <v>2</v>
      </c>
      <c r="E23" s="10" t="s">
        <v>74</v>
      </c>
      <c r="F23" s="10" t="s">
        <v>84</v>
      </c>
      <c r="G23" s="59">
        <v>-1788033</v>
      </c>
      <c r="H23" s="49">
        <f t="shared" si="2"/>
        <v>0.24510999999999999</v>
      </c>
      <c r="I23" s="102">
        <f t="shared" si="8"/>
        <v>0.17316000000000001</v>
      </c>
      <c r="J23" s="49">
        <f t="shared" si="3"/>
        <v>0.12947</v>
      </c>
      <c r="K23" s="46">
        <f t="shared" si="4"/>
        <v>-438264.77</v>
      </c>
      <c r="L23" s="46">
        <f t="shared" si="5"/>
        <v>-309615.78999999998</v>
      </c>
      <c r="M23" s="50">
        <f t="shared" si="6"/>
        <v>-231496.63</v>
      </c>
      <c r="N23" s="55">
        <f t="shared" si="7"/>
        <v>-979377.19000000006</v>
      </c>
      <c r="O23" s="56"/>
      <c r="Q23" s="4"/>
      <c r="R23" s="4">
        <v>57899.56</v>
      </c>
      <c r="S23" s="4"/>
      <c r="T23" s="4"/>
      <c r="U23" s="52">
        <v>8091.98</v>
      </c>
      <c r="V23" s="103" t="s">
        <v>129</v>
      </c>
      <c r="W23" s="103"/>
      <c r="X23" s="103"/>
      <c r="Y23" s="103"/>
      <c r="Z23" s="4"/>
      <c r="AA23" s="4"/>
      <c r="AB23" s="4"/>
      <c r="AC23" s="4"/>
      <c r="AD23" s="60"/>
      <c r="AE23" t="s">
        <v>52</v>
      </c>
      <c r="AH23" s="27">
        <v>0</v>
      </c>
      <c r="AL23" t="s">
        <v>76</v>
      </c>
    </row>
    <row r="24" spans="2:38" ht="15.75" x14ac:dyDescent="0.25">
      <c r="B24" s="42" t="s">
        <v>69</v>
      </c>
      <c r="C24" s="20" t="s">
        <v>85</v>
      </c>
      <c r="D24" s="43">
        <v>2</v>
      </c>
      <c r="E24" s="10" t="s">
        <v>74</v>
      </c>
      <c r="F24" s="10" t="s">
        <v>84</v>
      </c>
      <c r="G24" s="59">
        <v>1666428</v>
      </c>
      <c r="H24" s="49">
        <f t="shared" si="2"/>
        <v>0.24510999999999999</v>
      </c>
      <c r="I24" s="49">
        <f>+I22</f>
        <v>0.16012999999999999</v>
      </c>
      <c r="J24" s="49">
        <f t="shared" si="3"/>
        <v>0.12947</v>
      </c>
      <c r="K24" s="46">
        <f t="shared" si="4"/>
        <v>408458.17</v>
      </c>
      <c r="L24" s="46">
        <f t="shared" si="5"/>
        <v>266845.12</v>
      </c>
      <c r="M24" s="50">
        <f t="shared" si="6"/>
        <v>215752.43</v>
      </c>
      <c r="N24" s="47">
        <f t="shared" si="7"/>
        <v>891055.72</v>
      </c>
      <c r="O24" s="46"/>
      <c r="Q24" s="4"/>
      <c r="R24" s="4">
        <v>61282.61</v>
      </c>
      <c r="S24" s="4"/>
      <c r="T24" s="4"/>
      <c r="U24" s="52">
        <v>6665.73</v>
      </c>
      <c r="V24" s="48"/>
      <c r="W24" s="48"/>
      <c r="X24" s="48"/>
      <c r="Y24" s="4"/>
      <c r="Z24" s="4"/>
      <c r="AA24" s="4"/>
      <c r="AB24" s="4"/>
      <c r="AC24" s="4"/>
      <c r="AD24" s="60"/>
      <c r="AE24" t="s">
        <v>52</v>
      </c>
      <c r="AH24" s="27">
        <v>0</v>
      </c>
      <c r="AL24" t="s">
        <v>76</v>
      </c>
    </row>
    <row r="25" spans="2:38" ht="12.2" customHeight="1" x14ac:dyDescent="0.2">
      <c r="B25" s="42"/>
      <c r="D25" s="43"/>
      <c r="G25" s="61"/>
      <c r="H25" s="62"/>
      <c r="I25" s="49"/>
      <c r="J25" s="49"/>
      <c r="K25" s="46"/>
      <c r="L25" s="46"/>
      <c r="M25" s="50"/>
      <c r="N25" s="46"/>
      <c r="O25" s="46"/>
      <c r="Q25" s="4"/>
      <c r="R25" s="4"/>
      <c r="S25" s="4"/>
      <c r="T25" s="4"/>
      <c r="U25" s="52"/>
      <c r="V25" s="48"/>
      <c r="W25" s="4"/>
      <c r="X25" s="4"/>
      <c r="Y25" s="4"/>
      <c r="Z25" s="4"/>
      <c r="AA25" s="4"/>
      <c r="AB25" s="4"/>
      <c r="AC25" s="4"/>
      <c r="AD25" s="60"/>
      <c r="AH25" s="27"/>
    </row>
    <row r="26" spans="2:38" ht="15.75" x14ac:dyDescent="0.25">
      <c r="B26" s="42" t="s">
        <v>86</v>
      </c>
      <c r="C26" s="20" t="s">
        <v>87</v>
      </c>
      <c r="D26" s="43">
        <v>3</v>
      </c>
      <c r="E26" s="10" t="s">
        <v>88</v>
      </c>
      <c r="F26" s="10" t="s">
        <v>89</v>
      </c>
      <c r="G26" s="53">
        <v>1322495</v>
      </c>
      <c r="H26" s="49">
        <f t="shared" ref="H26:H28" si="9">$H$10</f>
        <v>0.24510999999999999</v>
      </c>
      <c r="I26" s="49">
        <f>$I$18</f>
        <v>0.16012999999999999</v>
      </c>
      <c r="J26" s="49">
        <f t="shared" ref="J26:J28" si="10">+$J$10</f>
        <v>0.12947</v>
      </c>
      <c r="K26" s="46">
        <f>ROUND(H26*G26,2)</f>
        <v>324156.75</v>
      </c>
      <c r="L26" s="46">
        <f>ROUND(G26*I26,2)</f>
        <v>211771.12</v>
      </c>
      <c r="M26" s="50">
        <f>ROUND(G26*J26,2)</f>
        <v>171223.43</v>
      </c>
      <c r="N26" s="47">
        <f>SUM(K26:M26)</f>
        <v>707151.3</v>
      </c>
      <c r="O26" s="46">
        <v>-0.01</v>
      </c>
      <c r="Q26" s="48" t="s">
        <v>51</v>
      </c>
      <c r="R26" s="48">
        <v>49965.85</v>
      </c>
      <c r="S26" s="48"/>
      <c r="T26" s="48"/>
      <c r="U26" s="52">
        <v>5434.8</v>
      </c>
      <c r="V26" s="48"/>
      <c r="W26" s="48"/>
      <c r="X26" s="48"/>
      <c r="Y26" s="48"/>
      <c r="Z26" s="48"/>
      <c r="AA26" s="48"/>
      <c r="AB26" s="48"/>
      <c r="AC26" s="48"/>
      <c r="AD26" s="58"/>
      <c r="AE26" t="s">
        <v>52</v>
      </c>
      <c r="AH26" s="27">
        <v>0</v>
      </c>
      <c r="AL26" t="s">
        <v>90</v>
      </c>
    </row>
    <row r="27" spans="2:38" ht="15.75" x14ac:dyDescent="0.25">
      <c r="B27" s="42" t="s">
        <v>86</v>
      </c>
      <c r="C27" s="20" t="s">
        <v>91</v>
      </c>
      <c r="D27" s="43">
        <v>3</v>
      </c>
      <c r="E27" s="10" t="s">
        <v>74</v>
      </c>
      <c r="F27" s="10" t="s">
        <v>75</v>
      </c>
      <c r="G27" s="53">
        <v>393372</v>
      </c>
      <c r="H27" s="49">
        <f t="shared" si="9"/>
        <v>0.24510999999999999</v>
      </c>
      <c r="I27" s="49">
        <f>$I$18</f>
        <v>0.16012999999999999</v>
      </c>
      <c r="J27" s="49">
        <f t="shared" si="10"/>
        <v>0.12947</v>
      </c>
      <c r="K27" s="46">
        <f>ROUND(H27*G27,2)</f>
        <v>96419.41</v>
      </c>
      <c r="L27" s="46">
        <f>ROUND(G27*I27,2)</f>
        <v>62990.66</v>
      </c>
      <c r="M27" s="50">
        <f>ROUND(G27*J27,2)</f>
        <v>50929.87</v>
      </c>
      <c r="N27" s="47">
        <f>SUM(K27:M27)</f>
        <v>210339.94</v>
      </c>
      <c r="O27" s="46"/>
      <c r="Q27" s="48" t="s">
        <v>51</v>
      </c>
      <c r="R27" s="48"/>
      <c r="S27" s="48"/>
      <c r="T27" s="48"/>
      <c r="U27" s="52"/>
      <c r="V27" s="48"/>
      <c r="W27" s="48"/>
      <c r="X27" s="48"/>
      <c r="Y27" s="48"/>
      <c r="Z27" s="48"/>
      <c r="AA27" s="48"/>
      <c r="AB27" s="48"/>
      <c r="AC27" s="48"/>
      <c r="AD27" s="58"/>
      <c r="AE27" t="s">
        <v>52</v>
      </c>
      <c r="AH27" s="27">
        <v>0</v>
      </c>
      <c r="AL27" t="s">
        <v>92</v>
      </c>
    </row>
    <row r="28" spans="2:38" ht="15" x14ac:dyDescent="0.2">
      <c r="B28" s="42" t="s">
        <v>86</v>
      </c>
      <c r="C28" s="20" t="s">
        <v>93</v>
      </c>
      <c r="D28" s="43">
        <v>3</v>
      </c>
      <c r="E28" s="10" t="s">
        <v>78</v>
      </c>
      <c r="F28" s="10" t="s">
        <v>79</v>
      </c>
      <c r="G28" s="44">
        <v>0</v>
      </c>
      <c r="H28" s="49">
        <f t="shared" si="9"/>
        <v>0.24510999999999999</v>
      </c>
      <c r="I28" s="49">
        <f>+$I$14</f>
        <v>0.17316000000000001</v>
      </c>
      <c r="J28" s="49">
        <f t="shared" si="10"/>
        <v>0.12947</v>
      </c>
      <c r="K28" s="46">
        <f>ROUND(H28*G28,2)</f>
        <v>0</v>
      </c>
      <c r="L28" s="46">
        <f>ROUND(G28*I28,2)</f>
        <v>0</v>
      </c>
      <c r="M28" s="50">
        <f>ROUND(G28*J28,2)</f>
        <v>0</v>
      </c>
      <c r="N28" s="46">
        <f>SUM(K28:M28)</f>
        <v>0</v>
      </c>
      <c r="O28" s="46"/>
      <c r="Q28" s="4"/>
      <c r="R28" s="4"/>
      <c r="S28" s="4"/>
      <c r="T28" s="4"/>
      <c r="U28" s="52"/>
      <c r="V28" s="4"/>
      <c r="W28" s="4"/>
      <c r="X28" s="4"/>
      <c r="Y28" s="4"/>
      <c r="Z28" s="4"/>
      <c r="AA28" s="4"/>
      <c r="AB28" s="4"/>
      <c r="AC28" s="4"/>
      <c r="AD28" s="27"/>
      <c r="AE28" t="s">
        <v>52</v>
      </c>
      <c r="AH28" s="27">
        <v>0</v>
      </c>
      <c r="AL28" t="s">
        <v>94</v>
      </c>
    </row>
    <row r="29" spans="2:38" ht="12.2" customHeight="1" x14ac:dyDescent="0.2">
      <c r="B29" s="42"/>
      <c r="D29" s="43"/>
      <c r="G29" s="44"/>
      <c r="H29" s="49"/>
      <c r="I29" s="49"/>
      <c r="J29" s="49"/>
      <c r="K29" s="46"/>
      <c r="L29" s="46"/>
      <c r="M29" s="50"/>
      <c r="N29" s="46"/>
      <c r="O29" s="46"/>
      <c r="Q29" s="4"/>
      <c r="R29" s="4">
        <v>17029.240000000002</v>
      </c>
      <c r="S29" s="4"/>
      <c r="T29" s="4"/>
      <c r="U29" s="52">
        <v>1729.72</v>
      </c>
      <c r="V29" s="4"/>
      <c r="W29" s="4"/>
      <c r="X29" s="4"/>
      <c r="Y29" s="4"/>
      <c r="Z29" s="4"/>
      <c r="AA29" s="4"/>
      <c r="AB29" s="4"/>
      <c r="AC29" s="4"/>
      <c r="AD29" s="27"/>
      <c r="AH29" s="27"/>
    </row>
    <row r="30" spans="2:38" ht="15.75" x14ac:dyDescent="0.25">
      <c r="B30" s="42" t="s">
        <v>95</v>
      </c>
      <c r="C30" s="20" t="s">
        <v>96</v>
      </c>
      <c r="D30" s="43">
        <v>3</v>
      </c>
      <c r="E30" s="10" t="s">
        <v>88</v>
      </c>
      <c r="F30" s="10" t="s">
        <v>97</v>
      </c>
      <c r="G30" s="53">
        <v>85</v>
      </c>
      <c r="H30" s="49">
        <f t="shared" ref="H30:H32" si="11">$H$10</f>
        <v>0.24510999999999999</v>
      </c>
      <c r="I30" s="49">
        <f>$I$18</f>
        <v>0.16012999999999999</v>
      </c>
      <c r="J30" s="49">
        <f t="shared" ref="J30:J32" si="12">+$J$10</f>
        <v>0.12947</v>
      </c>
      <c r="K30" s="46">
        <f t="shared" ref="K30:K32" si="13">ROUND(H30*G30,2)</f>
        <v>20.83</v>
      </c>
      <c r="L30" s="46">
        <f t="shared" ref="L30:L32" si="14">ROUND(G30*I30,2)</f>
        <v>13.61</v>
      </c>
      <c r="M30" s="50">
        <f t="shared" ref="M30:M32" si="15">ROUND(G30*J30,2)</f>
        <v>11</v>
      </c>
      <c r="N30" s="46">
        <f t="shared" ref="N30:N32" si="16">SUM(K30:M30)</f>
        <v>45.44</v>
      </c>
      <c r="O30" s="46"/>
      <c r="Q30" s="48" t="s">
        <v>51</v>
      </c>
      <c r="R30" s="48"/>
      <c r="S30" s="48"/>
      <c r="T30" s="48"/>
      <c r="U30" s="52"/>
      <c r="V30" s="48"/>
      <c r="W30" s="48"/>
      <c r="X30" s="48"/>
      <c r="Y30" s="48"/>
      <c r="Z30" s="48"/>
      <c r="AA30" s="48"/>
      <c r="AB30" s="48"/>
      <c r="AC30" s="48"/>
      <c r="AD30" s="58"/>
      <c r="AE30" t="s">
        <v>52</v>
      </c>
      <c r="AH30" s="27">
        <v>0</v>
      </c>
      <c r="AL30" t="s">
        <v>90</v>
      </c>
    </row>
    <row r="31" spans="2:38" ht="15.75" x14ac:dyDescent="0.25">
      <c r="B31" s="42" t="s">
        <v>98</v>
      </c>
      <c r="C31" s="20" t="s">
        <v>83</v>
      </c>
      <c r="D31" s="43">
        <v>3</v>
      </c>
      <c r="E31" s="10" t="s">
        <v>88</v>
      </c>
      <c r="F31" s="10" t="s">
        <v>97</v>
      </c>
      <c r="G31" s="59">
        <v>-85</v>
      </c>
      <c r="H31" s="49">
        <f t="shared" si="11"/>
        <v>0.24510999999999999</v>
      </c>
      <c r="I31" s="49">
        <f>$I$18</f>
        <v>0.16012999999999999</v>
      </c>
      <c r="J31" s="49">
        <f t="shared" si="12"/>
        <v>0.12947</v>
      </c>
      <c r="K31" s="46">
        <f t="shared" si="13"/>
        <v>-20.83</v>
      </c>
      <c r="L31" s="46">
        <f t="shared" si="14"/>
        <v>-13.61</v>
      </c>
      <c r="M31" s="50">
        <f t="shared" si="15"/>
        <v>-11</v>
      </c>
      <c r="N31" s="46">
        <f t="shared" si="16"/>
        <v>-45.44</v>
      </c>
      <c r="O31" s="46"/>
      <c r="Q31" s="4"/>
      <c r="R31" s="4">
        <v>128505.68</v>
      </c>
      <c r="S31" s="4"/>
      <c r="T31" s="4"/>
      <c r="U31" s="52">
        <v>17959.87</v>
      </c>
      <c r="V31" s="4"/>
      <c r="W31" s="4"/>
      <c r="X31" s="4"/>
      <c r="Y31" s="4"/>
      <c r="Z31" s="4"/>
      <c r="AA31" s="4"/>
      <c r="AB31" s="4"/>
      <c r="AC31" s="4"/>
      <c r="AD31" s="60"/>
      <c r="AE31" t="s">
        <v>52</v>
      </c>
      <c r="AH31" s="27">
        <v>0</v>
      </c>
      <c r="AL31" t="s">
        <v>90</v>
      </c>
    </row>
    <row r="32" spans="2:38" ht="15.75" x14ac:dyDescent="0.25">
      <c r="B32" s="42" t="s">
        <v>98</v>
      </c>
      <c r="C32" s="20" t="s">
        <v>85</v>
      </c>
      <c r="D32" s="43">
        <v>3</v>
      </c>
      <c r="E32" s="10" t="s">
        <v>88</v>
      </c>
      <c r="F32" s="10" t="s">
        <v>97</v>
      </c>
      <c r="G32" s="59">
        <v>341</v>
      </c>
      <c r="H32" s="49">
        <f t="shared" si="11"/>
        <v>0.24510999999999999</v>
      </c>
      <c r="I32" s="49">
        <f>$I$18</f>
        <v>0.16012999999999999</v>
      </c>
      <c r="J32" s="49">
        <f t="shared" si="12"/>
        <v>0.12947</v>
      </c>
      <c r="K32" s="46">
        <f t="shared" si="13"/>
        <v>83.58</v>
      </c>
      <c r="L32" s="46">
        <f t="shared" si="14"/>
        <v>54.6</v>
      </c>
      <c r="M32" s="50">
        <f t="shared" si="15"/>
        <v>44.15</v>
      </c>
      <c r="N32" s="46">
        <f t="shared" si="16"/>
        <v>182.33</v>
      </c>
      <c r="O32" s="46"/>
      <c r="Q32" s="4"/>
      <c r="R32" s="4">
        <v>97.86</v>
      </c>
      <c r="S32" s="4"/>
      <c r="T32" s="4"/>
      <c r="U32" s="52">
        <v>10.64</v>
      </c>
      <c r="V32" s="4"/>
      <c r="W32" s="4"/>
      <c r="X32" s="4"/>
      <c r="Y32" s="4"/>
      <c r="Z32" s="4"/>
      <c r="AA32" s="4"/>
      <c r="AB32" s="4"/>
      <c r="AC32" s="4"/>
      <c r="AD32" s="60"/>
      <c r="AE32" t="s">
        <v>52</v>
      </c>
      <c r="AH32" s="27">
        <v>0</v>
      </c>
      <c r="AL32" t="s">
        <v>90</v>
      </c>
    </row>
    <row r="33" spans="2:38" ht="12.2" customHeight="1" x14ac:dyDescent="0.2">
      <c r="B33" s="42"/>
      <c r="D33" s="43"/>
      <c r="G33" s="44"/>
      <c r="H33" s="49"/>
      <c r="I33" s="49"/>
      <c r="J33" s="49"/>
      <c r="K33" s="46"/>
      <c r="L33" s="46"/>
      <c r="M33" s="50"/>
      <c r="N33" s="46"/>
      <c r="O33" s="46"/>
      <c r="Q33" s="4"/>
      <c r="R33" s="4"/>
      <c r="S33" s="4"/>
      <c r="T33" s="4"/>
      <c r="U33" s="52"/>
      <c r="V33" s="4"/>
      <c r="W33" s="4"/>
      <c r="X33" s="4"/>
      <c r="Y33" s="4"/>
      <c r="Z33" s="4"/>
      <c r="AA33" s="4"/>
      <c r="AB33" s="4"/>
      <c r="AC33" s="4"/>
      <c r="AD33" s="58"/>
      <c r="AH33" s="27"/>
    </row>
    <row r="34" spans="2:38" ht="15" x14ac:dyDescent="0.2">
      <c r="B34" s="42" t="s">
        <v>95</v>
      </c>
      <c r="C34" s="20" t="s">
        <v>99</v>
      </c>
      <c r="D34" s="43" t="s">
        <v>17</v>
      </c>
      <c r="E34" s="10" t="s">
        <v>100</v>
      </c>
      <c r="F34" s="10" t="s">
        <v>101</v>
      </c>
      <c r="G34" s="44">
        <v>0</v>
      </c>
      <c r="H34" s="49">
        <f t="shared" ref="H34:H36" si="17">$H$10</f>
        <v>0.24510999999999999</v>
      </c>
      <c r="I34" s="45">
        <v>0.14713999999999999</v>
      </c>
      <c r="J34" s="49">
        <f t="shared" ref="J34:J36" si="18">+$J$10</f>
        <v>0.12947</v>
      </c>
      <c r="K34" s="46">
        <f>ROUND(H34*G34,2)</f>
        <v>0</v>
      </c>
      <c r="L34" s="46">
        <f>ROUND(G34*I34,2)</f>
        <v>0</v>
      </c>
      <c r="M34" s="50">
        <f>ROUND(G34*J34,2)</f>
        <v>0</v>
      </c>
      <c r="N34" s="57">
        <f>SUM(K34:M34)</f>
        <v>0</v>
      </c>
      <c r="Q34" s="4"/>
      <c r="R34" s="4"/>
      <c r="S34" s="4"/>
      <c r="T34" s="4"/>
      <c r="U34" s="52"/>
      <c r="V34" s="4"/>
      <c r="W34" s="4"/>
      <c r="X34" s="4"/>
      <c r="Y34" s="4"/>
      <c r="Z34" s="4"/>
      <c r="AA34" s="4"/>
      <c r="AB34" s="4"/>
      <c r="AC34" s="4"/>
      <c r="AD34" s="27"/>
      <c r="AE34" t="s">
        <v>52</v>
      </c>
      <c r="AH34" s="27">
        <v>0</v>
      </c>
      <c r="AL34" t="s">
        <v>102</v>
      </c>
    </row>
    <row r="35" spans="2:38" ht="15" x14ac:dyDescent="0.2">
      <c r="B35" s="42" t="s">
        <v>98</v>
      </c>
      <c r="C35" s="20" t="s">
        <v>83</v>
      </c>
      <c r="D35" s="43">
        <v>4</v>
      </c>
      <c r="E35" s="10" t="s">
        <v>100</v>
      </c>
      <c r="F35" s="10" t="s">
        <v>101</v>
      </c>
      <c r="G35" s="64">
        <v>0</v>
      </c>
      <c r="H35" s="49">
        <f t="shared" si="17"/>
        <v>0.24510999999999999</v>
      </c>
      <c r="I35" s="49">
        <f>$I$34</f>
        <v>0.14713999999999999</v>
      </c>
      <c r="J35" s="49">
        <f t="shared" si="18"/>
        <v>0.12947</v>
      </c>
      <c r="K35" s="46">
        <f>ROUND(H35*G35,2)</f>
        <v>0</v>
      </c>
      <c r="L35" s="46">
        <f>ROUND(G35*I35,2)</f>
        <v>0</v>
      </c>
      <c r="M35" s="50">
        <f>ROUND(G35*J35,2)</f>
        <v>0</v>
      </c>
      <c r="N35" s="47">
        <f>SUM(K35:M35)</f>
        <v>0</v>
      </c>
      <c r="O35" s="46">
        <f>-N35-80.06</f>
        <v>-80.06</v>
      </c>
      <c r="Q35" s="4"/>
      <c r="R35" s="4">
        <v>18307.25</v>
      </c>
      <c r="S35" s="4"/>
      <c r="T35" s="4"/>
      <c r="U35" s="52">
        <v>1859.59</v>
      </c>
      <c r="V35" s="4"/>
      <c r="W35" s="4"/>
      <c r="X35" s="4"/>
      <c r="Y35" s="4"/>
      <c r="Z35" s="4"/>
      <c r="AA35" s="4"/>
      <c r="AB35" s="4"/>
      <c r="AC35" s="4"/>
      <c r="AD35" s="60"/>
      <c r="AE35" t="s">
        <v>52</v>
      </c>
      <c r="AH35" s="27">
        <v>0</v>
      </c>
      <c r="AL35" t="s">
        <v>103</v>
      </c>
    </row>
    <row r="36" spans="2:38" ht="15" x14ac:dyDescent="0.2">
      <c r="B36" s="42" t="s">
        <v>98</v>
      </c>
      <c r="C36" s="20" t="s">
        <v>85</v>
      </c>
      <c r="D36" s="43">
        <v>4</v>
      </c>
      <c r="E36" s="10" t="s">
        <v>100</v>
      </c>
      <c r="F36" s="10" t="s">
        <v>101</v>
      </c>
      <c r="G36" s="64">
        <v>0</v>
      </c>
      <c r="H36" s="49">
        <f t="shared" si="17"/>
        <v>0.24510999999999999</v>
      </c>
      <c r="I36" s="49">
        <f>$I$34</f>
        <v>0.14713999999999999</v>
      </c>
      <c r="J36" s="49">
        <f t="shared" si="18"/>
        <v>0.12947</v>
      </c>
      <c r="K36" s="46">
        <f>ROUND(H36*G36,2)</f>
        <v>0</v>
      </c>
      <c r="L36" s="46">
        <f>ROUND(G36*I36,2)</f>
        <v>0</v>
      </c>
      <c r="M36" s="50">
        <f>ROUND(G36*J36,2)</f>
        <v>0</v>
      </c>
      <c r="N36" s="46">
        <f>SUM(K36:M36)</f>
        <v>0</v>
      </c>
      <c r="O36" s="46"/>
      <c r="Q36" s="4"/>
      <c r="R36" s="4"/>
      <c r="S36" s="4"/>
      <c r="T36" s="4"/>
      <c r="U36" s="52"/>
      <c r="V36" s="4"/>
      <c r="W36" s="4"/>
      <c r="X36" s="4"/>
      <c r="Y36" s="4"/>
      <c r="Z36" s="4"/>
      <c r="AA36" s="4"/>
      <c r="AB36" s="4"/>
      <c r="AC36" s="4"/>
      <c r="AD36" s="60"/>
      <c r="AE36" t="s">
        <v>52</v>
      </c>
      <c r="AH36" s="27">
        <v>0</v>
      </c>
      <c r="AL36" t="s">
        <v>103</v>
      </c>
    </row>
    <row r="37" spans="2:38" ht="12.2" customHeight="1" x14ac:dyDescent="0.2">
      <c r="B37" s="42"/>
      <c r="D37" s="43"/>
      <c r="G37" s="44"/>
      <c r="H37" s="49"/>
      <c r="I37" s="49"/>
      <c r="J37" s="49"/>
      <c r="M37" s="50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27"/>
      <c r="AH37" s="27"/>
    </row>
    <row r="38" spans="2:38" ht="15.75" x14ac:dyDescent="0.25">
      <c r="B38" s="42" t="s">
        <v>104</v>
      </c>
      <c r="C38" s="20" t="s">
        <v>105</v>
      </c>
      <c r="D38" s="43" t="s">
        <v>106</v>
      </c>
      <c r="E38" s="10" t="s">
        <v>100</v>
      </c>
      <c r="F38" s="10" t="s">
        <v>101</v>
      </c>
      <c r="G38" s="53">
        <v>256203</v>
      </c>
      <c r="H38" s="49">
        <f t="shared" ref="H38:H43" si="19">$H$10</f>
        <v>0.24510999999999999</v>
      </c>
      <c r="I38" s="49">
        <f t="shared" ref="I38:I43" si="20">$I$34</f>
        <v>0.14713999999999999</v>
      </c>
      <c r="J38" s="49">
        <f t="shared" ref="J38:J45" si="21">+$J$10</f>
        <v>0.12947</v>
      </c>
      <c r="K38" s="46">
        <f t="shared" ref="K38:K43" si="22">ROUND(H38*G38,2)</f>
        <v>62797.919999999998</v>
      </c>
      <c r="L38" s="46">
        <f t="shared" ref="L38:L43" si="23">ROUND(G38*I38,2)</f>
        <v>37697.71</v>
      </c>
      <c r="M38" s="50">
        <f t="shared" ref="M38:M42" si="24">ROUND(G38*J38,2)</f>
        <v>33170.6</v>
      </c>
      <c r="N38" s="47">
        <f>SUM(K38:M38)</f>
        <v>133666.23000000001</v>
      </c>
      <c r="O38" s="46">
        <v>0.01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27"/>
      <c r="AE38" t="s">
        <v>52</v>
      </c>
      <c r="AH38" s="27">
        <v>0</v>
      </c>
      <c r="AL38" t="s">
        <v>103</v>
      </c>
    </row>
    <row r="39" spans="2:38" ht="15.75" x14ac:dyDescent="0.25">
      <c r="B39" s="42" t="s">
        <v>104</v>
      </c>
      <c r="C39" s="20" t="s">
        <v>83</v>
      </c>
      <c r="D39" s="43">
        <v>5</v>
      </c>
      <c r="E39" s="10" t="s">
        <v>100</v>
      </c>
      <c r="F39" s="10" t="s">
        <v>101</v>
      </c>
      <c r="G39" s="59">
        <v>-256203</v>
      </c>
      <c r="H39" s="49">
        <f t="shared" si="19"/>
        <v>0.24510999999999999</v>
      </c>
      <c r="I39" s="49">
        <f t="shared" si="20"/>
        <v>0.14713999999999999</v>
      </c>
      <c r="J39" s="49">
        <f t="shared" si="21"/>
        <v>0.12947</v>
      </c>
      <c r="K39" s="46">
        <f t="shared" si="22"/>
        <v>-62797.919999999998</v>
      </c>
      <c r="L39" s="46">
        <f t="shared" si="23"/>
        <v>-37697.71</v>
      </c>
      <c r="M39" s="50">
        <f t="shared" si="24"/>
        <v>-33170.6</v>
      </c>
      <c r="N39" s="47">
        <f t="shared" ref="N39:N43" si="25">SUM(K39:M39)</f>
        <v>-133666.23000000001</v>
      </c>
      <c r="O39" s="4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60"/>
      <c r="AE39" t="s">
        <v>52</v>
      </c>
      <c r="AH39" s="27">
        <v>0</v>
      </c>
      <c r="AL39" t="s">
        <v>102</v>
      </c>
    </row>
    <row r="40" spans="2:38" ht="15.75" x14ac:dyDescent="0.25">
      <c r="B40" s="42" t="s">
        <v>104</v>
      </c>
      <c r="C40" s="20" t="s">
        <v>107</v>
      </c>
      <c r="D40" s="43">
        <v>5</v>
      </c>
      <c r="E40" s="10" t="s">
        <v>100</v>
      </c>
      <c r="F40" s="10" t="s">
        <v>101</v>
      </c>
      <c r="G40" s="59">
        <v>228991</v>
      </c>
      <c r="H40" s="49">
        <f t="shared" si="19"/>
        <v>0.24510999999999999</v>
      </c>
      <c r="I40" s="49">
        <f t="shared" si="20"/>
        <v>0.14713999999999999</v>
      </c>
      <c r="J40" s="49">
        <f t="shared" si="21"/>
        <v>0.12947</v>
      </c>
      <c r="K40" s="46">
        <f t="shared" si="22"/>
        <v>56127.98</v>
      </c>
      <c r="L40" s="46">
        <f t="shared" si="23"/>
        <v>33693.74</v>
      </c>
      <c r="M40" s="50">
        <f t="shared" si="24"/>
        <v>29647.46</v>
      </c>
      <c r="N40" s="47">
        <f t="shared" si="25"/>
        <v>119469.18</v>
      </c>
      <c r="O40" s="46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60"/>
      <c r="AE40" t="s">
        <v>52</v>
      </c>
      <c r="AH40" s="27">
        <v>0</v>
      </c>
      <c r="AL40" t="s">
        <v>102</v>
      </c>
    </row>
    <row r="41" spans="2:38" ht="15" x14ac:dyDescent="0.2">
      <c r="B41" s="42" t="s">
        <v>108</v>
      </c>
      <c r="C41" s="20" t="s">
        <v>109</v>
      </c>
      <c r="D41" s="43">
        <v>5</v>
      </c>
      <c r="E41" s="10" t="s">
        <v>110</v>
      </c>
      <c r="F41" s="10" t="s">
        <v>111</v>
      </c>
      <c r="G41" s="44"/>
      <c r="H41" s="49">
        <f t="shared" si="19"/>
        <v>0.24510999999999999</v>
      </c>
      <c r="I41" s="49">
        <f t="shared" si="20"/>
        <v>0.14713999999999999</v>
      </c>
      <c r="J41" s="49">
        <f t="shared" si="21"/>
        <v>0.12947</v>
      </c>
      <c r="K41" s="46">
        <f t="shared" si="22"/>
        <v>0</v>
      </c>
      <c r="L41" s="46">
        <f t="shared" si="23"/>
        <v>0</v>
      </c>
      <c r="M41" s="50">
        <f t="shared" si="24"/>
        <v>0</v>
      </c>
      <c r="N41" s="47">
        <f t="shared" si="25"/>
        <v>0</v>
      </c>
      <c r="O41" s="46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27"/>
      <c r="AE41" t="s">
        <v>52</v>
      </c>
      <c r="AH41" s="27">
        <v>0</v>
      </c>
      <c r="AL41" t="s">
        <v>112</v>
      </c>
    </row>
    <row r="42" spans="2:38" ht="15" x14ac:dyDescent="0.2">
      <c r="B42" s="42" t="s">
        <v>104</v>
      </c>
      <c r="C42" s="20" t="s">
        <v>83</v>
      </c>
      <c r="D42" s="43">
        <v>5</v>
      </c>
      <c r="E42" s="10" t="s">
        <v>110</v>
      </c>
      <c r="F42" s="10" t="s">
        <v>111</v>
      </c>
      <c r="G42" s="64">
        <v>0</v>
      </c>
      <c r="H42" s="49">
        <f t="shared" si="19"/>
        <v>0.24510999999999999</v>
      </c>
      <c r="I42" s="49">
        <f t="shared" si="20"/>
        <v>0.14713999999999999</v>
      </c>
      <c r="J42" s="49">
        <f t="shared" si="21"/>
        <v>0.12947</v>
      </c>
      <c r="K42" s="46">
        <f>ROUND(H42*G42,2)</f>
        <v>0</v>
      </c>
      <c r="L42" s="46">
        <f t="shared" si="23"/>
        <v>0</v>
      </c>
      <c r="M42" s="50">
        <f t="shared" si="24"/>
        <v>0</v>
      </c>
      <c r="N42" s="47">
        <f t="shared" si="25"/>
        <v>0</v>
      </c>
      <c r="O42" s="46">
        <v>-0.01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60"/>
      <c r="AE42" t="s">
        <v>52</v>
      </c>
      <c r="AH42" s="27">
        <v>0</v>
      </c>
      <c r="AL42" t="s">
        <v>102</v>
      </c>
    </row>
    <row r="43" spans="2:38" ht="15" x14ac:dyDescent="0.2">
      <c r="B43" s="42" t="s">
        <v>104</v>
      </c>
      <c r="C43" s="20" t="s">
        <v>107</v>
      </c>
      <c r="D43" s="43">
        <v>5</v>
      </c>
      <c r="E43" s="10" t="s">
        <v>110</v>
      </c>
      <c r="F43" s="10" t="s">
        <v>111</v>
      </c>
      <c r="G43" s="64"/>
      <c r="H43" s="49">
        <f t="shared" si="19"/>
        <v>0.24510999999999999</v>
      </c>
      <c r="I43" s="49">
        <f t="shared" si="20"/>
        <v>0.14713999999999999</v>
      </c>
      <c r="J43" s="49">
        <f t="shared" si="21"/>
        <v>0.12947</v>
      </c>
      <c r="K43" s="46">
        <f t="shared" si="22"/>
        <v>0</v>
      </c>
      <c r="L43" s="46">
        <f t="shared" si="23"/>
        <v>0</v>
      </c>
      <c r="M43" s="50">
        <f>ROUND(G43*J43,2)</f>
        <v>0</v>
      </c>
      <c r="N43" s="47">
        <f t="shared" si="25"/>
        <v>0</v>
      </c>
      <c r="O43" s="46">
        <v>0.01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60"/>
      <c r="AE43" t="s">
        <v>52</v>
      </c>
      <c r="AH43" s="27">
        <v>0</v>
      </c>
      <c r="AL43" t="s">
        <v>102</v>
      </c>
    </row>
    <row r="44" spans="2:38" ht="12.2" customHeight="1" x14ac:dyDescent="0.2">
      <c r="B44" s="42"/>
      <c r="D44" s="43"/>
      <c r="G44" s="65"/>
      <c r="H44" s="49"/>
      <c r="I44" s="49"/>
      <c r="J44" s="49"/>
      <c r="K44" s="46"/>
      <c r="L44" s="46"/>
      <c r="M44" s="50"/>
      <c r="N44" s="46"/>
      <c r="O44" s="4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60"/>
      <c r="AH44" s="27"/>
    </row>
    <row r="45" spans="2:38" ht="14.25" x14ac:dyDescent="0.2">
      <c r="B45" s="42" t="s">
        <v>108</v>
      </c>
      <c r="C45" s="20" t="s">
        <v>113</v>
      </c>
      <c r="D45" s="43">
        <v>6</v>
      </c>
      <c r="E45" s="10" t="s">
        <v>100</v>
      </c>
      <c r="G45" s="66">
        <f>'[2]Core Billed Therms '!$J$88</f>
        <v>0</v>
      </c>
      <c r="H45" s="49">
        <f>$H$10</f>
        <v>0.24510999999999999</v>
      </c>
      <c r="I45" s="49">
        <f>$I$34</f>
        <v>0.14713999999999999</v>
      </c>
      <c r="J45" s="49">
        <f t="shared" si="21"/>
        <v>0.12947</v>
      </c>
      <c r="K45" s="46">
        <f>ROUND(H45*G45,2)</f>
        <v>0</v>
      </c>
      <c r="L45" s="46">
        <f>ROUND(G45*I45,2)</f>
        <v>0</v>
      </c>
      <c r="M45" s="50">
        <f>ROUND(G45*J45,2)</f>
        <v>0</v>
      </c>
      <c r="N45" s="46">
        <f>SUM(K45:M45)</f>
        <v>0</v>
      </c>
      <c r="O45" s="46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27"/>
      <c r="AE45" t="s">
        <v>52</v>
      </c>
      <c r="AH45" s="27">
        <v>0</v>
      </c>
      <c r="AL45" t="s">
        <v>114</v>
      </c>
    </row>
    <row r="46" spans="2:38" ht="12.2" customHeight="1" x14ac:dyDescent="0.2">
      <c r="B46" s="42"/>
      <c r="D46" s="43"/>
      <c r="G46" s="66"/>
      <c r="J46" s="67"/>
      <c r="K46" s="46"/>
      <c r="L46" s="46"/>
      <c r="M46" s="50"/>
      <c r="N46" s="46"/>
      <c r="O46" s="46"/>
      <c r="AD46" s="27"/>
      <c r="AH46" s="27"/>
    </row>
    <row r="47" spans="2:38" ht="15" x14ac:dyDescent="0.25">
      <c r="B47" s="68"/>
      <c r="D47" s="69"/>
      <c r="E47" s="70"/>
      <c r="F47" s="10" t="s">
        <v>117</v>
      </c>
      <c r="G47" s="71">
        <f>SUM(G9:G46)</f>
        <v>33451284</v>
      </c>
      <c r="H47" s="72" t="s">
        <v>116</v>
      </c>
      <c r="K47" s="73">
        <f>SUM(K9:K46)</f>
        <v>8199244.2100000009</v>
      </c>
      <c r="L47" s="74">
        <f>SUM(L9:L46)</f>
        <v>5747551.1699999999</v>
      </c>
      <c r="M47" s="75">
        <f>SUM(M9:M46)</f>
        <v>4443021.7200000007</v>
      </c>
      <c r="N47" s="76">
        <f>SUM(N9:N46)</f>
        <v>18389817.100000001</v>
      </c>
      <c r="O47" s="77">
        <v>0.03</v>
      </c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27"/>
      <c r="AH47" s="27"/>
    </row>
    <row r="48" spans="2:38" ht="14.25" x14ac:dyDescent="0.2">
      <c r="C48" s="3"/>
      <c r="D48" s="69"/>
      <c r="F48" s="10" t="s">
        <v>115</v>
      </c>
      <c r="G48" s="71"/>
      <c r="K48" s="76" t="s">
        <v>118</v>
      </c>
      <c r="L48" s="76" t="s">
        <v>118</v>
      </c>
      <c r="M48" s="76"/>
      <c r="N48" s="76"/>
      <c r="O48" s="76"/>
      <c r="Q48" s="76">
        <f>-N47</f>
        <v>-18389817.100000001</v>
      </c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3" t="s">
        <v>119</v>
      </c>
      <c r="AE48" t="s">
        <v>52</v>
      </c>
      <c r="AH48" s="27">
        <v>0</v>
      </c>
      <c r="AL48" t="s">
        <v>120</v>
      </c>
    </row>
    <row r="49" spans="6:32" ht="15" x14ac:dyDescent="0.25">
      <c r="F49" s="104" t="s">
        <v>121</v>
      </c>
      <c r="G49" s="78">
        <f>+G47+G48</f>
        <v>33451284</v>
      </c>
      <c r="H49" s="79"/>
      <c r="K49" s="76">
        <f>SUM(K47:K48)</f>
        <v>8199244.2100000009</v>
      </c>
      <c r="L49" s="76">
        <f>SUM(L47:L48)</f>
        <v>5747551.1699999999</v>
      </c>
      <c r="M49" s="76">
        <f>SUM(M47:M48)</f>
        <v>4443021.7200000007</v>
      </c>
      <c r="N49" s="76">
        <f>SUM(N47:N48)</f>
        <v>18389817.100000001</v>
      </c>
      <c r="O49" s="76"/>
      <c r="P49" s="46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F49" s="27"/>
    </row>
    <row r="50" spans="6:32" ht="21.75" customHeight="1" x14ac:dyDescent="0.2">
      <c r="G50" s="105" t="s">
        <v>122</v>
      </c>
      <c r="K50" s="76"/>
      <c r="L50" s="46"/>
      <c r="M50" s="76"/>
      <c r="N50" s="76"/>
      <c r="O50" s="76"/>
    </row>
    <row r="51" spans="6:32" ht="21.75" customHeight="1" x14ac:dyDescent="0.2">
      <c r="G51" s="81" t="s">
        <v>123</v>
      </c>
      <c r="H51" s="7"/>
      <c r="L51" s="82"/>
      <c r="M51" s="46"/>
      <c r="N51" s="46"/>
      <c r="O51" s="46"/>
    </row>
    <row r="52" spans="6:32" x14ac:dyDescent="0.2">
      <c r="H52" s="7"/>
      <c r="L52" s="83"/>
      <c r="N52" s="46"/>
      <c r="O52" s="46"/>
    </row>
    <row r="53" spans="6:32" x14ac:dyDescent="0.2">
      <c r="F53" s="10" t="s">
        <v>124</v>
      </c>
      <c r="L53" s="84"/>
      <c r="N53" s="85"/>
      <c r="O53" s="85"/>
    </row>
    <row r="54" spans="6:32" x14ac:dyDescent="0.2">
      <c r="L54" s="84"/>
      <c r="M54" s="80"/>
    </row>
    <row r="55" spans="6:32" x14ac:dyDescent="0.2">
      <c r="L55" s="84"/>
      <c r="M55" s="80"/>
      <c r="N55" s="46"/>
      <c r="O55" s="46"/>
    </row>
    <row r="56" spans="6:32" x14ac:dyDescent="0.2">
      <c r="L56" s="84"/>
      <c r="M56" s="80"/>
      <c r="N56" s="46"/>
      <c r="O56" s="46"/>
    </row>
    <row r="57" spans="6:32" x14ac:dyDescent="0.2">
      <c r="L57" s="84"/>
      <c r="M57" s="80"/>
      <c r="N57" s="46"/>
      <c r="O57" s="46"/>
    </row>
    <row r="58" spans="6:32" x14ac:dyDescent="0.2">
      <c r="L58" s="84"/>
      <c r="M58" s="46"/>
      <c r="N58" s="80"/>
      <c r="O58" s="80"/>
    </row>
    <row r="59" spans="6:32" x14ac:dyDescent="0.2">
      <c r="L59" s="86"/>
      <c r="N59" s="87"/>
      <c r="O59" s="87"/>
    </row>
    <row r="60" spans="6:32" x14ac:dyDescent="0.2">
      <c r="L60" s="83"/>
      <c r="N60" s="88"/>
      <c r="O60" s="88"/>
    </row>
    <row r="72" spans="2:38" s="63" customFormat="1" x14ac:dyDescent="0.2">
      <c r="B72" s="3"/>
      <c r="C72" s="20"/>
      <c r="D72" s="10"/>
      <c r="E72" s="10"/>
      <c r="F72" s="10"/>
      <c r="G72" s="58" t="e">
        <f>+G49+#REF!</f>
        <v>#REF!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7"/>
      <c r="D107" s="69"/>
    </row>
    <row r="108" spans="2:29" x14ac:dyDescent="0.2">
      <c r="B108" s="7"/>
      <c r="D108" s="69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spans="2:29" x14ac:dyDescent="0.2"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spans="2:29" x14ac:dyDescent="0.2">
      <c r="D110" s="69"/>
    </row>
    <row r="111" spans="2:29" x14ac:dyDescent="0.2">
      <c r="D111" s="69"/>
    </row>
  </sheetData>
  <mergeCells count="10">
    <mergeCell ref="L5:P5"/>
    <mergeCell ref="V23:Y23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AFFA-466E-4E8B-9F77-E4088A61B962}">
  <sheetPr>
    <tabColor theme="4" tint="0.79998168889431442"/>
  </sheetPr>
  <dimension ref="B1:AG71"/>
  <sheetViews>
    <sheetView showGridLines="0" topLeftCell="A13" zoomScaleNormal="100" zoomScaleSheetLayoutView="100" workbookViewId="0">
      <pane xSplit="6" topLeftCell="G1" activePane="topRight" state="frozen"/>
      <selection activeCell="B6" sqref="B6"/>
      <selection pane="topRight" activeCell="J50" sqref="J50"/>
    </sheetView>
  </sheetViews>
  <sheetFormatPr defaultColWidth="9.140625" defaultRowHeight="14.1" customHeight="1" x14ac:dyDescent="0.25"/>
  <cols>
    <col min="1" max="1" width="1.7109375" style="8" customWidth="1"/>
    <col min="2" max="2" width="3.42578125" style="107" customWidth="1"/>
    <col min="3" max="3" width="5.5703125" style="107" customWidth="1"/>
    <col min="4" max="4" width="6.42578125" style="107" customWidth="1"/>
    <col min="5" max="5" width="8.85546875" style="121" customWidth="1"/>
    <col min="6" max="6" width="29.5703125" style="8" customWidth="1"/>
    <col min="7" max="7" width="11.140625" style="8" bestFit="1" customWidth="1"/>
    <col min="8" max="8" width="14.5703125" style="110" bestFit="1" customWidth="1"/>
    <col min="9" max="9" width="2.7109375" style="8" customWidth="1"/>
    <col min="10" max="10" width="12.7109375" style="8" bestFit="1" customWidth="1"/>
    <col min="11" max="11" width="16.85546875" style="110" bestFit="1" customWidth="1"/>
    <col min="12" max="12" width="2.7109375" style="8" customWidth="1"/>
    <col min="13" max="13" width="13.42578125" style="8" bestFit="1" customWidth="1"/>
    <col min="14" max="14" width="16.28515625" style="110" customWidth="1"/>
    <col min="15" max="15" width="3" style="8" customWidth="1"/>
    <col min="16" max="16" width="12.85546875" style="113" bestFit="1" customWidth="1"/>
    <col min="17" max="17" width="17.42578125" style="113" customWidth="1"/>
    <col min="18" max="18" width="3.7109375" style="113" customWidth="1"/>
    <col min="19" max="19" width="12.85546875" style="113" bestFit="1" customWidth="1"/>
    <col min="20" max="20" width="16.85546875" style="113" customWidth="1"/>
    <col min="21" max="21" width="3.5703125" style="8" customWidth="1"/>
    <col min="22" max="22" width="9.5703125" style="8" bestFit="1" customWidth="1"/>
    <col min="23" max="23" width="16" style="8" bestFit="1" customWidth="1"/>
    <col min="24" max="24" width="1.7109375" style="8" hidden="1" customWidth="1"/>
    <col min="25" max="25" width="10.85546875" style="8" bestFit="1" customWidth="1"/>
    <col min="26" max="26" width="14.7109375" style="8" bestFit="1" customWidth="1"/>
    <col min="27" max="27" width="1.7109375" style="8" hidden="1" customWidth="1"/>
    <col min="28" max="29" width="15.7109375" style="8" hidden="1" customWidth="1"/>
    <col min="30" max="30" width="2.140625" style="8" customWidth="1"/>
    <col min="31" max="31" width="13.140625" style="8" customWidth="1"/>
    <col min="32" max="32" width="10.7109375" style="8" bestFit="1" customWidth="1"/>
    <col min="33" max="33" width="13.7109375" style="8" bestFit="1" customWidth="1"/>
    <col min="34" max="16384" width="9.140625" style="8"/>
  </cols>
  <sheetData>
    <row r="1" spans="2:33" ht="17.45" customHeight="1" x14ac:dyDescent="0.25">
      <c r="B1" s="106" t="s">
        <v>130</v>
      </c>
      <c r="D1" s="108"/>
      <c r="E1" s="108"/>
      <c r="F1" s="108"/>
      <c r="G1" s="109"/>
      <c r="I1" s="111"/>
      <c r="K1" s="112"/>
      <c r="O1" s="111"/>
      <c r="Q1" s="114"/>
      <c r="U1" s="111"/>
      <c r="W1" s="115">
        <f>B2-31</f>
        <v>43855</v>
      </c>
      <c r="X1" s="115"/>
      <c r="Y1" s="115"/>
    </row>
    <row r="2" spans="2:33" ht="15" customHeight="1" x14ac:dyDescent="0.25">
      <c r="B2" s="116">
        <v>43886</v>
      </c>
      <c r="C2" s="116"/>
      <c r="D2" s="116"/>
      <c r="E2" s="116"/>
      <c r="G2" s="117" t="s">
        <v>12</v>
      </c>
      <c r="H2" s="117"/>
      <c r="I2" s="111"/>
      <c r="J2" s="118" t="s">
        <v>131</v>
      </c>
      <c r="K2" s="118"/>
      <c r="L2" s="118"/>
      <c r="M2" s="118"/>
      <c r="N2" s="118"/>
      <c r="O2" s="111"/>
      <c r="P2" s="119" t="s">
        <v>132</v>
      </c>
      <c r="Q2" s="119"/>
      <c r="R2" s="119"/>
      <c r="S2" s="119"/>
      <c r="T2" s="119"/>
      <c r="U2" s="111"/>
      <c r="W2" s="120" t="s">
        <v>133</v>
      </c>
      <c r="X2" s="120"/>
      <c r="Y2" s="120"/>
    </row>
    <row r="3" spans="2:33" ht="15" x14ac:dyDescent="0.25">
      <c r="I3" s="111"/>
      <c r="K3" s="112"/>
      <c r="O3" s="111"/>
      <c r="U3" s="122"/>
      <c r="W3" s="115">
        <f>B2</f>
        <v>43886</v>
      </c>
      <c r="X3" s="115"/>
      <c r="Y3" s="115"/>
      <c r="Z3" s="123"/>
      <c r="AB3" s="124" t="s">
        <v>134</v>
      </c>
      <c r="AC3" s="124"/>
      <c r="AD3" s="125"/>
    </row>
    <row r="4" spans="2:33" ht="16.5" customHeight="1" x14ac:dyDescent="0.25">
      <c r="B4" s="126"/>
      <c r="C4" s="126"/>
      <c r="D4" s="126"/>
      <c r="E4" s="127"/>
      <c r="F4" s="128" t="s">
        <v>135</v>
      </c>
      <c r="I4" s="111"/>
      <c r="J4" s="129" t="s">
        <v>136</v>
      </c>
      <c r="K4" s="129"/>
      <c r="L4" s="130"/>
      <c r="M4" s="129" t="s">
        <v>137</v>
      </c>
      <c r="N4" s="129"/>
      <c r="O4" s="131"/>
      <c r="P4" s="132" t="s">
        <v>136</v>
      </c>
      <c r="Q4" s="132"/>
      <c r="R4" s="133"/>
      <c r="S4" s="132" t="s">
        <v>137</v>
      </c>
      <c r="T4" s="132"/>
      <c r="U4" s="131"/>
      <c r="V4" s="129" t="s">
        <v>136</v>
      </c>
      <c r="W4" s="129"/>
      <c r="X4" s="130"/>
      <c r="Y4" s="129" t="s">
        <v>137</v>
      </c>
      <c r="Z4" s="129"/>
      <c r="AB4" s="134" t="s">
        <v>2</v>
      </c>
      <c r="AC4" s="134" t="s">
        <v>8</v>
      </c>
      <c r="AD4" s="134"/>
    </row>
    <row r="5" spans="2:33" s="7" customFormat="1" ht="15.75" customHeight="1" x14ac:dyDescent="0.2">
      <c r="B5" s="135" t="s">
        <v>138</v>
      </c>
      <c r="C5" s="135"/>
      <c r="D5" s="135"/>
      <c r="E5" s="135"/>
      <c r="F5" s="136"/>
      <c r="G5" s="137" t="s">
        <v>36</v>
      </c>
      <c r="H5" s="138" t="s">
        <v>139</v>
      </c>
      <c r="I5" s="111"/>
      <c r="J5" s="139" t="s">
        <v>36</v>
      </c>
      <c r="K5" s="140" t="s">
        <v>139</v>
      </c>
      <c r="L5" s="141"/>
      <c r="M5" s="139" t="s">
        <v>36</v>
      </c>
      <c r="N5" s="140" t="s">
        <v>139</v>
      </c>
      <c r="O5" s="111"/>
      <c r="P5" s="142" t="s">
        <v>36</v>
      </c>
      <c r="Q5" s="143" t="s">
        <v>139</v>
      </c>
      <c r="R5" s="141"/>
      <c r="S5" s="141" t="s">
        <v>36</v>
      </c>
      <c r="T5" s="144" t="s">
        <v>139</v>
      </c>
      <c r="U5" s="111"/>
      <c r="V5" s="139" t="s">
        <v>140</v>
      </c>
      <c r="W5" s="144" t="s">
        <v>139</v>
      </c>
      <c r="X5" s="141"/>
      <c r="Y5" s="145" t="s">
        <v>140</v>
      </c>
      <c r="Z5" s="144" t="s">
        <v>139</v>
      </c>
      <c r="AB5" s="146" t="s">
        <v>139</v>
      </c>
      <c r="AC5" s="146" t="s">
        <v>139</v>
      </c>
      <c r="AD5" s="146"/>
    </row>
    <row r="6" spans="2:33" ht="14.25" customHeight="1" x14ac:dyDescent="0.25">
      <c r="B6" s="147" t="s">
        <v>141</v>
      </c>
      <c r="C6" s="148">
        <v>6011</v>
      </c>
      <c r="D6" s="148">
        <v>28040</v>
      </c>
      <c r="E6" s="149">
        <v>671010</v>
      </c>
      <c r="F6" s="7" t="s">
        <v>142</v>
      </c>
      <c r="G6" s="150" t="s">
        <v>143</v>
      </c>
      <c r="H6" s="151">
        <f>K6+N6</f>
        <v>342142.5</v>
      </c>
      <c r="I6" s="111"/>
      <c r="J6" s="152"/>
      <c r="K6" s="153">
        <f>+Q6+W6</f>
        <v>40749.17</v>
      </c>
      <c r="L6" s="154" t="s">
        <v>144</v>
      </c>
      <c r="M6" s="152"/>
      <c r="N6" s="153">
        <f>+T6+Z6</f>
        <v>301393.33</v>
      </c>
      <c r="O6" s="111" t="s">
        <v>144</v>
      </c>
      <c r="P6" s="152"/>
      <c r="Q6" s="155">
        <v>40749.17</v>
      </c>
      <c r="R6" s="7"/>
      <c r="S6" s="152"/>
      <c r="T6" s="155">
        <v>301393.33</v>
      </c>
      <c r="U6" s="111"/>
      <c r="V6" s="156"/>
      <c r="W6" s="157"/>
      <c r="Y6" s="109"/>
      <c r="Z6" s="157"/>
      <c r="AE6" s="158">
        <v>671010</v>
      </c>
    </row>
    <row r="7" spans="2:33" ht="14.25" customHeight="1" x14ac:dyDescent="0.25">
      <c r="B7" s="147" t="s">
        <v>141</v>
      </c>
      <c r="C7" s="148">
        <v>6011</v>
      </c>
      <c r="D7" s="148">
        <v>28040</v>
      </c>
      <c r="E7" s="149">
        <v>671030</v>
      </c>
      <c r="F7" s="7" t="s">
        <v>145</v>
      </c>
      <c r="G7" s="150" t="s">
        <v>143</v>
      </c>
      <c r="H7" s="151">
        <f t="shared" ref="H7:H13" si="0">+K7+N7</f>
        <v>419397.51</v>
      </c>
      <c r="I7" s="111"/>
      <c r="J7" s="152"/>
      <c r="K7" s="153">
        <f>+Q7+W7</f>
        <v>245150.12999999998</v>
      </c>
      <c r="L7" s="154" t="s">
        <v>144</v>
      </c>
      <c r="M7" s="152"/>
      <c r="N7" s="153">
        <f>+T7+Z7</f>
        <v>174247.38</v>
      </c>
      <c r="O7" s="111" t="s">
        <v>144</v>
      </c>
      <c r="P7" s="152"/>
      <c r="Q7" s="155">
        <v>244930.3</v>
      </c>
      <c r="R7" s="7"/>
      <c r="S7" s="152"/>
      <c r="T7" s="157">
        <v>174834.92</v>
      </c>
      <c r="U7" s="111"/>
      <c r="V7" s="156"/>
      <c r="W7" s="155">
        <v>219.83</v>
      </c>
      <c r="X7" s="113"/>
      <c r="Y7" s="159"/>
      <c r="Z7" s="155">
        <v>-587.54</v>
      </c>
      <c r="AE7" s="158">
        <v>671030</v>
      </c>
    </row>
    <row r="8" spans="2:33" ht="14.25" customHeight="1" x14ac:dyDescent="0.25">
      <c r="B8" s="147" t="s">
        <v>141</v>
      </c>
      <c r="C8" s="148">
        <v>6011</v>
      </c>
      <c r="D8" s="148">
        <v>28040</v>
      </c>
      <c r="E8" s="149">
        <v>671050</v>
      </c>
      <c r="F8" s="7" t="s">
        <v>146</v>
      </c>
      <c r="G8" s="160">
        <f t="shared" ref="G8:G14" si="1">+J8+M8</f>
        <v>38898020</v>
      </c>
      <c r="H8" s="151">
        <f t="shared" si="0"/>
        <v>9024013.1600000001</v>
      </c>
      <c r="I8" s="111"/>
      <c r="J8" s="7">
        <f>+P8+V8</f>
        <v>28737209</v>
      </c>
      <c r="K8" s="161">
        <f>+Q8+W8</f>
        <v>6958784.9299999997</v>
      </c>
      <c r="L8" s="154" t="s">
        <v>147</v>
      </c>
      <c r="M8" s="7">
        <f>+S8+Y8</f>
        <v>10160811</v>
      </c>
      <c r="N8" s="161">
        <f>+T8+Z8</f>
        <v>2065228.2300000002</v>
      </c>
      <c r="O8" s="111" t="s">
        <v>147</v>
      </c>
      <c r="P8" s="162">
        <v>28751268</v>
      </c>
      <c r="Q8" s="163">
        <f>6948921.54+750+12000</f>
        <v>6961671.54</v>
      </c>
      <c r="R8" s="7"/>
      <c r="S8" s="162">
        <v>10171752</v>
      </c>
      <c r="T8" s="163">
        <v>2068529.12</v>
      </c>
      <c r="U8" s="111"/>
      <c r="V8" s="164">
        <v>-14059</v>
      </c>
      <c r="W8" s="163">
        <v>-2886.61</v>
      </c>
      <c r="X8" s="113"/>
      <c r="Y8" s="165">
        <v>-10941</v>
      </c>
      <c r="Z8" s="163">
        <v>-3300.89</v>
      </c>
      <c r="AB8" s="166">
        <v>0</v>
      </c>
      <c r="AC8" s="166">
        <v>0</v>
      </c>
      <c r="AE8" s="167">
        <v>671050</v>
      </c>
    </row>
    <row r="9" spans="2:33" ht="14.25" customHeight="1" x14ac:dyDescent="0.25">
      <c r="B9" s="147" t="s">
        <v>141</v>
      </c>
      <c r="C9" s="148">
        <v>6011</v>
      </c>
      <c r="D9" s="148">
        <v>28040</v>
      </c>
      <c r="E9" s="149">
        <v>671051</v>
      </c>
      <c r="F9" s="7" t="s">
        <v>148</v>
      </c>
      <c r="G9" s="150" t="s">
        <v>143</v>
      </c>
      <c r="H9" s="151">
        <f t="shared" si="0"/>
        <v>0</v>
      </c>
      <c r="I9" s="111"/>
      <c r="J9" s="152"/>
      <c r="K9" s="161">
        <f t="shared" ref="J9:K14" si="2">+Q9+W9</f>
        <v>0</v>
      </c>
      <c r="L9" s="154" t="s">
        <v>147</v>
      </c>
      <c r="M9" s="168"/>
      <c r="N9" s="161">
        <f>+T9+Z9</f>
        <v>0</v>
      </c>
      <c r="O9" s="111" t="s">
        <v>147</v>
      </c>
      <c r="P9" s="152"/>
      <c r="Q9" s="169"/>
      <c r="R9" s="7"/>
      <c r="S9" s="152"/>
      <c r="T9" s="169"/>
      <c r="U9" s="111"/>
      <c r="V9" s="170"/>
      <c r="W9" s="163"/>
      <c r="X9" s="159"/>
      <c r="Y9" s="171"/>
      <c r="Z9" s="163"/>
      <c r="AE9" s="167">
        <v>671051</v>
      </c>
    </row>
    <row r="10" spans="2:33" ht="14.25" customHeight="1" x14ac:dyDescent="0.25">
      <c r="B10" s="147" t="s">
        <v>141</v>
      </c>
      <c r="C10" s="148">
        <v>6011</v>
      </c>
      <c r="D10" s="148">
        <v>28040</v>
      </c>
      <c r="E10" s="149">
        <v>671070</v>
      </c>
      <c r="F10" s="7" t="s">
        <v>149</v>
      </c>
      <c r="G10" s="160">
        <f t="shared" si="1"/>
        <v>1146900</v>
      </c>
      <c r="H10" s="151">
        <f>+K10+N10</f>
        <v>293516.23</v>
      </c>
      <c r="I10" s="111"/>
      <c r="J10" s="7">
        <f t="shared" si="2"/>
        <v>855576</v>
      </c>
      <c r="K10" s="161">
        <f t="shared" si="2"/>
        <v>218270.04</v>
      </c>
      <c r="L10" s="154" t="s">
        <v>147</v>
      </c>
      <c r="M10" s="7">
        <f>+S10+Y10</f>
        <v>291324</v>
      </c>
      <c r="N10" s="161">
        <f>+T10+Z10</f>
        <v>75246.19</v>
      </c>
      <c r="O10" s="172" t="s">
        <v>147</v>
      </c>
      <c r="P10" s="162">
        <f>407302+448274</f>
        <v>855576</v>
      </c>
      <c r="Q10" s="163">
        <f>77579.32+140690.72</f>
        <v>218270.04</v>
      </c>
      <c r="R10" s="7"/>
      <c r="S10" s="162">
        <f>131188+160136</f>
        <v>291324</v>
      </c>
      <c r="T10" s="163">
        <f>24987.52+50258.67</f>
        <v>75246.19</v>
      </c>
      <c r="U10" s="111"/>
      <c r="V10" s="170"/>
      <c r="W10" s="163"/>
      <c r="X10" s="159">
        <v>0</v>
      </c>
      <c r="Y10" s="171"/>
      <c r="Z10" s="163"/>
      <c r="AE10" s="167">
        <v>671070</v>
      </c>
    </row>
    <row r="11" spans="2:33" ht="14.25" customHeight="1" x14ac:dyDescent="0.25">
      <c r="B11" s="173" t="s">
        <v>141</v>
      </c>
      <c r="C11" s="174">
        <v>6011</v>
      </c>
      <c r="D11" s="174">
        <v>28081</v>
      </c>
      <c r="E11" s="175">
        <v>671050</v>
      </c>
      <c r="F11" s="176" t="s">
        <v>150</v>
      </c>
      <c r="G11" s="160">
        <f t="shared" si="1"/>
        <v>5539540</v>
      </c>
      <c r="H11" s="151">
        <f t="shared" si="0"/>
        <v>2279966.5700000003</v>
      </c>
      <c r="I11" s="111"/>
      <c r="J11" s="7">
        <f t="shared" si="2"/>
        <v>4879781</v>
      </c>
      <c r="K11" s="161">
        <f t="shared" si="2"/>
        <v>2008422.55</v>
      </c>
      <c r="L11" s="154" t="s">
        <v>147</v>
      </c>
      <c r="M11" s="7">
        <f t="shared" ref="M11:N14" si="3">+S11+Y11</f>
        <v>659759</v>
      </c>
      <c r="N11" s="161">
        <f t="shared" si="3"/>
        <v>271544.02</v>
      </c>
      <c r="O11" s="111" t="s">
        <v>147</v>
      </c>
      <c r="P11" s="162">
        <v>4879781</v>
      </c>
      <c r="Q11" s="177">
        <v>2008422.55</v>
      </c>
      <c r="R11" s="178">
        <v>-1</v>
      </c>
      <c r="S11" s="162">
        <v>659759</v>
      </c>
      <c r="T11" s="177">
        <v>271544.02</v>
      </c>
      <c r="U11" s="179">
        <v>-4</v>
      </c>
      <c r="V11" s="170"/>
      <c r="W11" s="163"/>
      <c r="X11" s="159"/>
      <c r="Y11" s="171"/>
      <c r="Z11" s="163"/>
      <c r="AE11" s="175">
        <v>671050</v>
      </c>
      <c r="AF11" s="113"/>
    </row>
    <row r="12" spans="2:33" ht="14.25" customHeight="1" x14ac:dyDescent="0.25">
      <c r="B12" s="173" t="s">
        <v>141</v>
      </c>
      <c r="C12" s="174">
        <v>6011</v>
      </c>
      <c r="D12" s="174">
        <v>28082</v>
      </c>
      <c r="E12" s="175">
        <v>671050</v>
      </c>
      <c r="F12" s="176" t="s">
        <v>151</v>
      </c>
      <c r="G12" s="160">
        <f t="shared" si="1"/>
        <v>0</v>
      </c>
      <c r="H12" s="151">
        <f t="shared" si="0"/>
        <v>0</v>
      </c>
      <c r="I12" s="111"/>
      <c r="J12" s="7">
        <f t="shared" si="2"/>
        <v>0</v>
      </c>
      <c r="K12" s="161">
        <f t="shared" si="2"/>
        <v>0</v>
      </c>
      <c r="L12" s="154" t="s">
        <v>147</v>
      </c>
      <c r="M12" s="58">
        <f t="shared" si="3"/>
        <v>0</v>
      </c>
      <c r="N12" s="161">
        <f t="shared" si="3"/>
        <v>0</v>
      </c>
      <c r="O12" s="111" t="s">
        <v>147</v>
      </c>
      <c r="P12" s="162">
        <v>0</v>
      </c>
      <c r="Q12" s="177">
        <v>0</v>
      </c>
      <c r="R12" s="178">
        <v>-2</v>
      </c>
      <c r="S12" s="180"/>
      <c r="T12" s="177"/>
      <c r="U12" s="179"/>
      <c r="V12" s="164"/>
      <c r="W12" s="163"/>
      <c r="X12" s="159"/>
      <c r="Y12" s="171"/>
      <c r="Z12" s="163"/>
      <c r="AE12" s="175">
        <v>671050</v>
      </c>
      <c r="AF12" s="113"/>
      <c r="AG12" s="162"/>
    </row>
    <row r="13" spans="2:33" ht="14.25" customHeight="1" x14ac:dyDescent="0.25">
      <c r="B13" s="173" t="s">
        <v>141</v>
      </c>
      <c r="C13" s="174">
        <v>6011</v>
      </c>
      <c r="D13" s="174">
        <v>28120</v>
      </c>
      <c r="E13" s="175">
        <v>671070</v>
      </c>
      <c r="F13" s="176" t="s">
        <v>152</v>
      </c>
      <c r="G13" s="160">
        <f t="shared" si="1"/>
        <v>-40168</v>
      </c>
      <c r="H13" s="151">
        <f t="shared" si="0"/>
        <v>-9050.85</v>
      </c>
      <c r="I13" s="111"/>
      <c r="J13" s="7">
        <f t="shared" si="2"/>
        <v>-28973</v>
      </c>
      <c r="K13" s="161">
        <f>+Q13+W13</f>
        <v>-7101.49</v>
      </c>
      <c r="L13" s="154" t="s">
        <v>147</v>
      </c>
      <c r="M13" s="7">
        <f t="shared" si="3"/>
        <v>-11195</v>
      </c>
      <c r="N13" s="161">
        <f t="shared" si="3"/>
        <v>-1949.36</v>
      </c>
      <c r="O13" s="111" t="s">
        <v>147</v>
      </c>
      <c r="P13" s="162">
        <v>-28973</v>
      </c>
      <c r="Q13" s="177">
        <v>-7101.49</v>
      </c>
      <c r="R13" s="178">
        <v>-3</v>
      </c>
      <c r="S13" s="181">
        <v>-11195</v>
      </c>
      <c r="T13" s="177">
        <v>-1949.36</v>
      </c>
      <c r="U13" s="179">
        <v>-5</v>
      </c>
      <c r="V13" s="170"/>
      <c r="W13" s="163"/>
      <c r="X13" s="159"/>
      <c r="Y13" s="171">
        <v>0</v>
      </c>
      <c r="Z13" s="163"/>
      <c r="AE13" s="175">
        <v>671070</v>
      </c>
    </row>
    <row r="14" spans="2:33" ht="14.25" customHeight="1" x14ac:dyDescent="0.25">
      <c r="B14" s="147" t="s">
        <v>141</v>
      </c>
      <c r="C14" s="148">
        <v>6011</v>
      </c>
      <c r="D14" s="148">
        <v>28040</v>
      </c>
      <c r="E14" s="149">
        <v>671100</v>
      </c>
      <c r="F14" s="7" t="s">
        <v>153</v>
      </c>
      <c r="G14" s="160">
        <f t="shared" si="1"/>
        <v>0</v>
      </c>
      <c r="H14" s="151">
        <f>+K14+N14</f>
        <v>0</v>
      </c>
      <c r="I14" s="111"/>
      <c r="J14" s="7">
        <f>+P14+V14</f>
        <v>0</v>
      </c>
      <c r="K14" s="161">
        <f t="shared" si="2"/>
        <v>0</v>
      </c>
      <c r="L14" s="154" t="s">
        <v>147</v>
      </c>
      <c r="M14" s="182">
        <f t="shared" si="3"/>
        <v>0</v>
      </c>
      <c r="N14" s="183">
        <f t="shared" si="3"/>
        <v>0</v>
      </c>
      <c r="O14" s="111" t="s">
        <v>147</v>
      </c>
      <c r="P14" s="184"/>
      <c r="Q14" s="185"/>
      <c r="R14" s="7"/>
      <c r="S14" s="184"/>
      <c r="T14" s="169"/>
      <c r="U14" s="111"/>
      <c r="V14" s="170"/>
      <c r="W14" s="163"/>
      <c r="X14" s="159"/>
      <c r="Y14" s="171"/>
      <c r="Z14" s="186"/>
      <c r="AE14" s="167">
        <v>671100</v>
      </c>
    </row>
    <row r="15" spans="2:33" ht="14.25" customHeight="1" x14ac:dyDescent="0.25">
      <c r="B15" s="147"/>
      <c r="C15" s="187"/>
      <c r="D15" s="187"/>
      <c r="E15" s="188"/>
      <c r="F15" s="189" t="s">
        <v>154</v>
      </c>
      <c r="G15" s="190">
        <f>SUM(G6:G14)</f>
        <v>45544292</v>
      </c>
      <c r="H15" s="191">
        <f>SUM(H6:H14)</f>
        <v>12349985.120000001</v>
      </c>
      <c r="I15" s="111"/>
      <c r="J15" s="192">
        <f>SUM(J6:J14)</f>
        <v>34443593</v>
      </c>
      <c r="K15" s="89">
        <f>SUM(K6:K14)</f>
        <v>9464275.3300000001</v>
      </c>
      <c r="L15" s="154"/>
      <c r="M15" s="7">
        <f>SUM(M6:M14)</f>
        <v>11100699</v>
      </c>
      <c r="N15" s="95">
        <f>SUM(N6:N14)</f>
        <v>2885709.7900000005</v>
      </c>
      <c r="O15" s="111"/>
      <c r="P15" s="7">
        <f>SUM(P6:P14)</f>
        <v>34457652</v>
      </c>
      <c r="Q15" s="193">
        <f>SUM(Q6:Q14)</f>
        <v>9466942.1099999994</v>
      </c>
      <c r="R15" s="7"/>
      <c r="S15" s="7">
        <f>SUM(S6:S14)</f>
        <v>11111640</v>
      </c>
      <c r="T15" s="193">
        <f>SUM(T6:T14)</f>
        <v>2889598.22</v>
      </c>
      <c r="U15" s="111"/>
      <c r="V15" s="194">
        <f>+SUM(V6:V14)</f>
        <v>-14059</v>
      </c>
      <c r="W15" s="195">
        <f>SUM(W6:W14)</f>
        <v>-2666.78</v>
      </c>
      <c r="X15" s="159"/>
      <c r="Y15" s="194">
        <f>SUM(Y6:Y14)</f>
        <v>-10941</v>
      </c>
      <c r="Z15" s="195">
        <f>SUM(Z6:Z14)</f>
        <v>-3888.43</v>
      </c>
      <c r="AB15" s="196">
        <f>SUM(AB6:AB14)</f>
        <v>0</v>
      </c>
      <c r="AC15" s="196">
        <f>SUM(AC6:AC14)</f>
        <v>0</v>
      </c>
      <c r="AD15" s="196"/>
      <c r="AE15" s="188"/>
    </row>
    <row r="16" spans="2:33" ht="14.25" customHeight="1" x14ac:dyDescent="0.25">
      <c r="B16" s="147"/>
      <c r="C16" s="187"/>
      <c r="D16" s="187"/>
      <c r="E16" s="188"/>
      <c r="G16" s="190"/>
      <c r="H16" s="197"/>
      <c r="I16" s="111"/>
      <c r="J16" s="190"/>
      <c r="K16" s="197"/>
      <c r="L16" s="109"/>
      <c r="M16" s="190"/>
      <c r="N16" s="198"/>
      <c r="O16" s="111"/>
      <c r="P16" s="192"/>
      <c r="Q16" s="46"/>
      <c r="R16" s="7"/>
      <c r="S16" s="192"/>
      <c r="T16" s="46"/>
      <c r="U16" s="111"/>
      <c r="V16" s="199"/>
      <c r="W16" s="46"/>
      <c r="X16" s="109"/>
      <c r="Y16" s="109"/>
      <c r="Z16" s="46"/>
      <c r="AE16" s="188"/>
    </row>
    <row r="17" spans="2:33" ht="14.25" customHeight="1" x14ac:dyDescent="0.25">
      <c r="B17" s="147" t="s">
        <v>141</v>
      </c>
      <c r="C17" s="148">
        <v>6011</v>
      </c>
      <c r="D17" s="148">
        <v>28040</v>
      </c>
      <c r="E17" s="149">
        <v>672010</v>
      </c>
      <c r="F17" s="7" t="s">
        <v>155</v>
      </c>
      <c r="G17" s="150"/>
      <c r="H17" s="151">
        <f>K17+N17</f>
        <v>4709359.43</v>
      </c>
      <c r="I17" s="111"/>
      <c r="J17" s="200"/>
      <c r="K17" s="153">
        <f>+Q17+W17</f>
        <v>3765702.57</v>
      </c>
      <c r="L17" s="154" t="s">
        <v>144</v>
      </c>
      <c r="M17" s="152"/>
      <c r="N17" s="153">
        <f>+T17+Z17</f>
        <v>943656.8600000001</v>
      </c>
      <c r="O17" s="111" t="s">
        <v>144</v>
      </c>
      <c r="P17" s="152"/>
      <c r="Q17" s="155">
        <f>141673.85+3634708.88</f>
        <v>3776382.73</v>
      </c>
      <c r="R17" s="7"/>
      <c r="S17" s="152"/>
      <c r="T17" s="155">
        <f>316127.15+629379.06</f>
        <v>945506.21000000008</v>
      </c>
      <c r="U17" s="111"/>
      <c r="V17" s="160"/>
      <c r="W17" s="155">
        <v>-10680.16</v>
      </c>
      <c r="X17" s="159"/>
      <c r="Y17" s="201"/>
      <c r="Z17" s="155">
        <v>-1849.35</v>
      </c>
      <c r="AE17" s="158">
        <v>672010</v>
      </c>
    </row>
    <row r="18" spans="2:33" ht="14.25" customHeight="1" x14ac:dyDescent="0.25">
      <c r="B18" s="147" t="s">
        <v>141</v>
      </c>
      <c r="C18" s="148">
        <v>6011</v>
      </c>
      <c r="D18" s="148">
        <v>28040</v>
      </c>
      <c r="E18" s="149">
        <v>672020</v>
      </c>
      <c r="F18" s="7" t="s">
        <v>156</v>
      </c>
      <c r="G18" s="150"/>
      <c r="H18" s="151">
        <f>K18+N18</f>
        <v>98907.9</v>
      </c>
      <c r="I18" s="111"/>
      <c r="J18" s="200"/>
      <c r="K18" s="161">
        <f>+Q18+W18</f>
        <v>77295.819999999992</v>
      </c>
      <c r="L18" s="154" t="s">
        <v>147</v>
      </c>
      <c r="M18" s="152"/>
      <c r="N18" s="161">
        <f>+T18+Z18</f>
        <v>21612.080000000002</v>
      </c>
      <c r="O18" s="111" t="s">
        <v>147</v>
      </c>
      <c r="P18" s="152"/>
      <c r="Q18" s="163">
        <v>79511.59</v>
      </c>
      <c r="R18" s="7"/>
      <c r="S18" s="8"/>
      <c r="T18" s="163">
        <v>24994.41</v>
      </c>
      <c r="U18" s="111"/>
      <c r="V18" s="160"/>
      <c r="W18" s="163">
        <v>-2215.77</v>
      </c>
      <c r="X18" s="159"/>
      <c r="Y18" s="201"/>
      <c r="Z18" s="163">
        <v>-3382.33</v>
      </c>
      <c r="AE18" s="167">
        <v>672020</v>
      </c>
      <c r="AF18" s="202"/>
    </row>
    <row r="19" spans="2:33" ht="14.25" customHeight="1" x14ac:dyDescent="0.25">
      <c r="B19" s="147" t="s">
        <v>141</v>
      </c>
      <c r="C19" s="148">
        <v>6011</v>
      </c>
      <c r="D19" s="148">
        <v>28040</v>
      </c>
      <c r="E19" s="149">
        <v>672030</v>
      </c>
      <c r="F19" s="7" t="s">
        <v>157</v>
      </c>
      <c r="G19" s="150"/>
      <c r="H19" s="151">
        <f>K19+N19</f>
        <v>0</v>
      </c>
      <c r="I19" s="111"/>
      <c r="J19" s="200"/>
      <c r="K19" s="153">
        <f>+Q19+W19</f>
        <v>0</v>
      </c>
      <c r="L19" s="154" t="s">
        <v>144</v>
      </c>
      <c r="M19" s="152"/>
      <c r="N19" s="153">
        <f>+T19+Z19</f>
        <v>0</v>
      </c>
      <c r="O19" s="111" t="s">
        <v>144</v>
      </c>
      <c r="P19" s="152"/>
      <c r="Q19" s="157"/>
      <c r="R19" s="7"/>
      <c r="S19" s="152"/>
      <c r="T19" s="155"/>
      <c r="U19" s="111"/>
      <c r="V19" s="160"/>
      <c r="W19" s="155"/>
      <c r="X19" s="159"/>
      <c r="Y19" s="201"/>
      <c r="Z19" s="155"/>
      <c r="AE19" s="158">
        <v>672030</v>
      </c>
      <c r="AF19" s="202"/>
    </row>
    <row r="20" spans="2:33" ht="14.25" customHeight="1" x14ac:dyDescent="0.25">
      <c r="B20" s="147" t="s">
        <v>141</v>
      </c>
      <c r="C20" s="148">
        <v>6011</v>
      </c>
      <c r="D20" s="148">
        <v>28040</v>
      </c>
      <c r="E20" s="149">
        <v>672040</v>
      </c>
      <c r="F20" s="7" t="s">
        <v>158</v>
      </c>
      <c r="G20" s="150"/>
      <c r="H20" s="151">
        <f>K20+N20</f>
        <v>209943.62</v>
      </c>
      <c r="I20" s="111"/>
      <c r="J20" s="200"/>
      <c r="K20" s="153">
        <f>+Q20+W20</f>
        <v>183396.03</v>
      </c>
      <c r="L20" s="154" t="s">
        <v>144</v>
      </c>
      <c r="M20" s="152"/>
      <c r="N20" s="153">
        <f>+T20+Z20</f>
        <v>26547.59</v>
      </c>
      <c r="O20" s="111" t="s">
        <v>144</v>
      </c>
      <c r="P20" s="152"/>
      <c r="Q20" s="155">
        <v>183911.12</v>
      </c>
      <c r="R20" s="7"/>
      <c r="S20" s="152"/>
      <c r="T20" s="155">
        <f>24865.27+1751.96</f>
        <v>26617.23</v>
      </c>
      <c r="U20" s="111"/>
      <c r="V20" s="160"/>
      <c r="W20" s="155">
        <v>-515.09</v>
      </c>
      <c r="X20" s="159"/>
      <c r="Y20" s="201"/>
      <c r="Z20" s="155">
        <v>-69.64</v>
      </c>
      <c r="AE20" s="158">
        <v>672040</v>
      </c>
      <c r="AF20" s="202"/>
      <c r="AG20" s="202"/>
    </row>
    <row r="21" spans="2:33" ht="14.25" customHeight="1" x14ac:dyDescent="0.25">
      <c r="B21" s="147" t="s">
        <v>141</v>
      </c>
      <c r="C21" s="148">
        <v>6011</v>
      </c>
      <c r="D21" s="148">
        <v>28040</v>
      </c>
      <c r="E21" s="149">
        <v>672050</v>
      </c>
      <c r="F21" s="7" t="s">
        <v>159</v>
      </c>
      <c r="G21" s="150"/>
      <c r="H21" s="151">
        <f>K21+N21</f>
        <v>-1043456.59</v>
      </c>
      <c r="I21" s="111"/>
      <c r="J21" s="203"/>
      <c r="K21" s="153">
        <f>+Q21+W21</f>
        <v>-919034.95</v>
      </c>
      <c r="L21" s="154" t="s">
        <v>144</v>
      </c>
      <c r="M21" s="152"/>
      <c r="N21" s="204">
        <f>+T21+Z21</f>
        <v>-124421.64</v>
      </c>
      <c r="O21" s="111" t="s">
        <v>144</v>
      </c>
      <c r="P21" s="152"/>
      <c r="Q21" s="155">
        <f>+-101.1-930168</f>
        <v>-930269.1</v>
      </c>
      <c r="R21" s="205"/>
      <c r="S21" s="206"/>
      <c r="T21" s="207">
        <f>+-142.99-125813.18</f>
        <v>-125956.17</v>
      </c>
      <c r="U21" s="111"/>
      <c r="V21" s="160"/>
      <c r="W21" s="155">
        <v>11234.15</v>
      </c>
      <c r="X21" s="159"/>
      <c r="Y21" s="201"/>
      <c r="Z21" s="155">
        <v>1534.53</v>
      </c>
      <c r="AE21" s="158">
        <v>672050</v>
      </c>
      <c r="AF21" s="202"/>
      <c r="AG21" s="202"/>
    </row>
    <row r="22" spans="2:33" ht="14.25" customHeight="1" x14ac:dyDescent="0.25">
      <c r="B22" s="147"/>
      <c r="C22" s="187"/>
      <c r="D22" s="187"/>
      <c r="E22" s="188"/>
      <c r="F22" s="192" t="s">
        <v>160</v>
      </c>
      <c r="G22" s="208"/>
      <c r="H22" s="209">
        <f>SUM(H17:H21)</f>
        <v>3974754.3600000003</v>
      </c>
      <c r="I22" s="111"/>
      <c r="J22" s="210"/>
      <c r="K22" s="95">
        <f>SUM(K17:K21)</f>
        <v>3107359.4699999997</v>
      </c>
      <c r="L22" s="154"/>
      <c r="M22" s="211"/>
      <c r="N22" s="95">
        <f>SUM(N17:N21)</f>
        <v>867394.89</v>
      </c>
      <c r="O22" s="111"/>
      <c r="P22" s="192"/>
      <c r="Q22" s="193">
        <f>SUM(Q17:Q21)</f>
        <v>3109536.34</v>
      </c>
      <c r="R22" s="154"/>
      <c r="S22" s="94"/>
      <c r="T22" s="193">
        <f>SUM(T17:T21)</f>
        <v>871161.68</v>
      </c>
      <c r="U22" s="111"/>
      <c r="V22" s="208"/>
      <c r="W22" s="212">
        <f>SUM(W17:W21)</f>
        <v>-2176.8700000000008</v>
      </c>
      <c r="X22" s="109"/>
      <c r="Y22" s="156"/>
      <c r="Z22" s="193">
        <f>SUM(Z17:Z21)</f>
        <v>-3766.7900000000009</v>
      </c>
      <c r="AB22" s="196">
        <f>SUM(AB17:AB21)</f>
        <v>0</v>
      </c>
      <c r="AC22" s="196">
        <f>SUM(AC17:AC21)</f>
        <v>0</v>
      </c>
      <c r="AD22" s="196"/>
      <c r="AE22" s="188"/>
    </row>
    <row r="23" spans="2:33" ht="14.25" customHeight="1" x14ac:dyDescent="0.25">
      <c r="B23" s="147"/>
      <c r="C23" s="187"/>
      <c r="D23" s="187"/>
      <c r="E23" s="188"/>
      <c r="F23" s="213"/>
      <c r="G23" s="160"/>
      <c r="H23" s="197"/>
      <c r="I23" s="111"/>
      <c r="J23" s="200"/>
      <c r="K23" s="198"/>
      <c r="L23" s="109"/>
      <c r="M23" s="214"/>
      <c r="N23" s="198"/>
      <c r="O23" s="111"/>
      <c r="P23" s="192"/>
      <c r="Q23" s="46"/>
      <c r="R23" s="7"/>
      <c r="S23" s="7"/>
      <c r="T23" s="46"/>
      <c r="U23" s="111"/>
      <c r="V23" s="160"/>
      <c r="W23" s="89"/>
      <c r="X23" s="109"/>
      <c r="Y23" s="156"/>
      <c r="Z23" s="46"/>
      <c r="AE23" s="188"/>
    </row>
    <row r="24" spans="2:33" ht="14.25" customHeight="1" x14ac:dyDescent="0.25">
      <c r="B24" s="147" t="s">
        <v>141</v>
      </c>
      <c r="C24" s="148">
        <v>6011</v>
      </c>
      <c r="D24" s="148">
        <v>28040</v>
      </c>
      <c r="E24" s="149">
        <v>673020</v>
      </c>
      <c r="F24" s="7" t="s">
        <v>161</v>
      </c>
      <c r="G24" s="150"/>
      <c r="H24" s="151">
        <f>K24+N24</f>
        <v>173921.27</v>
      </c>
      <c r="I24" s="111"/>
      <c r="J24" s="200"/>
      <c r="K24" s="153">
        <f t="shared" ref="K24:K37" si="4">+Q24+W24</f>
        <v>153207.25</v>
      </c>
      <c r="L24" s="154" t="s">
        <v>144</v>
      </c>
      <c r="M24" s="152"/>
      <c r="N24" s="153">
        <f t="shared" ref="N24:N33" si="5">+T24+Z24</f>
        <v>20714.02</v>
      </c>
      <c r="O24" s="111" t="s">
        <v>144</v>
      </c>
      <c r="P24" s="152"/>
      <c r="Q24" s="155">
        <v>153656.79</v>
      </c>
      <c r="R24" s="7"/>
      <c r="S24" s="152"/>
      <c r="T24" s="155">
        <v>20774.8</v>
      </c>
      <c r="U24" s="111"/>
      <c r="V24" s="160"/>
      <c r="W24" s="155">
        <v>-449.54</v>
      </c>
      <c r="X24" s="215"/>
      <c r="Y24" s="215"/>
      <c r="Z24" s="155">
        <v>-60.78</v>
      </c>
      <c r="AE24" s="158">
        <v>673020</v>
      </c>
    </row>
    <row r="25" spans="2:33" ht="14.25" customHeight="1" x14ac:dyDescent="0.25">
      <c r="B25" s="147" t="s">
        <v>141</v>
      </c>
      <c r="C25" s="148">
        <v>6011</v>
      </c>
      <c r="D25" s="148">
        <v>28040</v>
      </c>
      <c r="E25" s="149">
        <v>673030</v>
      </c>
      <c r="F25" s="7" t="s">
        <v>162</v>
      </c>
      <c r="G25" s="150"/>
      <c r="H25" s="151">
        <f t="shared" ref="H25:H37" si="6">K25+N25</f>
        <v>236222.25999999998</v>
      </c>
      <c r="I25" s="111"/>
      <c r="J25" s="200"/>
      <c r="K25" s="153">
        <f t="shared" si="4"/>
        <v>209414.69999999998</v>
      </c>
      <c r="L25" s="154" t="s">
        <v>144</v>
      </c>
      <c r="M25" s="152"/>
      <c r="N25" s="153">
        <f t="shared" si="5"/>
        <v>26807.559999999998</v>
      </c>
      <c r="O25" s="111" t="s">
        <v>144</v>
      </c>
      <c r="P25" s="152"/>
      <c r="Q25" s="155">
        <f>57155.69+152444.15</f>
        <v>209599.84</v>
      </c>
      <c r="R25" s="7"/>
      <c r="S25" s="152"/>
      <c r="T25" s="155">
        <f>6216.85+20610.85</f>
        <v>26827.699999999997</v>
      </c>
      <c r="U25" s="111"/>
      <c r="V25" s="160"/>
      <c r="W25" s="155">
        <v>-185.14</v>
      </c>
      <c r="X25" s="215"/>
      <c r="Y25" s="215"/>
      <c r="Z25" s="155">
        <v>-20.14</v>
      </c>
      <c r="AE25" s="158">
        <v>673030</v>
      </c>
    </row>
    <row r="26" spans="2:33" ht="14.25" customHeight="1" x14ac:dyDescent="0.25">
      <c r="B26" s="147" t="s">
        <v>141</v>
      </c>
      <c r="C26" s="148">
        <v>6011</v>
      </c>
      <c r="D26" s="148">
        <v>28040</v>
      </c>
      <c r="E26" s="149">
        <v>673040</v>
      </c>
      <c r="F26" s="7" t="s">
        <v>163</v>
      </c>
      <c r="G26" s="150"/>
      <c r="H26" s="151">
        <f t="shared" si="6"/>
        <v>0</v>
      </c>
      <c r="I26" s="111"/>
      <c r="J26" s="200"/>
      <c r="K26" s="161">
        <f t="shared" si="4"/>
        <v>0</v>
      </c>
      <c r="L26" s="154" t="s">
        <v>147</v>
      </c>
      <c r="M26" s="152"/>
      <c r="N26" s="161">
        <f>+T26+Z26</f>
        <v>0</v>
      </c>
      <c r="O26" s="111" t="s">
        <v>147</v>
      </c>
      <c r="P26" s="152"/>
      <c r="Q26" s="163"/>
      <c r="R26" s="7"/>
      <c r="S26" s="152"/>
      <c r="T26" s="163"/>
      <c r="U26" s="111"/>
      <c r="V26" s="160"/>
      <c r="W26" s="163"/>
      <c r="X26" s="215"/>
      <c r="Y26" s="215"/>
      <c r="Z26" s="163"/>
      <c r="AE26" s="167">
        <v>673040</v>
      </c>
    </row>
    <row r="27" spans="2:33" ht="14.25" customHeight="1" x14ac:dyDescent="0.25">
      <c r="B27" s="147" t="s">
        <v>141</v>
      </c>
      <c r="C27" s="148">
        <v>6011</v>
      </c>
      <c r="D27" s="148">
        <v>28040</v>
      </c>
      <c r="E27" s="149">
        <v>673050</v>
      </c>
      <c r="F27" s="7" t="s">
        <v>164</v>
      </c>
      <c r="G27" s="150"/>
      <c r="H27" s="151">
        <f t="shared" si="6"/>
        <v>0</v>
      </c>
      <c r="I27" s="111"/>
      <c r="J27" s="200"/>
      <c r="K27" s="161">
        <f t="shared" si="4"/>
        <v>0</v>
      </c>
      <c r="L27" s="154" t="s">
        <v>147</v>
      </c>
      <c r="M27" s="152"/>
      <c r="N27" s="161">
        <f t="shared" si="5"/>
        <v>0</v>
      </c>
      <c r="O27" s="111" t="s">
        <v>144</v>
      </c>
      <c r="P27" s="152"/>
      <c r="Q27" s="163"/>
      <c r="R27" s="7"/>
      <c r="S27" s="152"/>
      <c r="T27" s="163"/>
      <c r="U27" s="111"/>
      <c r="V27" s="160"/>
      <c r="W27" s="163"/>
      <c r="X27" s="215"/>
      <c r="Y27" s="215"/>
      <c r="Z27" s="163"/>
      <c r="AE27" s="167">
        <v>673050</v>
      </c>
    </row>
    <row r="28" spans="2:33" ht="14.25" customHeight="1" x14ac:dyDescent="0.25">
      <c r="B28" s="147" t="s">
        <v>141</v>
      </c>
      <c r="C28" s="148">
        <v>6011</v>
      </c>
      <c r="D28" s="148">
        <v>28040</v>
      </c>
      <c r="E28" s="149">
        <v>673060</v>
      </c>
      <c r="F28" s="7" t="s">
        <v>165</v>
      </c>
      <c r="G28" s="150"/>
      <c r="H28" s="151">
        <f t="shared" si="6"/>
        <v>0</v>
      </c>
      <c r="I28" s="111"/>
      <c r="J28" s="200"/>
      <c r="K28" s="161">
        <f t="shared" si="4"/>
        <v>0</v>
      </c>
      <c r="L28" s="154" t="s">
        <v>147</v>
      </c>
      <c r="M28" s="152"/>
      <c r="N28" s="161">
        <f t="shared" si="5"/>
        <v>0</v>
      </c>
      <c r="O28" s="111" t="s">
        <v>144</v>
      </c>
      <c r="P28" s="152"/>
      <c r="Q28" s="163"/>
      <c r="R28" s="7"/>
      <c r="S28" s="152"/>
      <c r="T28" s="163"/>
      <c r="U28" s="111"/>
      <c r="V28" s="160"/>
      <c r="W28" s="163"/>
      <c r="X28" s="215"/>
      <c r="Y28" s="215"/>
      <c r="Z28" s="163"/>
      <c r="AE28" s="167">
        <v>673060</v>
      </c>
    </row>
    <row r="29" spans="2:33" ht="14.25" customHeight="1" x14ac:dyDescent="0.25">
      <c r="B29" s="147" t="s">
        <v>141</v>
      </c>
      <c r="C29" s="148">
        <v>6011</v>
      </c>
      <c r="D29" s="148">
        <v>28040</v>
      </c>
      <c r="E29" s="149">
        <v>673070</v>
      </c>
      <c r="F29" s="7" t="s">
        <v>166</v>
      </c>
      <c r="G29" s="150"/>
      <c r="H29" s="151">
        <f t="shared" si="6"/>
        <v>1354.4</v>
      </c>
      <c r="I29" s="111"/>
      <c r="J29" s="200"/>
      <c r="K29" s="153">
        <f t="shared" si="4"/>
        <v>1221.53</v>
      </c>
      <c r="L29" s="154" t="s">
        <v>147</v>
      </c>
      <c r="M29" s="152"/>
      <c r="N29" s="153">
        <f t="shared" si="5"/>
        <v>132.87</v>
      </c>
      <c r="O29" s="111" t="s">
        <v>144</v>
      </c>
      <c r="P29" s="152"/>
      <c r="Q29" s="155"/>
      <c r="R29" s="7"/>
      <c r="S29" s="152"/>
      <c r="T29" s="155"/>
      <c r="U29" s="111"/>
      <c r="V29" s="160"/>
      <c r="W29" s="155">
        <v>1221.53</v>
      </c>
      <c r="X29" s="215"/>
      <c r="Y29" s="215"/>
      <c r="Z29" s="155">
        <v>132.87</v>
      </c>
      <c r="AE29" s="158">
        <v>673070</v>
      </c>
    </row>
    <row r="30" spans="2:33" ht="14.25" customHeight="1" x14ac:dyDescent="0.25">
      <c r="B30" s="147" t="s">
        <v>141</v>
      </c>
      <c r="C30" s="148">
        <v>6011</v>
      </c>
      <c r="D30" s="148">
        <v>28040</v>
      </c>
      <c r="E30" s="149">
        <v>673080</v>
      </c>
      <c r="F30" s="7" t="s">
        <v>167</v>
      </c>
      <c r="G30" s="150"/>
      <c r="H30" s="151">
        <f t="shared" si="6"/>
        <v>17662.21</v>
      </c>
      <c r="I30" s="111"/>
      <c r="J30" s="200"/>
      <c r="K30" s="153">
        <f t="shared" si="4"/>
        <v>16033.75</v>
      </c>
      <c r="L30" s="154" t="s">
        <v>144</v>
      </c>
      <c r="M30" s="152"/>
      <c r="N30" s="153">
        <f t="shared" si="5"/>
        <v>1628.4599999999998</v>
      </c>
      <c r="O30" s="111" t="s">
        <v>144</v>
      </c>
      <c r="P30" s="152"/>
      <c r="Q30" s="155">
        <v>15781.51</v>
      </c>
      <c r="R30" s="7"/>
      <c r="S30" s="152"/>
      <c r="T30" s="155">
        <v>1602.84</v>
      </c>
      <c r="U30" s="111"/>
      <c r="V30" s="160"/>
      <c r="W30" s="155">
        <v>252.24</v>
      </c>
      <c r="X30" s="215"/>
      <c r="Y30" s="215"/>
      <c r="Z30" s="155">
        <v>25.62</v>
      </c>
      <c r="AE30" s="158">
        <v>673080</v>
      </c>
    </row>
    <row r="31" spans="2:33" ht="14.25" customHeight="1" x14ac:dyDescent="0.25">
      <c r="B31" s="147" t="s">
        <v>141</v>
      </c>
      <c r="C31" s="148">
        <v>6011</v>
      </c>
      <c r="D31" s="148">
        <v>28040</v>
      </c>
      <c r="E31" s="149">
        <v>673090</v>
      </c>
      <c r="F31" s="7" t="s">
        <v>168</v>
      </c>
      <c r="G31" s="150"/>
      <c r="H31" s="151">
        <f t="shared" si="6"/>
        <v>0</v>
      </c>
      <c r="I31" s="111"/>
      <c r="J31" s="200"/>
      <c r="K31" s="161">
        <f t="shared" si="4"/>
        <v>0</v>
      </c>
      <c r="L31" s="154" t="s">
        <v>147</v>
      </c>
      <c r="M31" s="152"/>
      <c r="N31" s="161">
        <f>+T31+Z31</f>
        <v>0</v>
      </c>
      <c r="O31" s="111" t="s">
        <v>147</v>
      </c>
      <c r="P31" s="152"/>
      <c r="Q31" s="163"/>
      <c r="R31" s="7"/>
      <c r="S31" s="152"/>
      <c r="T31" s="163"/>
      <c r="U31" s="111"/>
      <c r="V31" s="160"/>
      <c r="W31" s="163"/>
      <c r="X31" s="215"/>
      <c r="Y31" s="215"/>
      <c r="Z31" s="163"/>
      <c r="AE31" s="167">
        <v>673090</v>
      </c>
    </row>
    <row r="32" spans="2:33" ht="14.25" customHeight="1" x14ac:dyDescent="0.25">
      <c r="B32" s="147" t="s">
        <v>141</v>
      </c>
      <c r="C32" s="148">
        <v>6011</v>
      </c>
      <c r="D32" s="148">
        <v>28040</v>
      </c>
      <c r="E32" s="149">
        <v>673120</v>
      </c>
      <c r="F32" s="7" t="s">
        <v>169</v>
      </c>
      <c r="G32" s="150"/>
      <c r="H32" s="151">
        <f t="shared" si="6"/>
        <v>138295.69</v>
      </c>
      <c r="I32" s="111"/>
      <c r="J32" s="200"/>
      <c r="K32" s="153">
        <f t="shared" si="4"/>
        <v>121824.67</v>
      </c>
      <c r="L32" s="154" t="s">
        <v>144</v>
      </c>
      <c r="M32" s="152"/>
      <c r="N32" s="153">
        <f t="shared" si="5"/>
        <v>16471.02</v>
      </c>
      <c r="O32" s="111" t="s">
        <v>144</v>
      </c>
      <c r="P32" s="152"/>
      <c r="Q32" s="155">
        <v>124945.01</v>
      </c>
      <c r="R32" s="7"/>
      <c r="S32" s="152"/>
      <c r="T32" s="155">
        <v>16892.900000000001</v>
      </c>
      <c r="U32" s="111"/>
      <c r="V32" s="160"/>
      <c r="W32" s="155">
        <v>-3120.34</v>
      </c>
      <c r="X32" s="215"/>
      <c r="Y32" s="215"/>
      <c r="Z32" s="155">
        <v>-421.88</v>
      </c>
      <c r="AE32" s="158">
        <v>673120</v>
      </c>
    </row>
    <row r="33" spans="2:32" ht="14.25" customHeight="1" x14ac:dyDescent="0.25">
      <c r="B33" s="147" t="s">
        <v>141</v>
      </c>
      <c r="C33" s="148">
        <v>6011</v>
      </c>
      <c r="D33" s="148">
        <v>28040</v>
      </c>
      <c r="E33" s="149">
        <v>673130</v>
      </c>
      <c r="F33" s="7" t="s">
        <v>170</v>
      </c>
      <c r="G33" s="150"/>
      <c r="H33" s="151">
        <f t="shared" si="6"/>
        <v>4853.8399999999992</v>
      </c>
      <c r="I33" s="111"/>
      <c r="J33" s="200"/>
      <c r="K33" s="153">
        <f t="shared" si="4"/>
        <v>4700.8999999999996</v>
      </c>
      <c r="L33" s="154" t="s">
        <v>144</v>
      </c>
      <c r="M33" s="152"/>
      <c r="N33" s="153">
        <f t="shared" si="5"/>
        <v>152.94</v>
      </c>
      <c r="O33" s="111" t="s">
        <v>144</v>
      </c>
      <c r="P33" s="152"/>
      <c r="Q33" s="155">
        <v>1566.35</v>
      </c>
      <c r="R33" s="7"/>
      <c r="S33" s="152"/>
      <c r="T33" s="155">
        <v>152.94</v>
      </c>
      <c r="U33" s="111"/>
      <c r="V33" s="160"/>
      <c r="W33" s="155">
        <v>3134.55</v>
      </c>
      <c r="X33" s="159"/>
      <c r="Y33" s="201"/>
      <c r="Z33" s="155"/>
      <c r="AE33" s="158">
        <v>673130</v>
      </c>
    </row>
    <row r="34" spans="2:32" ht="14.25" customHeight="1" x14ac:dyDescent="0.25">
      <c r="B34" s="147" t="s">
        <v>141</v>
      </c>
      <c r="C34" s="148">
        <v>6011</v>
      </c>
      <c r="D34" s="148">
        <v>28040</v>
      </c>
      <c r="E34" s="149">
        <v>673140</v>
      </c>
      <c r="F34" s="7" t="s">
        <v>171</v>
      </c>
      <c r="G34" s="150"/>
      <c r="H34" s="151">
        <f t="shared" si="6"/>
        <v>0</v>
      </c>
      <c r="I34" s="111"/>
      <c r="J34" s="200"/>
      <c r="K34" s="161">
        <f t="shared" si="4"/>
        <v>0</v>
      </c>
      <c r="L34" s="154" t="s">
        <v>147</v>
      </c>
      <c r="M34" s="152"/>
      <c r="N34" s="161">
        <f>+T34+Z34</f>
        <v>0</v>
      </c>
      <c r="O34" s="111" t="s">
        <v>147</v>
      </c>
      <c r="P34" s="152"/>
      <c r="Q34" s="163"/>
      <c r="R34" s="7"/>
      <c r="S34" s="152"/>
      <c r="T34" s="163"/>
      <c r="U34" s="111"/>
      <c r="V34" s="160"/>
      <c r="W34" s="163"/>
      <c r="X34" s="159"/>
      <c r="Y34" s="201"/>
      <c r="Z34" s="163"/>
      <c r="AE34" s="167">
        <v>673140</v>
      </c>
    </row>
    <row r="35" spans="2:32" ht="14.25" customHeight="1" x14ac:dyDescent="0.25">
      <c r="B35" s="147" t="s">
        <v>141</v>
      </c>
      <c r="C35" s="148">
        <v>6011</v>
      </c>
      <c r="D35" s="148">
        <v>28040</v>
      </c>
      <c r="E35" s="149">
        <v>673160</v>
      </c>
      <c r="F35" s="7" t="s">
        <v>172</v>
      </c>
      <c r="G35" s="150"/>
      <c r="H35" s="151">
        <f t="shared" si="6"/>
        <v>0</v>
      </c>
      <c r="I35" s="111"/>
      <c r="J35" s="200"/>
      <c r="K35" s="161">
        <f t="shared" si="4"/>
        <v>0</v>
      </c>
      <c r="L35" s="154" t="s">
        <v>147</v>
      </c>
      <c r="M35" s="152"/>
      <c r="N35" s="161">
        <f>+T35+Z35</f>
        <v>0</v>
      </c>
      <c r="O35" s="111" t="s">
        <v>147</v>
      </c>
      <c r="P35" s="152"/>
      <c r="Q35" s="163"/>
      <c r="R35" s="7"/>
      <c r="S35" s="152"/>
      <c r="T35" s="163"/>
      <c r="U35" s="111"/>
      <c r="V35" s="160"/>
      <c r="W35" s="163"/>
      <c r="X35" s="159"/>
      <c r="Y35" s="201"/>
      <c r="Z35" s="163"/>
      <c r="AE35" s="167">
        <v>673160</v>
      </c>
    </row>
    <row r="36" spans="2:32" ht="14.25" customHeight="1" x14ac:dyDescent="0.25">
      <c r="B36" s="147" t="s">
        <v>141</v>
      </c>
      <c r="C36" s="148">
        <v>6011</v>
      </c>
      <c r="D36" s="148">
        <v>28040</v>
      </c>
      <c r="E36" s="149">
        <v>673180</v>
      </c>
      <c r="F36" s="7" t="s">
        <v>173</v>
      </c>
      <c r="G36" s="150"/>
      <c r="H36" s="151">
        <f t="shared" si="6"/>
        <v>18634.25</v>
      </c>
      <c r="I36" s="111"/>
      <c r="J36" s="200"/>
      <c r="K36" s="153">
        <f>+Q36+W36</f>
        <v>16916.18</v>
      </c>
      <c r="L36" s="154" t="s">
        <v>144</v>
      </c>
      <c r="M36" s="152"/>
      <c r="N36" s="153">
        <f>+T36+Z36</f>
        <v>1718.0700000000002</v>
      </c>
      <c r="O36" s="111" t="s">
        <v>144</v>
      </c>
      <c r="P36" s="152"/>
      <c r="Q36" s="155">
        <v>16966.04</v>
      </c>
      <c r="R36" s="7"/>
      <c r="S36" s="152"/>
      <c r="T36" s="155">
        <v>1723.14</v>
      </c>
      <c r="U36" s="111"/>
      <c r="V36" s="160"/>
      <c r="W36" s="155">
        <v>-49.86</v>
      </c>
      <c r="X36" s="215"/>
      <c r="Y36" s="215"/>
      <c r="Z36" s="155">
        <v>-5.07</v>
      </c>
      <c r="AE36" s="158">
        <v>673180</v>
      </c>
    </row>
    <row r="37" spans="2:32" ht="14.25" customHeight="1" x14ac:dyDescent="0.25">
      <c r="B37" s="147" t="s">
        <v>141</v>
      </c>
      <c r="C37" s="148">
        <v>6011</v>
      </c>
      <c r="D37" s="148">
        <v>28040</v>
      </c>
      <c r="E37" s="149">
        <v>673190</v>
      </c>
      <c r="F37" s="182" t="s">
        <v>174</v>
      </c>
      <c r="G37" s="150"/>
      <c r="H37" s="216">
        <f t="shared" si="6"/>
        <v>0</v>
      </c>
      <c r="I37" s="111"/>
      <c r="J37" s="200"/>
      <c r="K37" s="161">
        <f t="shared" si="4"/>
        <v>0</v>
      </c>
      <c r="L37" s="154" t="s">
        <v>147</v>
      </c>
      <c r="M37" s="206"/>
      <c r="N37" s="161">
        <f>+T37+Z37</f>
        <v>0</v>
      </c>
      <c r="O37" s="111" t="s">
        <v>147</v>
      </c>
      <c r="P37" s="206"/>
      <c r="Q37" s="169"/>
      <c r="R37" s="7"/>
      <c r="S37" s="206"/>
      <c r="T37" s="217"/>
      <c r="U37" s="111"/>
      <c r="V37" s="218"/>
      <c r="W37" s="163"/>
      <c r="X37" s="159"/>
      <c r="Y37" s="201"/>
      <c r="Z37" s="163"/>
      <c r="AE37" s="167">
        <v>673190</v>
      </c>
    </row>
    <row r="38" spans="2:32" ht="15" x14ac:dyDescent="0.25">
      <c r="F38" s="7" t="s">
        <v>175</v>
      </c>
      <c r="G38" s="208"/>
      <c r="H38" s="151">
        <f>SUM(H24:H37)</f>
        <v>590943.92000000004</v>
      </c>
      <c r="I38" s="111"/>
      <c r="J38" s="208"/>
      <c r="K38" s="95">
        <f>SUM(K24:K37)</f>
        <v>523318.98</v>
      </c>
      <c r="L38" s="154"/>
      <c r="M38" s="7"/>
      <c r="N38" s="95">
        <f>SUM(N24:N37)</f>
        <v>67624.940000000017</v>
      </c>
      <c r="O38" s="111"/>
      <c r="P38" s="219"/>
      <c r="Q38" s="193">
        <f>SUM(Q24:Q37)</f>
        <v>522515.54</v>
      </c>
      <c r="R38" s="154"/>
      <c r="S38" s="94"/>
      <c r="T38" s="193">
        <f>SUM(T24:T37)</f>
        <v>67974.319999999992</v>
      </c>
      <c r="U38" s="111"/>
      <c r="W38" s="193">
        <f>SUM(W24:W37)</f>
        <v>803.44000000000017</v>
      </c>
      <c r="Y38" s="220"/>
      <c r="Z38" s="193">
        <f>SUM(Z24:Z37)</f>
        <v>-349.38</v>
      </c>
      <c r="AB38" s="196">
        <f>SUM(AB24:AB37)</f>
        <v>0</v>
      </c>
      <c r="AC38" s="196">
        <f>SUM(AC24:AC37)</f>
        <v>0</v>
      </c>
      <c r="AD38" s="196"/>
    </row>
    <row r="39" spans="2:32" ht="14.1" customHeight="1" x14ac:dyDescent="0.25">
      <c r="F39" s="213"/>
      <c r="H39" s="221"/>
      <c r="I39" s="111"/>
      <c r="J39" s="208"/>
      <c r="K39" s="222"/>
      <c r="L39" s="156"/>
      <c r="M39" s="208"/>
      <c r="N39" s="222"/>
      <c r="O39" s="111"/>
      <c r="P39" s="223"/>
      <c r="Q39" s="224"/>
      <c r="R39" s="219"/>
      <c r="S39" s="223"/>
      <c r="T39" s="224"/>
      <c r="U39" s="111"/>
      <c r="V39" s="225"/>
      <c r="W39" s="189"/>
      <c r="Z39" s="88"/>
      <c r="AB39" s="110"/>
      <c r="AC39" s="110"/>
      <c r="AD39" s="110"/>
    </row>
    <row r="40" spans="2:32" ht="15.75" customHeight="1" x14ac:dyDescent="0.25">
      <c r="F40" s="94" t="s">
        <v>176</v>
      </c>
      <c r="G40" s="208">
        <f>+G38+G22+G15</f>
        <v>45544292</v>
      </c>
      <c r="H40" s="151">
        <f>+H38+H22+H15</f>
        <v>16915683.400000002</v>
      </c>
      <c r="I40" s="111"/>
      <c r="J40" s="226">
        <f>+J38+J22+J15</f>
        <v>34443593</v>
      </c>
      <c r="K40" s="193">
        <f>+K38+K22+K15</f>
        <v>13094953.779999999</v>
      </c>
      <c r="L40" s="227"/>
      <c r="M40" s="226">
        <f>+M38+M22+M15</f>
        <v>11100699</v>
      </c>
      <c r="N40" s="193">
        <f>+N38+N22+N15</f>
        <v>3820729.6200000006</v>
      </c>
      <c r="O40" s="131"/>
      <c r="P40" s="228">
        <f>+P38+P22+P15</f>
        <v>34457652</v>
      </c>
      <c r="Q40" s="195">
        <f>+Q38+Q22+Q15</f>
        <v>13098993.989999998</v>
      </c>
      <c r="R40" s="72"/>
      <c r="S40" s="228">
        <f>+S38+S22+S15</f>
        <v>11111640</v>
      </c>
      <c r="T40" s="195">
        <f>+T38+T22+T15</f>
        <v>3828734.22</v>
      </c>
      <c r="U40" s="111"/>
      <c r="V40" s="229">
        <f>+V38+V22+V15</f>
        <v>-14059</v>
      </c>
      <c r="W40" s="193">
        <f>+W38+W22+W15</f>
        <v>-4040.2100000000009</v>
      </c>
      <c r="Y40" s="8">
        <f>+Y38+Y22+Y15</f>
        <v>-10941</v>
      </c>
      <c r="Z40" s="193">
        <f>+Z38+Z22+Z15</f>
        <v>-8004.6</v>
      </c>
      <c r="AB40" s="196">
        <f>+AB38+AB22+AB15</f>
        <v>0</v>
      </c>
      <c r="AC40" s="196">
        <f>+AC38+AC22+AC15</f>
        <v>0</v>
      </c>
      <c r="AD40" s="196"/>
      <c r="AE40" s="202"/>
    </row>
    <row r="41" spans="2:32" ht="14.1" customHeight="1" x14ac:dyDescent="0.25">
      <c r="H41" s="230"/>
      <c r="I41" s="111"/>
      <c r="J41" s="160"/>
      <c r="K41" s="198"/>
      <c r="L41" s="156"/>
      <c r="M41" s="160"/>
      <c r="N41" s="198"/>
      <c r="O41" s="111"/>
      <c r="P41" s="219"/>
      <c r="Q41" s="76"/>
      <c r="R41" s="219"/>
      <c r="S41" s="219"/>
      <c r="T41" s="76"/>
      <c r="U41" s="111"/>
      <c r="W41" s="88"/>
      <c r="Z41" s="88"/>
    </row>
    <row r="42" spans="2:32" ht="14.1" customHeight="1" x14ac:dyDescent="0.25">
      <c r="C42" s="160" t="s">
        <v>177</v>
      </c>
      <c r="I42" s="111"/>
      <c r="J42" s="231" t="s">
        <v>118</v>
      </c>
      <c r="K42" s="97">
        <f>+K8+K9+K10+K11+K12+K13+K14+K18+K26+K27+K28+K31+K34+K35+K37</f>
        <v>9255671.8499999996</v>
      </c>
      <c r="L42" s="156" t="s">
        <v>147</v>
      </c>
      <c r="M42" s="160"/>
      <c r="N42" s="232">
        <f>+N8+N9+N10+N11+N12+N13+N14+N18+N26+N31+N34+N35+N37+N27+N28</f>
        <v>2431681.1600000006</v>
      </c>
      <c r="O42" s="233" t="s">
        <v>147</v>
      </c>
      <c r="P42" s="219"/>
      <c r="Q42" s="234">
        <f>+Q8+Q9+Q10+Q11+Q12+Q13+Q14+Q18+Q26+Q27+Q28+Q31+Q34+Q35+Q37</f>
        <v>9260774.2300000004</v>
      </c>
      <c r="R42" s="219"/>
      <c r="S42" s="231" t="s">
        <v>125</v>
      </c>
      <c r="T42" s="234">
        <f>+T8+T10+T9+T11+T12+T13+T14+T18+T26+T31+T34+T35+T37+T27+T28</f>
        <v>2438364.3800000004</v>
      </c>
      <c r="U42" s="111"/>
      <c r="W42" s="234">
        <f>+W8+W9+W10+W11+W12+W13+W14+W18+W26+W27+W28+W31+W34+W35+W37</f>
        <v>-5102.38</v>
      </c>
      <c r="Z42" s="234">
        <f>Z9+Z10+Z11+Z12+Z13+Z14+Z18+Z26+Z31+Z34+Z35+Z37+Z8+Z27+Z28</f>
        <v>-6683.2199999999993</v>
      </c>
      <c r="AB42" s="235">
        <f>+AB8+AB9+AB10+AB11+AB12+AB13+AB14+AB18+AB26+AB27+AB28+AB29+AB31+AB34+AB35+AB37</f>
        <v>0</v>
      </c>
      <c r="AC42" s="235">
        <f>+AC6+AC8+AC9+AC10+AC11+AC12+AC13+AC14+AC18+AC26+AC31+AC34+AC35+AC37</f>
        <v>0</v>
      </c>
    </row>
    <row r="43" spans="2:32" ht="14.1" customHeight="1" x14ac:dyDescent="0.25">
      <c r="C43" s="160" t="s">
        <v>178</v>
      </c>
      <c r="I43" s="111"/>
      <c r="J43" s="231" t="s">
        <v>118</v>
      </c>
      <c r="K43" s="97">
        <f>+K6+K7+K17+K24+K25+K30+K32+K33+K36+K19+K20+K21+K29</f>
        <v>3839281.9299999992</v>
      </c>
      <c r="L43" s="156" t="s">
        <v>144</v>
      </c>
      <c r="M43" s="160"/>
      <c r="N43" s="232">
        <f>N6+N7+N17+N24+N25+N30+N32+N33+N36+N19+N20+N21+N29</f>
        <v>1389048.4600000004</v>
      </c>
      <c r="O43" s="233" t="s">
        <v>144</v>
      </c>
      <c r="P43" s="219"/>
      <c r="Q43" s="236">
        <f>Q6+Q7+Q17+Q24+Q25+Q30+Q32+Q33+Q36+Q19+Q20+Q21+Q29</f>
        <v>3838219.7599999993</v>
      </c>
      <c r="R43" s="219"/>
      <c r="S43" s="231" t="s">
        <v>125</v>
      </c>
      <c r="T43" s="236">
        <f>+T7+T6+T17+T24+T25+T30+T32+T33+T36+T19+T20+T21+T29</f>
        <v>1390369.8399999999</v>
      </c>
      <c r="U43" s="111"/>
      <c r="W43" s="236">
        <f>W6+W7+W17+W24+W25+W30+W32+W33+W36+W19+W20+W21+W29</f>
        <v>1062.1699999999976</v>
      </c>
      <c r="Z43" s="236">
        <f>+Z7+Z17+Z24+Z25+Z30+Z32+Z33+Z36+Z19+Z20+Z21+Z29+Z6</f>
        <v>-1321.38</v>
      </c>
      <c r="AB43" s="237">
        <f>AB6+AB7+AB17+AB24+AB25+AB30+AB32+AB33+AB36</f>
        <v>0</v>
      </c>
      <c r="AC43" s="237">
        <f>+AC7+AC17+AC24+AC25+AC27+AC28+AC29+AC30+AC32+AC33+AC36</f>
        <v>0</v>
      </c>
    </row>
    <row r="44" spans="2:32" ht="15" customHeight="1" x14ac:dyDescent="0.25">
      <c r="C44" s="160" t="s">
        <v>12</v>
      </c>
      <c r="I44" s="111"/>
      <c r="J44" s="160"/>
      <c r="K44" s="193">
        <f>SUM(K42:K43)</f>
        <v>13094953.779999999</v>
      </c>
      <c r="L44" s="160"/>
      <c r="M44" s="160"/>
      <c r="N44" s="193">
        <f>SUM(N42:N43)</f>
        <v>3820729.620000001</v>
      </c>
      <c r="O44" s="111"/>
      <c r="P44" s="219"/>
      <c r="Q44" s="193">
        <f>SUM(Q42:Q43)</f>
        <v>13098993.99</v>
      </c>
      <c r="R44" s="219"/>
      <c r="S44" s="219"/>
      <c r="T44" s="193">
        <f>SUM(T42:T43)</f>
        <v>3828734.22</v>
      </c>
      <c r="U44" s="111"/>
      <c r="W44" s="195">
        <f>SUM(W42:W43)</f>
        <v>-4040.2100000000028</v>
      </c>
      <c r="Z44" s="195">
        <f>SUM(Z42:Z43)</f>
        <v>-8004.5999999999995</v>
      </c>
      <c r="AB44" s="238">
        <f>SUM(AB42:AB43)</f>
        <v>0</v>
      </c>
      <c r="AC44" s="238">
        <f>SUM(AC42:AC43)</f>
        <v>0</v>
      </c>
      <c r="AD44" s="196"/>
      <c r="AE44" s="6">
        <f>+Z44+W44</f>
        <v>-12044.810000000001</v>
      </c>
    </row>
    <row r="45" spans="2:32" ht="15" customHeight="1" x14ac:dyDescent="0.25">
      <c r="AE45" s="6">
        <f>+'[3]Supplier Invoices'!$Q$94</f>
        <v>-12044.807602999063</v>
      </c>
      <c r="AF45" s="71" t="s">
        <v>179</v>
      </c>
    </row>
    <row r="46" spans="2:32" ht="15" customHeight="1" x14ac:dyDescent="0.25">
      <c r="J46" s="7" t="s">
        <v>180</v>
      </c>
      <c r="K46" s="239">
        <f>K44+N44</f>
        <v>16915683.399999999</v>
      </c>
      <c r="P46" s="240" t="s">
        <v>181</v>
      </c>
      <c r="Q46" s="241">
        <f>Q44-Q11-Q12-Q13</f>
        <v>11097672.93</v>
      </c>
      <c r="S46" s="240" t="s">
        <v>181</v>
      </c>
      <c r="T46" s="241">
        <f>T44-T11-T12-T13</f>
        <v>3559139.56</v>
      </c>
      <c r="W46" s="202"/>
      <c r="AE46" s="242">
        <f>+AE44-AE45</f>
        <v>-2.3970009387994651E-3</v>
      </c>
    </row>
    <row r="47" spans="2:32" ht="15" customHeight="1" x14ac:dyDescent="0.25">
      <c r="F47" s="243"/>
      <c r="K47" s="244"/>
      <c r="P47" s="240" t="s">
        <v>182</v>
      </c>
      <c r="Q47" s="241">
        <f>W44</f>
        <v>-4040.2100000000028</v>
      </c>
      <c r="R47" s="178"/>
      <c r="S47" s="240" t="s">
        <v>182</v>
      </c>
      <c r="T47" s="241">
        <f>Z44</f>
        <v>-8004.5999999999995</v>
      </c>
    </row>
    <row r="48" spans="2:32" ht="15" customHeight="1" x14ac:dyDescent="0.25">
      <c r="F48" s="243"/>
      <c r="G48" s="8" t="s">
        <v>183</v>
      </c>
      <c r="Q48" s="245">
        <f>Q46+Q47</f>
        <v>11093632.719999999</v>
      </c>
      <c r="T48" s="245">
        <f>T46+T47</f>
        <v>3551134.96</v>
      </c>
      <c r="W48" s="246"/>
      <c r="Z48" s="110"/>
    </row>
    <row r="49" spans="2:26" ht="15" customHeight="1" x14ac:dyDescent="0.25">
      <c r="F49" s="243"/>
      <c r="L49" s="247"/>
      <c r="M49" s="248" t="s">
        <v>1</v>
      </c>
      <c r="N49" s="249" t="s">
        <v>184</v>
      </c>
      <c r="Q49" s="241"/>
      <c r="T49" s="241"/>
      <c r="Z49" s="110"/>
    </row>
    <row r="50" spans="2:26" ht="14.1" customHeight="1" x14ac:dyDescent="0.25">
      <c r="L50" s="122"/>
      <c r="M50" s="248" t="s">
        <v>185</v>
      </c>
      <c r="N50" s="249" t="s">
        <v>186</v>
      </c>
      <c r="P50" s="72"/>
      <c r="Z50" s="110"/>
    </row>
    <row r="51" spans="2:26" ht="14.1" customHeight="1" x14ac:dyDescent="0.25">
      <c r="B51" s="8"/>
      <c r="L51" s="122"/>
      <c r="M51" s="248" t="s">
        <v>187</v>
      </c>
      <c r="N51" s="249" t="s">
        <v>188</v>
      </c>
    </row>
    <row r="52" spans="2:26" ht="14.1" customHeight="1" x14ac:dyDescent="0.25">
      <c r="B52" s="250"/>
      <c r="L52" s="122"/>
      <c r="M52" s="248" t="s">
        <v>189</v>
      </c>
      <c r="N52" s="249" t="s">
        <v>190</v>
      </c>
      <c r="W52" s="251"/>
    </row>
    <row r="53" spans="2:26" ht="14.1" customHeight="1" x14ac:dyDescent="0.25">
      <c r="L53" s="122"/>
      <c r="M53" s="248" t="s">
        <v>191</v>
      </c>
      <c r="N53" s="252" t="s">
        <v>192</v>
      </c>
    </row>
    <row r="54" spans="2:26" ht="14.1" customHeight="1" x14ac:dyDescent="0.25">
      <c r="L54" s="122"/>
      <c r="M54" s="248" t="s">
        <v>193</v>
      </c>
      <c r="N54" s="249" t="s">
        <v>194</v>
      </c>
    </row>
    <row r="55" spans="2:26" ht="14.1" customHeight="1" x14ac:dyDescent="0.25">
      <c r="L55" s="122"/>
      <c r="M55" s="248" t="s">
        <v>195</v>
      </c>
      <c r="N55" s="249" t="s">
        <v>196</v>
      </c>
    </row>
    <row r="56" spans="2:26" ht="14.1" customHeight="1" x14ac:dyDescent="0.25">
      <c r="L56" s="122"/>
      <c r="M56" s="248" t="s">
        <v>197</v>
      </c>
      <c r="N56" s="249" t="s">
        <v>198</v>
      </c>
    </row>
    <row r="57" spans="2:26" ht="14.1" customHeight="1" x14ac:dyDescent="0.25">
      <c r="M57" s="253"/>
      <c r="N57" s="249" t="s">
        <v>199</v>
      </c>
    </row>
    <row r="58" spans="2:26" ht="14.1" customHeight="1" thickBot="1" x14ac:dyDescent="0.3">
      <c r="P58" s="254" t="s">
        <v>140</v>
      </c>
      <c r="Q58" s="255"/>
      <c r="R58" s="254"/>
      <c r="S58" s="254" t="s">
        <v>140</v>
      </c>
      <c r="T58" s="255"/>
    </row>
    <row r="59" spans="2:26" ht="14.1" customHeight="1" x14ac:dyDescent="0.25">
      <c r="B59" s="8"/>
      <c r="J59" s="69" t="s">
        <v>200</v>
      </c>
      <c r="K59" s="249" t="s">
        <v>201</v>
      </c>
      <c r="L59" s="71"/>
      <c r="M59" s="1">
        <v>6011</v>
      </c>
      <c r="N59" s="249" t="s">
        <v>202</v>
      </c>
      <c r="P59" s="72" t="e">
        <f ca="1">_xll.GXL(1, N$49,"CURRENCY="&amp;N$54&amp;";"&amp;"WEEKLY=FALSE",N$51,N$52,N$53,N$55,J59,$M59,$N59)</f>
        <v>#NAME?</v>
      </c>
      <c r="Q59" s="256" t="e">
        <f ca="1">_xll.GXL(1, N$50,"CURRENCY="&amp;N$54&amp;";"&amp;"WEEKLY=FALSE",N$51,N$52,N$53,N$55,J59,$M59,$N59)</f>
        <v>#NAME?</v>
      </c>
      <c r="R59" s="178">
        <v>-1</v>
      </c>
      <c r="S59" s="72" t="e">
        <f ca="1">_xll.GXL(1, N$49,"CURRENCY="&amp;N$54&amp;";"&amp;"WEEKLY=FALSE",N$51,N$52,N$53,N$55,K59,$M59,$N59)</f>
        <v>#NAME?</v>
      </c>
      <c r="T59" s="256" t="e">
        <f ca="1">_xll.GXL(1, N$50,"CURRENCY="&amp;N$54&amp;";"&amp;"WEEKLY=FALSE",N$51,N$52,N$53,N$55,K59,$M59,$N59)</f>
        <v>#NAME?</v>
      </c>
      <c r="U59" s="257">
        <v>-4</v>
      </c>
    </row>
    <row r="60" spans="2:26" ht="14.1" customHeight="1" x14ac:dyDescent="0.25">
      <c r="J60" s="69" t="s">
        <v>200</v>
      </c>
      <c r="K60" s="249" t="s">
        <v>201</v>
      </c>
      <c r="L60" s="71"/>
      <c r="M60" s="1">
        <v>6011</v>
      </c>
      <c r="N60" s="1">
        <v>28082</v>
      </c>
      <c r="P60" s="72" t="e">
        <f ca="1">_xll.GXL(1, N$49,"CURRENCY="&amp;N$54&amp;";"&amp;"WEEKLY=FALSE",N$51,N$52,N$53,N$55,J60,$M60,$N60)</f>
        <v>#NAME?</v>
      </c>
      <c r="Q60" s="256" t="e">
        <f ca="1">_xll.GXL(1, N$50,"CURRENCY="&amp;N$54&amp;";"&amp;"WEEKLY=FALSE",N$51,N$52,N$53,N$55,N$56,$M60,$N60)</f>
        <v>#NAME?</v>
      </c>
      <c r="R60" s="178">
        <v>-2</v>
      </c>
      <c r="S60" s="256"/>
      <c r="T60" s="256"/>
      <c r="U60" s="257"/>
    </row>
    <row r="61" spans="2:26" ht="15" x14ac:dyDescent="0.25">
      <c r="J61" s="69" t="s">
        <v>200</v>
      </c>
      <c r="K61" s="249" t="s">
        <v>201</v>
      </c>
      <c r="L61" s="71"/>
      <c r="M61" s="1">
        <v>6011</v>
      </c>
      <c r="N61" s="1">
        <v>28120</v>
      </c>
      <c r="P61" s="72" t="e">
        <f ca="1">_xll.GXL(1, N$49,"CURRENCY="&amp;N$54&amp;";"&amp;"WEEKLY=FALSE",N$51,N$52,N$53,N$55,J61,$M61,$N61)</f>
        <v>#NAME?</v>
      </c>
      <c r="Q61" s="256" t="e">
        <f ca="1">_xll.GXL(1, N$50,"CURRENCY="&amp;N$54&amp;";"&amp;"WEEKLY=FALSE",N$51,N$52,N$53,N$55,J61,$M61,$N61)</f>
        <v>#NAME?</v>
      </c>
      <c r="R61" s="178">
        <v>-3</v>
      </c>
      <c r="S61" s="72" t="e">
        <f ca="1">_xll.GXL(1, N$49,"CURRENCY="&amp;N$54&amp;";"&amp;"WEEKLY=FALSE",N$51,N$52,N$53,N$55,K61,$M61,$N61)</f>
        <v>#NAME?</v>
      </c>
      <c r="T61" s="256" t="e">
        <f ca="1">_xll.GXL(1, N$50,"CURRENCY="&amp;N$54&amp;";"&amp;"WEEKLY=FALSE",N$51,N$52,N$53,N$55,K61,$M61,$N61)</f>
        <v>#NAME?</v>
      </c>
      <c r="U61" s="257">
        <v>-5</v>
      </c>
    </row>
    <row r="62" spans="2:26" ht="14.1" customHeight="1" x14ac:dyDescent="0.25">
      <c r="B62" s="5"/>
      <c r="P62" s="72"/>
      <c r="Q62" s="258" t="e">
        <f ca="1">SUM(Q59:Q61)</f>
        <v>#NAME?</v>
      </c>
      <c r="R62" s="133"/>
      <c r="S62" s="133"/>
      <c r="T62" s="258" t="e">
        <f ca="1">SUM(T59:T61)</f>
        <v>#NAME?</v>
      </c>
      <c r="U62" s="71"/>
    </row>
    <row r="63" spans="2:26" ht="14.1" customHeight="1" x14ac:dyDescent="0.25">
      <c r="P63" s="72"/>
      <c r="Q63" s="256"/>
      <c r="R63" s="72"/>
      <c r="S63" s="72"/>
      <c r="T63" s="256"/>
      <c r="U63" s="71"/>
    </row>
    <row r="69" spans="17:22" ht="14.1" customHeight="1" x14ac:dyDescent="0.25">
      <c r="Q69" s="113">
        <v>9776852</v>
      </c>
      <c r="S69" s="113">
        <v>2278617.61</v>
      </c>
      <c r="T69" s="113">
        <v>2102518</v>
      </c>
      <c r="V69" s="8">
        <v>317389.78000000003</v>
      </c>
    </row>
    <row r="71" spans="17:22" ht="14.1" customHeight="1" x14ac:dyDescent="0.25">
      <c r="S71" s="259">
        <f>+S69/Q69</f>
        <v>0.23306250416800825</v>
      </c>
      <c r="V71" s="260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CF66-9356-44F1-844F-212E599C197D}">
  <dimension ref="B1:H29"/>
  <sheetViews>
    <sheetView showGridLines="0" view="pageBreakPreview" zoomScale="90" zoomScaleNormal="115" zoomScaleSheetLayoutView="90" workbookViewId="0">
      <selection activeCell="J22" sqref="J22"/>
    </sheetView>
  </sheetViews>
  <sheetFormatPr defaultRowHeight="12.75" x14ac:dyDescent="0.2"/>
  <cols>
    <col min="1" max="1" width="1.7109375" style="90" customWidth="1"/>
    <col min="2" max="2" width="10" style="90" customWidth="1"/>
    <col min="3" max="3" width="23.7109375" style="90" customWidth="1"/>
    <col min="4" max="4" width="20.42578125" style="90" customWidth="1"/>
    <col min="5" max="5" width="19" style="90" customWidth="1"/>
    <col min="6" max="6" width="16.42578125" style="90" bestFit="1" customWidth="1"/>
    <col min="7" max="7" width="17.7109375" style="90" bestFit="1" customWidth="1"/>
    <col min="8" max="8" width="3.7109375" style="90" customWidth="1"/>
    <col min="9" max="16384" width="9.140625" style="90"/>
  </cols>
  <sheetData>
    <row r="1" spans="2:8" ht="18" customHeight="1" x14ac:dyDescent="0.2">
      <c r="B1" s="304" t="s">
        <v>9</v>
      </c>
      <c r="C1" s="304"/>
      <c r="D1" s="304"/>
      <c r="E1" s="304"/>
      <c r="F1" s="304"/>
      <c r="G1" s="306"/>
      <c r="H1" s="305"/>
    </row>
    <row r="2" spans="2:8" ht="15" x14ac:dyDescent="0.2">
      <c r="B2" s="304" t="s">
        <v>10</v>
      </c>
      <c r="C2" s="303">
        <f>'[1]Core Cost Incurred'!B2</f>
        <v>43886</v>
      </c>
      <c r="D2" s="302"/>
      <c r="E2" s="302"/>
      <c r="F2" s="302"/>
      <c r="G2" s="302"/>
    </row>
    <row r="4" spans="2:8" ht="15" customHeight="1" thickBot="1" x14ac:dyDescent="0.25">
      <c r="B4" s="301"/>
      <c r="C4" s="301"/>
      <c r="D4" s="301"/>
      <c r="E4" s="301"/>
      <c r="F4" s="300"/>
      <c r="G4" s="92"/>
    </row>
    <row r="5" spans="2:8" ht="14.25" x14ac:dyDescent="0.2">
      <c r="B5" s="96"/>
      <c r="C5" s="96"/>
      <c r="D5" s="298" t="s">
        <v>3</v>
      </c>
      <c r="E5" s="298" t="s">
        <v>6</v>
      </c>
      <c r="F5" s="299" t="s">
        <v>11</v>
      </c>
      <c r="G5" s="298" t="s">
        <v>12</v>
      </c>
    </row>
    <row r="6" spans="2:8" ht="15" x14ac:dyDescent="0.25">
      <c r="B6" s="283" t="s">
        <v>13</v>
      </c>
      <c r="C6" s="297"/>
      <c r="D6" s="295">
        <v>692010</v>
      </c>
      <c r="E6" s="295">
        <v>691010</v>
      </c>
      <c r="F6" s="296">
        <v>693010</v>
      </c>
      <c r="G6" s="295"/>
    </row>
    <row r="7" spans="2:8" ht="16.5" customHeight="1" x14ac:dyDescent="0.2">
      <c r="B7" s="269" t="s">
        <v>14</v>
      </c>
      <c r="C7" s="269"/>
      <c r="D7" s="274">
        <f>+'[1]WA Rates'!K47</f>
        <v>8199244.2100000009</v>
      </c>
      <c r="E7" s="274">
        <f>+'[1]WA Rates'!L47</f>
        <v>5747551.1699999999</v>
      </c>
      <c r="F7" s="292">
        <f>+'[1]WA Rates'!M47</f>
        <v>4443021.7200000007</v>
      </c>
      <c r="G7" s="267">
        <f>SUM(D7:F7)</f>
        <v>18389817.100000001</v>
      </c>
    </row>
    <row r="8" spans="2:8" ht="16.5" customHeight="1" x14ac:dyDescent="0.2">
      <c r="B8" s="269" t="s">
        <v>15</v>
      </c>
      <c r="C8" s="269"/>
      <c r="D8" s="294"/>
      <c r="E8" s="294"/>
      <c r="F8" s="293"/>
      <c r="G8" s="267">
        <f>SUM(D8:F8)</f>
        <v>0</v>
      </c>
    </row>
    <row r="9" spans="2:8" ht="16.5" customHeight="1" x14ac:dyDescent="0.2">
      <c r="B9" s="269" t="s">
        <v>16</v>
      </c>
      <c r="C9" s="269"/>
      <c r="D9" s="274">
        <f>SUM(D7:D8)</f>
        <v>8199244.2100000009</v>
      </c>
      <c r="E9" s="274">
        <f>SUM(E7:E8)</f>
        <v>5747551.1699999999</v>
      </c>
      <c r="F9" s="292">
        <f>SUM(F7:F8)</f>
        <v>4443021.7200000007</v>
      </c>
      <c r="G9" s="291">
        <f>SUM(G7:G8)</f>
        <v>18389817.100000001</v>
      </c>
    </row>
    <row r="10" spans="2:8" ht="16.5" customHeight="1" x14ac:dyDescent="0.2">
      <c r="B10" s="269" t="s">
        <v>18</v>
      </c>
      <c r="C10" s="269"/>
      <c r="D10" s="290">
        <f>'[1]Core Cost Incurred'!K42</f>
        <v>9255671.8499999996</v>
      </c>
      <c r="E10" s="290">
        <f>'[1]Core Cost Incurred'!K43</f>
        <v>3839281.9299999992</v>
      </c>
      <c r="F10" s="289">
        <v>0</v>
      </c>
      <c r="G10" s="288">
        <f>SUM(D10:E10)</f>
        <v>13094953.779999999</v>
      </c>
    </row>
    <row r="11" spans="2:8" ht="16.5" customHeight="1" x14ac:dyDescent="0.2">
      <c r="B11" s="269" t="s">
        <v>19</v>
      </c>
      <c r="C11" s="269"/>
      <c r="D11" s="282">
        <f>D9-D10</f>
        <v>-1056427.6399999987</v>
      </c>
      <c r="E11" s="287">
        <f>E9-E10</f>
        <v>1908269.2400000007</v>
      </c>
      <c r="F11" s="287">
        <f>F9-F10</f>
        <v>4443021.7200000007</v>
      </c>
      <c r="G11" s="282">
        <f>G9-G10</f>
        <v>5294863.3200000022</v>
      </c>
    </row>
    <row r="12" spans="2:8" ht="16.5" customHeight="1" x14ac:dyDescent="0.2">
      <c r="B12" s="269" t="s">
        <v>20</v>
      </c>
      <c r="C12" s="269"/>
      <c r="D12" s="282">
        <v>101873.47</v>
      </c>
      <c r="E12" s="286"/>
      <c r="F12" s="285"/>
      <c r="G12" s="284">
        <f>D12</f>
        <v>101873.47</v>
      </c>
    </row>
    <row r="13" spans="2:8" ht="16.5" customHeight="1" x14ac:dyDescent="0.2">
      <c r="B13" s="283" t="s">
        <v>21</v>
      </c>
      <c r="C13" s="283"/>
      <c r="D13" s="282"/>
      <c r="E13" s="282">
        <v>359068.95</v>
      </c>
      <c r="F13" s="281"/>
      <c r="G13" s="267">
        <f>E13</f>
        <v>359068.95</v>
      </c>
    </row>
    <row r="14" spans="2:8" ht="16.5" customHeight="1" x14ac:dyDescent="0.25">
      <c r="B14" s="280" t="s">
        <v>22</v>
      </c>
      <c r="C14" s="279"/>
      <c r="D14" s="277">
        <f>+D9-D10+D12</f>
        <v>-954554.16999999876</v>
      </c>
      <c r="E14" s="277">
        <f>+E11+E13</f>
        <v>2267338.1900000009</v>
      </c>
      <c r="F14" s="278">
        <f>+F9-F10</f>
        <v>4443021.7200000007</v>
      </c>
      <c r="G14" s="277">
        <f>G11+G13+G12</f>
        <v>5755805.7400000021</v>
      </c>
    </row>
    <row r="15" spans="2:8" ht="14.25" customHeight="1" x14ac:dyDescent="0.2">
      <c r="D15" s="269"/>
      <c r="E15" s="269"/>
      <c r="F15" s="275"/>
      <c r="G15" s="269"/>
    </row>
    <row r="16" spans="2:8" ht="14.25" customHeight="1" x14ac:dyDescent="0.2">
      <c r="D16" s="269" t="s">
        <v>23</v>
      </c>
      <c r="E16" s="269"/>
      <c r="F16" s="275"/>
      <c r="G16" s="269"/>
    </row>
    <row r="17" spans="2:7" ht="14.25" customHeight="1" x14ac:dyDescent="0.2">
      <c r="D17" s="269"/>
      <c r="E17" s="276"/>
      <c r="F17" s="275"/>
      <c r="G17" s="269"/>
    </row>
    <row r="18" spans="2:7" ht="14.25" customHeight="1" x14ac:dyDescent="0.2">
      <c r="B18" s="266" t="s">
        <v>24</v>
      </c>
      <c r="C18" s="266"/>
      <c r="D18" s="274" t="s">
        <v>4</v>
      </c>
      <c r="E18" s="273" t="s">
        <v>4</v>
      </c>
      <c r="F18" s="272"/>
      <c r="G18" s="262"/>
    </row>
    <row r="19" spans="2:7" ht="14.25" customHeight="1" x14ac:dyDescent="0.2">
      <c r="D19" s="271"/>
      <c r="E19" s="271"/>
      <c r="F19" s="270"/>
      <c r="G19" s="269"/>
    </row>
    <row r="20" spans="2:7" ht="14.25" customHeight="1" x14ac:dyDescent="0.2">
      <c r="D20" s="267">
        <f>-D14</f>
        <v>954554.16999999876</v>
      </c>
      <c r="E20" s="267">
        <f>-E11-E13</f>
        <v>-2267338.1900000009</v>
      </c>
      <c r="F20" s="268">
        <f>-F14</f>
        <v>-4443021.7200000007</v>
      </c>
      <c r="G20" s="267">
        <f>SUM(D20:F20)</f>
        <v>-5755805.740000003</v>
      </c>
    </row>
    <row r="21" spans="2:7" ht="14.25" customHeight="1" thickBot="1" x14ac:dyDescent="0.25">
      <c r="B21" s="266" t="s">
        <v>25</v>
      </c>
      <c r="C21" s="266"/>
      <c r="D21" s="265" t="s">
        <v>5</v>
      </c>
      <c r="E21" s="264" t="s">
        <v>7</v>
      </c>
      <c r="F21" s="263"/>
      <c r="G21" s="262"/>
    </row>
    <row r="23" spans="2:7" x14ac:dyDescent="0.2">
      <c r="E23" s="93"/>
      <c r="F23" s="91"/>
    </row>
    <row r="24" spans="2:7" x14ac:dyDescent="0.2">
      <c r="E24" s="93"/>
      <c r="F24" s="91"/>
    </row>
    <row r="25" spans="2:7" x14ac:dyDescent="0.2">
      <c r="E25" s="93"/>
      <c r="F25" s="91"/>
    </row>
    <row r="26" spans="2:7" x14ac:dyDescent="0.2">
      <c r="F26" s="91"/>
    </row>
    <row r="29" spans="2:7" x14ac:dyDescent="0.2">
      <c r="B29" s="261"/>
      <c r="C29" s="261"/>
    </row>
  </sheetData>
  <mergeCells count="1">
    <mergeCell ref="B4:E4"/>
  </mergeCells>
  <pageMargins left="0.75" right="0.75" top="0.7" bottom="1" header="0.7" footer="0.5"/>
  <pageSetup scale="82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3204DB0-668C-461A-A966-3B1638AB6E0C}"/>
</file>

<file path=customXml/itemProps2.xml><?xml version="1.0" encoding="utf-8"?>
<ds:datastoreItem xmlns:ds="http://schemas.openxmlformats.org/officeDocument/2006/customXml" ds:itemID="{9FE05496-9160-4210-AC39-4BFB9164B386}"/>
</file>

<file path=customXml/itemProps3.xml><?xml version="1.0" encoding="utf-8"?>
<ds:datastoreItem xmlns:ds="http://schemas.openxmlformats.org/officeDocument/2006/customXml" ds:itemID="{82F2C8DC-5F16-41CD-8453-5A5D4BA94BFA}"/>
</file>

<file path=customXml/itemProps4.xml><?xml version="1.0" encoding="utf-8"?>
<ds:datastoreItem xmlns:ds="http://schemas.openxmlformats.org/officeDocument/2006/customXml" ds:itemID="{DB2B3824-6F53-41ED-BC43-D928980AB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2020-03-27T17:31:55Z</dcterms:created>
  <dcterms:modified xsi:type="dcterms:W3CDTF">2020-03-27T18:26:07Z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