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 tabRatio="573" firstSheet="9" activeTab="15"/>
  </bookViews>
  <sheets>
    <sheet name="Revised Table 1" sheetId="12" r:id="rId1"/>
    <sheet name="PC Adj. Summary" sheetId="34" r:id="rId2"/>
    <sheet name="PC vs. Co." sheetId="60" r:id="rId3"/>
    <sheet name="PC 4.1" sheetId="47" r:id="rId4"/>
    <sheet name="PC 4.2" sheetId="18" r:id="rId5"/>
    <sheet name="PC 4.2.1" sheetId="19" r:id="rId6"/>
    <sheet name="PC 4.3" sheetId="61" r:id="rId7"/>
    <sheet name="PC 4.4" sheetId="53" r:id="rId8"/>
    <sheet name="PC 4.5" sheetId="21" r:id="rId9"/>
    <sheet name="PC 4.7" sheetId="54" r:id="rId10"/>
    <sheet name="PC 4.10" sheetId="55" r:id="rId11"/>
    <sheet name="PC 4.12" sheetId="56" r:id="rId12"/>
    <sheet name="PC 4.13" sheetId="57" r:id="rId13"/>
    <sheet name="PC 4.14" sheetId="58" r:id="rId14"/>
    <sheet name="PC 4.15" sheetId="59" r:id="rId15"/>
    <sheet name="PC 4.16" sheetId="22" r:id="rId16"/>
    <sheet name="PC 8.11" sheetId="27" r:id="rId17"/>
    <sheet name="Sheet1" sheetId="10" r:id="rId18"/>
    <sheet name="Sheet20" sheetId="32" r:id="rId19"/>
    <sheet name="Sheet21" sheetId="33" r:id="rId20"/>
  </sheets>
  <externalReferences>
    <externalReference r:id="rId21"/>
    <externalReference r:id="rId22"/>
  </externalReferences>
  <definedNames>
    <definedName name="gross_up_factor">[1]Variables!$D$34</definedName>
    <definedName name="Overall_ROR">[1]Variables!$E$11</definedName>
    <definedName name="Percent_common">[1]Variables!$C$10</definedName>
    <definedName name="_xlnm.Print_Area" localSheetId="15">'PC 4.16'!$A$1:$F$39</definedName>
    <definedName name="_xlnm.Print_Area" localSheetId="4">'PC 4.2'!$C$1:$I$49</definedName>
    <definedName name="_xlnm.Print_Area" localSheetId="5">'PC 4.2.1'!$A$5:$I$32</definedName>
    <definedName name="_xlnm.Print_Area" localSheetId="7">'PC 4.4'!$A$5:$H$33</definedName>
    <definedName name="_xlnm.Print_Area" localSheetId="8">'PC 4.5'!$A$5:$I$35</definedName>
    <definedName name="_xlnm.Print_Area" localSheetId="1">'PC Adj. Summary'!$A$1:$P$69</definedName>
    <definedName name="_xlnm.Print_Area" localSheetId="2">'PC vs. Co.'!$A$1:$I$84</definedName>
    <definedName name="_xlnm.Print_Area" localSheetId="0">'Revised Table 1'!$A$1:$K$38</definedName>
    <definedName name="Restated_Op_revenue">[1]Summary!$F$37</definedName>
    <definedName name="Restated_rate_base">[1]Summary!$F$64</definedName>
    <definedName name="Restated_ROE">[1]Summary!$F$67</definedName>
    <definedName name="Unadj_Op_revenue">[1]Summary!$B$37</definedName>
    <definedName name="Unadj_rate_base">[1]Summary!$B$64</definedName>
    <definedName name="Unadj_ROE">[1]Summary!$B$67</definedName>
    <definedName name="Weighted_cost_debt">[1]Variables!$E$8</definedName>
    <definedName name="Weighted_cost_pref">[1]Variables!$E$9</definedName>
  </definedNames>
  <calcPr calcId="125725" iterate="1"/>
</workbook>
</file>

<file path=xl/calcChain.xml><?xml version="1.0" encoding="utf-8"?>
<calcChain xmlns="http://schemas.openxmlformats.org/spreadsheetml/2006/main">
  <c r="G38" i="12"/>
  <c r="G31"/>
  <c r="I31"/>
  <c r="K31"/>
  <c r="B57" i="34"/>
  <c r="B58"/>
  <c r="B59"/>
  <c r="B60"/>
  <c r="B61"/>
  <c r="B62"/>
  <c r="B63"/>
  <c r="B64"/>
  <c r="B56"/>
  <c r="B28"/>
  <c r="B19"/>
  <c r="B20"/>
  <c r="B21"/>
  <c r="B22"/>
  <c r="B23"/>
  <c r="B24"/>
  <c r="B25"/>
  <c r="B26"/>
  <c r="B27"/>
  <c r="B18"/>
  <c r="H32"/>
  <c r="F29" i="60"/>
  <c r="F37" i="34"/>
  <c r="H29" i="53"/>
  <c r="F66" i="34"/>
  <c r="F64"/>
  <c r="F53"/>
  <c r="D15" i="57" l="1"/>
  <c r="H35" i="60"/>
  <c r="F35"/>
  <c r="D16" i="56"/>
  <c r="H34" i="60"/>
  <c r="F34"/>
  <c r="H32"/>
  <c r="D16" i="55"/>
  <c r="F32" i="60"/>
  <c r="D16" i="54"/>
  <c r="H29" i="60"/>
  <c r="D13" i="61"/>
  <c r="F31" i="53"/>
  <c r="H31"/>
  <c r="H30"/>
  <c r="F30"/>
  <c r="D31"/>
  <c r="F29"/>
  <c r="H26" i="60"/>
  <c r="F26"/>
  <c r="H23"/>
  <c r="F23"/>
  <c r="H73" l="1"/>
  <c r="I73" s="1"/>
  <c r="H74"/>
  <c r="I74" s="1"/>
  <c r="H76"/>
  <c r="I76" s="1"/>
  <c r="I24"/>
  <c r="I26"/>
  <c r="I27"/>
  <c r="I28"/>
  <c r="I29"/>
  <c r="I30"/>
  <c r="I31"/>
  <c r="I32"/>
  <c r="I33"/>
  <c r="I35"/>
  <c r="I36"/>
  <c r="I37"/>
  <c r="I38"/>
  <c r="I39"/>
  <c r="I40"/>
  <c r="I41"/>
  <c r="I47"/>
  <c r="I48"/>
  <c r="I50"/>
  <c r="I51"/>
  <c r="I68"/>
  <c r="I69"/>
  <c r="I70"/>
  <c r="I75"/>
  <c r="E77"/>
  <c r="E79" s="1"/>
  <c r="G76"/>
  <c r="G74"/>
  <c r="G73"/>
  <c r="I72"/>
  <c r="I71"/>
  <c r="G71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I53"/>
  <c r="I52"/>
  <c r="I49"/>
  <c r="I46"/>
  <c r="I45"/>
  <c r="G45"/>
  <c r="I44"/>
  <c r="G44"/>
  <c r="I43"/>
  <c r="I42"/>
  <c r="G42"/>
  <c r="G36"/>
  <c r="G35"/>
  <c r="G34"/>
  <c r="I34"/>
  <c r="G33"/>
  <c r="G32"/>
  <c r="G30"/>
  <c r="G29"/>
  <c r="I25"/>
  <c r="G23"/>
  <c r="I20"/>
  <c r="G19"/>
  <c r="G18"/>
  <c r="G16"/>
  <c r="G15"/>
  <c r="G14"/>
  <c r="A12"/>
  <c r="A13" s="1"/>
  <c r="A14" s="1"/>
  <c r="A15" s="1"/>
  <c r="A16" s="1"/>
  <c r="A17" s="1"/>
  <c r="A18" s="1"/>
  <c r="A19" s="1"/>
  <c r="A20" s="1"/>
  <c r="A21" s="1"/>
  <c r="A22" s="1"/>
  <c r="A23" s="1"/>
  <c r="A29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7" s="1"/>
  <c r="A78" s="1"/>
  <c r="A79" s="1"/>
  <c r="D14" i="27"/>
  <c r="F77" i="60" l="1"/>
  <c r="F79" s="1"/>
  <c r="G72"/>
  <c r="G77" s="1"/>
  <c r="G79" s="1"/>
  <c r="D77"/>
  <c r="D79" s="1"/>
  <c r="G64" i="34"/>
  <c r="G66" s="1"/>
  <c r="I17" i="60" l="1"/>
  <c r="I14"/>
  <c r="I11"/>
  <c r="I16"/>
  <c r="I18"/>
  <c r="I19" l="1"/>
  <c r="I15"/>
  <c r="I23"/>
  <c r="I77" l="1"/>
  <c r="I79" s="1"/>
  <c r="H77"/>
  <c r="H79" l="1"/>
  <c r="B43" i="34" l="1"/>
  <c r="B44"/>
  <c r="B45"/>
  <c r="B46"/>
  <c r="B47"/>
  <c r="B48"/>
  <c r="B49"/>
  <c r="B50"/>
  <c r="B51"/>
  <c r="B52"/>
  <c r="B42"/>
  <c r="P53"/>
  <c r="P66" s="1"/>
  <c r="P69" s="1"/>
  <c r="M53"/>
  <c r="M66" s="1"/>
  <c r="B38"/>
  <c r="B33"/>
  <c r="B34"/>
  <c r="B35"/>
  <c r="B36"/>
  <c r="B29"/>
  <c r="B30"/>
  <c r="B31"/>
  <c r="O28"/>
  <c r="O32" s="1"/>
  <c r="D13" i="59"/>
  <c r="N28" i="34"/>
  <c r="N32" s="1"/>
  <c r="D14" i="58"/>
  <c r="M28" i="34"/>
  <c r="M32" s="1"/>
  <c r="L28"/>
  <c r="L32" s="1"/>
  <c r="K28"/>
  <c r="K32" s="1"/>
  <c r="K37" s="1"/>
  <c r="K39" s="1"/>
  <c r="K69" s="1"/>
  <c r="I28"/>
  <c r="I32" s="1"/>
  <c r="H28"/>
  <c r="H37" s="1"/>
  <c r="H39" s="1"/>
  <c r="H69" s="1"/>
  <c r="C28"/>
  <c r="C32" s="1"/>
  <c r="D19" i="47"/>
  <c r="D22" s="1"/>
  <c r="D16" i="53"/>
  <c r="D19" s="1"/>
  <c r="I37" i="34" l="1"/>
  <c r="I39" s="1"/>
  <c r="I69" s="1"/>
  <c r="B66"/>
  <c r="L37"/>
  <c r="L39" s="1"/>
  <c r="L69" s="1"/>
  <c r="C37"/>
  <c r="O37"/>
  <c r="O39" s="1"/>
  <c r="O69" s="1"/>
  <c r="M37"/>
  <c r="M39" s="1"/>
  <c r="M69" s="1"/>
  <c r="N37"/>
  <c r="N39" s="1"/>
  <c r="N69" s="1"/>
  <c r="G53"/>
  <c r="B53" s="1"/>
  <c r="D26" i="21"/>
  <c r="C39" i="34" l="1"/>
  <c r="G28"/>
  <c r="G32" s="1"/>
  <c r="G37" s="1"/>
  <c r="G39" s="1"/>
  <c r="G69" s="1"/>
  <c r="F28"/>
  <c r="D28"/>
  <c r="D16" i="18"/>
  <c r="D32" i="34" l="1"/>
  <c r="F39"/>
  <c r="F69" s="1"/>
  <c r="C69"/>
  <c r="F36" i="22"/>
  <c r="F35"/>
  <c r="F34"/>
  <c r="F33"/>
  <c r="F32"/>
  <c r="F31"/>
  <c r="F30"/>
  <c r="F29"/>
  <c r="F28"/>
  <c r="F27"/>
  <c r="F26"/>
  <c r="F25"/>
  <c r="B32" i="34" l="1"/>
  <c r="D37"/>
  <c r="B37" s="1"/>
  <c r="F37" i="22"/>
  <c r="F39" s="1"/>
  <c r="D19"/>
  <c r="D21" s="1"/>
  <c r="D14"/>
  <c r="E35" i="21"/>
  <c r="D18"/>
  <c r="D27" s="1"/>
  <c r="D39" i="34" l="1"/>
  <c r="D69" s="1"/>
  <c r="B69" s="1"/>
  <c r="B39"/>
  <c r="D23" i="19"/>
  <c r="D25" s="1"/>
  <c r="D29" s="1"/>
  <c r="D31" s="1"/>
  <c r="D13"/>
  <c r="F47" i="18"/>
  <c r="D47"/>
  <c r="D24"/>
  <c r="D25" s="1"/>
  <c r="D27" s="1"/>
  <c r="D29" s="1"/>
  <c r="F48" l="1"/>
  <c r="D27" i="19"/>
  <c r="D32" s="1"/>
  <c r="D33" i="18"/>
  <c r="D35" s="1"/>
  <c r="D31"/>
  <c r="D36" l="1"/>
</calcChain>
</file>

<file path=xl/sharedStrings.xml><?xml version="1.0" encoding="utf-8"?>
<sst xmlns="http://schemas.openxmlformats.org/spreadsheetml/2006/main" count="726" uniqueCount="465">
  <si>
    <t>Amount</t>
  </si>
  <si>
    <t>Total</t>
  </si>
  <si>
    <t>Wash.</t>
  </si>
  <si>
    <t>Workpaper 4.3 - Allocation from Total to Wash. (gross expense + capital) for Administrative and General accounts only</t>
  </si>
  <si>
    <t>A&amp;G Accts.</t>
  </si>
  <si>
    <t>Note 1</t>
  </si>
  <si>
    <t>Adjustment</t>
  </si>
  <si>
    <t>Medicare rate</t>
  </si>
  <si>
    <t>Medicare amount</t>
  </si>
  <si>
    <t>Soc. Sec. Rate</t>
  </si>
  <si>
    <t>Total adjustment</t>
  </si>
  <si>
    <t>Reference</t>
  </si>
  <si>
    <t>Note 2</t>
  </si>
  <si>
    <t>Washington alloc. Factor</t>
  </si>
  <si>
    <t>Description</t>
  </si>
  <si>
    <t>Ref.</t>
  </si>
  <si>
    <t xml:space="preserve">Line </t>
  </si>
  <si>
    <t>No.</t>
  </si>
  <si>
    <t>Issues</t>
  </si>
  <si>
    <t>Test Year End - December 31, 2010</t>
  </si>
  <si>
    <t>Docket No. UE-111190 - PacifiCorp  - Washington Jurisdiction</t>
  </si>
  <si>
    <t>Public Counsel</t>
  </si>
  <si>
    <t>Counsel</t>
  </si>
  <si>
    <t>Public</t>
  </si>
  <si>
    <t>Nonrecurring DSM Costs</t>
  </si>
  <si>
    <t>A</t>
  </si>
  <si>
    <t>B</t>
  </si>
  <si>
    <t>C</t>
  </si>
  <si>
    <t>D</t>
  </si>
  <si>
    <t>E</t>
  </si>
  <si>
    <t>F</t>
  </si>
  <si>
    <t>Automated Meter Reading Savings</t>
  </si>
  <si>
    <t xml:space="preserve">System Software </t>
  </si>
  <si>
    <t>Directors' &amp; Officers' Liability Insurance</t>
  </si>
  <si>
    <t>2010 Non-Union Payroll Raise</t>
  </si>
  <si>
    <t>Adj.</t>
  </si>
  <si>
    <t>Costs Paid for Settling Litigation</t>
  </si>
  <si>
    <t>Impute Income on Intercompany Federal Tax Receivable</t>
  </si>
  <si>
    <t>Bonuses in MEHC Affiliate Management Fee</t>
  </si>
  <si>
    <t>Charitable Contributions</t>
  </si>
  <si>
    <t>Membership Fees and Dues</t>
  </si>
  <si>
    <t>System Software (see above adjustment to Operations)</t>
  </si>
  <si>
    <t>Plant Held for Future Use</t>
  </si>
  <si>
    <t>Adjustments</t>
  </si>
  <si>
    <t>Impact</t>
  </si>
  <si>
    <t xml:space="preserve">Public Counsel </t>
  </si>
  <si>
    <t xml:space="preserve">Total Rate Base Adjustments to Revenue Requirement </t>
  </si>
  <si>
    <t>Line</t>
  </si>
  <si>
    <t>Juris.</t>
  </si>
  <si>
    <t>PC DR 201</t>
  </si>
  <si>
    <t>The Company agrees that this amount should be removed from revenue requirements.</t>
  </si>
  <si>
    <t>Automated Meter Reading Implementation</t>
  </si>
  <si>
    <t>Remove AMR Severance costs</t>
  </si>
  <si>
    <t>Remove Non-Payroll AMR Savings</t>
  </si>
  <si>
    <t>PC DR 92</t>
  </si>
  <si>
    <t>The Company response to PC DR 92 identifies AMR severance costs of $86,826.</t>
  </si>
  <si>
    <t>PC DR 44</t>
  </si>
  <si>
    <t>The Company's "An Investment Appraisal for Automated Meter Reading in the</t>
  </si>
  <si>
    <t xml:space="preserve">State of Washington Executive Report and Authorization" (AI-AMR) includes </t>
  </si>
  <si>
    <t xml:space="preserve">the amounts for non-payroll savings per PC DR 44, Confidential Attachment PC 44.  </t>
  </si>
  <si>
    <t>The individual components from the the AI-AMR are set forth</t>
  </si>
  <si>
    <t>in the Confidential testimony of Bion Ostrander.</t>
  </si>
  <si>
    <t>PC DR 345</t>
  </si>
  <si>
    <t>The amount of $65,571 of System Software is removed from expense and will be</t>
  </si>
  <si>
    <t>capitalized as an intangible asset at plant in service.</t>
  </si>
  <si>
    <t>Software is per vendor Open Link Financial.</t>
  </si>
  <si>
    <t>System Software Costs</t>
  </si>
  <si>
    <t>Reclassify System Software Expense to a Capital Account</t>
  </si>
  <si>
    <t>Directors' and Officers' Liability Insurance</t>
  </si>
  <si>
    <t>Directors'/Officers' Liability Insur.</t>
  </si>
  <si>
    <t>PC DR 98</t>
  </si>
  <si>
    <t>Remove 2010 Non-Union Payroll Raise</t>
  </si>
  <si>
    <t>Company workpaper 4.3.3</t>
  </si>
  <si>
    <t>Non-union payroll with .88% increase</t>
  </si>
  <si>
    <t>2010 pay increase</t>
  </si>
  <si>
    <t>Non-union payroll before .88% increase</t>
  </si>
  <si>
    <t>.88% pay increase in 2010</t>
  </si>
  <si>
    <t>Amount of payroll expensed</t>
  </si>
  <si>
    <t>Percent of payroll increase expensed</t>
  </si>
  <si>
    <t>Washington jurisdiction pay increase</t>
  </si>
  <si>
    <t>Note 1:  69.62% is the overall expense factor for union and non-union at Workpaper 4.3.2, and PacifiCorp applies same percent to non-union.</t>
  </si>
  <si>
    <t>Amount subject to Social Security</t>
  </si>
  <si>
    <t>Social Security Amount</t>
  </si>
  <si>
    <t>% of Social Security Wages</t>
  </si>
  <si>
    <t>Note 2: This assumes that all (or most)non-union payroll goes to A&amp;G accounts only listed at workpaper 4.3 (although some non-union</t>
  </si>
  <si>
    <t>payroll could be in other accounts like Customer Op., Trans., Distribution, etc.</t>
  </si>
  <si>
    <t>Co. workpaper 4.3</t>
  </si>
  <si>
    <t>Percent to Total</t>
  </si>
  <si>
    <t>Note 2 above</t>
  </si>
  <si>
    <t>See Company workpapers below</t>
  </si>
  <si>
    <t xml:space="preserve">       Reference</t>
  </si>
  <si>
    <t xml:space="preserve">This adjustments removes the embedded amount of the .88% increase in pay awarded to non-union employees </t>
  </si>
  <si>
    <t>in 2010.  The Company did not adjust for this amount because it was already embedded in the payroll</t>
  </si>
  <si>
    <t>costs on the 2010 books.</t>
  </si>
  <si>
    <t>Supporting Calculations:</t>
  </si>
  <si>
    <t>Supplemental Executive Retirement Plan</t>
  </si>
  <si>
    <t>Remove SERP costs</t>
  </si>
  <si>
    <t xml:space="preserve">These SERP costs are one component that was removed in the Company's payroll adjustment the Company's payroll </t>
  </si>
  <si>
    <t>adjustment 4.2, although there are other offsetting cost increases in this Company adjustment.</t>
  </si>
  <si>
    <t>It is necessary to adjust/remove these costs, because Public Counsel's adjustments are to the unadjusted</t>
  </si>
  <si>
    <t>book costs which still include these SERP costs.</t>
  </si>
  <si>
    <t>SERP costs</t>
  </si>
  <si>
    <t>Percent of SERP expensed</t>
  </si>
  <si>
    <t>Amount of SERP expensed</t>
  </si>
  <si>
    <t>Washington jurisdiction SERP expense</t>
  </si>
  <si>
    <t>Company workpaper 4.3.2</t>
  </si>
  <si>
    <t>See Exh. BCO-3, Sch. B-5, Note 1</t>
  </si>
  <si>
    <t>See Exh. BCO-3, Sch. B-5, Note 2</t>
  </si>
  <si>
    <t xml:space="preserve">      Reference</t>
  </si>
  <si>
    <t>Property &amp; Liability Insurance (Self Insurance)</t>
  </si>
  <si>
    <t>Additional adjustments to settlement costs</t>
  </si>
  <si>
    <t>Corrections to PacifiCorp's settlement costs</t>
  </si>
  <si>
    <t xml:space="preserve">Company adjustments included at workpapers </t>
  </si>
  <si>
    <t xml:space="preserve">   but not at the Company's revenue requirement</t>
  </si>
  <si>
    <t>Reason for</t>
  </si>
  <si>
    <t>Table 1 below</t>
  </si>
  <si>
    <t>Company workpaper 4.5</t>
  </si>
  <si>
    <t xml:space="preserve">Jim Bridger Turbine Upgrade </t>
  </si>
  <si>
    <t>East Side Electric Lake Charges</t>
  </si>
  <si>
    <t>Omitted from Co. Adj.</t>
  </si>
  <si>
    <t>Impute Income on Fed. Tax Receivable</t>
  </si>
  <si>
    <t>Washington juris. Factor</t>
  </si>
  <si>
    <t>Washington Federal Tax Receivable</t>
  </si>
  <si>
    <t>ROR from prior rate case</t>
  </si>
  <si>
    <t>See below</t>
  </si>
  <si>
    <t>04/30/2010</t>
  </si>
  <si>
    <t>05/31/2010</t>
  </si>
  <si>
    <t>06/30/2010</t>
  </si>
  <si>
    <t>07/31/2010</t>
  </si>
  <si>
    <t>08/31/2010</t>
  </si>
  <si>
    <t>09/30/2010</t>
  </si>
  <si>
    <t>10/31/2010</t>
  </si>
  <si>
    <t>11/30/2010</t>
  </si>
  <si>
    <t>12/31/2010</t>
  </si>
  <si>
    <t>01/31/2011</t>
  </si>
  <si>
    <t>02/28/2011</t>
  </si>
  <si>
    <t>03/31/2011</t>
  </si>
  <si>
    <t>12 months</t>
  </si>
  <si>
    <t>Average Balance - 12 months</t>
  </si>
  <si>
    <t>Table 1 - PC - 379 - Federal Tax Receivable by Month</t>
  </si>
  <si>
    <t>PC 379 and</t>
  </si>
  <si>
    <t>Federal Tax Receivable - 12 mo. end March 31, 2011</t>
  </si>
  <si>
    <t>Tax Receivable</t>
  </si>
  <si>
    <t>by Month</t>
  </si>
  <si>
    <t xml:space="preserve"> Reference</t>
  </si>
  <si>
    <t>See testimony</t>
  </si>
  <si>
    <t>Marketing and Advertising</t>
  </si>
  <si>
    <t>Remove Plant Held for Future Use</t>
  </si>
  <si>
    <t>PacifiCorp</t>
  </si>
  <si>
    <t>Washington General Rate Case - December 2010</t>
  </si>
  <si>
    <t>Summary of Public Counsel Total Adjustments</t>
  </si>
  <si>
    <t>Operations and Maintenance</t>
  </si>
  <si>
    <t>3.2</t>
  </si>
  <si>
    <t>3.6</t>
  </si>
  <si>
    <t>3.7</t>
  </si>
  <si>
    <t>4.1</t>
  </si>
  <si>
    <t>4.2</t>
  </si>
  <si>
    <t>4.11</t>
  </si>
  <si>
    <t>5.1.1</t>
  </si>
  <si>
    <t>PC Total Adjustments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</si>
  <si>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</si>
  <si>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</si>
  <si>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</si>
  <si>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</si>
  <si>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</si>
  <si>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</si>
  <si>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</si>
  <si>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</si>
  <si>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</si>
  <si>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</si>
  <si>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</si>
  <si>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</si>
  <si>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</si>
  <si>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</si>
  <si>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</si>
  <si>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</si>
  <si>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</si>
  <si>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</si>
  <si>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</si>
  <si>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</si>
  <si>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</si>
  <si>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</si>
  <si>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</si>
  <si>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</si>
  <si>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</si>
  <si>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</si>
  <si>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</si>
  <si>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</si>
  <si>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</si>
  <si>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</si>
  <si>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</si>
  <si>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</si>
  <si>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</si>
  <si>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</si>
  <si>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</si>
  <si>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</si>
  <si>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</si>
  <si>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</si>
  <si>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</si>
  <si>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</si>
  <si>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</si>
  <si>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</si>
  <si>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</si>
  <si>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</si>
  <si>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</si>
  <si>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</si>
  <si>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</si>
  <si>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</si>
  <si>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</si>
  <si>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</si>
  <si>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Estimated Return on Equity Impact</t>
  </si>
  <si>
    <t>Estimated Price Change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</si>
  <si>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</si>
  <si>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</si>
  <si>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</si>
  <si>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</si>
  <si>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</si>
  <si>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</si>
  <si>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</si>
  <si>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</si>
  <si>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</si>
  <si>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</si>
  <si>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Federal Income Taxes Before Credits</t>
  </si>
  <si>
    <t>Energy Tax Credits</t>
  </si>
  <si>
    <t>Federal Income Taxes</t>
  </si>
  <si>
    <t>See Company workpapers referenced below and see Exhibit No. BCO-3C, Schedule B-5.</t>
  </si>
  <si>
    <t>Part of Company adjustment at 4.3.2, see PC "SERP" workpaper for calculations.</t>
  </si>
  <si>
    <t>Note - Amounts highlighted in blue are part of Company's proposed adjustment.</t>
  </si>
  <si>
    <t>Reference to PC Calculations</t>
  </si>
  <si>
    <t>2010 Non-Union Wage Increase &amp; SERP</t>
  </si>
  <si>
    <t>AMR Savings</t>
  </si>
  <si>
    <t>4.4</t>
  </si>
  <si>
    <t>Company - Remove 2010 SERP costs</t>
  </si>
  <si>
    <t>Total PC Adjustment</t>
  </si>
  <si>
    <t>-</t>
  </si>
  <si>
    <t>4.5</t>
  </si>
  <si>
    <t>Subtotal per below - PC Additional Adj.</t>
  </si>
  <si>
    <t>Company Adj. 4.5</t>
  </si>
  <si>
    <t>Part of Company Adjustment Accepted below:</t>
  </si>
  <si>
    <t>Bridger Turbine Upgrade</t>
  </si>
  <si>
    <t>TransAlta Sale Liability</t>
  </si>
  <si>
    <t>Set up CEMA Regulatory asset</t>
  </si>
  <si>
    <t>Record Local 127 pension curtailment</t>
  </si>
  <si>
    <t>Remove East Side Electric Lake Charges</t>
  </si>
  <si>
    <t>Subtotal - Company Adj.</t>
  </si>
  <si>
    <t>Total PC Adjustment - Operations</t>
  </si>
  <si>
    <t>Line 5 + Line 12</t>
  </si>
  <si>
    <t>See below and PC Adjustment at Exhibit BCO-3C, Schedule B7.</t>
  </si>
  <si>
    <t>Company Rate Base Adj. - East Side Electric Lake</t>
  </si>
  <si>
    <t>Exhibit BC-3C, Sch. B-10</t>
  </si>
  <si>
    <t>Exhibit BC-3C, Sch. B-11</t>
  </si>
  <si>
    <t>Exhibit BC-3C, Sch. B-12</t>
  </si>
  <si>
    <t>Note:  See Exhibit No. BCO-3C, Schedules B-10, B-11, and B-12 and related supporting workpapers.</t>
  </si>
  <si>
    <t>Legislative &amp; Lobbying</t>
  </si>
  <si>
    <t>Employee Meals &amp; Entertainment</t>
  </si>
  <si>
    <t>Misc. General Expense - Charitable Contributions, Employee Meals &amp; Entertainment, and Legislative &amp; Lobbying</t>
  </si>
  <si>
    <t>DSM Expense</t>
  </si>
  <si>
    <t>4.7</t>
  </si>
  <si>
    <t>4.10</t>
  </si>
  <si>
    <t>Advertising Expense</t>
  </si>
  <si>
    <t>4.12</t>
  </si>
  <si>
    <t>Note - See Exhibit BCO-3C, Schedule B5.</t>
  </si>
  <si>
    <t>Note - See Exhibit BCO-3C, Schedule B-2</t>
  </si>
  <si>
    <t>Note - See Exhibit BCO-3C, Schedule B-7.</t>
  </si>
  <si>
    <t>Note:  See Exhibit BCO-3C, Schedule B-1</t>
  </si>
  <si>
    <t>Note:  See Exhibit BCO-3C, Schedule B-9</t>
  </si>
  <si>
    <t>Note:  See Exh. BCO-3C, Schedule B-13</t>
  </si>
  <si>
    <t>4.13</t>
  </si>
  <si>
    <t>Memberships and Subscriptions</t>
  </si>
  <si>
    <t>System Software</t>
  </si>
  <si>
    <t>Note:  See Exhibit BCO-3C, Schedule B-14</t>
  </si>
  <si>
    <t>Note:  See Exhibit BCO-3C, Schedule B-3</t>
  </si>
  <si>
    <t>Note:  See Exhibit BCO-3C, Schedule B-4</t>
  </si>
  <si>
    <r>
      <t xml:space="preserve">Impute Income on InterCompany Federal Tax Receivable </t>
    </r>
    <r>
      <rPr>
        <b/>
        <sz val="10"/>
        <rFont val="Times New Roman"/>
        <family val="1"/>
      </rPr>
      <t>(Treated as A&amp;G Reduction)</t>
    </r>
  </si>
  <si>
    <t>Note:  See Exhibit BCO-3C, Schedule B-8</t>
  </si>
  <si>
    <t>PC 4.1</t>
  </si>
  <si>
    <t>PC 4.2</t>
  </si>
  <si>
    <t>PC 4.2.1</t>
  </si>
  <si>
    <t>PC 4.4</t>
  </si>
  <si>
    <t>PC 4.5</t>
  </si>
  <si>
    <t>PC 4.7</t>
  </si>
  <si>
    <t>PC 4.10</t>
  </si>
  <si>
    <t>PC 4.12</t>
  </si>
  <si>
    <t>PC 4.13</t>
  </si>
  <si>
    <t>4.14</t>
  </si>
  <si>
    <t>4.15</t>
  </si>
  <si>
    <t>4.16</t>
  </si>
  <si>
    <t>PC 4.14</t>
  </si>
  <si>
    <t>PC 4.15</t>
  </si>
  <si>
    <t>PC 4.16</t>
  </si>
  <si>
    <t>Other Rate Base</t>
  </si>
  <si>
    <t>8.11</t>
  </si>
  <si>
    <t>Note:  See Exhibit BCO-3C, Schedule C-2</t>
  </si>
  <si>
    <t>PC 8.11</t>
  </si>
  <si>
    <t>PacifiCorp's</t>
  </si>
  <si>
    <t>Difference</t>
  </si>
  <si>
    <t>Base</t>
  </si>
  <si>
    <t>Revenue</t>
  </si>
  <si>
    <t>NOI</t>
  </si>
  <si>
    <t>Net Rate Base</t>
  </si>
  <si>
    <t>Requirement</t>
  </si>
  <si>
    <t xml:space="preserve">Impact </t>
  </si>
  <si>
    <t>G</t>
  </si>
  <si>
    <t>H</t>
  </si>
  <si>
    <t>Per Books</t>
  </si>
  <si>
    <t>REVENUE</t>
  </si>
  <si>
    <t>Temperature Normalization</t>
  </si>
  <si>
    <t>3.1</t>
  </si>
  <si>
    <t>Revenue Normalizing</t>
  </si>
  <si>
    <t>Effective Price Change</t>
  </si>
  <si>
    <t>3.3</t>
  </si>
  <si>
    <t>SO2 Emission Allowances</t>
  </si>
  <si>
    <t>3.4</t>
  </si>
  <si>
    <t>REC Revenues</t>
  </si>
  <si>
    <t>3.5</t>
  </si>
  <si>
    <t>Wheeling Revenue</t>
  </si>
  <si>
    <t>Ancillary Revenue</t>
  </si>
  <si>
    <t>O &amp; M</t>
  </si>
  <si>
    <t>Miscellaneous General Expense</t>
  </si>
  <si>
    <t>Wage &amp; Employee Benefits - Pro Forma</t>
  </si>
  <si>
    <t>4.3</t>
  </si>
  <si>
    <t>Remove Non-Recurring Entries</t>
  </si>
  <si>
    <t>Pension &amp; Post-retirement Curtailment</t>
  </si>
  <si>
    <t>4.6</t>
  </si>
  <si>
    <t>DSM Revenue &amp; Expense Removal</t>
  </si>
  <si>
    <t>Inverted rates Advertising</t>
  </si>
  <si>
    <t>4.8</t>
  </si>
  <si>
    <t>MEHC Transition Cost Amortization</t>
  </si>
  <si>
    <t>4.9</t>
  </si>
  <si>
    <t>Affiliate Management Fee</t>
  </si>
  <si>
    <t>Memberships &amp; Subscriptions</t>
  </si>
  <si>
    <t>Regulatory Commission Expense</t>
  </si>
  <si>
    <t>D&amp;O Liab. Insur. Exp.</t>
  </si>
  <si>
    <t>Impute Income on Interco. Tax Receiv.</t>
  </si>
  <si>
    <t>POWER COSTS</t>
  </si>
  <si>
    <t>Net Power Costs Restating</t>
  </si>
  <si>
    <t>Net Power Costs Pro Forma</t>
  </si>
  <si>
    <t>James River Royalty Offset</t>
  </si>
  <si>
    <t>5.2</t>
  </si>
  <si>
    <t>BPA Residential Exchange</t>
  </si>
  <si>
    <t>5.3</t>
  </si>
  <si>
    <t>Colstrip #3 Removal</t>
  </si>
  <si>
    <t>5.4</t>
  </si>
  <si>
    <t>DEPRECIATION/AMORTIZATION</t>
  </si>
  <si>
    <t>Hydro Decommissioning</t>
  </si>
  <si>
    <t>6.1</t>
  </si>
  <si>
    <t>TAX ADJUSTMENTS</t>
  </si>
  <si>
    <t>Interest True Up</t>
  </si>
  <si>
    <t>Renewable Energy Tax Credit</t>
  </si>
  <si>
    <t>Malin Midpoint Adjustment</t>
  </si>
  <si>
    <t>WA Public Utility Tax Adj.</t>
  </si>
  <si>
    <t>AFUDC - Equity</t>
  </si>
  <si>
    <t xml:space="preserve">WA Flow-Through </t>
  </si>
  <si>
    <t>WA Flow-Through (cont.)</t>
  </si>
  <si>
    <t>7.6.1</t>
  </si>
  <si>
    <t>Remove Deferred State Tax Expense</t>
  </si>
  <si>
    <t>7.7</t>
  </si>
  <si>
    <t>ADIT Balance</t>
  </si>
  <si>
    <t>RATE BASE</t>
  </si>
  <si>
    <t>Jim Bridger Mine Rate Base Adjustment</t>
  </si>
  <si>
    <t>Environmental Remediation</t>
  </si>
  <si>
    <t>Customer Advances for Construction</t>
  </si>
  <si>
    <t>Removal of Colstrip #4 AFUDC</t>
  </si>
  <si>
    <t>Miscellaneous Rate Base Adj.</t>
  </si>
  <si>
    <t>Miscellaneous Rate Base Adj. (cont.)</t>
  </si>
  <si>
    <t>8.6.1</t>
  </si>
  <si>
    <t>8.6.2</t>
  </si>
  <si>
    <t>Powerdale Hydro Removal</t>
  </si>
  <si>
    <t>Regulatory Asset Amortization</t>
  </si>
  <si>
    <t>Trojan Unrecovered Plant Adjustment</t>
  </si>
  <si>
    <t>Condit Hydro Removal</t>
  </si>
  <si>
    <t>8.10</t>
  </si>
  <si>
    <t xml:space="preserve">Production Factor </t>
  </si>
  <si>
    <t>9.1/9.1.1</t>
  </si>
  <si>
    <t>Total Adjusted</t>
  </si>
  <si>
    <t>Public Counsel Adjustment Comparison</t>
  </si>
  <si>
    <t>per Filing</t>
  </si>
  <si>
    <t xml:space="preserve">PC </t>
  </si>
  <si>
    <t xml:space="preserve">Net  </t>
  </si>
  <si>
    <t xml:space="preserve">Rate </t>
  </si>
  <si>
    <t xml:space="preserve">Revenue </t>
  </si>
  <si>
    <t>General Wage Increase - PC 2010 Wage Increase and SERP (a)</t>
  </si>
  <si>
    <t>Notes:</t>
  </si>
  <si>
    <t>(a) - PC adjustment includes payroll tax impact</t>
  </si>
  <si>
    <t>Insurance Expense (b)</t>
  </si>
  <si>
    <t>(b) - Includes Company's increase in federal taxes permanent timing difference of $137,326.</t>
  </si>
  <si>
    <t>Between</t>
  </si>
  <si>
    <t>PC and</t>
  </si>
  <si>
    <t>I</t>
  </si>
  <si>
    <t>Impact per Filing</t>
  </si>
  <si>
    <t xml:space="preserve">         PUBLIC COUNSEL ADJUSTED</t>
  </si>
  <si>
    <t>2010 Non-Union Payroll Raise and SERP</t>
  </si>
  <si>
    <t>Co. Adj. 4.1</t>
  </si>
  <si>
    <t>Subtotal Company Adjustment</t>
  </si>
  <si>
    <t xml:space="preserve">Subtotal PC Additional Adjustment </t>
  </si>
  <si>
    <t>Subtotal - PC Adjustment</t>
  </si>
  <si>
    <t>Company AMR Savings</t>
  </si>
  <si>
    <t xml:space="preserve">Company Adj. 4.4 </t>
  </si>
  <si>
    <t>Company</t>
  </si>
  <si>
    <t>PC</t>
  </si>
  <si>
    <t>Rev. Req.</t>
  </si>
  <si>
    <t xml:space="preserve">NOI </t>
  </si>
  <si>
    <t>Impact (a)</t>
  </si>
  <si>
    <t>Rate Base</t>
  </si>
  <si>
    <t>(a) - Company amount includes deferred tax impact of $283,835, and PC portion of adjustment</t>
  </si>
  <si>
    <t>amount does not include deferred tax impact.</t>
  </si>
  <si>
    <t>PC 4.3</t>
  </si>
  <si>
    <t>Remove Out of Period Wage Increases</t>
  </si>
  <si>
    <t>See Company Adj. 4.3</t>
  </si>
  <si>
    <t>Out of Period Wage Increases - Pro Forma</t>
  </si>
  <si>
    <t>PC Adjustment - Cadmus Group DSM</t>
  </si>
  <si>
    <t xml:space="preserve">Company Adjustment </t>
  </si>
  <si>
    <t>Co. Adj. 4.7</t>
  </si>
  <si>
    <t>PC Adjustment - Bonuses in MEHC Affiliate Management Fee</t>
  </si>
  <si>
    <t>Co. Adj. 4.10</t>
  </si>
  <si>
    <t>Company Adjustment</t>
  </si>
  <si>
    <t>Co. Adj. 4.12</t>
  </si>
  <si>
    <t>See testimony, PC workpapers, and Exhibit No. BCO-3C, Sch. B-13</t>
  </si>
  <si>
    <t>See testimony, PC workpapers, and Exh. No. BCO-3C, Sch. B-14</t>
  </si>
  <si>
    <t>PC Adjustment -Membership Fees and Dues</t>
  </si>
  <si>
    <t>Company Adj. - Membership Fees and Dues</t>
  </si>
  <si>
    <t>Note (c)</t>
  </si>
  <si>
    <t>(c) - Public Counsel's revenue requirement does not include a true-up for interest synchronization</t>
  </si>
  <si>
    <t>Misc. General Expense</t>
  </si>
  <si>
    <t>AMR</t>
  </si>
  <si>
    <t>General Out of Period Wage Increase</t>
  </si>
  <si>
    <t>Non-Recurring Entries</t>
  </si>
  <si>
    <t>Insurance Expense</t>
  </si>
  <si>
    <t>Before Taxes</t>
  </si>
  <si>
    <t xml:space="preserve">Adjustments  </t>
  </si>
  <si>
    <t xml:space="preserve">Counsel </t>
  </si>
  <si>
    <t>After Taxes</t>
  </si>
  <si>
    <t>Requirement Impact</t>
  </si>
  <si>
    <t>Impact on NOI</t>
  </si>
  <si>
    <t>Impact on Expense</t>
  </si>
  <si>
    <t>Impact on Rev. Req.</t>
  </si>
  <si>
    <t>DSM Costs</t>
  </si>
  <si>
    <t>Total Adjustments</t>
  </si>
  <si>
    <t>ADJUSTMENTS:</t>
  </si>
  <si>
    <t>Misc. General Expense (Charitable Contrib., Meals &amp; Entertain., and Legis. &amp; Lobbying)</t>
  </si>
  <si>
    <t>ADJUSTMENTS TO RATE BASE INCLUDED IN ABOVE:</t>
  </si>
  <si>
    <t>Rate Base Impact</t>
  </si>
  <si>
    <t>Non-recurring entries - East Side Electric Lake</t>
  </si>
  <si>
    <t>Public Counsel Revised Table 1 at Exhibit No. BCO-1CT</t>
  </si>
  <si>
    <t>Docket No. UE-111190</t>
  </si>
  <si>
    <t>Exhibit No. BCO-8</t>
  </si>
  <si>
    <t>Page 1 of 17</t>
  </si>
  <si>
    <t>Page 2 of 17</t>
  </si>
  <si>
    <t>Page 3 of 17</t>
  </si>
  <si>
    <t>Page 4 of 17</t>
  </si>
  <si>
    <t>Page 5 of 17</t>
  </si>
  <si>
    <t>Page 6 of 17</t>
  </si>
  <si>
    <t>Page 7 of 17</t>
  </si>
  <si>
    <t>Page 8 of 17</t>
  </si>
  <si>
    <t>Page 9 of 17</t>
  </si>
  <si>
    <t>Page 10 of 17</t>
  </si>
  <si>
    <t>Page 11 of 17</t>
  </si>
  <si>
    <t>Page 12 of 17</t>
  </si>
  <si>
    <t>Page 13 of 17</t>
  </si>
  <si>
    <t>Page 14 of 17</t>
  </si>
  <si>
    <t>Page 15 of 17</t>
  </si>
  <si>
    <t>Page 16 of 17</t>
  </si>
  <si>
    <t>Page 17 of 17</t>
  </si>
  <si>
    <t xml:space="preserve">Table 3 below </t>
  </si>
  <si>
    <t>Table 3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</si>
</sst>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"/>
    <numFmt numFmtId="167" formatCode="0.000%"/>
    <numFmt numFmtId="168" formatCode="0.0"/>
    <numFmt numFmtId="169" formatCode="0.00000"/>
    <numFmt numFmtId="170" formatCode="0.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0" fillId="0" borderId="0">
      <alignment horizontal="left" wrapText="1"/>
    </xf>
  </cellStyleXfs>
  <cellXfs count="268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2" fillId="0" borderId="5" xfId="0" applyFont="1" applyBorder="1" applyAlignment="1">
      <alignment horizontal="center"/>
    </xf>
    <xf numFmtId="0" fontId="2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8" fillId="0" borderId="0" xfId="0" applyNumberFormat="1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2" xfId="0" applyFont="1" applyBorder="1"/>
    <xf numFmtId="165" fontId="8" fillId="0" borderId="3" xfId="0" applyNumberFormat="1" applyFont="1" applyBorder="1"/>
    <xf numFmtId="0" fontId="2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6" fillId="0" borderId="0" xfId="0" applyNumberFormat="1" applyFont="1"/>
    <xf numFmtId="165" fontId="6" fillId="0" borderId="3" xfId="0" applyNumberFormat="1" applyFont="1" applyBorder="1"/>
    <xf numFmtId="0" fontId="2" fillId="0" borderId="0" xfId="0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0" fontId="2" fillId="0" borderId="1" xfId="0" applyFont="1" applyBorder="1"/>
    <xf numFmtId="165" fontId="5" fillId="0" borderId="3" xfId="0" applyNumberFormat="1" applyFont="1" applyBorder="1"/>
    <xf numFmtId="165" fontId="2" fillId="0" borderId="3" xfId="0" applyNumberFormat="1" applyFont="1" applyBorder="1"/>
    <xf numFmtId="164" fontId="2" fillId="0" borderId="0" xfId="1" applyNumberFormat="1" applyFont="1"/>
    <xf numFmtId="166" fontId="2" fillId="0" borderId="1" xfId="0" applyNumberFormat="1" applyFont="1" applyBorder="1"/>
    <xf numFmtId="164" fontId="2" fillId="0" borderId="2" xfId="1" applyNumberFormat="1" applyFont="1" applyBorder="1"/>
    <xf numFmtId="10" fontId="2" fillId="0" borderId="1" xfId="0" applyNumberFormat="1" applyFont="1" applyBorder="1"/>
    <xf numFmtId="164" fontId="2" fillId="0" borderId="0" xfId="0" applyNumberFormat="1" applyFont="1"/>
    <xf numFmtId="10" fontId="2" fillId="0" borderId="0" xfId="0" applyNumberFormat="1" applyFont="1"/>
    <xf numFmtId="164" fontId="5" fillId="2" borderId="3" xfId="0" applyNumberFormat="1" applyFont="1" applyFill="1" applyBorder="1"/>
    <xf numFmtId="0" fontId="2" fillId="0" borderId="0" xfId="0" applyFont="1" applyFill="1"/>
    <xf numFmtId="164" fontId="2" fillId="2" borderId="3" xfId="0" applyNumberFormat="1" applyFont="1" applyFill="1" applyBorder="1"/>
    <xf numFmtId="164" fontId="2" fillId="0" borderId="1" xfId="0" applyNumberFormat="1" applyFont="1" applyFill="1" applyBorder="1"/>
    <xf numFmtId="10" fontId="2" fillId="0" borderId="0" xfId="2" applyNumberFormat="1" applyFont="1" applyBorder="1"/>
    <xf numFmtId="164" fontId="2" fillId="2" borderId="5" xfId="0" applyNumberFormat="1" applyFont="1" applyFill="1" applyBorder="1"/>
    <xf numFmtId="164" fontId="6" fillId="0" borderId="0" xfId="0" applyNumberFormat="1" applyFont="1" applyFill="1" applyBorder="1"/>
    <xf numFmtId="164" fontId="6" fillId="2" borderId="3" xfId="0" applyNumberFormat="1" applyFont="1" applyFill="1" applyBorder="1"/>
    <xf numFmtId="164" fontId="2" fillId="0" borderId="1" xfId="1" applyNumberFormat="1" applyFont="1" applyBorder="1"/>
    <xf numFmtId="164" fontId="2" fillId="0" borderId="0" xfId="1" applyNumberFormat="1" applyFont="1" applyBorder="1"/>
    <xf numFmtId="10" fontId="2" fillId="0" borderId="0" xfId="2" applyNumberFormat="1" applyFont="1"/>
    <xf numFmtId="10" fontId="2" fillId="0" borderId="3" xfId="2" applyNumberFormat="1" applyFont="1" applyBorder="1"/>
    <xf numFmtId="0" fontId="2" fillId="0" borderId="0" xfId="0" applyFont="1" applyAlignment="1">
      <alignment horizontal="left"/>
    </xf>
    <xf numFmtId="164" fontId="5" fillId="0" borderId="0" xfId="0" applyNumberFormat="1" applyFont="1" applyFill="1" applyBorder="1"/>
    <xf numFmtId="0" fontId="5" fillId="0" borderId="0" xfId="0" applyFont="1"/>
    <xf numFmtId="0" fontId="2" fillId="0" borderId="11" xfId="0" applyFont="1" applyBorder="1"/>
    <xf numFmtId="165" fontId="2" fillId="0" borderId="11" xfId="0" applyNumberFormat="1" applyFont="1" applyBorder="1"/>
    <xf numFmtId="0" fontId="5" fillId="0" borderId="11" xfId="0" applyFont="1" applyBorder="1"/>
    <xf numFmtId="165" fontId="5" fillId="0" borderId="12" xfId="0" applyNumberFormat="1" applyFont="1" applyBorder="1"/>
    <xf numFmtId="9" fontId="2" fillId="0" borderId="0" xfId="2" applyFont="1"/>
    <xf numFmtId="9" fontId="2" fillId="0" borderId="1" xfId="2" applyFont="1" applyBorder="1"/>
    <xf numFmtId="43" fontId="2" fillId="0" borderId="0" xfId="1" applyNumberFormat="1" applyFont="1"/>
    <xf numFmtId="164" fontId="5" fillId="0" borderId="0" xfId="1" applyNumberFormat="1" applyFont="1"/>
    <xf numFmtId="164" fontId="5" fillId="0" borderId="3" xfId="1" applyNumberFormat="1" applyFont="1" applyBorder="1"/>
    <xf numFmtId="164" fontId="5" fillId="0" borderId="0" xfId="1" applyNumberFormat="1" applyFont="1" applyBorder="1"/>
    <xf numFmtId="0" fontId="2" fillId="0" borderId="8" xfId="0" applyFont="1" applyBorder="1"/>
    <xf numFmtId="0" fontId="2" fillId="0" borderId="9" xfId="0" applyFont="1" applyBorder="1"/>
    <xf numFmtId="164" fontId="5" fillId="0" borderId="11" xfId="1" applyNumberFormat="1" applyFont="1" applyBorder="1"/>
    <xf numFmtId="0" fontId="7" fillId="0" borderId="18" xfId="0" quotePrefix="1" applyFont="1" applyBorder="1" applyAlignment="1">
      <alignment horizontal="center"/>
    </xf>
    <xf numFmtId="37" fontId="3" fillId="0" borderId="19" xfId="0" applyNumberFormat="1" applyFont="1" applyBorder="1"/>
    <xf numFmtId="37" fontId="3" fillId="0" borderId="20" xfId="0" applyNumberFormat="1" applyFont="1" applyBorder="1"/>
    <xf numFmtId="37" fontId="3" fillId="0" borderId="21" xfId="0" applyNumberFormat="1" applyFont="1" applyBorder="1"/>
    <xf numFmtId="0" fontId="7" fillId="0" borderId="15" xfId="0" quotePrefix="1" applyFont="1" applyBorder="1" applyAlignment="1">
      <alignment horizontal="center"/>
    </xf>
    <xf numFmtId="37" fontId="3" fillId="0" borderId="16" xfId="0" applyNumberFormat="1" applyFont="1" applyBorder="1"/>
    <xf numFmtId="37" fontId="3" fillId="0" borderId="17" xfId="0" applyNumberFormat="1" applyFont="1" applyBorder="1"/>
    <xf numFmtId="37" fontId="3" fillId="0" borderId="22" xfId="0" applyNumberFormat="1" applyFont="1" applyBorder="1"/>
    <xf numFmtId="0" fontId="7" fillId="0" borderId="23" xfId="0" quotePrefix="1" applyFont="1" applyBorder="1" applyAlignment="1">
      <alignment horizontal="center"/>
    </xf>
    <xf numFmtId="37" fontId="3" fillId="0" borderId="24" xfId="0" applyNumberFormat="1" applyFont="1" applyBorder="1"/>
    <xf numFmtId="37" fontId="3" fillId="0" borderId="25" xfId="0" applyNumberFormat="1" applyFont="1" applyBorder="1"/>
    <xf numFmtId="37" fontId="3" fillId="0" borderId="26" xfId="0" applyNumberFormat="1" applyFont="1" applyBorder="1"/>
    <xf numFmtId="0" fontId="7" fillId="0" borderId="27" xfId="0" quotePrefix="1" applyFont="1" applyBorder="1" applyAlignment="1">
      <alignment horizontal="center"/>
    </xf>
    <xf numFmtId="37" fontId="3" fillId="0" borderId="0" xfId="0" applyNumberFormat="1" applyFont="1" applyBorder="1"/>
    <xf numFmtId="37" fontId="3" fillId="0" borderId="11" xfId="0" applyNumberFormat="1" applyFont="1" applyBorder="1"/>
    <xf numFmtId="164" fontId="5" fillId="0" borderId="6" xfId="1" applyNumberFormat="1" applyFont="1" applyBorder="1"/>
    <xf numFmtId="164" fontId="5" fillId="0" borderId="5" xfId="1" applyNumberFormat="1" applyFont="1" applyBorder="1"/>
    <xf numFmtId="0" fontId="2" fillId="0" borderId="7" xfId="0" applyFont="1" applyBorder="1"/>
    <xf numFmtId="0" fontId="5" fillId="0" borderId="9" xfId="0" applyFont="1" applyBorder="1"/>
    <xf numFmtId="0" fontId="4" fillId="0" borderId="0" xfId="1" applyNumberFormat="1" applyFont="1" applyFill="1" applyBorder="1" applyAlignment="1">
      <alignment horizontal="centerContinuous"/>
    </xf>
    <xf numFmtId="0" fontId="11" fillId="0" borderId="0" xfId="1" applyNumberFormat="1" applyFont="1" applyFill="1" applyAlignment="1">
      <alignment horizontal="centerContinuous"/>
    </xf>
    <xf numFmtId="0" fontId="11" fillId="0" borderId="0" xfId="1" applyNumberFormat="1" applyFont="1" applyFill="1" applyBorder="1" applyAlignment="1">
      <alignment horizontal="centerContinuous"/>
    </xf>
    <xf numFmtId="0" fontId="4" fillId="0" borderId="0" xfId="1" applyNumberFormat="1" applyFont="1" applyFill="1" applyAlignment="1">
      <alignment horizontal="centerContinuous"/>
    </xf>
    <xf numFmtId="164" fontId="12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/>
    <xf numFmtId="164" fontId="4" fillId="0" borderId="28" xfId="1" applyNumberFormat="1" applyFont="1" applyFill="1" applyBorder="1"/>
    <xf numFmtId="164" fontId="11" fillId="0" borderId="29" xfId="1" applyNumberFormat="1" applyFont="1" applyFill="1" applyBorder="1"/>
    <xf numFmtId="164" fontId="11" fillId="0" borderId="29" xfId="1" quotePrefix="1" applyNumberFormat="1" applyFont="1" applyFill="1" applyBorder="1" applyAlignment="1" applyProtection="1">
      <alignment horizontal="center"/>
      <protection locked="0"/>
    </xf>
    <xf numFmtId="164" fontId="11" fillId="0" borderId="0" xfId="1" quotePrefix="1" applyNumberFormat="1" applyFont="1" applyFill="1" applyBorder="1" applyAlignment="1" applyProtection="1">
      <alignment horizontal="center"/>
      <protection locked="0"/>
    </xf>
    <xf numFmtId="164" fontId="4" fillId="0" borderId="31" xfId="1" applyNumberFormat="1" applyFont="1" applyFill="1" applyBorder="1" applyAlignment="1">
      <alignment horizontal="center" vertical="center"/>
    </xf>
    <xf numFmtId="164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29" xfId="1" applyNumberFormat="1" applyFont="1" applyFill="1" applyBorder="1" applyAlignment="1" applyProtection="1">
      <alignment horizontal="center"/>
      <protection locked="0"/>
    </xf>
    <xf numFmtId="164" fontId="11" fillId="0" borderId="0" xfId="1" applyNumberFormat="1" applyFont="1" applyFill="1" applyBorder="1" applyProtection="1">
      <protection locked="0"/>
    </xf>
    <xf numFmtId="164" fontId="11" fillId="0" borderId="33" xfId="1" applyNumberFormat="1" applyFont="1" applyFill="1" applyBorder="1" applyProtection="1">
      <protection locked="0"/>
    </xf>
    <xf numFmtId="164" fontId="11" fillId="0" borderId="0" xfId="1" applyNumberFormat="1" applyFont="1" applyFill="1" applyBorder="1" applyAlignment="1" applyProtection="1">
      <alignment horizontal="center"/>
      <protection locked="0"/>
    </xf>
    <xf numFmtId="164" fontId="4" fillId="0" borderId="29" xfId="1" applyNumberFormat="1" applyFont="1" applyFill="1" applyBorder="1" applyAlignment="1">
      <alignment vertical="center"/>
    </xf>
    <xf numFmtId="164" fontId="11" fillId="0" borderId="29" xfId="1" applyNumberFormat="1" applyFont="1" applyFill="1" applyBorder="1" applyProtection="1">
      <protection locked="0"/>
    </xf>
    <xf numFmtId="164" fontId="11" fillId="0" borderId="29" xfId="1" quotePrefix="1" applyNumberFormat="1" applyFont="1" applyFill="1" applyBorder="1" applyAlignment="1" applyProtection="1">
      <alignment horizontal="left"/>
      <protection locked="0"/>
    </xf>
    <xf numFmtId="164" fontId="11" fillId="0" borderId="0" xfId="1" quotePrefix="1" applyNumberFormat="1" applyFont="1" applyFill="1" applyBorder="1" applyAlignment="1" applyProtection="1">
      <alignment horizontal="left"/>
      <protection locked="0"/>
    </xf>
    <xf numFmtId="164" fontId="11" fillId="0" borderId="33" xfId="1" quotePrefix="1" applyNumberFormat="1" applyFont="1" applyFill="1" applyBorder="1" applyAlignment="1" applyProtection="1">
      <alignment horizontal="left"/>
      <protection locked="0"/>
    </xf>
    <xf numFmtId="164" fontId="11" fillId="0" borderId="0" xfId="1" applyNumberFormat="1" applyFont="1" applyFill="1" applyBorder="1" applyAlignment="1" applyProtection="1">
      <alignment horizontal="left"/>
      <protection locked="0"/>
    </xf>
    <xf numFmtId="164" fontId="4" fillId="0" borderId="34" xfId="1" applyNumberFormat="1" applyFont="1" applyFill="1" applyBorder="1" applyAlignment="1">
      <alignment vertical="center"/>
    </xf>
    <xf numFmtId="164" fontId="11" fillId="0" borderId="34" xfId="1" applyNumberFormat="1" applyFont="1" applyFill="1" applyBorder="1" applyProtection="1">
      <protection locked="0"/>
    </xf>
    <xf numFmtId="164" fontId="11" fillId="0" borderId="2" xfId="1" applyNumberFormat="1" applyFont="1" applyFill="1" applyBorder="1" applyProtection="1">
      <protection locked="0"/>
    </xf>
    <xf numFmtId="164" fontId="11" fillId="0" borderId="35" xfId="1" applyNumberFormat="1" applyFont="1" applyFill="1" applyBorder="1" applyProtection="1">
      <protection locked="0"/>
    </xf>
    <xf numFmtId="164" fontId="11" fillId="0" borderId="5" xfId="1" applyNumberFormat="1" applyFont="1" applyFill="1" applyBorder="1" applyProtection="1">
      <protection locked="0"/>
    </xf>
    <xf numFmtId="164" fontId="11" fillId="0" borderId="37" xfId="1" applyNumberFormat="1" applyFont="1" applyFill="1" applyBorder="1" applyProtection="1">
      <protection locked="0"/>
    </xf>
    <xf numFmtId="164" fontId="4" fillId="0" borderId="36" xfId="1" applyNumberFormat="1" applyFont="1" applyFill="1" applyBorder="1" applyAlignment="1">
      <alignment vertical="center"/>
    </xf>
    <xf numFmtId="164" fontId="4" fillId="0" borderId="38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Alignment="1"/>
    <xf numFmtId="164" fontId="11" fillId="0" borderId="39" xfId="1" applyNumberFormat="1" applyFont="1" applyFill="1" applyBorder="1" applyAlignment="1"/>
    <xf numFmtId="164" fontId="11" fillId="0" borderId="34" xfId="1" quotePrefix="1" applyNumberFormat="1" applyFont="1" applyFill="1" applyBorder="1" applyAlignment="1" applyProtection="1">
      <alignment horizontal="left"/>
      <protection locked="0"/>
    </xf>
    <xf numFmtId="164" fontId="11" fillId="0" borderId="2" xfId="1" quotePrefix="1" applyNumberFormat="1" applyFont="1" applyFill="1" applyBorder="1" applyAlignment="1" applyProtection="1">
      <alignment horizontal="left"/>
      <protection locked="0"/>
    </xf>
    <xf numFmtId="164" fontId="11" fillId="0" borderId="35" xfId="1" quotePrefix="1" applyNumberFormat="1" applyFont="1" applyFill="1" applyBorder="1" applyAlignment="1" applyProtection="1">
      <alignment horizontal="left"/>
      <protection locked="0"/>
    </xf>
    <xf numFmtId="164" fontId="11" fillId="0" borderId="38" xfId="1" applyNumberFormat="1" applyFont="1" applyFill="1" applyBorder="1" applyAlignment="1">
      <alignment vertical="center"/>
    </xf>
    <xf numFmtId="164" fontId="11" fillId="0" borderId="39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Protection="1">
      <protection locked="0"/>
    </xf>
    <xf numFmtId="10" fontId="11" fillId="0" borderId="29" xfId="2" applyNumberFormat="1" applyFont="1" applyFill="1" applyBorder="1" applyAlignment="1">
      <alignment vertical="center"/>
    </xf>
    <xf numFmtId="10" fontId="11" fillId="0" borderId="0" xfId="2" applyNumberFormat="1" applyFont="1" applyFill="1" applyBorder="1" applyAlignment="1">
      <alignment vertical="center"/>
    </xf>
    <xf numFmtId="10" fontId="11" fillId="0" borderId="33" xfId="2" applyNumberFormat="1" applyFont="1" applyFill="1" applyBorder="1" applyAlignment="1">
      <alignment vertical="center"/>
    </xf>
    <xf numFmtId="164" fontId="11" fillId="0" borderId="29" xfId="0" applyNumberFormat="1" applyFont="1" applyFill="1" applyBorder="1"/>
    <xf numFmtId="164" fontId="11" fillId="0" borderId="0" xfId="0" applyNumberFormat="1" applyFont="1" applyFill="1" applyBorder="1"/>
    <xf numFmtId="164" fontId="11" fillId="0" borderId="33" xfId="0" applyNumberFormat="1" applyFont="1" applyFill="1" applyBorder="1"/>
    <xf numFmtId="167" fontId="11" fillId="0" borderId="29" xfId="2" applyNumberFormat="1" applyFont="1" applyFill="1" applyBorder="1" applyAlignment="1">
      <alignment vertical="center"/>
    </xf>
    <xf numFmtId="167" fontId="11" fillId="0" borderId="33" xfId="2" applyNumberFormat="1" applyFont="1" applyFill="1" applyBorder="1" applyAlignment="1">
      <alignment vertical="center"/>
    </xf>
    <xf numFmtId="164" fontId="11" fillId="0" borderId="36" xfId="1" applyNumberFormat="1" applyFont="1" applyFill="1" applyBorder="1" applyAlignment="1">
      <alignment vertical="center"/>
    </xf>
    <xf numFmtId="164" fontId="11" fillId="0" borderId="37" xfId="1" applyNumberFormat="1" applyFont="1" applyFill="1" applyBorder="1" applyAlignment="1">
      <alignment vertical="center"/>
    </xf>
    <xf numFmtId="164" fontId="4" fillId="0" borderId="40" xfId="1" applyNumberFormat="1" applyFont="1" applyFill="1" applyBorder="1" applyAlignment="1">
      <alignment vertical="center"/>
    </xf>
    <xf numFmtId="164" fontId="11" fillId="0" borderId="40" xfId="1" applyNumberFormat="1" applyFont="1" applyFill="1" applyBorder="1"/>
    <xf numFmtId="164" fontId="11" fillId="0" borderId="41" xfId="1" applyNumberFormat="1" applyFont="1" applyFill="1" applyBorder="1" applyProtection="1">
      <protection locked="0"/>
    </xf>
    <xf numFmtId="164" fontId="11" fillId="0" borderId="42" xfId="1" applyNumberFormat="1" applyFont="1" applyFill="1" applyBorder="1" applyProtection="1">
      <protection locked="0"/>
    </xf>
    <xf numFmtId="0" fontId="2" fillId="3" borderId="0" xfId="0" applyFont="1" applyFill="1"/>
    <xf numFmtId="165" fontId="2" fillId="3" borderId="0" xfId="0" applyNumberFormat="1" applyFont="1" applyFill="1" applyBorder="1"/>
    <xf numFmtId="0" fontId="5" fillId="3" borderId="0" xfId="0" applyFont="1" applyFill="1"/>
    <xf numFmtId="164" fontId="4" fillId="0" borderId="33" xfId="1" applyNumberFormat="1" applyFont="1" applyFill="1" applyBorder="1" applyAlignment="1">
      <alignment vertical="center"/>
    </xf>
    <xf numFmtId="164" fontId="11" fillId="0" borderId="1" xfId="1" applyNumberFormat="1" applyFont="1" applyFill="1" applyBorder="1" applyAlignment="1" applyProtection="1">
      <alignment horizontal="left"/>
      <protection locked="0"/>
    </xf>
    <xf numFmtId="164" fontId="11" fillId="0" borderId="1" xfId="1" quotePrefix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5" xfId="0" applyNumberFormat="1" applyFont="1" applyBorder="1"/>
    <xf numFmtId="0" fontId="2" fillId="3" borderId="0" xfId="0" applyFont="1" applyFill="1" applyAlignment="1">
      <alignment horizontal="center"/>
    </xf>
    <xf numFmtId="165" fontId="5" fillId="3" borderId="0" xfId="0" applyNumberFormat="1" applyFont="1" applyFill="1" applyBorder="1"/>
    <xf numFmtId="165" fontId="5" fillId="3" borderId="3" xfId="0" applyNumberFormat="1" applyFont="1" applyFill="1" applyBorder="1"/>
    <xf numFmtId="165" fontId="5" fillId="3" borderId="5" xfId="0" applyNumberFormat="1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165" fontId="9" fillId="0" borderId="3" xfId="0" applyNumberFormat="1" applyFont="1" applyBorder="1"/>
    <xf numFmtId="0" fontId="0" fillId="0" borderId="0" xfId="0" applyBorder="1"/>
    <xf numFmtId="164" fontId="8" fillId="0" borderId="0" xfId="0" applyNumberFormat="1" applyFont="1"/>
    <xf numFmtId="164" fontId="11" fillId="0" borderId="31" xfId="1" applyNumberFormat="1" applyFont="1" applyFill="1" applyBorder="1" applyProtection="1">
      <protection locked="0"/>
    </xf>
    <xf numFmtId="164" fontId="11" fillId="0" borderId="38" xfId="1" applyNumberFormat="1" applyFont="1" applyFill="1" applyBorder="1" applyProtection="1">
      <protection locked="0"/>
    </xf>
    <xf numFmtId="164" fontId="4" fillId="0" borderId="33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37" fontId="8" fillId="0" borderId="0" xfId="0" applyNumberFormat="1" applyFont="1"/>
    <xf numFmtId="164" fontId="4" fillId="0" borderId="30" xfId="1" applyNumberFormat="1" applyFont="1" applyFill="1" applyBorder="1" applyAlignment="1">
      <alignment horizontal="centerContinuous"/>
    </xf>
    <xf numFmtId="164" fontId="11" fillId="0" borderId="33" xfId="1" quotePrefix="1" applyNumberFormat="1" applyFont="1" applyFill="1" applyBorder="1" applyAlignment="1" applyProtection="1">
      <alignment horizontal="center"/>
      <protection locked="0"/>
    </xf>
    <xf numFmtId="0" fontId="4" fillId="0" borderId="43" xfId="1" applyNumberFormat="1" applyFont="1" applyFill="1" applyBorder="1" applyAlignment="1">
      <alignment horizontal="centerContinuous" readingOrder="1"/>
    </xf>
    <xf numFmtId="0" fontId="4" fillId="0" borderId="2" xfId="1" applyNumberFormat="1" applyFont="1" applyFill="1" applyBorder="1" applyAlignment="1">
      <alignment horizontal="centerContinuous" readingOrder="1"/>
    </xf>
    <xf numFmtId="0" fontId="4" fillId="0" borderId="44" xfId="1" applyNumberFormat="1" applyFont="1" applyFill="1" applyBorder="1" applyAlignment="1">
      <alignment horizontal="centerContinuous" readingOrder="1"/>
    </xf>
    <xf numFmtId="0" fontId="4" fillId="0" borderId="11" xfId="1" applyNumberFormat="1" applyFont="1" applyFill="1" applyBorder="1" applyAlignment="1">
      <alignment horizontal="centerContinuous" readingOrder="1"/>
    </xf>
    <xf numFmtId="2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168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>
      <alignment horizontal="center"/>
    </xf>
    <xf numFmtId="0" fontId="8" fillId="0" borderId="4" xfId="0" applyFont="1" applyBorder="1"/>
    <xf numFmtId="164" fontId="11" fillId="0" borderId="29" xfId="2" applyNumberFormat="1" applyFont="1" applyFill="1" applyBorder="1" applyAlignment="1">
      <alignment vertical="center"/>
    </xf>
    <xf numFmtId="0" fontId="15" fillId="0" borderId="0" xfId="0" applyFont="1" applyFill="1"/>
    <xf numFmtId="49" fontId="16" fillId="0" borderId="0" xfId="0" applyNumberFormat="1" applyFont="1" applyFill="1" applyBorder="1" applyAlignment="1"/>
    <xf numFmtId="0" fontId="16" fillId="0" borderId="0" xfId="0" applyFont="1" applyFill="1" applyBorder="1" applyAlignment="1"/>
    <xf numFmtId="49" fontId="15" fillId="0" borderId="0" xfId="0" applyNumberFormat="1" applyFont="1" applyFill="1"/>
    <xf numFmtId="0" fontId="15" fillId="0" borderId="0" xfId="0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49" fontId="15" fillId="0" borderId="0" xfId="0" applyNumberFormat="1" applyFont="1" applyFill="1" applyAlignment="1">
      <alignment horizontal="center"/>
    </xf>
    <xf numFmtId="0" fontId="15" fillId="0" borderId="1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165" fontId="15" fillId="0" borderId="0" xfId="3" applyNumberFormat="1" applyFont="1" applyFill="1" applyAlignment="1"/>
    <xf numFmtId="0" fontId="20" fillId="0" borderId="0" xfId="0" applyFont="1" applyFill="1" applyBorder="1" applyAlignment="1">
      <alignment horizontal="center"/>
    </xf>
    <xf numFmtId="5" fontId="15" fillId="0" borderId="0" xfId="0" applyNumberFormat="1" applyFont="1" applyFill="1" applyBorder="1" applyAlignment="1"/>
    <xf numFmtId="165" fontId="15" fillId="0" borderId="0" xfId="0" applyNumberFormat="1" applyFont="1" applyFill="1"/>
    <xf numFmtId="164" fontId="15" fillId="0" borderId="0" xfId="1" applyNumberFormat="1" applyFont="1" applyFill="1" applyBorder="1" applyAlignment="1"/>
    <xf numFmtId="164" fontId="15" fillId="0" borderId="0" xfId="1" applyNumberFormat="1" applyFont="1" applyFill="1" applyAlignment="1"/>
    <xf numFmtId="0" fontId="15" fillId="0" borderId="0" xfId="0" applyFont="1" applyFill="1" applyAlignment="1">
      <alignment horizontal="left"/>
    </xf>
    <xf numFmtId="49" fontId="15" fillId="0" borderId="0" xfId="0" quotePrefix="1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5" fillId="0" borderId="0" xfId="0" applyNumberFormat="1" applyFont="1" applyFill="1" applyBorder="1" applyAlignment="1">
      <alignment horizontal="right"/>
    </xf>
    <xf numFmtId="170" fontId="15" fillId="0" borderId="0" xfId="4" applyFont="1" applyFill="1" applyAlignment="1">
      <alignment horizontal="left"/>
    </xf>
    <xf numFmtId="164" fontId="20" fillId="0" borderId="3" xfId="0" applyNumberFormat="1" applyFont="1" applyFill="1" applyBorder="1" applyAlignment="1">
      <alignment horizontal="right"/>
    </xf>
    <xf numFmtId="0" fontId="18" fillId="0" borderId="0" xfId="0" applyFont="1" applyFill="1"/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165" fontId="20" fillId="0" borderId="0" xfId="0" applyNumberFormat="1" applyFont="1" applyFill="1" applyAlignment="1">
      <alignment horizontal="center"/>
    </xf>
    <xf numFmtId="5" fontId="15" fillId="0" borderId="0" xfId="0" applyNumberFormat="1" applyFont="1" applyFill="1" applyBorder="1" applyAlignment="1">
      <alignment horizontal="right"/>
    </xf>
    <xf numFmtId="165" fontId="20" fillId="0" borderId="3" xfId="0" applyNumberFormat="1" applyFont="1" applyFill="1" applyBorder="1"/>
    <xf numFmtId="49" fontId="18" fillId="0" borderId="0" xfId="0" applyNumberFormat="1" applyFont="1" applyFill="1"/>
    <xf numFmtId="0" fontId="0" fillId="0" borderId="0" xfId="0" applyFill="1"/>
    <xf numFmtId="165" fontId="15" fillId="0" borderId="0" xfId="3" applyNumberFormat="1" applyFont="1" applyFill="1" applyBorder="1" applyAlignment="1"/>
    <xf numFmtId="37" fontId="16" fillId="0" borderId="0" xfId="0" applyNumberFormat="1" applyFont="1" applyFill="1" applyBorder="1" applyAlignment="1"/>
    <xf numFmtId="37" fontId="15" fillId="0" borderId="0" xfId="0" applyNumberFormat="1" applyFont="1" applyFill="1" applyAlignment="1">
      <alignment horizontal="center"/>
    </xf>
    <xf numFmtId="37" fontId="15" fillId="0" borderId="0" xfId="3" applyNumberFormat="1" applyFont="1" applyFill="1" applyAlignment="1">
      <alignment horizontal="center"/>
    </xf>
    <xf numFmtId="37" fontId="15" fillId="0" borderId="1" xfId="3" applyNumberFormat="1" applyFont="1" applyFill="1" applyBorder="1" applyAlignment="1">
      <alignment horizontal="center"/>
    </xf>
    <xf numFmtId="169" fontId="19" fillId="0" borderId="1" xfId="0" applyNumberFormat="1" applyFont="1" applyFill="1" applyBorder="1" applyAlignment="1">
      <alignment horizontal="center"/>
    </xf>
    <xf numFmtId="37" fontId="15" fillId="0" borderId="0" xfId="3" applyNumberFormat="1" applyFont="1" applyFill="1" applyBorder="1"/>
    <xf numFmtId="37" fontId="15" fillId="0" borderId="0" xfId="0" applyNumberFormat="1" applyFont="1" applyFill="1" applyBorder="1" applyAlignment="1"/>
    <xf numFmtId="37" fontId="15" fillId="0" borderId="0" xfId="1" applyNumberFormat="1" applyFont="1" applyFill="1"/>
    <xf numFmtId="37" fontId="15" fillId="0" borderId="0" xfId="1" applyNumberFormat="1" applyFont="1" applyFill="1" applyBorder="1"/>
    <xf numFmtId="164" fontId="15" fillId="0" borderId="0" xfId="3" applyNumberFormat="1" applyFont="1" applyFill="1" applyAlignment="1"/>
    <xf numFmtId="165" fontId="15" fillId="0" borderId="0" xfId="1" applyNumberFormat="1" applyFont="1" applyFill="1" applyBorder="1" applyAlignment="1"/>
    <xf numFmtId="37" fontId="15" fillId="0" borderId="0" xfId="1" applyNumberFormat="1" applyFont="1" applyFill="1" applyBorder="1" applyAlignment="1">
      <alignment wrapText="1"/>
    </xf>
    <xf numFmtId="37" fontId="15" fillId="0" borderId="0" xfId="0" applyNumberFormat="1" applyFont="1" applyFill="1"/>
    <xf numFmtId="165" fontId="20" fillId="0" borderId="0" xfId="3" applyNumberFormat="1" applyFont="1" applyFill="1" applyBorder="1" applyAlignment="1"/>
    <xf numFmtId="165" fontId="15" fillId="0" borderId="0" xfId="2" applyNumberFormat="1" applyFont="1" applyFill="1" applyBorder="1"/>
    <xf numFmtId="37" fontId="18" fillId="0" borderId="0" xfId="0" applyNumberFormat="1" applyFont="1" applyFill="1"/>
    <xf numFmtId="0" fontId="13" fillId="0" borderId="0" xfId="0" applyFont="1" applyAlignment="1">
      <alignment horizontal="center"/>
    </xf>
    <xf numFmtId="0" fontId="9" fillId="0" borderId="0" xfId="0" applyFont="1" applyFill="1"/>
    <xf numFmtId="0" fontId="15" fillId="0" borderId="2" xfId="0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/>
    </xf>
    <xf numFmtId="37" fontId="15" fillId="0" borderId="2" xfId="3" applyNumberFormat="1" applyFont="1" applyFill="1" applyBorder="1" applyAlignment="1">
      <alignment horizontal="center"/>
    </xf>
    <xf numFmtId="0" fontId="20" fillId="0" borderId="44" xfId="0" applyFont="1" applyFill="1" applyBorder="1"/>
    <xf numFmtId="0" fontId="20" fillId="0" borderId="11" xfId="0" applyFont="1" applyFill="1" applyBorder="1"/>
    <xf numFmtId="0" fontId="20" fillId="0" borderId="2" xfId="0" applyFont="1" applyFill="1" applyBorder="1"/>
    <xf numFmtId="164" fontId="20" fillId="0" borderId="3" xfId="1" applyNumberFormat="1" applyFont="1" applyFill="1" applyBorder="1" applyAlignment="1"/>
    <xf numFmtId="165" fontId="9" fillId="0" borderId="0" xfId="0" applyNumberFormat="1" applyFont="1" applyBorder="1"/>
    <xf numFmtId="165" fontId="0" fillId="0" borderId="1" xfId="0" applyNumberFormat="1" applyBorder="1"/>
    <xf numFmtId="165" fontId="0" fillId="0" borderId="3" xfId="0" applyNumberFormat="1" applyBorder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5" fillId="4" borderId="0" xfId="0" applyFont="1" applyFill="1"/>
    <xf numFmtId="165" fontId="5" fillId="4" borderId="0" xfId="0" applyNumberFormat="1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165" fontId="9" fillId="4" borderId="0" xfId="0" applyNumberFormat="1" applyFont="1" applyFill="1"/>
    <xf numFmtId="44" fontId="2" fillId="0" borderId="0" xfId="0" applyNumberFormat="1" applyFont="1"/>
    <xf numFmtId="165" fontId="2" fillId="0" borderId="0" xfId="0" applyNumberFormat="1" applyFont="1"/>
    <xf numFmtId="165" fontId="2" fillId="0" borderId="5" xfId="0" applyNumberFormat="1" applyFont="1" applyBorder="1"/>
    <xf numFmtId="165" fontId="2" fillId="4" borderId="0" xfId="0" applyNumberFormat="1" applyFont="1" applyFill="1" applyBorder="1"/>
    <xf numFmtId="0" fontId="2" fillId="4" borderId="0" xfId="0" applyFont="1" applyFill="1" applyAlignment="1">
      <alignment horizontal="left"/>
    </xf>
    <xf numFmtId="164" fontId="11" fillId="0" borderId="45" xfId="1" applyNumberFormat="1" applyFont="1" applyFill="1" applyBorder="1" applyProtection="1">
      <protection locked="0"/>
    </xf>
    <xf numFmtId="0" fontId="8" fillId="0" borderId="0" xfId="0" applyFont="1" applyBorder="1" applyAlignment="1">
      <alignment horizontal="center"/>
    </xf>
    <xf numFmtId="165" fontId="6" fillId="0" borderId="0" xfId="0" applyNumberFormat="1" applyFont="1" applyFill="1"/>
    <xf numFmtId="165" fontId="8" fillId="0" borderId="0" xfId="0" applyNumberFormat="1" applyFont="1" applyFill="1"/>
    <xf numFmtId="0" fontId="21" fillId="0" borderId="0" xfId="0" applyFont="1"/>
    <xf numFmtId="165" fontId="8" fillId="0" borderId="0" xfId="0" applyNumberFormat="1" applyFont="1" applyBorder="1"/>
    <xf numFmtId="165" fontId="6" fillId="0" borderId="0" xfId="0" applyNumberFormat="1" applyFont="1" applyBorder="1"/>
    <xf numFmtId="2" fontId="8" fillId="0" borderId="0" xfId="0" applyNumberFormat="1" applyFont="1"/>
    <xf numFmtId="0" fontId="8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3" fillId="0" borderId="0" xfId="0" applyFont="1"/>
    <xf numFmtId="0" fontId="7" fillId="0" borderId="0" xfId="0" applyFont="1"/>
    <xf numFmtId="0" fontId="16" fillId="0" borderId="0" xfId="0" applyFont="1" applyFill="1" applyBorder="1" applyAlignment="1">
      <alignment horizontal="center"/>
    </xf>
  </cellXfs>
  <cellStyles count="5">
    <cellStyle name="Comma" xfId="1" builtinId="3"/>
    <cellStyle name="Currency" xfId="3" builtinId="4"/>
    <cellStyle name="Normal" xfId="0" builtinId="0"/>
    <cellStyle name="Percent" xfId="2" builtinId="5"/>
    <cellStyle name="Style 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Copy%20of%20UE+111190+Schoenbeck+Exhibit+DWS-6+1-13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PC%20v.%20Co.%20Rev.%20Req.%20-%20Staff%20Exhibit%20(MDF-2)%20Modifi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 DWS-3"/>
      <sheetName val="Summary"/>
      <sheetName val="ICNU v Company"/>
      <sheetName val="ICNU Restating v PF"/>
      <sheetName val="ICNU Adj Summary"/>
      <sheetName val="ICNU 3.2"/>
      <sheetName val="ICNU 3.6"/>
      <sheetName val="ICNU 3.7"/>
      <sheetName val="ICNU 4.1"/>
      <sheetName val="ICNU 4.3"/>
      <sheetName val="ICNU 4.11"/>
      <sheetName val="ICNU 4.11.1"/>
      <sheetName val="ICNU 4.11.2"/>
      <sheetName val="ICNU 4.11.3"/>
      <sheetName val="ICNU 4.11.4"/>
      <sheetName val="ICNU 5.1.1"/>
      <sheetName val="ICNU 9.1"/>
      <sheetName val="Total Adj"/>
      <sheetName val="Restating Adj"/>
      <sheetName val="Pro Forma Adj"/>
      <sheetName val="Interest Calc"/>
      <sheetName val="Variables"/>
      <sheetName val="Check Sheet"/>
      <sheetName val="Exhibit No.__(RBD-2) pg 1"/>
      <sheetName val="Exhibit No.__(RBD-2) pg 2-3"/>
      <sheetName val="Page 1.4"/>
      <sheetName val="Page 1.5"/>
      <sheetName val="Page 1.6"/>
    </sheetNames>
    <sheetDataSet>
      <sheetData sheetId="0"/>
      <sheetData sheetId="1">
        <row r="37">
          <cell r="B37">
            <v>39356667.963908076</v>
          </cell>
          <cell r="F37">
            <v>48734394.084714234</v>
          </cell>
        </row>
        <row r="64">
          <cell r="B64">
            <v>757510776.52255499</v>
          </cell>
          <cell r="F64">
            <v>753752621.40250146</v>
          </cell>
        </row>
        <row r="67">
          <cell r="B67">
            <v>4.6123743735480255E-2</v>
          </cell>
          <cell r="F67">
            <v>7.1990198960750332E-2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E8">
            <v>2.9145600000000001E-2</v>
          </cell>
        </row>
        <row r="9">
          <cell r="E9">
            <v>1.629E-4</v>
          </cell>
        </row>
        <row r="10">
          <cell r="C10">
            <v>0.49099999999999999</v>
          </cell>
        </row>
        <row r="11">
          <cell r="E11">
            <v>7.7399999999999997E-2</v>
          </cell>
        </row>
        <row r="34">
          <cell r="D34">
            <v>0.62022999999999995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C v. Co (2)"/>
      <sheetName val="RevReqSummary"/>
      <sheetName val="RevReqCalc"/>
      <sheetName val="Conversion factor"/>
      <sheetName val="cost of capital"/>
      <sheetName val="PC v. Co"/>
      <sheetName val="Table 1"/>
      <sheetName val="Table2"/>
      <sheetName val="Table3"/>
      <sheetName val="Table4"/>
      <sheetName val="Table5"/>
      <sheetName val="Table6"/>
      <sheetName val="Total Adjustments "/>
      <sheetName val="Adj Summary"/>
      <sheetName val="Adjustments - restating"/>
      <sheetName val="Adjustments - Pro Forma"/>
      <sheetName val="Adj 3.1 Temp Norm"/>
      <sheetName val="Adj 3.2 Rev Normalizing"/>
      <sheetName val="Adj 3.3 Effec. Price Change"/>
      <sheetName val="Adj 3.4 SO2 Emmissions"/>
      <sheetName val="Adj 3.5 Rec Rev"/>
      <sheetName val="Adj 3.6 Wheeling Rev"/>
      <sheetName val="Adj 3.7 Ancillary Revenue"/>
      <sheetName val="Adj 4.1 Misc Gen Exp"/>
      <sheetName val="Adj 4.2 Gen Wage Inc-Annual"/>
      <sheetName val="Adj 4.3 PF Gen Wage Inc"/>
      <sheetName val="Adj 4.4 AMR Savings"/>
      <sheetName val="Adj 4.5 Remove Non-Recurring En"/>
      <sheetName val="Adj 4.6 Pension"/>
      <sheetName val="Adj 4.7 DSM Rev-Exp Remove"/>
      <sheetName val="Adj 4.8 Inverted Rates Adv"/>
      <sheetName val="Adj 4.9 MEHC trans Cost Amort"/>
      <sheetName val="Adj 4.10 Affiliate Mgt Fee"/>
      <sheetName val="Adj 4.11 Insurance Exp"/>
      <sheetName val="Adj 4.12 Advertising"/>
      <sheetName val="Adj 4.13 Memberships &amp; Subscip."/>
      <sheetName val="Adj 4.14 Reg Comm Expense"/>
      <sheetName val="Adj 5.1 Net Power Costs Restat"/>
      <sheetName val="Adj 5.1.1 Net Power Costs - PF"/>
      <sheetName val="Adj 5.2 James River Royalty Of"/>
      <sheetName val="Adj 5.3 BPA Res Exchange"/>
      <sheetName val="Adj 5.4 Removal of Colstrip #3"/>
      <sheetName val="Adj 6.1 Hydro Decomm."/>
      <sheetName val="Adj 7.1 Interest True-up"/>
      <sheetName val="Adj 7.2 Renewable Tax Credit"/>
      <sheetName val="Adj 7.3 Malin Midpoint Adj"/>
      <sheetName val="Adj 7.4 WA Pub Util Tax"/>
      <sheetName val="7.5 AFUDC - Equity"/>
      <sheetName val="Adj 7.6 WA Flow-through Adj"/>
      <sheetName val="Adj 7.7 Remove Def State Tax E"/>
      <sheetName val="Adj 7.8 ADIT Balance Adj"/>
      <sheetName val="Adj 8.1 Cust Svc Deposits"/>
      <sheetName val="Adj 8.2 Jim Bridger Mine RB"/>
      <sheetName val="Adj 8.3 Environ Remediation"/>
      <sheetName val="Adj 8.4 Cust Adv for Construct"/>
      <sheetName val="Adj 8.5 Removal of Colstrip #4"/>
      <sheetName val="Adj 8.6 Misc. Rate base"/>
      <sheetName val="Adj 8.6.1 Misc Rate Base"/>
      <sheetName val="Adj. 8.6Misc RB (pg 2)"/>
      <sheetName val="Adj 8.7 Powerdale"/>
      <sheetName val="Adj 8.8 Reg Asset Amort "/>
      <sheetName val="Adj 8.9 Trojan Unrec Plant Adj"/>
      <sheetName val="Adj 8.10 Condit Removal  "/>
      <sheetName val="Adj 9.1 Prod Factor"/>
      <sheetName val="Adj 9.1.1 Prod Factor (cont)"/>
      <sheetName val="WCA Allocation Factors"/>
      <sheetName val="appendix"/>
    </sheetNames>
    <sheetDataSet>
      <sheetData sheetId="0"/>
      <sheetData sheetId="1">
        <row r="65">
          <cell r="C65">
            <v>757510776.52255499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R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F64">
            <v>0</v>
          </cell>
          <cell r="AH64">
            <v>0</v>
          </cell>
          <cell r="AI64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opLeftCell="D1" workbookViewId="0">
      <selection activeCell="K15" sqref="K15"/>
    </sheetView>
  </sheetViews>
  <sheetFormatPr defaultRowHeight="15.75"/>
  <cols>
    <col min="1" max="1" width="4.85546875" style="14" customWidth="1"/>
    <col min="2" max="2" width="1.28515625" style="14" customWidth="1"/>
    <col min="3" max="3" width="75.140625" style="14" customWidth="1"/>
    <col min="4" max="4" width="1.28515625" style="14" customWidth="1"/>
    <col min="5" max="5" width="10.85546875" style="14" customWidth="1"/>
    <col min="6" max="6" width="1" style="14" customWidth="1"/>
    <col min="7" max="7" width="19.7109375" style="14" customWidth="1"/>
    <col min="8" max="8" width="1.28515625" style="14" customWidth="1"/>
    <col min="9" max="9" width="17.28515625" style="14" customWidth="1"/>
    <col min="10" max="10" width="1.5703125" style="14" customWidth="1"/>
    <col min="11" max="11" width="22.28515625" style="14" customWidth="1"/>
    <col min="12" max="16384" width="9.140625" style="14"/>
  </cols>
  <sheetData>
    <row r="1" spans="1:11">
      <c r="G1" s="11"/>
      <c r="K1" s="265" t="s">
        <v>444</v>
      </c>
    </row>
    <row r="2" spans="1:11" ht="18.75">
      <c r="C2" s="255" t="s">
        <v>443</v>
      </c>
      <c r="G2" s="11"/>
      <c r="K2" s="265" t="s">
        <v>445</v>
      </c>
    </row>
    <row r="3" spans="1:11">
      <c r="C3" s="259"/>
      <c r="G3" s="9"/>
      <c r="H3" s="9"/>
      <c r="K3" s="265" t="s">
        <v>446</v>
      </c>
    </row>
    <row r="4" spans="1:11">
      <c r="C4" s="259"/>
    </row>
    <row r="5" spans="1:11">
      <c r="C5" s="10"/>
    </row>
    <row r="6" spans="1:11">
      <c r="A6" s="11"/>
      <c r="B6" s="11"/>
      <c r="C6" s="10"/>
    </row>
    <row r="7" spans="1:11">
      <c r="A7" s="11"/>
      <c r="B7" s="11"/>
      <c r="C7" s="10"/>
    </row>
    <row r="8" spans="1:11">
      <c r="A8" s="16"/>
      <c r="B8" s="16"/>
      <c r="C8" s="10"/>
    </row>
    <row r="9" spans="1:11">
      <c r="A9" s="18" t="s">
        <v>25</v>
      </c>
      <c r="B9" s="21"/>
      <c r="C9" s="19" t="s">
        <v>26</v>
      </c>
      <c r="D9" s="17"/>
      <c r="E9" s="18" t="s">
        <v>27</v>
      </c>
      <c r="F9" s="17"/>
      <c r="G9" s="18" t="s">
        <v>28</v>
      </c>
      <c r="H9" s="21"/>
      <c r="I9" s="18" t="s">
        <v>29</v>
      </c>
      <c r="J9" s="16"/>
      <c r="K9" s="18" t="s">
        <v>30</v>
      </c>
    </row>
    <row r="10" spans="1:11">
      <c r="G10" s="252"/>
      <c r="H10" s="22"/>
    </row>
    <row r="11" spans="1:11">
      <c r="A11" s="15"/>
      <c r="B11" s="15"/>
      <c r="C11" s="15"/>
      <c r="D11" s="15"/>
      <c r="E11" s="15"/>
      <c r="F11" s="15"/>
      <c r="G11" s="17" t="s">
        <v>23</v>
      </c>
      <c r="H11" s="15"/>
      <c r="I11" s="17" t="s">
        <v>23</v>
      </c>
      <c r="J11" s="17"/>
      <c r="K11" s="17" t="s">
        <v>23</v>
      </c>
    </row>
    <row r="12" spans="1:11">
      <c r="A12" s="15"/>
      <c r="B12" s="15"/>
      <c r="C12" s="15"/>
      <c r="D12" s="15"/>
      <c r="E12" s="15"/>
      <c r="F12" s="15"/>
      <c r="G12" s="17" t="s">
        <v>22</v>
      </c>
      <c r="H12" s="15"/>
      <c r="I12" s="17" t="s">
        <v>430</v>
      </c>
      <c r="J12" s="17"/>
      <c r="K12" s="17" t="s">
        <v>22</v>
      </c>
    </row>
    <row r="13" spans="1:11">
      <c r="A13" s="15"/>
      <c r="B13" s="15"/>
      <c r="C13" s="15"/>
      <c r="D13" s="15"/>
      <c r="E13" s="15"/>
      <c r="F13" s="15"/>
      <c r="G13" s="17" t="s">
        <v>429</v>
      </c>
      <c r="H13" s="15"/>
      <c r="I13" s="17" t="s">
        <v>6</v>
      </c>
      <c r="J13" s="17"/>
      <c r="K13" s="17" t="s">
        <v>297</v>
      </c>
    </row>
    <row r="14" spans="1:11">
      <c r="A14" s="15" t="s">
        <v>16</v>
      </c>
      <c r="B14" s="15"/>
      <c r="C14" s="15"/>
      <c r="D14" s="15"/>
      <c r="E14" s="15"/>
      <c r="F14" s="15"/>
      <c r="G14" s="17" t="s">
        <v>428</v>
      </c>
      <c r="H14" s="15"/>
      <c r="I14" s="17" t="s">
        <v>431</v>
      </c>
      <c r="J14" s="17"/>
      <c r="K14" s="17" t="s">
        <v>432</v>
      </c>
    </row>
    <row r="15" spans="1:11">
      <c r="A15" s="26" t="s">
        <v>17</v>
      </c>
      <c r="B15" s="15"/>
      <c r="C15" s="26" t="s">
        <v>18</v>
      </c>
      <c r="D15" s="15"/>
      <c r="E15" s="18" t="s">
        <v>11</v>
      </c>
      <c r="F15" s="15"/>
      <c r="G15" s="18" t="s">
        <v>434</v>
      </c>
      <c r="H15" s="15"/>
      <c r="I15" s="18" t="s">
        <v>433</v>
      </c>
      <c r="J15" s="18"/>
      <c r="K15" s="18" t="s">
        <v>435</v>
      </c>
    </row>
    <row r="16" spans="1:11">
      <c r="A16" s="15"/>
      <c r="B16" s="15"/>
      <c r="C16" s="15"/>
      <c r="D16" s="15"/>
      <c r="E16" s="15"/>
      <c r="F16" s="15"/>
      <c r="G16" s="17"/>
      <c r="H16" s="15"/>
    </row>
    <row r="17" spans="1:11">
      <c r="C17" s="16" t="s">
        <v>438</v>
      </c>
      <c r="G17" s="16"/>
    </row>
    <row r="18" spans="1:11">
      <c r="A18" s="15">
        <v>1</v>
      </c>
      <c r="B18" s="15"/>
      <c r="C18" s="12" t="s">
        <v>436</v>
      </c>
      <c r="E18" s="14">
        <v>4.7</v>
      </c>
      <c r="G18" s="27">
        <v>-64947</v>
      </c>
      <c r="H18" s="20"/>
      <c r="I18" s="27">
        <v>756281</v>
      </c>
      <c r="J18" s="27"/>
      <c r="K18" s="27">
        <v>-1219355</v>
      </c>
    </row>
    <row r="19" spans="1:11">
      <c r="A19" s="15">
        <v>2</v>
      </c>
      <c r="B19" s="15"/>
      <c r="C19" s="12" t="s">
        <v>31</v>
      </c>
      <c r="E19" s="14">
        <v>4.4000000000000004</v>
      </c>
      <c r="G19" s="27">
        <v>-1664947</v>
      </c>
      <c r="H19" s="20"/>
      <c r="I19" s="27">
        <v>1060145</v>
      </c>
      <c r="J19" s="27"/>
      <c r="K19" s="27">
        <v>-800464</v>
      </c>
    </row>
    <row r="20" spans="1:11">
      <c r="A20" s="15">
        <v>3</v>
      </c>
      <c r="B20" s="15"/>
      <c r="C20" s="12" t="s">
        <v>32</v>
      </c>
      <c r="E20" s="14">
        <v>4.1399999999999997</v>
      </c>
      <c r="G20" s="27">
        <v>-65571</v>
      </c>
      <c r="H20" s="20"/>
      <c r="I20" s="27">
        <v>42621</v>
      </c>
      <c r="J20" s="27"/>
      <c r="K20" s="27">
        <v>-60536</v>
      </c>
    </row>
    <row r="21" spans="1:11">
      <c r="A21" s="15">
        <v>4</v>
      </c>
      <c r="B21" s="15"/>
      <c r="C21" s="12" t="s">
        <v>33</v>
      </c>
      <c r="E21" s="14">
        <v>4.1500000000000004</v>
      </c>
      <c r="G21" s="27">
        <v>-22457</v>
      </c>
      <c r="H21" s="20"/>
      <c r="I21" s="27">
        <v>14597</v>
      </c>
      <c r="J21" s="27"/>
      <c r="K21" s="27">
        <v>-23535</v>
      </c>
    </row>
    <row r="22" spans="1:11">
      <c r="A22" s="15">
        <v>5</v>
      </c>
      <c r="B22" s="15"/>
      <c r="C22" s="12" t="s">
        <v>391</v>
      </c>
      <c r="E22" s="14">
        <v>4.2</v>
      </c>
      <c r="G22" s="27">
        <v>-280073</v>
      </c>
      <c r="H22" s="20"/>
      <c r="I22" s="27">
        <v>182047</v>
      </c>
      <c r="J22" s="27"/>
      <c r="K22" s="27">
        <v>-293516</v>
      </c>
    </row>
    <row r="23" spans="1:11">
      <c r="A23" s="15">
        <v>6</v>
      </c>
      <c r="B23" s="15"/>
      <c r="C23" s="12" t="s">
        <v>109</v>
      </c>
      <c r="E23" s="14">
        <v>4.1100000000000003</v>
      </c>
      <c r="G23" s="27">
        <v>0</v>
      </c>
      <c r="H23" s="20"/>
      <c r="I23" s="27">
        <v>0</v>
      </c>
      <c r="J23" s="27"/>
      <c r="K23" s="27">
        <v>0</v>
      </c>
    </row>
    <row r="24" spans="1:11">
      <c r="A24" s="15">
        <v>7</v>
      </c>
      <c r="B24" s="15"/>
      <c r="C24" s="12" t="s">
        <v>36</v>
      </c>
      <c r="E24" s="14">
        <v>4.5</v>
      </c>
      <c r="G24" s="27">
        <v>-651080</v>
      </c>
      <c r="H24" s="20"/>
      <c r="I24" s="27">
        <v>423202</v>
      </c>
      <c r="J24" s="27"/>
      <c r="K24" s="27">
        <v>-675312</v>
      </c>
    </row>
    <row r="25" spans="1:11">
      <c r="A25" s="15">
        <v>8</v>
      </c>
      <c r="B25" s="15"/>
      <c r="C25" s="12" t="s">
        <v>37</v>
      </c>
      <c r="E25" s="14">
        <v>4.16</v>
      </c>
      <c r="G25" s="27">
        <v>-1268160</v>
      </c>
      <c r="H25" s="20"/>
      <c r="I25" s="27">
        <v>824304</v>
      </c>
      <c r="J25" s="27"/>
      <c r="K25" s="27">
        <v>-1329030</v>
      </c>
    </row>
    <row r="26" spans="1:11">
      <c r="A26" s="15">
        <v>9</v>
      </c>
      <c r="B26" s="15"/>
      <c r="C26" s="12" t="s">
        <v>329</v>
      </c>
      <c r="E26" s="258">
        <v>4.0999999999999996</v>
      </c>
      <c r="G26" s="27">
        <v>-151296</v>
      </c>
      <c r="H26" s="20"/>
      <c r="I26" s="27">
        <v>98342</v>
      </c>
      <c r="J26" s="27"/>
      <c r="K26" s="27">
        <v>-158558</v>
      </c>
    </row>
    <row r="27" spans="1:11">
      <c r="A27" s="15">
        <v>10</v>
      </c>
      <c r="B27" s="15"/>
      <c r="C27" s="12" t="s">
        <v>439</v>
      </c>
      <c r="E27" s="14">
        <v>4.0999999999999996</v>
      </c>
      <c r="G27" s="253">
        <v>-74366</v>
      </c>
      <c r="H27" s="254"/>
      <c r="I27" s="253">
        <v>48338</v>
      </c>
      <c r="J27" s="253"/>
      <c r="K27" s="253">
        <v>-77935</v>
      </c>
    </row>
    <row r="28" spans="1:11">
      <c r="A28" s="15">
        <v>11</v>
      </c>
      <c r="B28" s="15"/>
      <c r="C28" s="14" t="s">
        <v>259</v>
      </c>
      <c r="E28" s="14">
        <v>4.12</v>
      </c>
      <c r="G28" s="27">
        <v>42335</v>
      </c>
      <c r="H28" s="20"/>
      <c r="I28" s="27">
        <v>-27518</v>
      </c>
      <c r="J28" s="27"/>
      <c r="K28" s="27">
        <v>44367</v>
      </c>
    </row>
    <row r="29" spans="1:11">
      <c r="A29" s="15">
        <v>12</v>
      </c>
      <c r="B29" s="15"/>
      <c r="C29" s="14" t="s">
        <v>268</v>
      </c>
      <c r="E29" s="14">
        <v>4.13</v>
      </c>
      <c r="G29" s="27">
        <v>-29191</v>
      </c>
      <c r="H29" s="20"/>
      <c r="I29" s="27">
        <v>18974</v>
      </c>
      <c r="J29" s="27"/>
      <c r="K29" s="27">
        <v>-30592</v>
      </c>
    </row>
    <row r="30" spans="1:11">
      <c r="A30" s="15">
        <v>15</v>
      </c>
      <c r="B30" s="15"/>
      <c r="C30" s="14" t="s">
        <v>42</v>
      </c>
      <c r="E30" s="14">
        <v>8.11</v>
      </c>
      <c r="G30" s="27">
        <v>0</v>
      </c>
      <c r="H30" s="20"/>
      <c r="I30" s="27">
        <v>0</v>
      </c>
      <c r="J30" s="27"/>
      <c r="K30" s="27">
        <v>-4738</v>
      </c>
    </row>
    <row r="31" spans="1:11" ht="16.5" thickBot="1">
      <c r="A31" s="15">
        <v>16</v>
      </c>
      <c r="B31" s="15"/>
      <c r="C31" s="14" t="s">
        <v>437</v>
      </c>
      <c r="G31" s="28">
        <f>SUM(G18:G30)</f>
        <v>-4229753</v>
      </c>
      <c r="H31" s="256"/>
      <c r="I31" s="28">
        <f>SUM(I18:I30)</f>
        <v>3441333</v>
      </c>
      <c r="J31" s="257"/>
      <c r="K31" s="28">
        <f>SUM(K18:K30)</f>
        <v>-4629204</v>
      </c>
    </row>
    <row r="32" spans="1:11" ht="16.5" thickTop="1">
      <c r="A32" s="15"/>
      <c r="B32" s="15"/>
      <c r="G32" s="27"/>
      <c r="H32" s="20"/>
      <c r="I32" s="27"/>
      <c r="J32" s="27"/>
      <c r="K32" s="27"/>
    </row>
    <row r="33" spans="1:11">
      <c r="C33" s="16" t="s">
        <v>440</v>
      </c>
      <c r="G33" s="27" t="s">
        <v>441</v>
      </c>
      <c r="H33" s="20"/>
      <c r="I33" s="27"/>
      <c r="J33" s="27"/>
      <c r="K33" s="27"/>
    </row>
    <row r="34" spans="1:11">
      <c r="A34" s="14">
        <v>17</v>
      </c>
      <c r="C34" s="14" t="s">
        <v>31</v>
      </c>
      <c r="E34" s="14">
        <v>4.4000000000000004</v>
      </c>
      <c r="G34" s="27">
        <v>7282596</v>
      </c>
      <c r="H34" s="20"/>
      <c r="I34" s="27"/>
      <c r="J34" s="27"/>
      <c r="K34" s="27"/>
    </row>
    <row r="35" spans="1:11">
      <c r="A35" s="14">
        <v>18</v>
      </c>
      <c r="C35" s="14" t="s">
        <v>41</v>
      </c>
      <c r="E35" s="14">
        <v>4.1399999999999997</v>
      </c>
      <c r="G35" s="27">
        <v>65571</v>
      </c>
      <c r="H35" s="20"/>
      <c r="I35" s="27"/>
      <c r="J35" s="27"/>
      <c r="K35" s="27"/>
    </row>
    <row r="36" spans="1:11">
      <c r="A36" s="14">
        <v>19</v>
      </c>
      <c r="C36" s="14" t="s">
        <v>42</v>
      </c>
      <c r="E36" s="14">
        <v>8.11</v>
      </c>
      <c r="G36" s="27">
        <v>-37964</v>
      </c>
      <c r="H36" s="20"/>
      <c r="I36" s="27"/>
      <c r="J36" s="27"/>
      <c r="K36" s="27"/>
    </row>
    <row r="37" spans="1:11">
      <c r="A37" s="14">
        <v>20</v>
      </c>
      <c r="C37" s="14" t="s">
        <v>442</v>
      </c>
      <c r="E37" s="14">
        <v>4.5</v>
      </c>
      <c r="G37" s="27">
        <v>56245</v>
      </c>
      <c r="H37" s="20"/>
      <c r="I37" s="27"/>
      <c r="J37" s="27"/>
      <c r="K37" s="27"/>
    </row>
    <row r="38" spans="1:11" ht="16.5" thickBot="1">
      <c r="A38" s="14">
        <v>21</v>
      </c>
      <c r="C38" s="14" t="s">
        <v>46</v>
      </c>
      <c r="G38" s="28">
        <f>SUM(G34:G37)</f>
        <v>7366448</v>
      </c>
      <c r="H38" s="24"/>
      <c r="I38" s="27"/>
      <c r="J38" s="27"/>
      <c r="K38" s="27"/>
    </row>
    <row r="39" spans="1:11" ht="16.5" thickTop="1">
      <c r="G39" s="20"/>
      <c r="H39" s="20"/>
      <c r="I39" s="16"/>
      <c r="J39" s="16"/>
      <c r="K39" s="16"/>
    </row>
    <row r="40" spans="1:11">
      <c r="G40" s="20"/>
      <c r="H40" s="20"/>
    </row>
    <row r="41" spans="1:11">
      <c r="G41" s="20"/>
      <c r="H41" s="20"/>
    </row>
    <row r="42" spans="1:11">
      <c r="G42" s="20"/>
      <c r="H42" s="20"/>
    </row>
    <row r="43" spans="1:11">
      <c r="G43" s="20"/>
      <c r="H43" s="20"/>
    </row>
    <row r="44" spans="1:11">
      <c r="G44" s="20"/>
      <c r="H44" s="20"/>
    </row>
    <row r="45" spans="1:11">
      <c r="G45" s="20"/>
      <c r="H45" s="20"/>
    </row>
    <row r="46" spans="1:11">
      <c r="G46" s="20"/>
      <c r="H46" s="20"/>
    </row>
    <row r="47" spans="1:11">
      <c r="G47" s="20"/>
      <c r="H47" s="20"/>
    </row>
    <row r="48" spans="1:11">
      <c r="G48" s="20"/>
      <c r="H48" s="20"/>
    </row>
    <row r="49" spans="7:8">
      <c r="G49" s="20"/>
      <c r="H49" s="20"/>
    </row>
  </sheetData>
  <pageMargins left="0.2" right="0.15" top="0.7" bottom="0.1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G3" sqref="G3"/>
    </sheetView>
  </sheetViews>
  <sheetFormatPr defaultRowHeight="15"/>
  <cols>
    <col min="1" max="1" width="5.42578125" customWidth="1"/>
    <col min="2" max="2" width="2.7109375" customWidth="1"/>
    <col min="3" max="3" width="35.5703125" customWidth="1"/>
    <col min="4" max="4" width="12.85546875" customWidth="1"/>
    <col min="5" max="5" width="2" customWidth="1"/>
    <col min="6" max="6" width="11.7109375" customWidth="1"/>
  </cols>
  <sheetData>
    <row r="1" spans="1:9">
      <c r="G1" s="265" t="s">
        <v>444</v>
      </c>
      <c r="H1" s="12"/>
    </row>
    <row r="2" spans="1:9">
      <c r="G2" s="265" t="s">
        <v>445</v>
      </c>
      <c r="H2" s="12"/>
    </row>
    <row r="3" spans="1:9">
      <c r="G3" s="265" t="s">
        <v>455</v>
      </c>
      <c r="H3" s="12"/>
    </row>
    <row r="5" spans="1:9" ht="15.75">
      <c r="A5" s="12"/>
      <c r="B5" s="12"/>
      <c r="C5" s="9" t="s">
        <v>24</v>
      </c>
      <c r="D5" s="12"/>
      <c r="E5" s="12"/>
      <c r="F5" s="12"/>
      <c r="G5" s="55" t="s">
        <v>280</v>
      </c>
      <c r="H5" s="12"/>
      <c r="I5" s="11"/>
    </row>
    <row r="6" spans="1:9" ht="15.75">
      <c r="A6" s="12"/>
      <c r="B6" s="12"/>
      <c r="C6" s="8" t="s">
        <v>45</v>
      </c>
      <c r="D6" s="12"/>
      <c r="E6" s="12"/>
      <c r="F6" s="12"/>
      <c r="G6" s="12"/>
      <c r="H6" s="12"/>
      <c r="I6" s="11"/>
    </row>
    <row r="7" spans="1:9" ht="15.75">
      <c r="A7" s="12"/>
      <c r="B7" s="12"/>
      <c r="C7" s="10" t="s">
        <v>20</v>
      </c>
      <c r="D7" s="12"/>
      <c r="E7" s="12"/>
      <c r="F7" s="12"/>
      <c r="G7" s="12"/>
      <c r="H7" s="265"/>
      <c r="I7" s="12"/>
    </row>
    <row r="8" spans="1:9" ht="15.75">
      <c r="A8" s="12"/>
      <c r="B8" s="12"/>
      <c r="C8" s="10" t="s">
        <v>19</v>
      </c>
      <c r="D8" s="12"/>
      <c r="E8" s="12"/>
      <c r="F8" s="12"/>
      <c r="G8" s="12"/>
      <c r="H8" s="265"/>
      <c r="I8" s="12"/>
    </row>
    <row r="9" spans="1:9" ht="15.75">
      <c r="A9" s="12"/>
      <c r="B9" s="12"/>
      <c r="C9" s="10"/>
      <c r="D9" s="12"/>
      <c r="E9" s="12"/>
      <c r="F9" s="12"/>
      <c r="G9" s="12"/>
      <c r="H9" s="265"/>
      <c r="I9" s="12"/>
    </row>
    <row r="10" spans="1:9">
      <c r="A10" s="12"/>
      <c r="B10" s="12"/>
      <c r="C10" s="55" t="s">
        <v>264</v>
      </c>
      <c r="D10" s="12"/>
      <c r="E10" s="12"/>
      <c r="F10" s="12"/>
      <c r="G10" s="12"/>
      <c r="H10" s="12"/>
      <c r="I10" s="12"/>
    </row>
    <row r="11" spans="1:9">
      <c r="A11" s="12"/>
      <c r="B11" s="12"/>
      <c r="C11" s="241" t="s">
        <v>227</v>
      </c>
      <c r="D11" s="240"/>
      <c r="E11" s="240"/>
      <c r="F11" s="240"/>
      <c r="G11" s="240"/>
      <c r="H11" s="240"/>
      <c r="I11" s="12"/>
    </row>
    <row r="12" spans="1:9">
      <c r="A12" s="13" t="s">
        <v>47</v>
      </c>
      <c r="B12" s="13"/>
      <c r="C12" s="13"/>
      <c r="D12" s="13" t="s">
        <v>2</v>
      </c>
      <c r="E12" s="12"/>
      <c r="F12" s="12"/>
      <c r="G12" s="12"/>
      <c r="H12" s="12"/>
      <c r="I12" s="12"/>
    </row>
    <row r="13" spans="1:9">
      <c r="A13" s="5" t="s">
        <v>17</v>
      </c>
      <c r="B13" s="13"/>
      <c r="C13" s="5" t="s">
        <v>14</v>
      </c>
      <c r="D13" s="13" t="s">
        <v>48</v>
      </c>
      <c r="E13" s="12"/>
      <c r="F13" s="5" t="s">
        <v>11</v>
      </c>
      <c r="G13" s="12"/>
      <c r="H13" s="12"/>
      <c r="I13" s="12"/>
    </row>
    <row r="14" spans="1:9">
      <c r="A14" s="13">
        <v>1</v>
      </c>
      <c r="B14" s="12"/>
      <c r="C14" s="12" t="s">
        <v>410</v>
      </c>
      <c r="D14" s="248">
        <v>-64947</v>
      </c>
      <c r="E14" s="12"/>
      <c r="F14" s="13" t="s">
        <v>49</v>
      </c>
      <c r="G14" s="12"/>
      <c r="H14" s="12"/>
      <c r="I14" s="12"/>
    </row>
    <row r="15" spans="1:9">
      <c r="A15" s="239">
        <v>2</v>
      </c>
      <c r="B15" s="240"/>
      <c r="C15" s="240" t="s">
        <v>411</v>
      </c>
      <c r="D15" s="249">
        <v>-714065</v>
      </c>
      <c r="E15" s="240"/>
      <c r="F15" s="239" t="s">
        <v>412</v>
      </c>
      <c r="G15" s="12"/>
      <c r="H15" s="12"/>
      <c r="I15" s="12"/>
    </row>
    <row r="16" spans="1:9" ht="15.75" thickBot="1">
      <c r="A16" s="13">
        <v>3</v>
      </c>
      <c r="B16" s="12"/>
      <c r="C16" s="12" t="s">
        <v>233</v>
      </c>
      <c r="D16" s="34">
        <f>SUM(D14:D15)</f>
        <v>-779012</v>
      </c>
      <c r="E16" s="12"/>
      <c r="F16" s="13"/>
      <c r="G16" s="12"/>
      <c r="H16" s="12"/>
      <c r="I16" s="12"/>
    </row>
    <row r="17" spans="1:9" ht="15.75" thickTop="1">
      <c r="A17" s="13"/>
      <c r="B17" s="12"/>
      <c r="C17" s="12"/>
      <c r="D17" s="12"/>
      <c r="E17" s="12"/>
      <c r="F17" s="12"/>
      <c r="G17" s="12"/>
      <c r="H17" s="12"/>
      <c r="I17" s="12"/>
    </row>
    <row r="18" spans="1:9">
      <c r="A18" s="13">
        <v>4</v>
      </c>
      <c r="B18" s="12"/>
      <c r="C18" s="12" t="s">
        <v>50</v>
      </c>
      <c r="D18" s="12"/>
      <c r="E18" s="12"/>
      <c r="F18" s="12"/>
      <c r="G18" s="12"/>
      <c r="H18" s="12"/>
      <c r="I18" s="12"/>
    </row>
    <row r="19" spans="1:9">
      <c r="A19" s="12"/>
      <c r="B19" s="12"/>
      <c r="C19" s="12"/>
      <c r="D19" s="12"/>
      <c r="E19" s="12"/>
      <c r="F19" s="12"/>
      <c r="G19" s="12"/>
      <c r="H19" s="12"/>
      <c r="I19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C19" sqref="C19"/>
    </sheetView>
  </sheetViews>
  <sheetFormatPr defaultRowHeight="15"/>
  <cols>
    <col min="1" max="1" width="6" customWidth="1"/>
    <col min="2" max="2" width="3.140625" customWidth="1"/>
    <col min="3" max="3" width="42.85546875" customWidth="1"/>
    <col min="4" max="4" width="11.85546875" customWidth="1"/>
    <col min="5" max="5" width="2.42578125" customWidth="1"/>
    <col min="6" max="6" width="21.140625" customWidth="1"/>
  </cols>
  <sheetData>
    <row r="1" spans="1:7">
      <c r="F1" s="265" t="s">
        <v>444</v>
      </c>
      <c r="G1" s="12"/>
    </row>
    <row r="2" spans="1:7">
      <c r="F2" s="265" t="s">
        <v>445</v>
      </c>
      <c r="G2" s="12"/>
    </row>
    <row r="3" spans="1:7">
      <c r="F3" s="265" t="s">
        <v>456</v>
      </c>
      <c r="G3" s="12"/>
    </row>
    <row r="5" spans="1:7" ht="15.75">
      <c r="A5" s="13"/>
      <c r="B5" s="12"/>
      <c r="C5" s="9" t="s">
        <v>38</v>
      </c>
      <c r="D5" s="12"/>
      <c r="E5" s="12"/>
      <c r="F5" s="11" t="s">
        <v>281</v>
      </c>
    </row>
    <row r="6" spans="1:7" ht="15.75">
      <c r="A6" s="13"/>
      <c r="B6" s="12"/>
      <c r="C6" s="8" t="s">
        <v>21</v>
      </c>
      <c r="D6" s="12"/>
      <c r="E6" s="12"/>
      <c r="F6" s="11"/>
    </row>
    <row r="7" spans="1:7" ht="15.75">
      <c r="A7" s="13"/>
      <c r="B7" s="12"/>
      <c r="C7" s="10" t="s">
        <v>20</v>
      </c>
      <c r="D7" s="12"/>
      <c r="E7" s="12"/>
      <c r="F7" s="55"/>
    </row>
    <row r="8" spans="1:7" ht="15.75">
      <c r="A8" s="13"/>
      <c r="B8" s="12"/>
      <c r="C8" s="10" t="s">
        <v>19</v>
      </c>
      <c r="D8" s="12"/>
      <c r="E8" s="12"/>
      <c r="F8" s="12"/>
    </row>
    <row r="9" spans="1:7" ht="15.75">
      <c r="A9" s="13"/>
      <c r="B9" s="12"/>
      <c r="C9" s="10"/>
      <c r="D9" s="12"/>
      <c r="E9" s="12"/>
      <c r="F9" s="12"/>
    </row>
    <row r="10" spans="1:7">
      <c r="A10" s="13"/>
      <c r="B10" s="12"/>
      <c r="C10" s="55" t="s">
        <v>265</v>
      </c>
      <c r="D10" s="12"/>
      <c r="E10" s="12"/>
      <c r="F10" s="12"/>
    </row>
    <row r="11" spans="1:7">
      <c r="A11" s="13"/>
      <c r="B11" s="12"/>
      <c r="C11" s="241" t="s">
        <v>227</v>
      </c>
      <c r="D11" s="240"/>
      <c r="E11" s="240"/>
      <c r="F11" s="240"/>
    </row>
    <row r="12" spans="1:7">
      <c r="A12" s="13" t="s">
        <v>47</v>
      </c>
      <c r="B12" s="13"/>
      <c r="C12" s="13"/>
      <c r="D12" s="13" t="s">
        <v>2</v>
      </c>
      <c r="E12" s="12"/>
      <c r="F12" s="12"/>
    </row>
    <row r="13" spans="1:7">
      <c r="A13" s="5" t="s">
        <v>17</v>
      </c>
      <c r="B13" s="13"/>
      <c r="C13" s="5" t="s">
        <v>14</v>
      </c>
      <c r="D13" s="5" t="s">
        <v>48</v>
      </c>
      <c r="E13" s="12"/>
      <c r="F13" s="32" t="s">
        <v>144</v>
      </c>
      <c r="G13" s="158"/>
    </row>
    <row r="14" spans="1:7">
      <c r="A14" s="13">
        <v>1</v>
      </c>
      <c r="B14" s="12"/>
      <c r="C14" s="12" t="s">
        <v>413</v>
      </c>
      <c r="D14" s="30">
        <v>-136883</v>
      </c>
      <c r="E14" s="12"/>
      <c r="F14" s="53" t="s">
        <v>145</v>
      </c>
    </row>
    <row r="15" spans="1:7">
      <c r="A15" s="239">
        <v>2</v>
      </c>
      <c r="B15" s="240"/>
      <c r="C15" s="240" t="s">
        <v>411</v>
      </c>
      <c r="D15" s="249">
        <v>-14413</v>
      </c>
      <c r="E15" s="240"/>
      <c r="F15" s="250" t="s">
        <v>414</v>
      </c>
    </row>
    <row r="16" spans="1:7" ht="15.75" thickBot="1">
      <c r="A16" s="155">
        <v>3</v>
      </c>
      <c r="C16" s="12" t="s">
        <v>233</v>
      </c>
      <c r="D16" s="238">
        <f>SUM(D14:D15)</f>
        <v>-151296</v>
      </c>
    </row>
    <row r="17" ht="15.75" thickTop="1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selection activeCell="H3" sqref="H3"/>
    </sheetView>
  </sheetViews>
  <sheetFormatPr defaultRowHeight="15"/>
  <cols>
    <col min="1" max="1" width="8.140625" customWidth="1"/>
    <col min="2" max="2" width="1.7109375" customWidth="1"/>
    <col min="3" max="3" width="37.42578125" customWidth="1"/>
    <col min="4" max="4" width="10.28515625" customWidth="1"/>
    <col min="5" max="5" width="1.85546875" customWidth="1"/>
    <col min="6" max="6" width="31.140625" customWidth="1"/>
  </cols>
  <sheetData>
    <row r="1" spans="1:8">
      <c r="F1" s="265"/>
      <c r="H1" s="265" t="s">
        <v>444</v>
      </c>
    </row>
    <row r="2" spans="1:8">
      <c r="F2" s="265"/>
      <c r="H2" s="265" t="s">
        <v>445</v>
      </c>
    </row>
    <row r="3" spans="1:8">
      <c r="F3" s="265"/>
      <c r="H3" s="265" t="s">
        <v>457</v>
      </c>
    </row>
    <row r="5" spans="1:8" ht="15.75">
      <c r="A5" s="13"/>
      <c r="B5" s="12"/>
      <c r="C5" s="9" t="s">
        <v>146</v>
      </c>
      <c r="D5" s="12"/>
      <c r="E5" s="12"/>
      <c r="F5" s="11" t="s">
        <v>282</v>
      </c>
    </row>
    <row r="6" spans="1:8" ht="15.75">
      <c r="A6" s="13"/>
      <c r="B6" s="12"/>
      <c r="C6" s="8" t="s">
        <v>21</v>
      </c>
      <c r="D6" s="12"/>
      <c r="E6" s="12"/>
      <c r="F6" s="11"/>
    </row>
    <row r="7" spans="1:8" ht="15.75">
      <c r="A7" s="13"/>
      <c r="B7" s="12"/>
      <c r="C7" s="10" t="s">
        <v>20</v>
      </c>
      <c r="D7" s="12"/>
      <c r="E7" s="12"/>
      <c r="F7" s="55"/>
    </row>
    <row r="8" spans="1:8" ht="15.75">
      <c r="A8" s="13"/>
      <c r="B8" s="12"/>
      <c r="C8" s="10" t="s">
        <v>19</v>
      </c>
      <c r="D8" s="12"/>
      <c r="E8" s="12"/>
      <c r="F8" s="12"/>
    </row>
    <row r="9" spans="1:8" ht="15.75">
      <c r="A9" s="13"/>
      <c r="B9" s="12"/>
      <c r="C9" s="10"/>
      <c r="D9" s="12"/>
      <c r="E9" s="12"/>
      <c r="F9" s="12"/>
    </row>
    <row r="10" spans="1:8">
      <c r="A10" s="13"/>
      <c r="B10" s="12"/>
      <c r="C10" s="55" t="s">
        <v>266</v>
      </c>
      <c r="D10" s="12"/>
      <c r="E10" s="12"/>
      <c r="F10" s="12"/>
    </row>
    <row r="11" spans="1:8">
      <c r="A11" s="13"/>
      <c r="B11" s="12"/>
      <c r="C11" s="241" t="s">
        <v>227</v>
      </c>
      <c r="D11" s="240"/>
      <c r="E11" s="240"/>
      <c r="F11" s="240"/>
    </row>
    <row r="12" spans="1:8">
      <c r="A12" s="13" t="s">
        <v>47</v>
      </c>
      <c r="B12" s="13"/>
      <c r="C12" s="13"/>
      <c r="D12" s="13" t="s">
        <v>2</v>
      </c>
      <c r="E12" s="12"/>
      <c r="F12" s="12"/>
    </row>
    <row r="13" spans="1:8">
      <c r="A13" s="5" t="s">
        <v>17</v>
      </c>
      <c r="B13" s="13"/>
      <c r="C13" s="5" t="s">
        <v>14</v>
      </c>
      <c r="D13" s="5" t="s">
        <v>48</v>
      </c>
      <c r="E13" s="12"/>
      <c r="F13" s="32" t="s">
        <v>144</v>
      </c>
    </row>
    <row r="14" spans="1:8">
      <c r="A14" s="13">
        <v>1</v>
      </c>
      <c r="B14" s="12"/>
      <c r="C14" s="12" t="s">
        <v>146</v>
      </c>
      <c r="D14" s="30">
        <v>-1210</v>
      </c>
      <c r="E14" s="12"/>
      <c r="F14" s="53" t="s">
        <v>417</v>
      </c>
    </row>
    <row r="15" spans="1:8">
      <c r="A15" s="239">
        <v>2</v>
      </c>
      <c r="B15" s="240"/>
      <c r="C15" s="240" t="s">
        <v>415</v>
      </c>
      <c r="D15" s="249">
        <v>43545</v>
      </c>
      <c r="E15" s="240"/>
      <c r="F15" s="250" t="s">
        <v>416</v>
      </c>
    </row>
    <row r="16" spans="1:8" ht="15.75" thickBot="1">
      <c r="A16" s="13">
        <v>3</v>
      </c>
      <c r="B16" s="12"/>
      <c r="C16" s="55" t="s">
        <v>233</v>
      </c>
      <c r="D16" s="33">
        <f>SUM(D14:D15)</f>
        <v>42335</v>
      </c>
      <c r="E16" s="12"/>
      <c r="F16" s="53"/>
    </row>
    <row r="17" ht="15.75" thickTop="1"/>
  </sheetData>
  <pageMargins left="0.7" right="0.7" top="0.75" bottom="0.75" header="0.3" footer="0.3"/>
  <pageSetup scale="7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J3" sqref="J3"/>
    </sheetView>
  </sheetViews>
  <sheetFormatPr defaultRowHeight="15"/>
  <cols>
    <col min="1" max="1" width="7.5703125" customWidth="1"/>
    <col min="2" max="2" width="1.42578125" customWidth="1"/>
    <col min="3" max="3" width="39" customWidth="1"/>
    <col min="4" max="4" width="11" customWidth="1"/>
    <col min="5" max="5" width="2.28515625" customWidth="1"/>
  </cols>
  <sheetData>
    <row r="1" spans="1:10">
      <c r="F1" s="265"/>
      <c r="J1" s="265" t="s">
        <v>444</v>
      </c>
    </row>
    <row r="2" spans="1:10">
      <c r="F2" s="265"/>
      <c r="J2" s="265" t="s">
        <v>445</v>
      </c>
    </row>
    <row r="3" spans="1:10">
      <c r="F3" s="265"/>
      <c r="J3" s="265" t="s">
        <v>458</v>
      </c>
    </row>
    <row r="4" spans="1:10" ht="15.75">
      <c r="A4" s="13"/>
      <c r="B4" s="12"/>
      <c r="C4" s="9" t="s">
        <v>40</v>
      </c>
      <c r="D4" s="12"/>
      <c r="E4" s="12"/>
      <c r="F4" s="11" t="s">
        <v>283</v>
      </c>
    </row>
    <row r="5" spans="1:10" ht="15.75">
      <c r="A5" s="13"/>
      <c r="B5" s="12"/>
      <c r="C5" s="8" t="s">
        <v>21</v>
      </c>
      <c r="D5" s="12"/>
      <c r="E5" s="12"/>
      <c r="F5" s="11"/>
    </row>
    <row r="6" spans="1:10" ht="15.75">
      <c r="A6" s="13"/>
      <c r="B6" s="12"/>
      <c r="C6" s="10" t="s">
        <v>20</v>
      </c>
      <c r="D6" s="12"/>
      <c r="E6" s="12"/>
      <c r="F6" s="55"/>
    </row>
    <row r="7" spans="1:10" ht="15.75">
      <c r="A7" s="13"/>
      <c r="B7" s="12"/>
      <c r="C7" s="10" t="s">
        <v>19</v>
      </c>
      <c r="D7" s="12"/>
      <c r="E7" s="12"/>
      <c r="F7" s="12"/>
    </row>
    <row r="8" spans="1:10" ht="15.75">
      <c r="A8" s="13"/>
      <c r="B8" s="12"/>
      <c r="C8" s="10"/>
      <c r="D8" s="12"/>
      <c r="E8" s="12"/>
      <c r="F8" s="12"/>
    </row>
    <row r="9" spans="1:10">
      <c r="A9" s="13"/>
      <c r="B9" s="12"/>
      <c r="C9" s="55" t="s">
        <v>270</v>
      </c>
      <c r="D9" s="12"/>
      <c r="E9" s="12"/>
      <c r="F9" s="12"/>
    </row>
    <row r="10" spans="1:10">
      <c r="A10" s="13"/>
      <c r="B10" s="12"/>
      <c r="C10" s="241" t="s">
        <v>227</v>
      </c>
      <c r="D10" s="240"/>
      <c r="E10" s="240"/>
      <c r="F10" s="240"/>
      <c r="G10" s="244"/>
      <c r="H10" s="244"/>
    </row>
    <row r="11" spans="1:10">
      <c r="A11" s="13" t="s">
        <v>47</v>
      </c>
      <c r="B11" s="13"/>
      <c r="C11" s="13"/>
      <c r="D11" s="13" t="s">
        <v>2</v>
      </c>
      <c r="E11" s="12"/>
      <c r="F11" s="12"/>
    </row>
    <row r="12" spans="1:10">
      <c r="A12" s="5" t="s">
        <v>17</v>
      </c>
      <c r="B12" s="13"/>
      <c r="C12" s="5" t="s">
        <v>14</v>
      </c>
      <c r="D12" s="5" t="s">
        <v>48</v>
      </c>
      <c r="E12" s="12"/>
      <c r="F12" s="32" t="s">
        <v>144</v>
      </c>
      <c r="G12" s="2"/>
    </row>
    <row r="13" spans="1:10">
      <c r="A13" s="13">
        <v>1</v>
      </c>
      <c r="B13" s="12"/>
      <c r="C13" s="12" t="s">
        <v>419</v>
      </c>
      <c r="D13" s="30">
        <v>-30554</v>
      </c>
      <c r="E13" s="12"/>
      <c r="F13" s="53" t="s">
        <v>418</v>
      </c>
    </row>
    <row r="14" spans="1:10">
      <c r="A14" s="239">
        <v>2</v>
      </c>
      <c r="B14" s="240"/>
      <c r="C14" s="240" t="s">
        <v>420</v>
      </c>
      <c r="D14" s="249">
        <v>1363</v>
      </c>
      <c r="E14" s="240"/>
      <c r="F14" s="250"/>
      <c r="G14" s="244"/>
    </row>
    <row r="15" spans="1:10" ht="15.75" thickBot="1">
      <c r="A15" s="13">
        <v>3</v>
      </c>
      <c r="B15" s="12"/>
      <c r="C15" s="12" t="s">
        <v>233</v>
      </c>
      <c r="D15" s="34">
        <f>SUM(D13:D14)</f>
        <v>-29191</v>
      </c>
      <c r="E15" s="12"/>
      <c r="F15" s="53"/>
    </row>
    <row r="16" spans="1:10" ht="15.75" thickTop="1"/>
  </sheetData>
  <pageMargins left="0.7" right="0.7" top="0.75" bottom="0.75" header="0.3" footer="0.3"/>
  <pageSetup scale="7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H3" sqref="H3"/>
    </sheetView>
  </sheetViews>
  <sheetFormatPr defaultRowHeight="15"/>
  <cols>
    <col min="2" max="2" width="2.42578125" customWidth="1"/>
    <col min="3" max="3" width="30.28515625" customWidth="1"/>
    <col min="4" max="4" width="12.5703125" customWidth="1"/>
    <col min="5" max="5" width="1.7109375" customWidth="1"/>
    <col min="6" max="6" width="21" customWidth="1"/>
  </cols>
  <sheetData>
    <row r="1" spans="1:8">
      <c r="H1" s="265" t="s">
        <v>444</v>
      </c>
    </row>
    <row r="2" spans="1:8">
      <c r="H2" s="265" t="s">
        <v>445</v>
      </c>
    </row>
    <row r="3" spans="1:8">
      <c r="H3" s="265" t="s">
        <v>459</v>
      </c>
    </row>
    <row r="5" spans="1:8" ht="15.75">
      <c r="A5" s="12"/>
      <c r="B5" s="12"/>
      <c r="C5" s="9" t="s">
        <v>66</v>
      </c>
      <c r="D5" s="12"/>
      <c r="E5" s="12"/>
      <c r="F5" s="11" t="s">
        <v>287</v>
      </c>
    </row>
    <row r="6" spans="1:8" ht="15.75">
      <c r="A6" s="12"/>
      <c r="B6" s="12"/>
      <c r="C6" s="8" t="s">
        <v>21</v>
      </c>
      <c r="D6" s="12"/>
      <c r="E6" s="12"/>
      <c r="F6" s="11"/>
    </row>
    <row r="7" spans="1:8" ht="15.75">
      <c r="A7" s="12"/>
      <c r="B7" s="12"/>
      <c r="C7" s="10" t="s">
        <v>20</v>
      </c>
      <c r="D7" s="12"/>
      <c r="E7" s="12"/>
      <c r="F7" s="12"/>
    </row>
    <row r="8" spans="1:8" ht="15.75">
      <c r="A8" s="12"/>
      <c r="B8" s="12"/>
      <c r="C8" s="10" t="s">
        <v>19</v>
      </c>
      <c r="D8" s="12"/>
      <c r="E8" s="12"/>
      <c r="F8" s="12"/>
    </row>
    <row r="9" spans="1:8" ht="15.75">
      <c r="A9" s="12"/>
      <c r="B9" s="12"/>
      <c r="C9" s="10"/>
      <c r="D9" s="12"/>
      <c r="E9" s="12"/>
      <c r="F9" s="12"/>
    </row>
    <row r="10" spans="1:8">
      <c r="A10" s="12"/>
      <c r="B10" s="12"/>
      <c r="C10" s="55" t="s">
        <v>271</v>
      </c>
      <c r="D10" s="12"/>
      <c r="E10" s="12"/>
      <c r="F10" s="12"/>
    </row>
    <row r="11" spans="1:8">
      <c r="A11" s="13" t="s">
        <v>47</v>
      </c>
      <c r="B11" s="13"/>
      <c r="C11" s="13"/>
      <c r="D11" s="13" t="s">
        <v>2</v>
      </c>
      <c r="E11" s="12"/>
      <c r="F11" s="12"/>
    </row>
    <row r="12" spans="1:8">
      <c r="A12" s="5" t="s">
        <v>17</v>
      </c>
      <c r="B12" s="13"/>
      <c r="C12" s="5" t="s">
        <v>14</v>
      </c>
      <c r="D12" s="5" t="s">
        <v>48</v>
      </c>
      <c r="E12" s="12"/>
      <c r="F12" s="32" t="s">
        <v>11</v>
      </c>
    </row>
    <row r="13" spans="1:8">
      <c r="A13" s="13">
        <v>1</v>
      </c>
      <c r="B13" s="12"/>
      <c r="C13" s="12" t="s">
        <v>67</v>
      </c>
      <c r="D13" s="30">
        <v>-65571</v>
      </c>
      <c r="E13" s="12"/>
      <c r="F13" s="13" t="s">
        <v>62</v>
      </c>
    </row>
    <row r="14" spans="1:8" ht="15.75" thickBot="1">
      <c r="A14" s="13">
        <v>2</v>
      </c>
      <c r="B14" s="12"/>
      <c r="C14" s="12" t="s">
        <v>1</v>
      </c>
      <c r="D14" s="34">
        <f>SUM(D13)</f>
        <v>-65571</v>
      </c>
      <c r="E14" s="12"/>
      <c r="F14" s="12"/>
    </row>
    <row r="15" spans="1:8" ht="15.75" thickTop="1">
      <c r="A15" s="13"/>
      <c r="B15" s="12"/>
      <c r="C15" s="12"/>
      <c r="D15" s="30"/>
      <c r="E15" s="12"/>
      <c r="F15" s="12"/>
    </row>
    <row r="16" spans="1:8">
      <c r="A16" s="13">
        <v>3</v>
      </c>
      <c r="B16" s="12"/>
      <c r="C16" s="12" t="s">
        <v>63</v>
      </c>
      <c r="D16" s="12"/>
      <c r="E16" s="12"/>
      <c r="F16" s="12"/>
    </row>
    <row r="17" spans="1:6">
      <c r="A17" s="13">
        <v>4</v>
      </c>
      <c r="B17" s="12"/>
      <c r="C17" s="12" t="s">
        <v>64</v>
      </c>
      <c r="D17" s="12"/>
      <c r="E17" s="12"/>
      <c r="F17" s="12"/>
    </row>
    <row r="18" spans="1:6">
      <c r="A18" s="13">
        <v>5</v>
      </c>
      <c r="C18" s="12" t="s">
        <v>65</v>
      </c>
    </row>
  </sheetData>
  <pageMargins left="0.7" right="0.7" top="0.75" bottom="0.75" header="0.3" footer="0.3"/>
  <pageSetup scale="8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workbookViewId="0">
      <selection activeCell="H3" sqref="H3"/>
    </sheetView>
  </sheetViews>
  <sheetFormatPr defaultRowHeight="15"/>
  <cols>
    <col min="1" max="1" width="8" customWidth="1"/>
    <col min="2" max="2" width="2" customWidth="1"/>
    <col min="3" max="3" width="36.7109375" customWidth="1"/>
    <col min="4" max="4" width="13" customWidth="1"/>
    <col min="5" max="5" width="1.5703125" customWidth="1"/>
    <col min="6" max="6" width="15.42578125" customWidth="1"/>
  </cols>
  <sheetData>
    <row r="1" spans="1:8">
      <c r="H1" s="265" t="s">
        <v>444</v>
      </c>
    </row>
    <row r="2" spans="1:8">
      <c r="H2" s="265" t="s">
        <v>445</v>
      </c>
    </row>
    <row r="3" spans="1:8">
      <c r="H3" s="265" t="s">
        <v>460</v>
      </c>
    </row>
    <row r="4" spans="1:8" ht="15.75">
      <c r="A4" s="12"/>
      <c r="B4" s="12"/>
      <c r="C4" s="9" t="s">
        <v>68</v>
      </c>
      <c r="D4" s="12"/>
      <c r="E4" s="12"/>
      <c r="F4" s="11" t="s">
        <v>288</v>
      </c>
    </row>
    <row r="5" spans="1:8" ht="15.75">
      <c r="A5" s="12"/>
      <c r="B5" s="12"/>
      <c r="C5" s="8" t="s">
        <v>21</v>
      </c>
      <c r="D5" s="12"/>
      <c r="E5" s="12"/>
      <c r="F5" s="11"/>
    </row>
    <row r="6" spans="1:8" ht="15.75">
      <c r="A6" s="12"/>
      <c r="B6" s="12"/>
      <c r="C6" s="10" t="s">
        <v>20</v>
      </c>
      <c r="D6" s="12"/>
      <c r="E6" s="12"/>
      <c r="F6" s="12"/>
    </row>
    <row r="7" spans="1:8" ht="15.75">
      <c r="A7" s="12"/>
      <c r="B7" s="12"/>
      <c r="C7" s="10" t="s">
        <v>19</v>
      </c>
      <c r="D7" s="12"/>
      <c r="E7" s="12"/>
      <c r="F7" s="12"/>
    </row>
    <row r="8" spans="1:8" ht="15.75">
      <c r="A8" s="12"/>
      <c r="B8" s="12"/>
      <c r="C8" s="10"/>
      <c r="D8" s="12"/>
      <c r="E8" s="12"/>
      <c r="F8" s="12"/>
    </row>
    <row r="9" spans="1:8">
      <c r="A9" s="12"/>
      <c r="B9" s="12"/>
      <c r="C9" s="55" t="s">
        <v>272</v>
      </c>
      <c r="D9" s="12"/>
      <c r="E9" s="12"/>
      <c r="F9" s="12"/>
    </row>
    <row r="10" spans="1:8">
      <c r="A10" s="13" t="s">
        <v>47</v>
      </c>
      <c r="B10" s="13"/>
      <c r="C10" s="13"/>
      <c r="D10" s="13" t="s">
        <v>2</v>
      </c>
      <c r="E10" s="12"/>
      <c r="F10" s="12"/>
    </row>
    <row r="11" spans="1:8">
      <c r="A11" s="5" t="s">
        <v>17</v>
      </c>
      <c r="B11" s="13"/>
      <c r="C11" s="5" t="s">
        <v>14</v>
      </c>
      <c r="D11" s="5" t="s">
        <v>48</v>
      </c>
      <c r="E11" s="12"/>
      <c r="F11" s="32" t="s">
        <v>11</v>
      </c>
    </row>
    <row r="12" spans="1:8">
      <c r="A12" s="13">
        <v>1</v>
      </c>
      <c r="B12" s="12"/>
      <c r="C12" s="12" t="s">
        <v>69</v>
      </c>
      <c r="D12" s="30">
        <v>-22457</v>
      </c>
      <c r="E12" s="12"/>
      <c r="F12" s="13" t="s">
        <v>70</v>
      </c>
    </row>
    <row r="13" spans="1:8" ht="15.75" thickBot="1">
      <c r="A13" s="13">
        <v>2</v>
      </c>
      <c r="B13" s="12"/>
      <c r="C13" s="12" t="s">
        <v>1</v>
      </c>
      <c r="D13" s="34">
        <f>SUM(D12)</f>
        <v>-22457</v>
      </c>
      <c r="E13" s="12"/>
      <c r="F13" s="12"/>
    </row>
    <row r="14" spans="1:8" ht="15.75" thickTop="1">
      <c r="A14" s="13"/>
      <c r="B14" s="12"/>
      <c r="C14" s="12"/>
      <c r="D14" s="30"/>
      <c r="E14" s="12"/>
      <c r="F14" s="12"/>
    </row>
    <row r="15" spans="1:8">
      <c r="A15" s="13"/>
      <c r="B15" s="12"/>
      <c r="C15" s="12"/>
      <c r="D15" s="12"/>
      <c r="E15" s="12"/>
      <c r="F15" s="12"/>
    </row>
  </sheetData>
  <pageMargins left="0.7" right="0.7" top="0.75" bottom="0.75" header="0.3" footer="0.3"/>
  <pageSetup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25" workbookViewId="0">
      <selection activeCell="F1" sqref="F1:F3"/>
    </sheetView>
  </sheetViews>
  <sheetFormatPr defaultRowHeight="15"/>
  <cols>
    <col min="1" max="1" width="8.7109375" style="12" customWidth="1"/>
    <col min="2" max="2" width="2.5703125" style="12" customWidth="1"/>
    <col min="3" max="3" width="46.5703125" style="12" customWidth="1"/>
    <col min="4" max="4" width="13.28515625" style="12" customWidth="1"/>
    <col min="5" max="5" width="11.85546875" style="12" customWidth="1"/>
    <col min="6" max="6" width="18.28515625" style="12" bestFit="1" customWidth="1"/>
    <col min="7" max="16384" width="9.140625" style="12"/>
  </cols>
  <sheetData>
    <row r="1" spans="1:7">
      <c r="F1" s="265" t="s">
        <v>444</v>
      </c>
      <c r="G1"/>
    </row>
    <row r="2" spans="1:7">
      <c r="F2" s="265" t="s">
        <v>445</v>
      </c>
      <c r="G2"/>
    </row>
    <row r="3" spans="1:7">
      <c r="F3" s="265" t="s">
        <v>461</v>
      </c>
      <c r="G3"/>
    </row>
    <row r="5" spans="1:7" ht="15.75">
      <c r="A5" s="13"/>
      <c r="C5" s="9" t="s">
        <v>37</v>
      </c>
      <c r="E5" s="11"/>
      <c r="F5" s="55" t="s">
        <v>289</v>
      </c>
    </row>
    <row r="6" spans="1:7" ht="15.75">
      <c r="A6" s="13"/>
      <c r="C6" s="8" t="s">
        <v>21</v>
      </c>
      <c r="E6" s="11"/>
    </row>
    <row r="7" spans="1:7" ht="15.75">
      <c r="A7" s="13"/>
      <c r="C7" s="10" t="s">
        <v>20</v>
      </c>
      <c r="F7" s="55"/>
    </row>
    <row r="8" spans="1:7" ht="15.75">
      <c r="A8" s="13"/>
      <c r="C8" s="10" t="s">
        <v>19</v>
      </c>
    </row>
    <row r="9" spans="1:7" ht="15.75">
      <c r="A9" s="13"/>
      <c r="C9" s="10"/>
    </row>
    <row r="10" spans="1:7">
      <c r="A10" s="13"/>
      <c r="C10" s="55" t="s">
        <v>274</v>
      </c>
    </row>
    <row r="11" spans="1:7">
      <c r="A11" s="13" t="s">
        <v>47</v>
      </c>
      <c r="B11" s="13"/>
      <c r="C11" s="13"/>
      <c r="D11" s="13" t="s">
        <v>2</v>
      </c>
    </row>
    <row r="12" spans="1:7">
      <c r="A12" s="5" t="s">
        <v>17</v>
      </c>
      <c r="B12" s="13"/>
      <c r="C12" s="5" t="s">
        <v>14</v>
      </c>
      <c r="D12" s="5" t="s">
        <v>48</v>
      </c>
      <c r="F12" s="32" t="s">
        <v>90</v>
      </c>
      <c r="G12" s="29"/>
    </row>
    <row r="13" spans="1:7">
      <c r="A13" s="13">
        <v>1</v>
      </c>
      <c r="C13" s="12" t="s">
        <v>120</v>
      </c>
      <c r="D13" s="30">
        <v>-1268160</v>
      </c>
      <c r="F13" s="53" t="s">
        <v>124</v>
      </c>
    </row>
    <row r="14" spans="1:7" ht="15.75" thickBot="1">
      <c r="A14" s="13">
        <v>2</v>
      </c>
      <c r="C14" s="12" t="s">
        <v>1</v>
      </c>
      <c r="D14" s="34">
        <f>SUM(D13)</f>
        <v>-1268160</v>
      </c>
      <c r="F14" s="53"/>
    </row>
    <row r="15" spans="1:7" ht="15.75" thickTop="1">
      <c r="A15" s="13">
        <v>3</v>
      </c>
      <c r="D15" s="30"/>
      <c r="F15" s="53"/>
    </row>
    <row r="16" spans="1:7">
      <c r="A16" s="13"/>
      <c r="C16" s="5" t="s">
        <v>14</v>
      </c>
      <c r="D16" s="5" t="s">
        <v>0</v>
      </c>
      <c r="E16" s="5"/>
      <c r="F16" s="5" t="s">
        <v>11</v>
      </c>
    </row>
    <row r="17" spans="1:6">
      <c r="A17" s="13">
        <v>4</v>
      </c>
      <c r="C17" s="35" t="s">
        <v>141</v>
      </c>
      <c r="D17" s="35">
        <v>184862934</v>
      </c>
      <c r="F17" s="12" t="s">
        <v>140</v>
      </c>
    </row>
    <row r="18" spans="1:6">
      <c r="A18" s="13">
        <v>5</v>
      </c>
      <c r="C18" s="60" t="s">
        <v>121</v>
      </c>
      <c r="D18" s="61">
        <v>7.0000000000000007E-2</v>
      </c>
      <c r="F18" s="12" t="s">
        <v>115</v>
      </c>
    </row>
    <row r="19" spans="1:6">
      <c r="A19" s="13">
        <v>6</v>
      </c>
      <c r="C19" s="62" t="s">
        <v>122</v>
      </c>
      <c r="D19" s="35">
        <f>D17*D18</f>
        <v>12940405.380000001</v>
      </c>
    </row>
    <row r="20" spans="1:6">
      <c r="A20" s="13">
        <v>7</v>
      </c>
      <c r="C20" s="51" t="s">
        <v>123</v>
      </c>
      <c r="D20" s="51">
        <v>9.8000000000000004E-2</v>
      </c>
    </row>
    <row r="21" spans="1:6" ht="15.75" thickBot="1">
      <c r="A21" s="13">
        <v>8</v>
      </c>
      <c r="C21" s="63" t="s">
        <v>6</v>
      </c>
      <c r="D21" s="64">
        <f>D19*D20</f>
        <v>1268159.7272400002</v>
      </c>
    </row>
    <row r="22" spans="1:6" ht="15.75" thickTop="1">
      <c r="A22" s="13"/>
      <c r="C22" s="63"/>
      <c r="D22" s="65"/>
    </row>
    <row r="23" spans="1:6">
      <c r="A23" s="13"/>
      <c r="C23" s="84"/>
      <c r="D23" s="85"/>
      <c r="E23" s="86"/>
      <c r="F23" s="25" t="s">
        <v>142</v>
      </c>
    </row>
    <row r="24" spans="1:6">
      <c r="A24" s="13"/>
      <c r="C24" s="87" t="s">
        <v>139</v>
      </c>
      <c r="D24" s="32"/>
      <c r="E24" s="4"/>
      <c r="F24" s="7" t="s">
        <v>143</v>
      </c>
    </row>
    <row r="25" spans="1:6">
      <c r="A25" s="13">
        <v>9</v>
      </c>
      <c r="C25" s="69" t="s">
        <v>125</v>
      </c>
      <c r="D25" s="70">
        <v>0</v>
      </c>
      <c r="E25" s="71">
        <v>0</v>
      </c>
      <c r="F25" s="72">
        <f t="shared" ref="F25:F36" si="0">SUM(D25:E25)</f>
        <v>0</v>
      </c>
    </row>
    <row r="26" spans="1:6">
      <c r="A26" s="13">
        <v>10</v>
      </c>
      <c r="C26" s="73" t="s">
        <v>126</v>
      </c>
      <c r="D26" s="74">
        <v>0</v>
      </c>
      <c r="E26" s="75">
        <v>0</v>
      </c>
      <c r="F26" s="76">
        <f t="shared" si="0"/>
        <v>0</v>
      </c>
    </row>
    <row r="27" spans="1:6">
      <c r="A27" s="13">
        <v>11</v>
      </c>
      <c r="C27" s="73" t="s">
        <v>127</v>
      </c>
      <c r="D27" s="74">
        <v>0</v>
      </c>
      <c r="E27" s="75">
        <v>0</v>
      </c>
      <c r="F27" s="76">
        <f t="shared" si="0"/>
        <v>0</v>
      </c>
    </row>
    <row r="28" spans="1:6">
      <c r="A28" s="13">
        <v>12</v>
      </c>
      <c r="C28" s="73" t="s">
        <v>128</v>
      </c>
      <c r="D28" s="74">
        <v>0</v>
      </c>
      <c r="E28" s="75">
        <v>0</v>
      </c>
      <c r="F28" s="76">
        <f t="shared" si="0"/>
        <v>0</v>
      </c>
    </row>
    <row r="29" spans="1:6">
      <c r="A29" s="13">
        <v>13</v>
      </c>
      <c r="C29" s="73" t="s">
        <v>129</v>
      </c>
      <c r="D29" s="74">
        <v>0</v>
      </c>
      <c r="E29" s="75">
        <v>0</v>
      </c>
      <c r="F29" s="76">
        <f t="shared" si="0"/>
        <v>0</v>
      </c>
    </row>
    <row r="30" spans="1:6">
      <c r="A30" s="13">
        <v>14</v>
      </c>
      <c r="C30" s="73" t="s">
        <v>130</v>
      </c>
      <c r="D30" s="74">
        <v>326007602</v>
      </c>
      <c r="E30" s="75">
        <v>-175348</v>
      </c>
      <c r="F30" s="76">
        <f t="shared" si="0"/>
        <v>325832254</v>
      </c>
    </row>
    <row r="31" spans="1:6">
      <c r="A31" s="13">
        <v>15</v>
      </c>
      <c r="C31" s="73" t="s">
        <v>131</v>
      </c>
      <c r="D31" s="74">
        <v>308697846</v>
      </c>
      <c r="E31" s="75">
        <v>-175348</v>
      </c>
      <c r="F31" s="76">
        <f t="shared" si="0"/>
        <v>308522498</v>
      </c>
    </row>
    <row r="32" spans="1:6">
      <c r="A32" s="13">
        <v>16</v>
      </c>
      <c r="C32" s="73" t="s">
        <v>132</v>
      </c>
      <c r="D32" s="74">
        <v>297189426</v>
      </c>
      <c r="E32" s="75">
        <v>-113914</v>
      </c>
      <c r="F32" s="76">
        <f t="shared" si="0"/>
        <v>297075512</v>
      </c>
    </row>
    <row r="33" spans="1:6">
      <c r="A33" s="13">
        <v>17</v>
      </c>
      <c r="C33" s="73" t="s">
        <v>133</v>
      </c>
      <c r="D33" s="74">
        <v>352792765</v>
      </c>
      <c r="E33" s="75">
        <v>-3</v>
      </c>
      <c r="F33" s="76">
        <f t="shared" si="0"/>
        <v>352792762</v>
      </c>
    </row>
    <row r="34" spans="1:6">
      <c r="A34" s="13">
        <v>18</v>
      </c>
      <c r="C34" s="73" t="s">
        <v>134</v>
      </c>
      <c r="D34" s="74">
        <v>352792765</v>
      </c>
      <c r="E34" s="75">
        <v>-22279646</v>
      </c>
      <c r="F34" s="76">
        <f t="shared" si="0"/>
        <v>330513119</v>
      </c>
    </row>
    <row r="35" spans="1:6">
      <c r="A35" s="13">
        <v>19</v>
      </c>
      <c r="C35" s="73" t="s">
        <v>135</v>
      </c>
      <c r="D35" s="74">
        <v>352792765</v>
      </c>
      <c r="E35" s="75">
        <v>-39225195</v>
      </c>
      <c r="F35" s="76">
        <f t="shared" si="0"/>
        <v>313567570</v>
      </c>
    </row>
    <row r="36" spans="1:6">
      <c r="A36" s="13">
        <v>20</v>
      </c>
      <c r="C36" s="77" t="s">
        <v>136</v>
      </c>
      <c r="D36" s="78">
        <v>234039355</v>
      </c>
      <c r="E36" s="79">
        <v>56012133</v>
      </c>
      <c r="F36" s="80">
        <f t="shared" si="0"/>
        <v>290051488</v>
      </c>
    </row>
    <row r="37" spans="1:6">
      <c r="A37" s="13">
        <v>21</v>
      </c>
      <c r="C37" s="81"/>
      <c r="D37" s="82"/>
      <c r="E37" s="82"/>
      <c r="F37" s="83">
        <f>SUM(F25:F36)</f>
        <v>2218355203</v>
      </c>
    </row>
    <row r="38" spans="1:6">
      <c r="A38" s="13">
        <v>22</v>
      </c>
      <c r="C38" s="66"/>
      <c r="D38" s="29" t="s">
        <v>137</v>
      </c>
      <c r="E38" s="29"/>
      <c r="F38" s="56">
        <v>12</v>
      </c>
    </row>
    <row r="39" spans="1:6">
      <c r="A39" s="13">
        <v>23</v>
      </c>
      <c r="C39" s="67"/>
      <c r="D39" s="32" t="s">
        <v>138</v>
      </c>
      <c r="E39" s="32"/>
      <c r="F39" s="68">
        <f>F37/F38</f>
        <v>184862933.58333334</v>
      </c>
    </row>
    <row r="40" spans="1:6">
      <c r="A40" s="13"/>
    </row>
  </sheetData>
  <pageMargins left="0.7" right="0.15" top="0.7" bottom="0.15" header="0.3" footer="0.3"/>
  <pageSetup scale="94" fitToWidth="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workbookViewId="0">
      <selection activeCell="I17" sqref="I17"/>
    </sheetView>
  </sheetViews>
  <sheetFormatPr defaultRowHeight="15"/>
  <cols>
    <col min="1" max="1" width="7.28515625" customWidth="1"/>
    <col min="2" max="2" width="1" customWidth="1"/>
    <col min="3" max="3" width="35.140625" customWidth="1"/>
    <col min="4" max="4" width="11.28515625" customWidth="1"/>
    <col min="5" max="5" width="2.7109375" customWidth="1"/>
    <col min="6" max="6" width="18" customWidth="1"/>
  </cols>
  <sheetData>
    <row r="1" spans="1:8">
      <c r="H1" s="265" t="s">
        <v>444</v>
      </c>
    </row>
    <row r="2" spans="1:8">
      <c r="H2" s="265" t="s">
        <v>445</v>
      </c>
    </row>
    <row r="3" spans="1:8">
      <c r="H3" s="265" t="s">
        <v>462</v>
      </c>
    </row>
    <row r="5" spans="1:8" ht="15.75">
      <c r="A5" s="12"/>
      <c r="B5" s="12"/>
      <c r="C5" s="9" t="s">
        <v>42</v>
      </c>
      <c r="D5" s="12"/>
      <c r="E5" s="12"/>
      <c r="F5" s="11" t="s">
        <v>293</v>
      </c>
    </row>
    <row r="6" spans="1:8" ht="15.75">
      <c r="A6" s="12"/>
      <c r="B6" s="12"/>
      <c r="C6" s="8" t="s">
        <v>21</v>
      </c>
      <c r="D6" s="12"/>
      <c r="E6" s="12"/>
      <c r="F6" s="11"/>
    </row>
    <row r="7" spans="1:8" ht="15.75">
      <c r="A7" s="12"/>
      <c r="B7" s="12"/>
      <c r="C7" s="10" t="s">
        <v>20</v>
      </c>
      <c r="D7" s="12"/>
      <c r="E7" s="12"/>
      <c r="F7" s="12"/>
    </row>
    <row r="8" spans="1:8" ht="15.75">
      <c r="A8" s="12"/>
      <c r="B8" s="12"/>
      <c r="C8" s="10" t="s">
        <v>19</v>
      </c>
      <c r="D8" s="12"/>
      <c r="E8" s="12"/>
      <c r="F8" s="12"/>
    </row>
    <row r="9" spans="1:8" ht="15.75">
      <c r="A9" s="12"/>
      <c r="B9" s="12"/>
      <c r="C9" s="10"/>
      <c r="D9" s="12"/>
      <c r="E9" s="12"/>
      <c r="F9" s="12"/>
    </row>
    <row r="10" spans="1:8">
      <c r="A10" s="12"/>
      <c r="B10" s="12"/>
      <c r="C10" s="55" t="s">
        <v>292</v>
      </c>
      <c r="D10" s="12"/>
      <c r="E10" s="12"/>
      <c r="F10" s="12"/>
    </row>
    <row r="11" spans="1:8">
      <c r="A11" s="13" t="s">
        <v>47</v>
      </c>
      <c r="B11" s="13"/>
      <c r="C11" s="13"/>
      <c r="D11" s="13" t="s">
        <v>2</v>
      </c>
      <c r="E11" s="12"/>
      <c r="F11" s="12"/>
    </row>
    <row r="12" spans="1:8">
      <c r="A12" s="5" t="s">
        <v>17</v>
      </c>
      <c r="B12" s="13"/>
      <c r="C12" s="5" t="s">
        <v>14</v>
      </c>
      <c r="D12" s="5" t="s">
        <v>48</v>
      </c>
      <c r="E12" s="12"/>
      <c r="F12" s="32" t="s">
        <v>11</v>
      </c>
    </row>
    <row r="13" spans="1:8">
      <c r="A13" s="13">
        <v>1</v>
      </c>
      <c r="B13" s="12"/>
      <c r="C13" s="12" t="s">
        <v>147</v>
      </c>
      <c r="D13" s="30">
        <v>-37964</v>
      </c>
      <c r="E13" s="12"/>
      <c r="F13" s="13" t="s">
        <v>145</v>
      </c>
    </row>
    <row r="14" spans="1:8" ht="15.75" thickBot="1">
      <c r="A14" s="13">
        <v>2</v>
      </c>
      <c r="B14" s="12"/>
      <c r="C14" s="12" t="s">
        <v>1</v>
      </c>
      <c r="D14" s="34">
        <f>SUM(D13)</f>
        <v>-37964</v>
      </c>
      <c r="E14" s="12"/>
      <c r="F14" s="12"/>
    </row>
    <row r="15" spans="1:8" ht="15.75" thickTop="1">
      <c r="A15" s="13"/>
      <c r="B15" s="12"/>
      <c r="C15" s="12"/>
      <c r="D15" s="30"/>
      <c r="E15" s="12"/>
      <c r="F15" s="12"/>
    </row>
  </sheetData>
  <pageMargins left="0.7" right="0.7" top="0.75" bottom="0.75" header="0.3" footer="0.3"/>
  <pageSetup scale="8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1"/>
  <sheetViews>
    <sheetView topLeftCell="A64" workbookViewId="0">
      <selection activeCell="A66" sqref="A66"/>
    </sheetView>
  </sheetViews>
  <sheetFormatPr defaultRowHeight="15"/>
  <cols>
    <col min="1" max="1" width="31.140625" customWidth="1"/>
    <col min="2" max="2" width="15.42578125" customWidth="1"/>
    <col min="3" max="5" width="18.85546875" customWidth="1"/>
    <col min="6" max="10" width="15.140625" customWidth="1"/>
    <col min="11" max="11" width="16.42578125" customWidth="1"/>
    <col min="12" max="12" width="15.5703125" customWidth="1"/>
    <col min="13" max="13" width="14.28515625" customWidth="1"/>
    <col min="14" max="14" width="15.140625" customWidth="1"/>
    <col min="15" max="15" width="16.85546875" customWidth="1"/>
    <col min="16" max="16" width="17.85546875" customWidth="1"/>
  </cols>
  <sheetData>
    <row r="1" spans="1:16" ht="15.75">
      <c r="A1" s="88" t="s">
        <v>148</v>
      </c>
      <c r="B1" s="89"/>
      <c r="C1" s="89"/>
      <c r="D1" s="89"/>
      <c r="E1" s="89"/>
      <c r="F1" s="89"/>
      <c r="G1" s="89"/>
      <c r="H1" s="89"/>
      <c r="I1" s="89"/>
      <c r="J1" s="89"/>
      <c r="K1" s="90"/>
      <c r="P1" s="265" t="s">
        <v>444</v>
      </c>
    </row>
    <row r="2" spans="1:16" ht="15.75">
      <c r="A2" s="91" t="s">
        <v>149</v>
      </c>
      <c r="B2" s="90"/>
      <c r="C2" s="90"/>
      <c r="D2" s="90"/>
      <c r="E2" s="90"/>
      <c r="F2" s="90"/>
      <c r="G2" s="90"/>
      <c r="H2" s="90"/>
      <c r="I2" s="90"/>
      <c r="J2" s="90"/>
      <c r="K2" s="90"/>
      <c r="P2" s="265" t="s">
        <v>445</v>
      </c>
    </row>
    <row r="3" spans="1:16" ht="15.75">
      <c r="A3" s="88" t="s">
        <v>150</v>
      </c>
      <c r="B3" s="90"/>
      <c r="C3" s="90"/>
      <c r="D3" s="90"/>
      <c r="E3" s="90"/>
      <c r="F3" s="90"/>
      <c r="G3" s="90"/>
      <c r="H3" s="90"/>
      <c r="I3" s="90"/>
      <c r="J3" s="90"/>
      <c r="K3" s="90"/>
      <c r="P3" s="265" t="s">
        <v>447</v>
      </c>
    </row>
    <row r="4" spans="1:16" ht="16.5" thickBot="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6" ht="15.75">
      <c r="A5" s="94"/>
      <c r="B5" s="165"/>
      <c r="C5" s="167" t="s">
        <v>151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9"/>
      <c r="P5" s="170" t="s">
        <v>290</v>
      </c>
    </row>
    <row r="6" spans="1:16" ht="15.75">
      <c r="A6" s="95"/>
      <c r="B6" s="96"/>
      <c r="C6" s="166" t="s">
        <v>155</v>
      </c>
      <c r="D6" s="97" t="s">
        <v>156</v>
      </c>
      <c r="E6" s="97" t="s">
        <v>320</v>
      </c>
      <c r="F6" s="97" t="s">
        <v>231</v>
      </c>
      <c r="G6" s="97" t="s">
        <v>235</v>
      </c>
      <c r="H6" s="97" t="s">
        <v>257</v>
      </c>
      <c r="I6" s="97" t="s">
        <v>258</v>
      </c>
      <c r="J6" s="97" t="s">
        <v>157</v>
      </c>
      <c r="K6" s="97" t="s">
        <v>260</v>
      </c>
      <c r="L6" s="97" t="s">
        <v>267</v>
      </c>
      <c r="M6" s="97" t="s">
        <v>284</v>
      </c>
      <c r="N6" s="97" t="s">
        <v>285</v>
      </c>
      <c r="O6" s="97" t="s">
        <v>286</v>
      </c>
      <c r="P6" s="97" t="s">
        <v>291</v>
      </c>
    </row>
    <row r="7" spans="1:16" ht="126">
      <c r="A7" s="98" t="s">
        <v>14</v>
      </c>
      <c r="B7" s="99" t="s">
        <v>159</v>
      </c>
      <c r="C7" s="101" t="s">
        <v>423</v>
      </c>
      <c r="D7" s="100" t="s">
        <v>229</v>
      </c>
      <c r="E7" s="100" t="s">
        <v>425</v>
      </c>
      <c r="F7" s="100" t="s">
        <v>424</v>
      </c>
      <c r="G7" s="100" t="s">
        <v>426</v>
      </c>
      <c r="H7" s="100" t="s">
        <v>256</v>
      </c>
      <c r="I7" s="100" t="s">
        <v>329</v>
      </c>
      <c r="J7" s="100" t="s">
        <v>427</v>
      </c>
      <c r="K7" s="100" t="s">
        <v>259</v>
      </c>
      <c r="L7" s="100" t="s">
        <v>268</v>
      </c>
      <c r="M7" s="100" t="s">
        <v>269</v>
      </c>
      <c r="N7" s="100" t="s">
        <v>33</v>
      </c>
      <c r="O7" s="100" t="s">
        <v>273</v>
      </c>
      <c r="P7" s="148" t="s">
        <v>42</v>
      </c>
    </row>
    <row r="8" spans="1:16" ht="15.75">
      <c r="A8" s="162" t="s">
        <v>228</v>
      </c>
      <c r="B8" s="163"/>
      <c r="C8" s="172">
        <v>4.0999999999999996</v>
      </c>
      <c r="D8" s="172">
        <v>4.2</v>
      </c>
      <c r="E8" s="172">
        <v>4.3</v>
      </c>
      <c r="F8" s="172">
        <v>4.4000000000000004</v>
      </c>
      <c r="G8" s="172">
        <v>4.5</v>
      </c>
      <c r="H8" s="172">
        <v>4.7</v>
      </c>
      <c r="I8" s="171">
        <v>4.0999999999999996</v>
      </c>
      <c r="J8" s="171">
        <v>4.1100000000000003</v>
      </c>
      <c r="K8" s="171">
        <v>4.12</v>
      </c>
      <c r="L8" s="173">
        <v>4.13</v>
      </c>
      <c r="M8" s="173">
        <v>4.1399999999999997</v>
      </c>
      <c r="N8" s="173">
        <v>4.1500000000000004</v>
      </c>
      <c r="O8" s="173">
        <v>4.16</v>
      </c>
      <c r="P8" s="173">
        <v>8.11</v>
      </c>
    </row>
    <row r="9" spans="1:16" ht="15.75">
      <c r="A9" s="95"/>
      <c r="B9" s="102"/>
      <c r="C9" s="104"/>
      <c r="D9" s="105"/>
      <c r="E9" s="105"/>
      <c r="F9" s="105"/>
      <c r="G9" s="105"/>
      <c r="H9" s="105"/>
      <c r="I9" s="105"/>
      <c r="J9" s="105"/>
      <c r="K9" s="105"/>
    </row>
    <row r="10" spans="1:16" ht="15.75">
      <c r="A10" s="106" t="s">
        <v>160</v>
      </c>
      <c r="B10" s="107"/>
      <c r="C10" s="104"/>
      <c r="D10" s="103"/>
      <c r="E10" s="103"/>
      <c r="F10" s="103"/>
      <c r="G10" s="103"/>
      <c r="H10" s="103"/>
      <c r="I10" s="103"/>
      <c r="J10" s="103"/>
      <c r="K10" s="103"/>
    </row>
    <row r="11" spans="1:16" ht="15.75">
      <c r="A11" s="106" t="s">
        <v>161</v>
      </c>
      <c r="B11" s="108"/>
      <c r="C11" s="110"/>
      <c r="D11" s="111"/>
      <c r="E11" s="111"/>
      <c r="F11" s="111"/>
      <c r="G11" s="111"/>
      <c r="H11" s="111"/>
      <c r="I11" s="111"/>
      <c r="J11" s="111"/>
      <c r="K11" s="109"/>
    </row>
    <row r="12" spans="1:16" ht="15.75">
      <c r="A12" s="106" t="s">
        <v>162</v>
      </c>
      <c r="B12" s="108"/>
      <c r="C12" s="110"/>
      <c r="D12" s="111"/>
      <c r="E12" s="111"/>
      <c r="F12" s="111"/>
      <c r="G12" s="111"/>
      <c r="H12" s="111"/>
      <c r="I12" s="111"/>
      <c r="J12" s="111"/>
      <c r="K12" s="109"/>
    </row>
    <row r="13" spans="1:16" ht="15.75">
      <c r="A13" s="106" t="s">
        <v>163</v>
      </c>
      <c r="B13" s="108"/>
      <c r="C13" s="110"/>
      <c r="D13" s="111"/>
      <c r="E13" s="111"/>
      <c r="F13" s="111"/>
      <c r="G13" s="111"/>
      <c r="H13" s="111"/>
      <c r="I13" s="111"/>
      <c r="J13" s="111"/>
      <c r="K13" s="109"/>
    </row>
    <row r="14" spans="1:16" ht="15.75">
      <c r="A14" s="106" t="s">
        <v>164</v>
      </c>
      <c r="B14" s="108"/>
      <c r="C14" s="110"/>
      <c r="D14" s="111"/>
      <c r="E14" s="111"/>
      <c r="F14" s="111"/>
      <c r="G14" s="111"/>
      <c r="H14" s="111"/>
      <c r="I14" s="111"/>
      <c r="J14" s="111"/>
      <c r="K14" s="109"/>
    </row>
    <row r="15" spans="1:16" ht="15.75">
      <c r="A15" s="112" t="s">
        <v>165</v>
      </c>
      <c r="B15" s="113">
        <v>0</v>
      </c>
      <c r="C15" s="115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</row>
    <row r="16" spans="1:16" ht="15.75">
      <c r="A16" s="106"/>
      <c r="B16" s="107"/>
      <c r="C16" s="104"/>
      <c r="D16" s="103"/>
      <c r="E16" s="103"/>
      <c r="F16" s="103"/>
      <c r="G16" s="103"/>
      <c r="H16" s="103"/>
      <c r="I16" s="103"/>
      <c r="J16" s="103"/>
      <c r="K16" s="103"/>
    </row>
    <row r="17" spans="1:26" ht="15.75">
      <c r="A17" s="106" t="s">
        <v>166</v>
      </c>
      <c r="B17" s="107"/>
      <c r="C17" s="104"/>
      <c r="D17" s="103"/>
      <c r="E17" s="103"/>
      <c r="F17" s="103"/>
      <c r="G17" s="103"/>
      <c r="H17" s="103"/>
      <c r="I17" s="103"/>
      <c r="J17" s="103"/>
      <c r="K17" s="103"/>
    </row>
    <row r="18" spans="1:26" ht="15.75">
      <c r="A18" s="106" t="s">
        <v>167</v>
      </c>
      <c r="B18" s="107">
        <f>SUM(C18:P18)</f>
        <v>0</v>
      </c>
      <c r="C18" s="110"/>
      <c r="D18" s="111"/>
      <c r="E18" s="111"/>
      <c r="F18" s="111"/>
      <c r="G18" s="111"/>
      <c r="H18" s="111"/>
      <c r="I18" s="111"/>
      <c r="J18" s="111"/>
      <c r="K18" s="10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>
      <c r="A19" s="106" t="s">
        <v>168</v>
      </c>
      <c r="B19" s="107">
        <f t="shared" ref="B19:B28" si="0">SUM(C19:P19)</f>
        <v>0</v>
      </c>
      <c r="C19" s="110"/>
      <c r="D19" s="111"/>
      <c r="E19" s="111"/>
      <c r="F19" s="111"/>
      <c r="G19" s="111"/>
      <c r="H19" s="111"/>
      <c r="I19" s="111"/>
      <c r="J19" s="111"/>
      <c r="K19" s="10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>
      <c r="A20" s="106" t="s">
        <v>169</v>
      </c>
      <c r="B20" s="107">
        <f t="shared" si="0"/>
        <v>0</v>
      </c>
      <c r="C20" s="110"/>
      <c r="D20" s="111"/>
      <c r="E20" s="111"/>
      <c r="F20" s="111"/>
      <c r="G20" s="111"/>
      <c r="H20" s="111"/>
      <c r="I20" s="111"/>
      <c r="J20" s="111"/>
      <c r="K20" s="10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>
      <c r="A21" s="106" t="s">
        <v>170</v>
      </c>
      <c r="B21" s="107">
        <f t="shared" si="0"/>
        <v>0</v>
      </c>
      <c r="C21" s="110"/>
      <c r="D21" s="111"/>
      <c r="E21" s="111"/>
      <c r="F21" s="111"/>
      <c r="G21" s="111"/>
      <c r="H21" s="111"/>
      <c r="I21" s="111"/>
      <c r="J21" s="111"/>
      <c r="K21" s="10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>
      <c r="A22" s="106" t="s">
        <v>171</v>
      </c>
      <c r="B22" s="107">
        <f t="shared" si="0"/>
        <v>0</v>
      </c>
      <c r="C22" s="110"/>
      <c r="D22" s="111"/>
      <c r="E22" s="111"/>
      <c r="F22" s="111"/>
      <c r="G22" s="111"/>
      <c r="H22" s="111"/>
      <c r="I22" s="111"/>
      <c r="J22" s="111"/>
      <c r="K22" s="109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>
      <c r="A23" s="106" t="s">
        <v>172</v>
      </c>
      <c r="B23" s="107">
        <f t="shared" si="0"/>
        <v>0</v>
      </c>
      <c r="C23" s="110"/>
      <c r="D23" s="111"/>
      <c r="E23" s="111"/>
      <c r="F23" s="111"/>
      <c r="G23" s="111"/>
      <c r="H23" s="111"/>
      <c r="I23" s="111"/>
      <c r="J23" s="111"/>
      <c r="K23" s="109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>
      <c r="A24" s="106" t="s">
        <v>173</v>
      </c>
      <c r="B24" s="107">
        <f t="shared" si="0"/>
        <v>-1602554</v>
      </c>
      <c r="C24" s="110"/>
      <c r="D24" s="111"/>
      <c r="E24" s="111"/>
      <c r="F24" s="111">
        <v>-1602554</v>
      </c>
      <c r="G24" s="111"/>
      <c r="H24" s="111"/>
      <c r="I24" s="111"/>
      <c r="J24" s="111"/>
      <c r="K24" s="109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>
      <c r="A25" s="106" t="s">
        <v>174</v>
      </c>
      <c r="B25" s="107">
        <f t="shared" si="0"/>
        <v>-22612</v>
      </c>
      <c r="C25" s="110"/>
      <c r="D25" s="111"/>
      <c r="E25" s="111"/>
      <c r="F25" s="111"/>
      <c r="G25" s="111"/>
      <c r="H25" s="111">
        <v>-64947</v>
      </c>
      <c r="I25" s="111"/>
      <c r="J25" s="111"/>
      <c r="K25" s="109">
        <v>42335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>
      <c r="A26" s="145" t="s">
        <v>175</v>
      </c>
      <c r="B26" s="107">
        <f t="shared" si="0"/>
        <v>0</v>
      </c>
      <c r="C26" s="109"/>
      <c r="D26" s="111"/>
      <c r="E26" s="111"/>
      <c r="F26" s="111"/>
      <c r="G26" s="111"/>
      <c r="H26" s="111"/>
      <c r="I26" s="111"/>
      <c r="J26" s="111"/>
      <c r="K26" s="10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>
      <c r="A27" s="106" t="s">
        <v>176</v>
      </c>
      <c r="B27" s="160">
        <f t="shared" si="0"/>
        <v>-2542194</v>
      </c>
      <c r="C27" s="146">
        <v>-74366</v>
      </c>
      <c r="D27" s="146">
        <v>-280073</v>
      </c>
      <c r="E27" s="146">
        <v>0</v>
      </c>
      <c r="F27" s="146"/>
      <c r="G27" s="146">
        <v>-651080</v>
      </c>
      <c r="H27" s="146"/>
      <c r="I27" s="146">
        <v>-151296</v>
      </c>
      <c r="J27" s="146">
        <v>0</v>
      </c>
      <c r="K27" s="146"/>
      <c r="L27" s="146">
        <v>-29191</v>
      </c>
      <c r="M27" s="146">
        <v>-65571</v>
      </c>
      <c r="N27" s="146">
        <v>-22457</v>
      </c>
      <c r="O27" s="146">
        <v>-1268160</v>
      </c>
      <c r="P27" s="146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>
      <c r="A28" s="106" t="s">
        <v>177</v>
      </c>
      <c r="B28" s="107">
        <f t="shared" si="0"/>
        <v>-4167360</v>
      </c>
      <c r="C28" s="117">
        <f>SUM(C27)</f>
        <v>-74366</v>
      </c>
      <c r="D28" s="116">
        <f>SUM(D27)</f>
        <v>-280073</v>
      </c>
      <c r="E28" s="116">
        <v>0</v>
      </c>
      <c r="F28" s="116">
        <f>SUM(F24:F27)</f>
        <v>-1602554</v>
      </c>
      <c r="G28" s="116">
        <f>SUM(G27)</f>
        <v>-651080</v>
      </c>
      <c r="H28" s="116">
        <f>SUM(H25:H27)</f>
        <v>-64947</v>
      </c>
      <c r="I28" s="116">
        <f>SUM(I25:I27)</f>
        <v>-151296</v>
      </c>
      <c r="J28" s="116">
        <v>0</v>
      </c>
      <c r="K28" s="116">
        <f>SUM(K25:K27)</f>
        <v>42335</v>
      </c>
      <c r="L28" s="159">
        <f>SUM(L27)</f>
        <v>-29191</v>
      </c>
      <c r="M28" s="159">
        <f>SUM(M27)</f>
        <v>-65571</v>
      </c>
      <c r="N28" s="159">
        <f>SUM(N27)</f>
        <v>-22457</v>
      </c>
      <c r="O28" s="159">
        <f>SUM(O27)</f>
        <v>-1268160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>
      <c r="A29" s="145" t="s">
        <v>178</v>
      </c>
      <c r="B29" s="251">
        <f t="shared" ref="B29:B39" si="1">SUM(C29:O29)</f>
        <v>-62393</v>
      </c>
      <c r="C29" s="109"/>
      <c r="D29" s="111"/>
      <c r="E29" s="111"/>
      <c r="F29" s="111">
        <v>-62393</v>
      </c>
      <c r="G29" s="111"/>
      <c r="H29" s="111"/>
      <c r="I29" s="111"/>
      <c r="J29" s="111"/>
      <c r="K29" s="10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>
      <c r="A30" s="106" t="s">
        <v>179</v>
      </c>
      <c r="B30" s="107">
        <f t="shared" si="1"/>
        <v>0</v>
      </c>
      <c r="C30" s="110"/>
      <c r="D30" s="111"/>
      <c r="E30" s="111"/>
      <c r="F30" s="111"/>
      <c r="G30" s="111"/>
      <c r="H30" s="111"/>
      <c r="I30" s="111"/>
      <c r="J30" s="111"/>
      <c r="K30" s="10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>
      <c r="A31" s="106" t="s">
        <v>180</v>
      </c>
      <c r="B31" s="107">
        <f t="shared" si="1"/>
        <v>0</v>
      </c>
      <c r="C31" s="110"/>
      <c r="D31" s="111"/>
      <c r="E31" s="111"/>
      <c r="F31" s="111"/>
      <c r="G31" s="111"/>
      <c r="H31" s="111"/>
      <c r="I31" s="111"/>
      <c r="J31" s="111"/>
      <c r="K31" s="10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>
      <c r="A32" s="106" t="s">
        <v>181</v>
      </c>
      <c r="B32" s="107">
        <f t="shared" si="1"/>
        <v>504584.1</v>
      </c>
      <c r="C32" s="110">
        <f t="shared" ref="C32:O32" si="2">-C28*0.35</f>
        <v>26028.1</v>
      </c>
      <c r="D32" s="111">
        <f t="shared" si="2"/>
        <v>98025.549999999988</v>
      </c>
      <c r="E32" s="111">
        <v>0</v>
      </c>
      <c r="F32" s="111">
        <v>320967</v>
      </c>
      <c r="G32" s="111">
        <f t="shared" si="2"/>
        <v>227878</v>
      </c>
      <c r="H32" s="111">
        <f>-H28*0.35-714065</f>
        <v>-691333.55</v>
      </c>
      <c r="I32" s="111">
        <f t="shared" si="2"/>
        <v>52953.599999999999</v>
      </c>
      <c r="J32" s="111">
        <v>0</v>
      </c>
      <c r="K32" s="111">
        <f t="shared" si="2"/>
        <v>-14817.249999999998</v>
      </c>
      <c r="L32" s="111">
        <f t="shared" si="2"/>
        <v>10216.849999999999</v>
      </c>
      <c r="M32" s="111">
        <f t="shared" si="2"/>
        <v>22949.85</v>
      </c>
      <c r="N32" s="111">
        <f t="shared" si="2"/>
        <v>7859.95</v>
      </c>
      <c r="O32" s="111">
        <f t="shared" si="2"/>
        <v>443856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>
      <c r="A33" s="106" t="s">
        <v>182</v>
      </c>
      <c r="B33" s="107">
        <f t="shared" si="1"/>
        <v>0</v>
      </c>
      <c r="C33" s="110"/>
      <c r="D33" s="111"/>
      <c r="E33" s="111"/>
      <c r="F33" s="111"/>
      <c r="G33" s="111"/>
      <c r="H33" s="111"/>
      <c r="I33" s="111"/>
      <c r="J33" s="111"/>
      <c r="K33" s="10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>
      <c r="A34" s="106" t="s">
        <v>183</v>
      </c>
      <c r="B34" s="107">
        <f t="shared" si="1"/>
        <v>283835</v>
      </c>
      <c r="C34" s="110"/>
      <c r="D34" s="111"/>
      <c r="E34" s="111"/>
      <c r="F34" s="111">
        <v>283835</v>
      </c>
      <c r="G34" s="111"/>
      <c r="H34" s="111"/>
      <c r="I34" s="111"/>
      <c r="J34" s="111"/>
      <c r="K34" s="10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>
      <c r="A35" s="106" t="s">
        <v>184</v>
      </c>
      <c r="B35" s="107">
        <f t="shared" si="1"/>
        <v>0</v>
      </c>
      <c r="C35" s="110"/>
      <c r="D35" s="111"/>
      <c r="E35" s="111"/>
      <c r="F35" s="111"/>
      <c r="G35" s="111"/>
      <c r="H35" s="111"/>
      <c r="I35" s="111"/>
      <c r="J35" s="111"/>
      <c r="K35" s="10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>
      <c r="A36" s="106" t="s">
        <v>185</v>
      </c>
      <c r="B36" s="160">
        <f t="shared" si="1"/>
        <v>0</v>
      </c>
      <c r="C36" s="110"/>
      <c r="D36" s="111"/>
      <c r="E36" s="111"/>
      <c r="F36" s="111"/>
      <c r="G36" s="111"/>
      <c r="H36" s="111"/>
      <c r="I36" s="111"/>
      <c r="J36" s="111"/>
      <c r="K36" s="10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>
      <c r="A37" s="106" t="s">
        <v>186</v>
      </c>
      <c r="B37" s="113">
        <f t="shared" si="1"/>
        <v>-3441333.9</v>
      </c>
      <c r="C37" s="115">
        <f t="shared" ref="C37:K37" si="3">SUM(C28:C36)</f>
        <v>-48337.9</v>
      </c>
      <c r="D37" s="114">
        <f t="shared" si="3"/>
        <v>-182047.45</v>
      </c>
      <c r="E37" s="114">
        <v>0</v>
      </c>
      <c r="F37" s="114">
        <f>SUM(F28:F36)</f>
        <v>-1060145</v>
      </c>
      <c r="G37" s="114">
        <f t="shared" si="3"/>
        <v>-423202</v>
      </c>
      <c r="H37" s="114">
        <f t="shared" si="3"/>
        <v>-756280.55</v>
      </c>
      <c r="I37" s="114">
        <f t="shared" si="3"/>
        <v>-98342.399999999994</v>
      </c>
      <c r="J37" s="114">
        <v>0</v>
      </c>
      <c r="K37" s="114">
        <f t="shared" si="3"/>
        <v>27517.75</v>
      </c>
      <c r="L37" s="114">
        <f t="shared" ref="L37:O37" si="4">SUM(L28:L36)</f>
        <v>-18974.150000000001</v>
      </c>
      <c r="M37" s="114">
        <f t="shared" si="4"/>
        <v>-42621.15</v>
      </c>
      <c r="N37" s="114">
        <f t="shared" si="4"/>
        <v>-14597.05</v>
      </c>
      <c r="O37" s="114">
        <f t="shared" si="4"/>
        <v>-824304</v>
      </c>
      <c r="P37" s="23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>
      <c r="A38" s="118"/>
      <c r="B38" s="107">
        <f t="shared" si="1"/>
        <v>0</v>
      </c>
      <c r="C38" s="104"/>
      <c r="D38" s="103"/>
      <c r="E38" s="103"/>
      <c r="F38" s="103"/>
      <c r="G38" s="103"/>
      <c r="H38" s="103"/>
      <c r="I38" s="103"/>
      <c r="J38" s="103"/>
      <c r="K38" s="103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6.5" thickBot="1">
      <c r="A39" s="119" t="s">
        <v>187</v>
      </c>
      <c r="B39" s="161">
        <f t="shared" si="1"/>
        <v>3441333.9</v>
      </c>
      <c r="C39" s="121">
        <f t="shared" ref="C39:K39" si="5">-C37</f>
        <v>48337.9</v>
      </c>
      <c r="D39" s="120">
        <f t="shared" si="5"/>
        <v>182047.45</v>
      </c>
      <c r="E39" s="120">
        <v>0</v>
      </c>
      <c r="F39" s="120">
        <f t="shared" si="5"/>
        <v>1060145</v>
      </c>
      <c r="G39" s="120">
        <f t="shared" si="5"/>
        <v>423202</v>
      </c>
      <c r="H39" s="120">
        <f t="shared" si="5"/>
        <v>756280.55</v>
      </c>
      <c r="I39" s="120">
        <f t="shared" si="5"/>
        <v>98342.399999999994</v>
      </c>
      <c r="J39" s="120">
        <v>0</v>
      </c>
      <c r="K39" s="120">
        <f t="shared" si="5"/>
        <v>-27517.75</v>
      </c>
      <c r="L39" s="120">
        <f t="shared" ref="L39:O39" si="6">-L37</f>
        <v>18974.150000000001</v>
      </c>
      <c r="M39" s="120">
        <f t="shared" si="6"/>
        <v>42621.15</v>
      </c>
      <c r="N39" s="120">
        <f t="shared" si="6"/>
        <v>14597.05</v>
      </c>
      <c r="O39" s="120">
        <f t="shared" si="6"/>
        <v>824304</v>
      </c>
      <c r="P39" s="17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6.5" thickTop="1">
      <c r="A40" s="106"/>
      <c r="B40" s="107"/>
      <c r="C40" s="104"/>
      <c r="D40" s="103"/>
      <c r="E40" s="103"/>
      <c r="F40" s="103"/>
      <c r="G40" s="103"/>
      <c r="H40" s="103"/>
      <c r="I40" s="103"/>
      <c r="J40" s="103"/>
      <c r="K40" s="103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>
      <c r="A41" s="106" t="s">
        <v>188</v>
      </c>
      <c r="B41" s="107"/>
      <c r="C41" s="104"/>
      <c r="D41" s="103"/>
      <c r="E41" s="103"/>
      <c r="F41" s="103"/>
      <c r="G41" s="103"/>
      <c r="H41" s="103"/>
      <c r="I41" s="103"/>
      <c r="J41" s="103"/>
      <c r="K41" s="103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>
      <c r="A42" s="106" t="s">
        <v>189</v>
      </c>
      <c r="B42" s="108">
        <f>SUM(C42:P42)</f>
        <v>-1946699</v>
      </c>
      <c r="C42" s="110"/>
      <c r="D42" s="103"/>
      <c r="E42" s="103"/>
      <c r="F42" s="103">
        <v>-2012270</v>
      </c>
      <c r="G42" s="103"/>
      <c r="H42" s="103"/>
      <c r="I42" s="103"/>
      <c r="J42" s="103"/>
      <c r="K42" s="103"/>
      <c r="L42" s="14"/>
      <c r="M42" s="164">
        <v>65571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>
      <c r="A43" s="106" t="s">
        <v>42</v>
      </c>
      <c r="B43" s="108">
        <f t="shared" ref="B43:B53" si="7">SUM(C43:P43)</f>
        <v>-37964</v>
      </c>
      <c r="C43" s="110"/>
      <c r="D43" s="103"/>
      <c r="E43" s="103"/>
      <c r="F43" s="103"/>
      <c r="G43" s="103"/>
      <c r="H43" s="103"/>
      <c r="I43" s="103"/>
      <c r="J43" s="103"/>
      <c r="K43" s="103"/>
      <c r="L43" s="14"/>
      <c r="M43" s="164"/>
      <c r="N43" s="14"/>
      <c r="O43" s="14"/>
      <c r="P43" s="164">
        <v>-37964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>
      <c r="A44" s="106" t="s">
        <v>190</v>
      </c>
      <c r="B44" s="108">
        <f t="shared" si="7"/>
        <v>0</v>
      </c>
      <c r="C44" s="110"/>
      <c r="D44" s="103"/>
      <c r="E44" s="103"/>
      <c r="F44" s="103"/>
      <c r="G44" s="103"/>
      <c r="H44" s="103"/>
      <c r="I44" s="103"/>
      <c r="J44" s="103"/>
      <c r="K44" s="103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>
      <c r="A45" s="106" t="s">
        <v>191</v>
      </c>
      <c r="B45" s="108">
        <f t="shared" si="7"/>
        <v>0</v>
      </c>
      <c r="C45" s="110"/>
      <c r="D45" s="103"/>
      <c r="E45" s="103"/>
      <c r="F45" s="103"/>
      <c r="G45" s="103"/>
      <c r="H45" s="103"/>
      <c r="I45" s="103"/>
      <c r="J45" s="103"/>
      <c r="K45" s="103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>
      <c r="A46" s="106" t="s">
        <v>192</v>
      </c>
      <c r="B46" s="108">
        <f t="shared" si="7"/>
        <v>0</v>
      </c>
      <c r="C46" s="110"/>
      <c r="D46" s="103"/>
      <c r="E46" s="103"/>
      <c r="F46" s="103"/>
      <c r="G46" s="103"/>
      <c r="H46" s="103"/>
      <c r="I46" s="103"/>
      <c r="J46" s="103"/>
      <c r="K46" s="10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>
      <c r="A47" s="106" t="s">
        <v>193</v>
      </c>
      <c r="B47" s="108">
        <f t="shared" si="7"/>
        <v>0</v>
      </c>
      <c r="C47" s="110"/>
      <c r="D47" s="103"/>
      <c r="E47" s="103"/>
      <c r="F47" s="103"/>
      <c r="G47" s="103"/>
      <c r="H47" s="103"/>
      <c r="I47" s="103"/>
      <c r="J47" s="103"/>
      <c r="K47" s="103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>
      <c r="A48" s="106" t="s">
        <v>194</v>
      </c>
      <c r="B48" s="108">
        <f t="shared" si="7"/>
        <v>0</v>
      </c>
      <c r="C48" s="110"/>
      <c r="D48" s="103"/>
      <c r="E48" s="103"/>
      <c r="F48" s="103"/>
      <c r="G48" s="103"/>
      <c r="H48" s="103"/>
      <c r="I48" s="103"/>
      <c r="J48" s="103"/>
      <c r="K48" s="103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>
      <c r="A49" s="106" t="s">
        <v>195</v>
      </c>
      <c r="B49" s="108">
        <f t="shared" si="7"/>
        <v>0</v>
      </c>
      <c r="C49" s="110"/>
      <c r="D49" s="103"/>
      <c r="E49" s="103"/>
      <c r="F49" s="103"/>
      <c r="G49" s="103"/>
      <c r="H49" s="103"/>
      <c r="I49" s="103"/>
      <c r="J49" s="103"/>
      <c r="K49" s="103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>
      <c r="A50" s="106" t="s">
        <v>196</v>
      </c>
      <c r="B50" s="108">
        <f t="shared" si="7"/>
        <v>0</v>
      </c>
      <c r="C50" s="110"/>
      <c r="D50" s="103"/>
      <c r="E50" s="103"/>
      <c r="F50" s="103"/>
      <c r="G50" s="103"/>
      <c r="H50" s="103"/>
      <c r="I50" s="103"/>
      <c r="J50" s="103"/>
      <c r="K50" s="103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>
      <c r="A51" s="106" t="s">
        <v>197</v>
      </c>
      <c r="B51" s="108">
        <f t="shared" si="7"/>
        <v>0</v>
      </c>
      <c r="C51" s="110"/>
      <c r="D51" s="103"/>
      <c r="E51" s="103"/>
      <c r="F51" s="103"/>
      <c r="G51" s="103"/>
      <c r="H51" s="103"/>
      <c r="I51" s="103"/>
      <c r="J51" s="103"/>
      <c r="K51" s="103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>
      <c r="A52" s="106" t="s">
        <v>198</v>
      </c>
      <c r="B52" s="108">
        <f t="shared" si="7"/>
        <v>0</v>
      </c>
      <c r="C52" s="110"/>
      <c r="D52" s="111"/>
      <c r="E52" s="111"/>
      <c r="F52" s="111"/>
      <c r="G52" s="111"/>
      <c r="H52" s="111"/>
      <c r="I52" s="111"/>
      <c r="J52" s="111"/>
      <c r="K52" s="109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>
      <c r="A53" s="112" t="s">
        <v>199</v>
      </c>
      <c r="B53" s="122">
        <f t="shared" si="7"/>
        <v>-1984663</v>
      </c>
      <c r="C53" s="124"/>
      <c r="D53" s="123"/>
      <c r="E53" s="123"/>
      <c r="F53" s="123">
        <f>SUM(F42:F52)</f>
        <v>-2012270</v>
      </c>
      <c r="G53" s="123">
        <f>SUM(G52)</f>
        <v>0</v>
      </c>
      <c r="H53" s="123"/>
      <c r="I53" s="123"/>
      <c r="J53" s="123">
        <v>0</v>
      </c>
      <c r="K53" s="123"/>
      <c r="L53" s="123"/>
      <c r="M53" s="123">
        <f>SUM(M42:M52)</f>
        <v>65571</v>
      </c>
      <c r="N53" s="123"/>
      <c r="O53" s="123"/>
      <c r="P53" s="123">
        <f>SUM(P42:P52)</f>
        <v>-37964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>
      <c r="A54" s="106"/>
      <c r="B54" s="107"/>
      <c r="C54" s="104"/>
      <c r="D54" s="103"/>
      <c r="E54" s="103"/>
      <c r="F54" s="103"/>
      <c r="G54" s="103"/>
      <c r="H54" s="103"/>
      <c r="I54" s="103"/>
      <c r="J54" s="103"/>
      <c r="K54" s="103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>
      <c r="A55" s="106" t="s">
        <v>200</v>
      </c>
      <c r="B55" s="107"/>
      <c r="C55" s="104"/>
      <c r="D55" s="103"/>
      <c r="E55" s="103"/>
      <c r="F55" s="103"/>
      <c r="G55" s="103"/>
      <c r="H55" s="103"/>
      <c r="I55" s="103"/>
      <c r="J55" s="103"/>
      <c r="K55" s="103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>
      <c r="A56" s="106" t="s">
        <v>201</v>
      </c>
      <c r="B56" s="108">
        <f>SUM(C56:PP56)</f>
        <v>9419912</v>
      </c>
      <c r="C56" s="110"/>
      <c r="D56" s="111"/>
      <c r="E56" s="111"/>
      <c r="F56" s="111">
        <v>9419912</v>
      </c>
      <c r="G56" s="111"/>
      <c r="H56" s="111"/>
      <c r="I56" s="111"/>
      <c r="J56" s="111"/>
      <c r="K56" s="109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>
      <c r="A57" s="106" t="s">
        <v>202</v>
      </c>
      <c r="B57" s="108">
        <f t="shared" ref="B57:B64" si="8">SUM(C57:PP57)</f>
        <v>0</v>
      </c>
      <c r="C57" s="110"/>
      <c r="D57" s="111"/>
      <c r="E57" s="111"/>
      <c r="F57" s="111"/>
      <c r="G57" s="111"/>
      <c r="H57" s="111"/>
      <c r="I57" s="111"/>
      <c r="J57" s="111"/>
      <c r="K57" s="109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>
      <c r="A58" s="106" t="s">
        <v>203</v>
      </c>
      <c r="B58" s="108">
        <f t="shared" si="8"/>
        <v>-125046</v>
      </c>
      <c r="C58" s="110"/>
      <c r="D58" s="111"/>
      <c r="E58" s="111"/>
      <c r="F58" s="111">
        <v>-125046</v>
      </c>
      <c r="G58" s="111"/>
      <c r="H58" s="111"/>
      <c r="I58" s="111"/>
      <c r="J58" s="111"/>
      <c r="K58" s="109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>
      <c r="A59" s="106" t="s">
        <v>204</v>
      </c>
      <c r="B59" s="108">
        <f t="shared" si="8"/>
        <v>0</v>
      </c>
      <c r="C59" s="110"/>
      <c r="D59" s="111"/>
      <c r="E59" s="111"/>
      <c r="F59" s="111"/>
      <c r="G59" s="111"/>
      <c r="H59" s="111"/>
      <c r="I59" s="111"/>
      <c r="J59" s="111"/>
      <c r="K59" s="109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>
      <c r="A60" s="106" t="s">
        <v>205</v>
      </c>
      <c r="B60" s="108">
        <f t="shared" si="8"/>
        <v>0</v>
      </c>
      <c r="C60" s="110"/>
      <c r="D60" s="111"/>
      <c r="E60" s="111"/>
      <c r="F60" s="111"/>
      <c r="G60" s="111"/>
      <c r="H60" s="111"/>
      <c r="I60" s="111"/>
      <c r="J60" s="111"/>
      <c r="K60" s="109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>
      <c r="A61" s="106" t="s">
        <v>206</v>
      </c>
      <c r="B61" s="108">
        <f t="shared" si="8"/>
        <v>0</v>
      </c>
      <c r="C61" s="110"/>
      <c r="D61" s="111"/>
      <c r="E61" s="111"/>
      <c r="F61" s="111"/>
      <c r="G61" s="111"/>
      <c r="H61" s="111"/>
      <c r="I61" s="111"/>
      <c r="J61" s="111"/>
      <c r="K61" s="109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>
      <c r="A62" s="106" t="s">
        <v>207</v>
      </c>
      <c r="B62" s="108">
        <f t="shared" si="8"/>
        <v>56245</v>
      </c>
      <c r="C62" s="110"/>
      <c r="D62" s="111"/>
      <c r="E62" s="111"/>
      <c r="F62" s="111"/>
      <c r="G62" s="111">
        <v>56245</v>
      </c>
      <c r="H62" s="111"/>
      <c r="I62" s="111"/>
      <c r="J62" s="111"/>
      <c r="K62" s="109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>
      <c r="A63" s="106"/>
      <c r="B63" s="108">
        <f t="shared" si="8"/>
        <v>0</v>
      </c>
      <c r="C63" s="110"/>
      <c r="D63" s="111"/>
      <c r="E63" s="111"/>
      <c r="F63" s="111"/>
      <c r="G63" s="111"/>
      <c r="H63" s="111"/>
      <c r="I63" s="111"/>
      <c r="J63" s="111"/>
      <c r="K63" s="109"/>
      <c r="L63" s="14"/>
      <c r="M63" s="14"/>
      <c r="N63" s="14"/>
      <c r="O63" s="14"/>
      <c r="P63" s="22"/>
      <c r="Q63" s="22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>
      <c r="A64" s="112" t="s">
        <v>208</v>
      </c>
      <c r="B64" s="122">
        <f t="shared" si="8"/>
        <v>9351111</v>
      </c>
      <c r="C64" s="115"/>
      <c r="D64" s="114"/>
      <c r="E64" s="114"/>
      <c r="F64" s="114">
        <f>SUM(F56:F63)</f>
        <v>9294866</v>
      </c>
      <c r="G64" s="114">
        <f>SUM(G62:G63)</f>
        <v>56245</v>
      </c>
      <c r="H64" s="114"/>
      <c r="I64" s="114"/>
      <c r="J64" s="114">
        <v>0</v>
      </c>
      <c r="K64" s="114"/>
      <c r="L64" s="114"/>
      <c r="M64" s="114"/>
      <c r="N64" s="114"/>
      <c r="O64" s="114"/>
      <c r="P64" s="114"/>
      <c r="Q64" s="103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>
      <c r="A65" s="106"/>
      <c r="B65" s="107"/>
      <c r="C65" s="104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6.5" thickBot="1">
      <c r="A66" s="119" t="s">
        <v>209</v>
      </c>
      <c r="B66" s="125">
        <f>SUM(C66:P66)</f>
        <v>7366448</v>
      </c>
      <c r="C66" s="126"/>
      <c r="D66" s="127"/>
      <c r="E66" s="127"/>
      <c r="F66" s="127">
        <f>F53+F64</f>
        <v>7282596</v>
      </c>
      <c r="G66" s="127">
        <f>SUM(G64:G65)</f>
        <v>56245</v>
      </c>
      <c r="H66" s="127"/>
      <c r="I66" s="127"/>
      <c r="J66" s="127"/>
      <c r="K66" s="127"/>
      <c r="L66" s="127"/>
      <c r="M66" s="127">
        <f>SUM(M53:M65)</f>
        <v>65571</v>
      </c>
      <c r="N66" s="127"/>
      <c r="O66" s="127"/>
      <c r="P66" s="127">
        <f>SUM(P53:P65)</f>
        <v>-37964</v>
      </c>
      <c r="Q66" s="103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6.5" thickTop="1">
      <c r="A67" s="106"/>
      <c r="B67" s="107"/>
      <c r="C67" s="104"/>
      <c r="D67" s="103"/>
      <c r="E67" s="103"/>
      <c r="F67" s="103"/>
      <c r="G67" s="103"/>
      <c r="H67" s="103"/>
      <c r="I67" s="103"/>
      <c r="J67" s="103"/>
      <c r="K67" s="103"/>
      <c r="L67" s="14"/>
      <c r="M67" s="14"/>
      <c r="N67" s="14"/>
      <c r="O67" s="14"/>
      <c r="P67" s="22"/>
      <c r="Q67" s="22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>
      <c r="A68" s="106" t="s">
        <v>210</v>
      </c>
      <c r="B68" s="128"/>
      <c r="C68" s="130"/>
      <c r="D68" s="129"/>
      <c r="E68" s="129"/>
      <c r="F68" s="129"/>
      <c r="G68" s="129"/>
      <c r="H68" s="129"/>
      <c r="I68" s="129"/>
      <c r="J68" s="129"/>
      <c r="K68" s="129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>
      <c r="A69" s="106" t="s">
        <v>211</v>
      </c>
      <c r="B69" s="175">
        <f>SUM(C69:P69)</f>
        <v>-4629203.4000290222</v>
      </c>
      <c r="C69" s="132">
        <f>-C39/0.62023</f>
        <v>-77935.443303290725</v>
      </c>
      <c r="D69" s="132">
        <f>-D39/0.62023</f>
        <v>-293516.03437434504</v>
      </c>
      <c r="E69" s="132">
        <v>0</v>
      </c>
      <c r="F69" s="132">
        <f>(-F39/0.62023)+(F66*0.0774)/0.62023</f>
        <v>-800464.45608887041</v>
      </c>
      <c r="G69" s="132">
        <f>(-G39/0.62023)+(G66*0.0774)/0.62023</f>
        <v>-675311.79884881421</v>
      </c>
      <c r="H69" s="132">
        <f>-H39/0.62023</f>
        <v>-1219354.9973396969</v>
      </c>
      <c r="I69" s="132">
        <f>-I39/0.62023</f>
        <v>-158557.95430727312</v>
      </c>
      <c r="J69" s="132">
        <v>0</v>
      </c>
      <c r="K69" s="132">
        <f>-K39/0.62023</f>
        <v>44367.00901278558</v>
      </c>
      <c r="L69" s="132">
        <f>-L39/0.62023</f>
        <v>-30592.11905260952</v>
      </c>
      <c r="M69" s="132">
        <f>(-M39/0.62023)+(M66*0.0774)/0.62023</f>
        <v>-60535.534559760097</v>
      </c>
      <c r="N69" s="132">
        <f>-N39/0.62023</f>
        <v>-23534.898344162651</v>
      </c>
      <c r="O69" s="132">
        <f>-O39/0.62023</f>
        <v>-1329029.5535527144</v>
      </c>
      <c r="P69" s="132">
        <f>(P66*0.0774)/0.62023</f>
        <v>-4737.6192702707058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>
      <c r="A70" s="106"/>
      <c r="B70" s="134"/>
      <c r="C70" s="135"/>
      <c r="D70" s="129"/>
      <c r="E70" s="129"/>
      <c r="F70" s="129"/>
      <c r="G70" s="129"/>
      <c r="H70" s="129"/>
      <c r="I70" s="129"/>
      <c r="J70" s="129"/>
      <c r="K70" s="129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>
      <c r="A71" s="106" t="s">
        <v>212</v>
      </c>
      <c r="B71" s="107"/>
      <c r="C71" s="104"/>
      <c r="D71" s="129"/>
      <c r="E71" s="129"/>
      <c r="F71" s="129"/>
      <c r="G71" s="129"/>
      <c r="H71" s="129"/>
      <c r="I71" s="129"/>
      <c r="J71" s="129"/>
      <c r="K71" s="129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>
      <c r="A72" s="106" t="s">
        <v>213</v>
      </c>
      <c r="B72" s="131"/>
      <c r="C72" s="133"/>
      <c r="D72" s="129"/>
      <c r="E72" s="129"/>
      <c r="F72" s="129"/>
      <c r="G72" s="129"/>
      <c r="H72" s="129"/>
      <c r="I72" s="129"/>
      <c r="J72" s="129"/>
      <c r="K72" s="129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>
      <c r="A73" s="106" t="s">
        <v>214</v>
      </c>
      <c r="B73" s="107"/>
      <c r="C73" s="104"/>
      <c r="D73" s="129"/>
      <c r="E73" s="129"/>
      <c r="F73" s="129"/>
      <c r="G73" s="129"/>
      <c r="H73" s="129"/>
      <c r="I73" s="129"/>
      <c r="J73" s="129"/>
      <c r="K73" s="129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>
      <c r="A74" s="106" t="s">
        <v>215</v>
      </c>
      <c r="B74" s="108"/>
      <c r="C74" s="110"/>
      <c r="D74" s="129"/>
      <c r="E74" s="129"/>
      <c r="F74" s="129"/>
      <c r="G74" s="129"/>
      <c r="H74" s="129"/>
      <c r="I74" s="129"/>
      <c r="J74" s="129"/>
      <c r="K74" s="129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>
      <c r="A75" s="106" t="s">
        <v>216</v>
      </c>
      <c r="B75" s="108"/>
      <c r="C75" s="110"/>
      <c r="D75" s="129"/>
      <c r="E75" s="129"/>
      <c r="F75" s="129"/>
      <c r="G75" s="129"/>
      <c r="H75" s="129"/>
      <c r="I75" s="129"/>
      <c r="J75" s="129"/>
      <c r="K75" s="129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>
      <c r="A76" s="106" t="s">
        <v>217</v>
      </c>
      <c r="B76" s="108"/>
      <c r="C76" s="110"/>
      <c r="D76" s="129"/>
      <c r="E76" s="129"/>
      <c r="F76" s="129"/>
      <c r="G76" s="129"/>
      <c r="H76" s="129"/>
      <c r="I76" s="129"/>
      <c r="J76" s="129"/>
      <c r="K76" s="129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>
      <c r="A77" s="106" t="s">
        <v>218</v>
      </c>
      <c r="B77" s="107"/>
      <c r="C77" s="110"/>
      <c r="D77" s="111"/>
      <c r="E77" s="111"/>
      <c r="F77" s="111"/>
      <c r="G77" s="111"/>
      <c r="H77" s="111"/>
      <c r="I77" s="111"/>
      <c r="J77" s="146"/>
      <c r="K77" s="147"/>
      <c r="L77" s="147"/>
      <c r="M77" s="147"/>
      <c r="N77" s="147"/>
      <c r="O77" s="147"/>
      <c r="P77" s="147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>
      <c r="A78" s="118" t="s">
        <v>219</v>
      </c>
      <c r="B78" s="136"/>
      <c r="C78" s="137"/>
      <c r="D78" s="116"/>
      <c r="E78" s="116"/>
      <c r="F78" s="116"/>
      <c r="G78" s="116"/>
      <c r="H78" s="116"/>
      <c r="I78" s="116"/>
      <c r="J78" s="103"/>
      <c r="K78" s="103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>
      <c r="A79" s="106"/>
      <c r="B79" s="107"/>
      <c r="C79" s="104"/>
      <c r="D79" s="103"/>
      <c r="E79" s="103"/>
      <c r="F79" s="103"/>
      <c r="G79" s="103"/>
      <c r="H79" s="103"/>
      <c r="I79" s="103"/>
      <c r="J79" s="103"/>
      <c r="K79" s="103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>
      <c r="A80" s="106" t="s">
        <v>220</v>
      </c>
      <c r="B80" s="95"/>
      <c r="C80" s="104"/>
      <c r="D80" s="103"/>
      <c r="E80" s="103"/>
      <c r="F80" s="103"/>
      <c r="G80" s="103"/>
      <c r="H80" s="103"/>
      <c r="I80" s="103"/>
      <c r="J80" s="103"/>
      <c r="K80" s="103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>
      <c r="A81" s="106" t="s">
        <v>221</v>
      </c>
      <c r="B81" s="95"/>
      <c r="C81" s="104"/>
      <c r="D81" s="103"/>
      <c r="E81" s="103"/>
      <c r="F81" s="103"/>
      <c r="G81" s="103"/>
      <c r="H81" s="103"/>
      <c r="I81" s="103"/>
      <c r="J81" s="103"/>
      <c r="K81" s="103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>
      <c r="A82" s="106"/>
      <c r="B82" s="95"/>
      <c r="C82" s="104"/>
      <c r="D82" s="103"/>
      <c r="E82" s="103"/>
      <c r="F82" s="103"/>
      <c r="G82" s="103"/>
      <c r="H82" s="103"/>
      <c r="I82" s="103"/>
      <c r="J82" s="103"/>
      <c r="K82" s="103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>
      <c r="A83" s="106" t="s">
        <v>222</v>
      </c>
      <c r="B83" s="95"/>
      <c r="C83" s="104"/>
      <c r="D83" s="103"/>
      <c r="E83" s="103"/>
      <c r="F83" s="103"/>
      <c r="G83" s="103"/>
      <c r="H83" s="103"/>
      <c r="I83" s="103"/>
      <c r="J83" s="103"/>
      <c r="K83" s="103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>
      <c r="A84" s="106" t="s">
        <v>223</v>
      </c>
      <c r="B84" s="95"/>
      <c r="C84" s="110"/>
      <c r="D84" s="103"/>
      <c r="E84" s="103"/>
      <c r="F84" s="103"/>
      <c r="G84" s="103"/>
      <c r="H84" s="103"/>
      <c r="I84" s="103"/>
      <c r="J84" s="103"/>
      <c r="K84" s="103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6.5" thickBot="1">
      <c r="A85" s="138" t="s">
        <v>224</v>
      </c>
      <c r="B85" s="139"/>
      <c r="C85" s="141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</sheetData>
  <pageMargins left="0.2" right="0.2" top="0.15" bottom="0.15" header="0.3" footer="0.3"/>
  <pageSetup scale="5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topLeftCell="A70" workbookViewId="0">
      <selection activeCell="K4" sqref="K4"/>
    </sheetView>
  </sheetViews>
  <sheetFormatPr defaultRowHeight="15"/>
  <cols>
    <col min="1" max="1" width="5" style="155" customWidth="1"/>
    <col min="2" max="2" width="72" customWidth="1"/>
    <col min="3" max="3" width="6.85546875" customWidth="1"/>
    <col min="4" max="4" width="18.7109375" style="209" customWidth="1"/>
    <col min="5" max="5" width="18.42578125" style="209" customWidth="1"/>
    <col min="6" max="6" width="14.7109375" style="209" customWidth="1"/>
    <col min="7" max="7" width="15.140625" style="209" customWidth="1"/>
    <col min="8" max="8" width="17.7109375" style="209" customWidth="1"/>
    <col min="9" max="9" width="14.7109375" style="209" customWidth="1"/>
  </cols>
  <sheetData>
    <row r="1" spans="1:9">
      <c r="B1" s="228" t="s">
        <v>148</v>
      </c>
      <c r="C1" s="209"/>
      <c r="E1" s="228"/>
      <c r="H1" s="265"/>
      <c r="I1" s="265" t="s">
        <v>444</v>
      </c>
    </row>
    <row r="2" spans="1:9">
      <c r="B2" s="228" t="s">
        <v>149</v>
      </c>
      <c r="C2" s="209"/>
      <c r="E2" s="228"/>
      <c r="H2" s="265"/>
      <c r="I2" s="265" t="s">
        <v>445</v>
      </c>
    </row>
    <row r="3" spans="1:9">
      <c r="B3" s="228" t="s">
        <v>375</v>
      </c>
      <c r="C3" s="209"/>
      <c r="E3" s="228"/>
      <c r="H3" s="265"/>
      <c r="I3" s="265" t="s">
        <v>448</v>
      </c>
    </row>
    <row r="4" spans="1:9" ht="15.75">
      <c r="A4" s="182"/>
      <c r="B4" s="267"/>
      <c r="C4" s="267"/>
      <c r="D4" s="267"/>
      <c r="E4" s="267"/>
      <c r="F4" s="233" t="s">
        <v>390</v>
      </c>
      <c r="G4" s="234"/>
      <c r="H4" s="232"/>
      <c r="I4" s="176"/>
    </row>
    <row r="5" spans="1:9" ht="15.75">
      <c r="A5" s="182"/>
      <c r="B5" s="176"/>
      <c r="C5" s="177"/>
      <c r="D5" s="178"/>
      <c r="E5" s="211"/>
      <c r="F5" s="182" t="s">
        <v>377</v>
      </c>
      <c r="G5" s="182" t="s">
        <v>378</v>
      </c>
      <c r="H5" s="180" t="s">
        <v>377</v>
      </c>
      <c r="I5" s="182" t="s">
        <v>295</v>
      </c>
    </row>
    <row r="6" spans="1:9" ht="15.75">
      <c r="A6" s="182"/>
      <c r="B6" s="176"/>
      <c r="C6" s="179"/>
      <c r="D6" s="182" t="s">
        <v>294</v>
      </c>
      <c r="E6" s="212" t="s">
        <v>294</v>
      </c>
      <c r="F6" s="182" t="s">
        <v>298</v>
      </c>
      <c r="G6" s="182" t="s">
        <v>379</v>
      </c>
      <c r="H6" s="182" t="s">
        <v>380</v>
      </c>
      <c r="I6" s="182" t="s">
        <v>386</v>
      </c>
    </row>
    <row r="7" spans="1:9" ht="15.75">
      <c r="A7" s="182"/>
      <c r="B7" s="176"/>
      <c r="C7" s="181"/>
      <c r="D7" s="182" t="s">
        <v>299</v>
      </c>
      <c r="E7" s="213" t="s">
        <v>297</v>
      </c>
      <c r="F7" s="182" t="s">
        <v>44</v>
      </c>
      <c r="G7" s="182" t="s">
        <v>296</v>
      </c>
      <c r="H7" s="180" t="s">
        <v>300</v>
      </c>
      <c r="I7" s="182" t="s">
        <v>387</v>
      </c>
    </row>
    <row r="8" spans="1:9" ht="15.75">
      <c r="A8" s="182" t="s">
        <v>16</v>
      </c>
      <c r="B8" s="183"/>
      <c r="C8" s="184" t="s">
        <v>35</v>
      </c>
      <c r="D8" s="182" t="s">
        <v>44</v>
      </c>
      <c r="E8" s="213" t="s">
        <v>300</v>
      </c>
      <c r="F8" s="182"/>
      <c r="G8" s="182" t="s">
        <v>44</v>
      </c>
      <c r="H8" s="180" t="s">
        <v>301</v>
      </c>
      <c r="I8" s="182" t="s">
        <v>148</v>
      </c>
    </row>
    <row r="9" spans="1:9" ht="15.75">
      <c r="A9" s="187" t="s">
        <v>17</v>
      </c>
      <c r="B9" s="185"/>
      <c r="C9" s="186" t="s">
        <v>17</v>
      </c>
      <c r="D9" s="187" t="s">
        <v>376</v>
      </c>
      <c r="E9" s="214" t="s">
        <v>389</v>
      </c>
      <c r="F9" s="187"/>
      <c r="G9" s="187"/>
      <c r="H9" s="215"/>
      <c r="I9" s="187"/>
    </row>
    <row r="10" spans="1:9" ht="15.75">
      <c r="A10" s="229" t="s">
        <v>25</v>
      </c>
      <c r="B10" s="229" t="s">
        <v>26</v>
      </c>
      <c r="C10" s="230" t="s">
        <v>27</v>
      </c>
      <c r="D10" s="229" t="s">
        <v>28</v>
      </c>
      <c r="E10" s="231" t="s">
        <v>29</v>
      </c>
      <c r="F10" s="229" t="s">
        <v>30</v>
      </c>
      <c r="G10" s="229" t="s">
        <v>302</v>
      </c>
      <c r="H10" s="229" t="s">
        <v>303</v>
      </c>
      <c r="I10" s="229" t="s">
        <v>388</v>
      </c>
    </row>
    <row r="11" spans="1:9" ht="15.75">
      <c r="A11" s="182">
        <v>1</v>
      </c>
      <c r="B11" s="189" t="s">
        <v>304</v>
      </c>
      <c r="C11" s="188"/>
      <c r="D11" s="190">
        <v>757510777</v>
      </c>
      <c r="E11" s="216">
        <v>31076643</v>
      </c>
      <c r="F11" s="210">
        <v>39356668</v>
      </c>
      <c r="G11" s="190">
        <v>757510777</v>
      </c>
      <c r="H11" s="190">
        <v>31076643</v>
      </c>
      <c r="I11" s="193">
        <f>H11-E11</f>
        <v>0</v>
      </c>
    </row>
    <row r="12" spans="1:9" ht="15.75">
      <c r="A12" s="182">
        <f>+A11+1</f>
        <v>2</v>
      </c>
      <c r="B12" s="191" t="s">
        <v>43</v>
      </c>
      <c r="C12" s="188"/>
      <c r="D12" s="192"/>
      <c r="E12" s="217"/>
      <c r="F12" s="192"/>
      <c r="G12" s="192"/>
      <c r="H12" s="192"/>
      <c r="I12" s="193"/>
    </row>
    <row r="13" spans="1:9" ht="15.75">
      <c r="A13" s="182">
        <f t="shared" ref="A13:A74" si="0">+A12+1</f>
        <v>3</v>
      </c>
      <c r="B13" s="180" t="s">
        <v>305</v>
      </c>
      <c r="C13" s="188"/>
      <c r="D13" s="192"/>
      <c r="E13" s="217"/>
      <c r="F13" s="192"/>
      <c r="G13" s="192"/>
      <c r="H13" s="192"/>
      <c r="I13" s="193"/>
    </row>
    <row r="14" spans="1:9" ht="15.75">
      <c r="A14" s="182">
        <f t="shared" si="0"/>
        <v>4</v>
      </c>
      <c r="B14" s="189" t="s">
        <v>306</v>
      </c>
      <c r="C14" s="188" t="s">
        <v>307</v>
      </c>
      <c r="D14" s="194">
        <v>0</v>
      </c>
      <c r="E14" s="218">
        <v>-3330000.45063928</v>
      </c>
      <c r="F14" s="194">
        <v>2065366</v>
      </c>
      <c r="G14" s="194">
        <f>'[2]Adj Summary'!K64</f>
        <v>0</v>
      </c>
      <c r="H14" s="190">
        <v>-3330000</v>
      </c>
      <c r="I14" s="193">
        <f t="shared" ref="I14:I20" si="1">H14-E14</f>
        <v>0.45063928002491593</v>
      </c>
    </row>
    <row r="15" spans="1:9" ht="15.75">
      <c r="A15" s="182">
        <f t="shared" si="0"/>
        <v>5</v>
      </c>
      <c r="B15" s="189" t="s">
        <v>308</v>
      </c>
      <c r="C15" s="188" t="s">
        <v>152</v>
      </c>
      <c r="D15" s="194">
        <v>0</v>
      </c>
      <c r="E15" s="218">
        <v>-11774350.482885374</v>
      </c>
      <c r="F15" s="194">
        <v>7302805</v>
      </c>
      <c r="G15" s="194">
        <f>'[2]Adj Summary'!L64</f>
        <v>0</v>
      </c>
      <c r="H15" s="190">
        <v>-11774350</v>
      </c>
      <c r="I15" s="193">
        <f t="shared" si="1"/>
        <v>0.48288537375628948</v>
      </c>
    </row>
    <row r="16" spans="1:9" ht="15.75">
      <c r="A16" s="182">
        <f t="shared" si="0"/>
        <v>6</v>
      </c>
      <c r="B16" s="189" t="s">
        <v>309</v>
      </c>
      <c r="C16" s="188" t="s">
        <v>310</v>
      </c>
      <c r="D16" s="194">
        <v>0</v>
      </c>
      <c r="E16" s="218">
        <v>-34776230.51771117</v>
      </c>
      <c r="F16" s="194">
        <v>21569261</v>
      </c>
      <c r="G16" s="194">
        <f>'[2]Adj Summary'!M64</f>
        <v>0</v>
      </c>
      <c r="H16" s="190">
        <v>-34776231</v>
      </c>
      <c r="I16" s="193">
        <f t="shared" si="1"/>
        <v>-0.48228882998228073</v>
      </c>
    </row>
    <row r="17" spans="1:9" ht="15.75">
      <c r="A17" s="182">
        <f t="shared" si="0"/>
        <v>7</v>
      </c>
      <c r="B17" s="189" t="s">
        <v>311</v>
      </c>
      <c r="C17" s="188" t="s">
        <v>312</v>
      </c>
      <c r="D17" s="194">
        <v>-1995224</v>
      </c>
      <c r="E17" s="218">
        <v>-935417.90116079303</v>
      </c>
      <c r="F17" s="194">
        <v>425744</v>
      </c>
      <c r="G17" s="194">
        <v>-1995224</v>
      </c>
      <c r="H17" s="190">
        <v>-935418</v>
      </c>
      <c r="I17" s="193">
        <f t="shared" si="1"/>
        <v>-9.88392069702968E-2</v>
      </c>
    </row>
    <row r="18" spans="1:9" ht="15.75">
      <c r="A18" s="182">
        <f t="shared" si="0"/>
        <v>8</v>
      </c>
      <c r="B18" s="189" t="s">
        <v>313</v>
      </c>
      <c r="C18" s="188" t="s">
        <v>314</v>
      </c>
      <c r="D18" s="194">
        <v>0</v>
      </c>
      <c r="E18" s="218">
        <v>8629073.3716639653</v>
      </c>
      <c r="F18" s="194">
        <v>-5352010</v>
      </c>
      <c r="G18" s="194">
        <f>D18</f>
        <v>0</v>
      </c>
      <c r="H18" s="190">
        <v>8629073</v>
      </c>
      <c r="I18" s="193">
        <f t="shared" si="1"/>
        <v>-0.37166396528482437</v>
      </c>
    </row>
    <row r="19" spans="1:9" ht="15.75">
      <c r="A19" s="182">
        <f t="shared" si="0"/>
        <v>9</v>
      </c>
      <c r="B19" s="189" t="s">
        <v>315</v>
      </c>
      <c r="C19" s="188" t="s">
        <v>153</v>
      </c>
      <c r="D19" s="194">
        <v>0</v>
      </c>
      <c r="E19" s="218">
        <v>-180985.05700269769</v>
      </c>
      <c r="F19" s="194">
        <v>112253</v>
      </c>
      <c r="G19" s="194">
        <f>D19</f>
        <v>0</v>
      </c>
      <c r="H19" s="190">
        <v>-180985</v>
      </c>
      <c r="I19" s="193">
        <f t="shared" si="1"/>
        <v>5.7002697692951187E-2</v>
      </c>
    </row>
    <row r="20" spans="1:9" ht="15.75">
      <c r="A20" s="182">
        <f t="shared" si="0"/>
        <v>10</v>
      </c>
      <c r="B20" s="189" t="s">
        <v>316</v>
      </c>
      <c r="C20" s="188" t="s">
        <v>154</v>
      </c>
      <c r="D20" s="194">
        <v>0</v>
      </c>
      <c r="E20" s="219">
        <v>1162560.6610030567</v>
      </c>
      <c r="F20" s="194">
        <v>-721055</v>
      </c>
      <c r="G20" s="194"/>
      <c r="H20" s="190">
        <v>1162561</v>
      </c>
      <c r="I20" s="193">
        <f t="shared" si="1"/>
        <v>0.33899694331921637</v>
      </c>
    </row>
    <row r="21" spans="1:9" ht="15.75">
      <c r="A21" s="182">
        <f t="shared" si="0"/>
        <v>11</v>
      </c>
      <c r="B21" s="189"/>
      <c r="C21" s="188"/>
      <c r="D21" s="194"/>
      <c r="E21" s="219"/>
      <c r="F21" s="194"/>
      <c r="G21" s="194"/>
      <c r="H21" s="190"/>
      <c r="I21" s="193"/>
    </row>
    <row r="22" spans="1:9" ht="15.75">
      <c r="A22" s="182">
        <f t="shared" si="0"/>
        <v>12</v>
      </c>
      <c r="B22" s="182" t="s">
        <v>317</v>
      </c>
      <c r="C22" s="184"/>
      <c r="D22" s="195"/>
      <c r="E22" s="219"/>
      <c r="F22" s="195"/>
      <c r="G22" s="195"/>
      <c r="H22" s="190"/>
      <c r="I22" s="193"/>
    </row>
    <row r="23" spans="1:9" ht="15.75">
      <c r="A23" s="182">
        <f t="shared" si="0"/>
        <v>13</v>
      </c>
      <c r="B23" s="196" t="s">
        <v>318</v>
      </c>
      <c r="C23" s="184" t="s">
        <v>155</v>
      </c>
      <c r="D23" s="194">
        <v>0</v>
      </c>
      <c r="E23" s="219">
        <v>-4188</v>
      </c>
      <c r="F23" s="194">
        <f>2598+45741</f>
        <v>48339</v>
      </c>
      <c r="G23" s="194">
        <f>'[2]Adj Summary'!R64</f>
        <v>0</v>
      </c>
      <c r="H23" s="190">
        <f>-4188+-73748</f>
        <v>-77936</v>
      </c>
      <c r="I23" s="193">
        <f t="shared" ref="I23:I48" si="2">H23-E23</f>
        <v>-73748</v>
      </c>
    </row>
    <row r="24" spans="1:9" ht="15.75">
      <c r="A24" s="182">
        <v>14</v>
      </c>
      <c r="B24" s="196" t="s">
        <v>381</v>
      </c>
      <c r="C24" s="184" t="s">
        <v>156</v>
      </c>
      <c r="D24" s="194">
        <v>0</v>
      </c>
      <c r="E24" s="219">
        <v>-114309</v>
      </c>
      <c r="F24" s="194">
        <v>182047</v>
      </c>
      <c r="G24" s="194">
        <v>0</v>
      </c>
      <c r="H24" s="220">
        <v>-293516</v>
      </c>
      <c r="I24" s="193">
        <f t="shared" si="2"/>
        <v>-179207</v>
      </c>
    </row>
    <row r="25" spans="1:9" ht="15.75">
      <c r="A25" s="182">
        <v>15</v>
      </c>
      <c r="B25" s="196" t="s">
        <v>319</v>
      </c>
      <c r="C25" s="184" t="s">
        <v>320</v>
      </c>
      <c r="D25" s="194">
        <v>0</v>
      </c>
      <c r="E25" s="219">
        <v>321340</v>
      </c>
      <c r="F25" s="194">
        <v>0</v>
      </c>
      <c r="G25" s="194" t="s">
        <v>234</v>
      </c>
      <c r="H25" s="190">
        <v>0</v>
      </c>
      <c r="I25" s="193">
        <f t="shared" si="2"/>
        <v>-321340</v>
      </c>
    </row>
    <row r="26" spans="1:9" ht="15.75">
      <c r="A26" s="182">
        <v>16</v>
      </c>
      <c r="B26" s="196" t="s">
        <v>230</v>
      </c>
      <c r="C26" s="184" t="s">
        <v>231</v>
      </c>
      <c r="D26" s="194">
        <v>7282596</v>
      </c>
      <c r="E26" s="219">
        <v>-256735</v>
      </c>
      <c r="F26" s="194">
        <f>722908+337237</f>
        <v>1060145</v>
      </c>
      <c r="G26" s="194">
        <v>7282596</v>
      </c>
      <c r="H26" s="190">
        <f>-256735+-543729</f>
        <v>-800464</v>
      </c>
      <c r="I26" s="193">
        <f t="shared" si="2"/>
        <v>-543729</v>
      </c>
    </row>
    <row r="27" spans="1:9" ht="15.75">
      <c r="A27" s="182">
        <v>17</v>
      </c>
      <c r="B27" s="196" t="s">
        <v>321</v>
      </c>
      <c r="C27" s="184" t="s">
        <v>235</v>
      </c>
      <c r="D27" s="194">
        <v>56245</v>
      </c>
      <c r="E27" s="219">
        <v>105719</v>
      </c>
      <c r="F27" s="194">
        <v>423202</v>
      </c>
      <c r="G27" s="194">
        <v>56245</v>
      </c>
      <c r="H27" s="190">
        <v>-675312</v>
      </c>
      <c r="I27" s="193">
        <f t="shared" si="2"/>
        <v>-781031</v>
      </c>
    </row>
    <row r="28" spans="1:9" ht="15.75">
      <c r="A28" s="182">
        <v>18</v>
      </c>
      <c r="B28" s="196" t="s">
        <v>322</v>
      </c>
      <c r="C28" s="184" t="s">
        <v>323</v>
      </c>
      <c r="D28" s="194">
        <v>-1087280</v>
      </c>
      <c r="E28" s="219">
        <v>-188566</v>
      </c>
      <c r="F28" s="194">
        <v>32799</v>
      </c>
      <c r="G28" s="194">
        <v>-1087280</v>
      </c>
      <c r="H28" s="190">
        <v>-188566</v>
      </c>
      <c r="I28" s="193">
        <f t="shared" si="2"/>
        <v>0</v>
      </c>
    </row>
    <row r="29" spans="1:9" ht="15.75">
      <c r="A29" s="182">
        <f t="shared" si="0"/>
        <v>19</v>
      </c>
      <c r="B29" s="196" t="s">
        <v>324</v>
      </c>
      <c r="C29" s="184" t="s">
        <v>257</v>
      </c>
      <c r="D29" s="194">
        <v>0</v>
      </c>
      <c r="E29" s="219">
        <v>-1151290</v>
      </c>
      <c r="F29" s="194">
        <f>714065+42215</f>
        <v>756280</v>
      </c>
      <c r="G29" s="194">
        <f>'[2]Adj Summary'!X64</f>
        <v>0</v>
      </c>
      <c r="H29" s="190">
        <f>-1151290+-68064</f>
        <v>-1219354</v>
      </c>
      <c r="I29" s="193">
        <f t="shared" si="2"/>
        <v>-68064</v>
      </c>
    </row>
    <row r="30" spans="1:9" ht="15.75">
      <c r="A30" s="182">
        <v>20</v>
      </c>
      <c r="B30" s="176" t="s">
        <v>325</v>
      </c>
      <c r="C30" s="184" t="s">
        <v>326</v>
      </c>
      <c r="D30" s="194">
        <v>0</v>
      </c>
      <c r="E30" s="219">
        <v>3845</v>
      </c>
      <c r="F30" s="194">
        <v>-2385</v>
      </c>
      <c r="G30" s="194">
        <f>'[2]Adj Summary'!Y64</f>
        <v>0</v>
      </c>
      <c r="H30" s="190">
        <v>3845</v>
      </c>
      <c r="I30" s="193">
        <f t="shared" si="2"/>
        <v>0</v>
      </c>
    </row>
    <row r="31" spans="1:9" ht="15.75">
      <c r="A31" s="182">
        <v>21</v>
      </c>
      <c r="B31" s="176" t="s">
        <v>327</v>
      </c>
      <c r="C31" s="184" t="s">
        <v>328</v>
      </c>
      <c r="D31" s="194">
        <v>-79631</v>
      </c>
      <c r="E31" s="219">
        <v>-158988</v>
      </c>
      <c r="F31" s="194">
        <v>92445</v>
      </c>
      <c r="G31" s="221">
        <v>-79631</v>
      </c>
      <c r="H31" s="190">
        <v>-158988</v>
      </c>
      <c r="I31" s="193">
        <f t="shared" si="2"/>
        <v>0</v>
      </c>
    </row>
    <row r="32" spans="1:9" ht="15.75">
      <c r="A32" s="182">
        <v>22</v>
      </c>
      <c r="B32" s="176" t="s">
        <v>329</v>
      </c>
      <c r="C32" s="184" t="s">
        <v>258</v>
      </c>
      <c r="D32" s="194">
        <v>0</v>
      </c>
      <c r="E32" s="219">
        <v>-15105</v>
      </c>
      <c r="F32" s="194">
        <f>9369+88974</f>
        <v>98343</v>
      </c>
      <c r="G32" s="221">
        <f>'[2]Adj Summary'!AA64</f>
        <v>0</v>
      </c>
      <c r="H32" s="190">
        <f>-15105+-143453</f>
        <v>-158558</v>
      </c>
      <c r="I32" s="193">
        <f t="shared" si="2"/>
        <v>-143453</v>
      </c>
    </row>
    <row r="33" spans="1:9" ht="15.75">
      <c r="A33" s="182">
        <v>23</v>
      </c>
      <c r="B33" s="176" t="s">
        <v>384</v>
      </c>
      <c r="C33" s="184" t="s">
        <v>157</v>
      </c>
      <c r="D33" s="194">
        <v>0</v>
      </c>
      <c r="E33" s="219">
        <v>511530</v>
      </c>
      <c r="F33" s="194">
        <v>0</v>
      </c>
      <c r="G33" s="221">
        <f>'[2]Adj Summary'!AB64</f>
        <v>0</v>
      </c>
      <c r="H33" s="190">
        <v>0</v>
      </c>
      <c r="I33" s="193">
        <f t="shared" si="2"/>
        <v>-511530</v>
      </c>
    </row>
    <row r="34" spans="1:9" ht="15.75">
      <c r="A34" s="182">
        <v>24</v>
      </c>
      <c r="B34" s="176" t="s">
        <v>259</v>
      </c>
      <c r="C34" s="184" t="s">
        <v>260</v>
      </c>
      <c r="D34" s="194">
        <v>0</v>
      </c>
      <c r="E34" s="219">
        <v>45636</v>
      </c>
      <c r="F34" s="194">
        <f>-28305+787</f>
        <v>-27518</v>
      </c>
      <c r="G34" s="221">
        <f>'[2]Adj Summary'!AB65</f>
        <v>0</v>
      </c>
      <c r="H34" s="190">
        <f>45636+-1268</f>
        <v>44368</v>
      </c>
      <c r="I34" s="193">
        <f t="shared" si="2"/>
        <v>-1268</v>
      </c>
    </row>
    <row r="35" spans="1:9" ht="15.75">
      <c r="A35" s="182">
        <v>25</v>
      </c>
      <c r="B35" s="176" t="s">
        <v>330</v>
      </c>
      <c r="C35" s="184" t="s">
        <v>267</v>
      </c>
      <c r="D35" s="194">
        <v>0</v>
      </c>
      <c r="E35" s="219">
        <v>1428</v>
      </c>
      <c r="F35" s="194">
        <f>-886+19860</f>
        <v>18974</v>
      </c>
      <c r="G35" s="221">
        <f>'[2]Adj Summary'!AB66</f>
        <v>0</v>
      </c>
      <c r="H35" s="190">
        <f>1428+-32021</f>
        <v>-30593</v>
      </c>
      <c r="I35" s="193">
        <f t="shared" si="2"/>
        <v>-32021</v>
      </c>
    </row>
    <row r="36" spans="1:9" ht="15.75">
      <c r="A36" s="182">
        <v>26</v>
      </c>
      <c r="B36" s="196" t="s">
        <v>331</v>
      </c>
      <c r="C36" s="184" t="s">
        <v>284</v>
      </c>
      <c r="D36" s="194">
        <v>0</v>
      </c>
      <c r="E36" s="219">
        <v>0</v>
      </c>
      <c r="F36" s="194">
        <v>0</v>
      </c>
      <c r="G36" s="221">
        <f>'[2]Adj Summary'!AB67</f>
        <v>0</v>
      </c>
      <c r="H36" s="190">
        <v>0</v>
      </c>
      <c r="I36" s="193">
        <f t="shared" si="2"/>
        <v>0</v>
      </c>
    </row>
    <row r="37" spans="1:9" ht="15.75">
      <c r="A37" s="182">
        <v>33</v>
      </c>
      <c r="B37" s="196" t="s">
        <v>66</v>
      </c>
      <c r="C37" s="184" t="s">
        <v>284</v>
      </c>
      <c r="D37" s="194">
        <v>0</v>
      </c>
      <c r="E37" s="219">
        <v>0</v>
      </c>
      <c r="F37" s="194">
        <v>42621</v>
      </c>
      <c r="G37" s="221">
        <v>65571</v>
      </c>
      <c r="H37" s="190">
        <v>-60536</v>
      </c>
      <c r="I37" s="193">
        <f t="shared" si="2"/>
        <v>-60536</v>
      </c>
    </row>
    <row r="38" spans="1:9" ht="15.75">
      <c r="A38" s="182">
        <v>34</v>
      </c>
      <c r="B38" s="196" t="s">
        <v>332</v>
      </c>
      <c r="C38" s="184" t="s">
        <v>285</v>
      </c>
      <c r="D38" s="194">
        <v>0</v>
      </c>
      <c r="E38" s="219">
        <v>0</v>
      </c>
      <c r="F38" s="194">
        <v>14597</v>
      </c>
      <c r="G38" s="221">
        <v>0</v>
      </c>
      <c r="H38" s="190">
        <v>-23535</v>
      </c>
      <c r="I38" s="193">
        <f t="shared" si="2"/>
        <v>-23535</v>
      </c>
    </row>
    <row r="39" spans="1:9" ht="15.75">
      <c r="A39" s="182">
        <v>35</v>
      </c>
      <c r="B39" s="196" t="s">
        <v>333</v>
      </c>
      <c r="C39" s="184" t="s">
        <v>286</v>
      </c>
      <c r="D39" s="194">
        <v>0</v>
      </c>
      <c r="E39" s="219">
        <v>0</v>
      </c>
      <c r="F39" s="194">
        <v>824304</v>
      </c>
      <c r="G39" s="221">
        <v>0</v>
      </c>
      <c r="H39" s="190">
        <v>-1329030</v>
      </c>
      <c r="I39" s="193">
        <f t="shared" si="2"/>
        <v>-1329030</v>
      </c>
    </row>
    <row r="40" spans="1:9" ht="15.75">
      <c r="A40" s="182">
        <v>36</v>
      </c>
      <c r="B40" s="196"/>
      <c r="C40" s="184"/>
      <c r="D40" s="194"/>
      <c r="E40" s="219"/>
      <c r="F40" s="194">
        <v>0</v>
      </c>
      <c r="G40" s="221"/>
      <c r="H40" s="190"/>
      <c r="I40" s="193">
        <f t="shared" si="2"/>
        <v>0</v>
      </c>
    </row>
    <row r="41" spans="1:9" ht="15.75">
      <c r="A41" s="182">
        <v>37</v>
      </c>
      <c r="B41" s="182" t="s">
        <v>334</v>
      </c>
      <c r="C41" s="184"/>
      <c r="D41" s="195"/>
      <c r="E41" s="219"/>
      <c r="F41" s="194"/>
      <c r="G41" s="195"/>
      <c r="H41" s="190"/>
      <c r="I41" s="193">
        <f t="shared" si="2"/>
        <v>0</v>
      </c>
    </row>
    <row r="42" spans="1:9" ht="15.75">
      <c r="A42" s="182">
        <v>38</v>
      </c>
      <c r="B42" s="196" t="s">
        <v>335</v>
      </c>
      <c r="C42" s="184">
        <v>5.0999999999999996</v>
      </c>
      <c r="D42" s="194">
        <v>0</v>
      </c>
      <c r="E42" s="219">
        <v>-1708024</v>
      </c>
      <c r="F42" s="194">
        <v>1059367</v>
      </c>
      <c r="G42" s="194">
        <f>'[2]Adj Summary'!AF64</f>
        <v>0</v>
      </c>
      <c r="H42" s="190">
        <v>-1708024</v>
      </c>
      <c r="I42" s="193">
        <f t="shared" si="2"/>
        <v>0</v>
      </c>
    </row>
    <row r="43" spans="1:9" ht="15.75">
      <c r="A43" s="182">
        <v>39</v>
      </c>
      <c r="B43" s="196" t="s">
        <v>336</v>
      </c>
      <c r="C43" s="184" t="s">
        <v>158</v>
      </c>
      <c r="D43" s="194">
        <v>0</v>
      </c>
      <c r="E43" s="219">
        <v>21470157</v>
      </c>
      <c r="F43" s="194">
        <v>-13316436</v>
      </c>
      <c r="G43" s="194">
        <v>0</v>
      </c>
      <c r="H43" s="190">
        <v>21470157</v>
      </c>
      <c r="I43" s="193">
        <f t="shared" si="2"/>
        <v>0</v>
      </c>
    </row>
    <row r="44" spans="1:9" ht="15.75">
      <c r="A44" s="182">
        <v>40</v>
      </c>
      <c r="B44" s="196" t="s">
        <v>337</v>
      </c>
      <c r="C44" s="184" t="s">
        <v>338</v>
      </c>
      <c r="D44" s="194">
        <v>0</v>
      </c>
      <c r="E44" s="219">
        <v>-1153360</v>
      </c>
      <c r="F44" s="194">
        <v>715349</v>
      </c>
      <c r="G44" s="194">
        <f>'[2]Adj Summary'!AH64</f>
        <v>0</v>
      </c>
      <c r="H44" s="190">
        <v>-1153360</v>
      </c>
      <c r="I44" s="193">
        <f t="shared" si="2"/>
        <v>0</v>
      </c>
    </row>
    <row r="45" spans="1:9" ht="15.75">
      <c r="A45" s="182">
        <f t="shared" si="0"/>
        <v>41</v>
      </c>
      <c r="B45" s="196" t="s">
        <v>339</v>
      </c>
      <c r="C45" s="184" t="s">
        <v>340</v>
      </c>
      <c r="D45" s="194">
        <v>0</v>
      </c>
      <c r="E45" s="219">
        <v>9195374</v>
      </c>
      <c r="F45" s="194">
        <v>-5703247</v>
      </c>
      <c r="G45" s="194">
        <f>'[2]Adj Summary'!AI64</f>
        <v>0</v>
      </c>
      <c r="H45" s="190">
        <v>9195374</v>
      </c>
      <c r="I45" s="193">
        <f t="shared" si="2"/>
        <v>0</v>
      </c>
    </row>
    <row r="46" spans="1:9" ht="15.75">
      <c r="A46" s="182">
        <f t="shared" si="0"/>
        <v>42</v>
      </c>
      <c r="B46" s="176" t="s">
        <v>341</v>
      </c>
      <c r="C46" s="184" t="s">
        <v>342</v>
      </c>
      <c r="D46" s="194">
        <v>-8629459</v>
      </c>
      <c r="E46" s="219">
        <v>-1569125</v>
      </c>
      <c r="F46" s="194">
        <v>305298</v>
      </c>
      <c r="G46" s="194">
        <v>-8629459</v>
      </c>
      <c r="H46" s="190">
        <v>-1569125</v>
      </c>
      <c r="I46" s="193">
        <f t="shared" si="2"/>
        <v>0</v>
      </c>
    </row>
    <row r="47" spans="1:9" ht="15.75">
      <c r="A47" s="182">
        <f t="shared" si="0"/>
        <v>43</v>
      </c>
      <c r="B47" s="196"/>
      <c r="C47" s="184"/>
      <c r="D47" s="176"/>
      <c r="E47" s="219"/>
      <c r="F47" s="194"/>
      <c r="G47" s="176"/>
      <c r="H47" s="190"/>
      <c r="I47" s="193">
        <f t="shared" si="2"/>
        <v>0</v>
      </c>
    </row>
    <row r="48" spans="1:9" ht="15.75">
      <c r="A48" s="182">
        <f t="shared" si="0"/>
        <v>44</v>
      </c>
      <c r="B48" s="182" t="s">
        <v>343</v>
      </c>
      <c r="C48" s="184"/>
      <c r="D48" s="176"/>
      <c r="E48" s="219"/>
      <c r="F48" s="194"/>
      <c r="G48" s="176"/>
      <c r="H48" s="190"/>
      <c r="I48" s="193">
        <f t="shared" si="2"/>
        <v>0</v>
      </c>
    </row>
    <row r="49" spans="1:10" ht="15.75">
      <c r="A49" s="182">
        <f t="shared" si="0"/>
        <v>45</v>
      </c>
      <c r="B49" s="196" t="s">
        <v>344</v>
      </c>
      <c r="C49" s="184" t="s">
        <v>345</v>
      </c>
      <c r="D49" s="194">
        <v>273210</v>
      </c>
      <c r="E49" s="219">
        <v>160794</v>
      </c>
      <c r="F49" s="194">
        <v>-78583</v>
      </c>
      <c r="G49" s="194">
        <v>273210</v>
      </c>
      <c r="H49" s="190">
        <v>160794</v>
      </c>
      <c r="I49" s="193">
        <f t="shared" ref="I49:I76" si="3">H49-E49</f>
        <v>0</v>
      </c>
    </row>
    <row r="50" spans="1:10" ht="15.75">
      <c r="A50" s="182">
        <f t="shared" si="0"/>
        <v>46</v>
      </c>
      <c r="B50" s="196"/>
      <c r="C50" s="184"/>
      <c r="D50" s="195"/>
      <c r="E50" s="219"/>
      <c r="F50" s="194"/>
      <c r="G50" s="195"/>
      <c r="H50" s="190"/>
      <c r="I50" s="193">
        <f t="shared" si="3"/>
        <v>0</v>
      </c>
    </row>
    <row r="51" spans="1:10" ht="15.75">
      <c r="A51" s="182">
        <f t="shared" si="0"/>
        <v>47</v>
      </c>
      <c r="B51" s="182" t="s">
        <v>346</v>
      </c>
      <c r="C51" s="184"/>
      <c r="D51" s="195"/>
      <c r="E51" s="219"/>
      <c r="F51" s="194"/>
      <c r="G51" s="195"/>
      <c r="H51" s="190"/>
      <c r="I51" s="193">
        <f t="shared" si="3"/>
        <v>0</v>
      </c>
    </row>
    <row r="52" spans="1:10" ht="15.75">
      <c r="A52" s="182">
        <f t="shared" si="0"/>
        <v>48</v>
      </c>
      <c r="B52" s="196" t="s">
        <v>347</v>
      </c>
      <c r="C52" s="184">
        <v>7.1</v>
      </c>
      <c r="D52" s="194">
        <v>0</v>
      </c>
      <c r="E52" s="219">
        <v>613792</v>
      </c>
      <c r="F52" s="194">
        <v>-380692</v>
      </c>
      <c r="G52" s="194"/>
      <c r="H52" s="190">
        <v>613792</v>
      </c>
      <c r="I52" s="193">
        <f t="shared" si="3"/>
        <v>0</v>
      </c>
      <c r="J52" t="s">
        <v>421</v>
      </c>
    </row>
    <row r="53" spans="1:10" ht="15.75">
      <c r="A53" s="182">
        <f t="shared" si="0"/>
        <v>49</v>
      </c>
      <c r="B53" s="196" t="s">
        <v>348</v>
      </c>
      <c r="C53" s="184">
        <v>7.2</v>
      </c>
      <c r="D53" s="194">
        <v>0</v>
      </c>
      <c r="E53" s="219">
        <v>-1268507</v>
      </c>
      <c r="F53" s="194">
        <v>786766</v>
      </c>
      <c r="G53" s="194"/>
      <c r="H53" s="190">
        <v>-1268507</v>
      </c>
      <c r="I53" s="193">
        <f t="shared" si="3"/>
        <v>0</v>
      </c>
    </row>
    <row r="54" spans="1:10" ht="15.75">
      <c r="A54" s="182">
        <f t="shared" si="0"/>
        <v>50</v>
      </c>
      <c r="B54" s="196" t="s">
        <v>349</v>
      </c>
      <c r="C54" s="184">
        <v>7.3</v>
      </c>
      <c r="D54" s="194">
        <v>-222585</v>
      </c>
      <c r="E54" s="219">
        <v>-506275</v>
      </c>
      <c r="F54" s="194">
        <v>296779</v>
      </c>
      <c r="G54" s="194">
        <f>D54</f>
        <v>-222585</v>
      </c>
      <c r="H54" s="190">
        <v>-506275</v>
      </c>
      <c r="I54" s="193">
        <f t="shared" si="3"/>
        <v>0</v>
      </c>
    </row>
    <row r="55" spans="1:10" ht="15.75">
      <c r="A55" s="182">
        <f t="shared" si="0"/>
        <v>51</v>
      </c>
      <c r="B55" s="196" t="s">
        <v>350</v>
      </c>
      <c r="C55" s="184">
        <v>7.4</v>
      </c>
      <c r="D55" s="194">
        <v>0</v>
      </c>
      <c r="E55" s="219">
        <v>1825320</v>
      </c>
      <c r="F55" s="194">
        <v>-1132118</v>
      </c>
      <c r="G55" s="194">
        <f t="shared" ref="G55:G67" si="4">D55</f>
        <v>0</v>
      </c>
      <c r="H55" s="190">
        <v>1825320</v>
      </c>
      <c r="I55" s="193">
        <f t="shared" si="3"/>
        <v>0</v>
      </c>
    </row>
    <row r="56" spans="1:10" ht="15.75">
      <c r="A56" s="182">
        <f t="shared" si="0"/>
        <v>52</v>
      </c>
      <c r="B56" s="196" t="s">
        <v>351</v>
      </c>
      <c r="C56" s="184">
        <v>7.5</v>
      </c>
      <c r="D56" s="194">
        <v>0</v>
      </c>
      <c r="E56" s="219">
        <v>-134997</v>
      </c>
      <c r="F56" s="194">
        <v>83729</v>
      </c>
      <c r="G56" s="194">
        <f t="shared" si="4"/>
        <v>0</v>
      </c>
      <c r="H56" s="190">
        <v>-134997</v>
      </c>
      <c r="I56" s="193">
        <f t="shared" si="3"/>
        <v>0</v>
      </c>
    </row>
    <row r="57" spans="1:10" ht="15.75">
      <c r="A57" s="182">
        <f t="shared" si="0"/>
        <v>53</v>
      </c>
      <c r="B57" s="176" t="s">
        <v>352</v>
      </c>
      <c r="C57" s="184">
        <v>7.6</v>
      </c>
      <c r="D57" s="194">
        <v>-2089738</v>
      </c>
      <c r="E57" s="219">
        <v>-260783</v>
      </c>
      <c r="F57" s="194">
        <v>0</v>
      </c>
      <c r="G57" s="194">
        <f t="shared" si="4"/>
        <v>-2089738</v>
      </c>
      <c r="H57" s="190">
        <v>-260783</v>
      </c>
      <c r="I57" s="193">
        <f t="shared" si="3"/>
        <v>0</v>
      </c>
    </row>
    <row r="58" spans="1:10" ht="15.75">
      <c r="A58" s="182">
        <f t="shared" si="0"/>
        <v>54</v>
      </c>
      <c r="B58" s="176" t="s">
        <v>353</v>
      </c>
      <c r="C58" s="184" t="s">
        <v>354</v>
      </c>
      <c r="D58" s="194"/>
      <c r="E58" s="218">
        <v>639027</v>
      </c>
      <c r="F58" s="194">
        <v>-396343</v>
      </c>
      <c r="G58" s="194">
        <f t="shared" si="4"/>
        <v>0</v>
      </c>
      <c r="H58" s="190">
        <v>639027</v>
      </c>
      <c r="I58" s="193">
        <f t="shared" si="3"/>
        <v>0</v>
      </c>
    </row>
    <row r="59" spans="1:10" ht="15.75">
      <c r="A59" s="182">
        <f t="shared" si="0"/>
        <v>55</v>
      </c>
      <c r="B59" s="196" t="s">
        <v>355</v>
      </c>
      <c r="C59" s="184" t="s">
        <v>356</v>
      </c>
      <c r="D59" s="194">
        <v>953690</v>
      </c>
      <c r="E59" s="219">
        <v>-2907830</v>
      </c>
      <c r="F59" s="194">
        <v>1877339</v>
      </c>
      <c r="G59" s="194">
        <f t="shared" si="4"/>
        <v>953690</v>
      </c>
      <c r="H59" s="190">
        <v>-2907830</v>
      </c>
      <c r="I59" s="193">
        <f t="shared" si="3"/>
        <v>0</v>
      </c>
    </row>
    <row r="60" spans="1:10" ht="15.75">
      <c r="A60" s="182">
        <f t="shared" si="0"/>
        <v>56</v>
      </c>
      <c r="B60" s="176" t="s">
        <v>357</v>
      </c>
      <c r="C60" s="184">
        <v>7.8</v>
      </c>
      <c r="D60" s="194">
        <v>-773349</v>
      </c>
      <c r="E60" s="219">
        <v>-62790</v>
      </c>
      <c r="F60" s="194">
        <v>-20913</v>
      </c>
      <c r="G60" s="194">
        <f t="shared" si="4"/>
        <v>-773349</v>
      </c>
      <c r="H60" s="190">
        <v>-62790</v>
      </c>
      <c r="I60" s="193">
        <f t="shared" si="3"/>
        <v>0</v>
      </c>
    </row>
    <row r="61" spans="1:10" ht="15.75">
      <c r="A61" s="182">
        <f t="shared" si="0"/>
        <v>57</v>
      </c>
      <c r="B61" s="196"/>
      <c r="C61" s="184"/>
      <c r="D61" s="194"/>
      <c r="E61" s="219"/>
      <c r="F61" s="194">
        <v>0</v>
      </c>
      <c r="G61" s="194">
        <f t="shared" si="4"/>
        <v>0</v>
      </c>
      <c r="H61" s="190"/>
      <c r="I61" s="193">
        <f t="shared" si="3"/>
        <v>0</v>
      </c>
    </row>
    <row r="62" spans="1:10" ht="15.75">
      <c r="A62" s="182">
        <f t="shared" si="0"/>
        <v>58</v>
      </c>
      <c r="B62" s="182" t="s">
        <v>358</v>
      </c>
      <c r="C62" s="184"/>
      <c r="D62" s="194"/>
      <c r="E62" s="219"/>
      <c r="F62" s="194">
        <v>0</v>
      </c>
      <c r="G62" s="194">
        <f t="shared" si="4"/>
        <v>0</v>
      </c>
      <c r="H62" s="190"/>
      <c r="I62" s="193">
        <f t="shared" si="3"/>
        <v>0</v>
      </c>
    </row>
    <row r="63" spans="1:10" ht="15.75">
      <c r="A63" s="182">
        <f t="shared" si="0"/>
        <v>59</v>
      </c>
      <c r="B63" s="189" t="s">
        <v>206</v>
      </c>
      <c r="C63" s="184">
        <v>8.1</v>
      </c>
      <c r="D63" s="194">
        <v>-3291206</v>
      </c>
      <c r="E63" s="219">
        <v>-400160</v>
      </c>
      <c r="F63" s="194">
        <v>-6548</v>
      </c>
      <c r="G63" s="194">
        <f t="shared" si="4"/>
        <v>-3291206</v>
      </c>
      <c r="H63" s="190">
        <v>-400160</v>
      </c>
      <c r="I63" s="193">
        <f t="shared" si="3"/>
        <v>0</v>
      </c>
    </row>
    <row r="64" spans="1:10" ht="15.75">
      <c r="A64" s="182">
        <f t="shared" si="0"/>
        <v>60</v>
      </c>
      <c r="B64" s="196" t="s">
        <v>359</v>
      </c>
      <c r="C64" s="184">
        <v>8.1999999999999993</v>
      </c>
      <c r="D64" s="194">
        <v>32582683</v>
      </c>
      <c r="E64" s="219">
        <v>4066072</v>
      </c>
      <c r="F64" s="194"/>
      <c r="G64" s="194">
        <f t="shared" si="4"/>
        <v>32582683</v>
      </c>
      <c r="H64" s="190">
        <v>4066072</v>
      </c>
      <c r="I64" s="193">
        <f t="shared" si="3"/>
        <v>0</v>
      </c>
    </row>
    <row r="65" spans="1:9" ht="15.75">
      <c r="A65" s="182">
        <f t="shared" si="0"/>
        <v>61</v>
      </c>
      <c r="B65" s="196" t="s">
        <v>360</v>
      </c>
      <c r="C65" s="184">
        <v>8.3000000000000007</v>
      </c>
      <c r="D65" s="194">
        <v>-97121</v>
      </c>
      <c r="E65" s="219">
        <v>342726</v>
      </c>
      <c r="F65" s="194">
        <v>-220086</v>
      </c>
      <c r="G65" s="194">
        <f t="shared" si="4"/>
        <v>-97121</v>
      </c>
      <c r="H65" s="190">
        <v>342726</v>
      </c>
      <c r="I65" s="193">
        <f t="shared" si="3"/>
        <v>0</v>
      </c>
    </row>
    <row r="66" spans="1:9" ht="15.75">
      <c r="A66" s="182">
        <f t="shared" si="0"/>
        <v>62</v>
      </c>
      <c r="B66" s="196" t="s">
        <v>361</v>
      </c>
      <c r="C66" s="184">
        <v>8.4</v>
      </c>
      <c r="D66" s="194">
        <v>-293988</v>
      </c>
      <c r="E66" s="219">
        <v>-36687</v>
      </c>
      <c r="F66" s="194"/>
      <c r="G66" s="194">
        <f t="shared" si="4"/>
        <v>-293988</v>
      </c>
      <c r="H66" s="190">
        <v>-36687</v>
      </c>
      <c r="I66" s="193">
        <f t="shared" si="3"/>
        <v>0</v>
      </c>
    </row>
    <row r="67" spans="1:9" ht="15.75">
      <c r="A67" s="182">
        <f t="shared" si="0"/>
        <v>63</v>
      </c>
      <c r="B67" s="196" t="s">
        <v>362</v>
      </c>
      <c r="C67" s="184">
        <v>8.5</v>
      </c>
      <c r="D67" s="194">
        <v>-423016</v>
      </c>
      <c r="E67" s="219">
        <v>-81795</v>
      </c>
      <c r="F67" s="194">
        <v>17991</v>
      </c>
      <c r="G67" s="194">
        <f t="shared" si="4"/>
        <v>-423016</v>
      </c>
      <c r="H67" s="190">
        <v>-81795</v>
      </c>
      <c r="I67" s="193">
        <f t="shared" si="3"/>
        <v>0</v>
      </c>
    </row>
    <row r="68" spans="1:9" ht="15.75">
      <c r="A68" s="182">
        <f t="shared" si="0"/>
        <v>64</v>
      </c>
      <c r="B68" s="189" t="s">
        <v>363</v>
      </c>
      <c r="C68" s="184">
        <v>8.6</v>
      </c>
      <c r="D68" s="194">
        <v>-17300211</v>
      </c>
      <c r="E68" s="222">
        <v>-2158935</v>
      </c>
      <c r="F68" s="194"/>
      <c r="G68" s="194">
        <v>-17300211</v>
      </c>
      <c r="H68" s="190">
        <v>-2158935</v>
      </c>
      <c r="I68" s="193">
        <f t="shared" si="3"/>
        <v>0</v>
      </c>
    </row>
    <row r="69" spans="1:9" ht="15.75">
      <c r="A69" s="182">
        <f t="shared" si="0"/>
        <v>65</v>
      </c>
      <c r="B69" s="189" t="s">
        <v>364</v>
      </c>
      <c r="C69" s="184" t="s">
        <v>365</v>
      </c>
      <c r="D69" s="194">
        <v>-3225576</v>
      </c>
      <c r="E69" s="222">
        <v>-402527</v>
      </c>
      <c r="F69" s="194"/>
      <c r="G69" s="194">
        <v>-3225576</v>
      </c>
      <c r="H69" s="190">
        <v>-402527</v>
      </c>
      <c r="I69" s="193">
        <f t="shared" si="3"/>
        <v>0</v>
      </c>
    </row>
    <row r="70" spans="1:9" ht="15.75">
      <c r="A70" s="182">
        <f t="shared" si="0"/>
        <v>66</v>
      </c>
      <c r="B70" s="189" t="s">
        <v>364</v>
      </c>
      <c r="C70" s="182" t="s">
        <v>366</v>
      </c>
      <c r="D70" s="194">
        <v>0</v>
      </c>
      <c r="E70" s="223">
        <v>115739</v>
      </c>
      <c r="F70" s="194">
        <v>-71785</v>
      </c>
      <c r="G70" s="194"/>
      <c r="H70" s="190">
        <v>115739</v>
      </c>
      <c r="I70" s="193">
        <f t="shared" si="3"/>
        <v>0</v>
      </c>
    </row>
    <row r="71" spans="1:9" ht="15.75">
      <c r="A71" s="182">
        <f t="shared" si="0"/>
        <v>67</v>
      </c>
      <c r="B71" s="189" t="s">
        <v>367</v>
      </c>
      <c r="C71" s="184">
        <v>8.6999999999999993</v>
      </c>
      <c r="D71" s="194">
        <v>-315733</v>
      </c>
      <c r="E71" s="219">
        <v>-522296</v>
      </c>
      <c r="F71" s="194">
        <v>299506</v>
      </c>
      <c r="G71" s="194">
        <f t="shared" ref="G71:G76" si="5">D71</f>
        <v>-315733</v>
      </c>
      <c r="H71" s="190">
        <v>-522296</v>
      </c>
      <c r="I71" s="193">
        <f t="shared" si="3"/>
        <v>0</v>
      </c>
    </row>
    <row r="72" spans="1:9" ht="15.75">
      <c r="A72" s="182">
        <f t="shared" si="0"/>
        <v>68</v>
      </c>
      <c r="B72" s="176" t="s">
        <v>368</v>
      </c>
      <c r="C72" s="197">
        <v>8.8000000000000007</v>
      </c>
      <c r="D72" s="194">
        <v>-1356953</v>
      </c>
      <c r="E72" s="219">
        <v>2951186</v>
      </c>
      <c r="F72" s="194">
        <v>-1935443</v>
      </c>
      <c r="G72" s="194">
        <f t="shared" si="5"/>
        <v>-1356953</v>
      </c>
      <c r="H72" s="190">
        <v>2951186</v>
      </c>
      <c r="I72" s="193">
        <f t="shared" si="3"/>
        <v>0</v>
      </c>
    </row>
    <row r="73" spans="1:9" ht="15.75">
      <c r="A73" s="182">
        <f t="shared" si="0"/>
        <v>69</v>
      </c>
      <c r="B73" s="189" t="s">
        <v>369</v>
      </c>
      <c r="C73" s="197">
        <v>8.9</v>
      </c>
      <c r="D73" s="194">
        <v>1078475</v>
      </c>
      <c r="E73" s="219">
        <v>-133821</v>
      </c>
      <c r="F73" s="194">
        <v>166474</v>
      </c>
      <c r="G73" s="194">
        <f t="shared" si="5"/>
        <v>1078475</v>
      </c>
      <c r="H73" s="190">
        <f>E73</f>
        <v>-133821</v>
      </c>
      <c r="I73" s="193">
        <f t="shared" si="3"/>
        <v>0</v>
      </c>
    </row>
    <row r="74" spans="1:9" ht="15.75">
      <c r="A74" s="182">
        <f t="shared" si="0"/>
        <v>70</v>
      </c>
      <c r="B74" s="189" t="s">
        <v>370</v>
      </c>
      <c r="C74" s="188" t="s">
        <v>371</v>
      </c>
      <c r="D74" s="194">
        <v>-36216</v>
      </c>
      <c r="E74" s="219">
        <v>-101194</v>
      </c>
      <c r="F74" s="194">
        <v>59961</v>
      </c>
      <c r="G74" s="194">
        <f t="shared" si="5"/>
        <v>-36216</v>
      </c>
      <c r="H74" s="190">
        <f>E74</f>
        <v>-101194</v>
      </c>
      <c r="I74" s="193">
        <f t="shared" si="3"/>
        <v>0</v>
      </c>
    </row>
    <row r="75" spans="1:9" ht="15.75">
      <c r="A75" s="182">
        <v>71</v>
      </c>
      <c r="B75" s="189" t="s">
        <v>42</v>
      </c>
      <c r="C75" s="188" t="s">
        <v>291</v>
      </c>
      <c r="D75" s="194">
        <v>0</v>
      </c>
      <c r="E75" s="219"/>
      <c r="F75" s="194"/>
      <c r="G75" s="194">
        <v>-37964</v>
      </c>
      <c r="H75" s="190">
        <v>-4738</v>
      </c>
      <c r="I75" s="193">
        <f t="shared" si="3"/>
        <v>-4738</v>
      </c>
    </row>
    <row r="76" spans="1:9" ht="15.75">
      <c r="A76" s="182">
        <v>72</v>
      </c>
      <c r="B76" s="198" t="s">
        <v>372</v>
      </c>
      <c r="C76" s="189" t="s">
        <v>373</v>
      </c>
      <c r="D76" s="199">
        <v>-8024551</v>
      </c>
      <c r="E76" s="219">
        <v>-3995477</v>
      </c>
      <c r="F76" s="194">
        <v>1857015</v>
      </c>
      <c r="G76" s="194">
        <f t="shared" si="5"/>
        <v>-8024551</v>
      </c>
      <c r="H76" s="190">
        <f>E76</f>
        <v>-3995477</v>
      </c>
      <c r="I76" s="193">
        <f t="shared" si="3"/>
        <v>0</v>
      </c>
    </row>
    <row r="77" spans="1:9" ht="16.5" thickBot="1">
      <c r="A77" s="182">
        <f t="shared" ref="A77:A79" si="6">+A76+1</f>
        <v>73</v>
      </c>
      <c r="B77" s="200"/>
      <c r="C77" s="188"/>
      <c r="D77" s="201">
        <f t="shared" ref="D77:I77" si="7">SUM(D14:D76)</f>
        <v>-7014938</v>
      </c>
      <c r="E77" s="201">
        <f t="shared" si="7"/>
        <v>-18129429.376732297</v>
      </c>
      <c r="F77" s="235">
        <f t="shared" si="7"/>
        <v>13229937</v>
      </c>
      <c r="G77" s="201">
        <f t="shared" si="7"/>
        <v>-6987331</v>
      </c>
      <c r="H77" s="201">
        <f t="shared" si="7"/>
        <v>-22202659</v>
      </c>
      <c r="I77" s="207">
        <f t="shared" si="7"/>
        <v>-4073229.6232677074</v>
      </c>
    </row>
    <row r="78" spans="1:9" ht="16.5" thickTop="1">
      <c r="A78" s="182">
        <f t="shared" si="6"/>
        <v>74</v>
      </c>
      <c r="B78" s="202"/>
      <c r="C78" s="202"/>
      <c r="D78" s="202"/>
      <c r="E78" s="202"/>
      <c r="F78" s="194"/>
      <c r="G78" s="202"/>
      <c r="H78" s="202"/>
      <c r="I78" s="193"/>
    </row>
    <row r="79" spans="1:9" ht="15.75">
      <c r="A79" s="182">
        <f t="shared" si="6"/>
        <v>75</v>
      </c>
      <c r="B79" s="203" t="s">
        <v>374</v>
      </c>
      <c r="C79" s="204"/>
      <c r="D79" s="205">
        <f t="shared" ref="D79:I79" si="8">D11+D77</f>
        <v>750495839</v>
      </c>
      <c r="E79" s="205">
        <f t="shared" si="8"/>
        <v>12947213.623267703</v>
      </c>
      <c r="F79" s="224">
        <f t="shared" si="8"/>
        <v>52586605</v>
      </c>
      <c r="G79" s="224">
        <f t="shared" si="8"/>
        <v>750523446</v>
      </c>
      <c r="H79" s="205">
        <f t="shared" si="8"/>
        <v>8873984</v>
      </c>
      <c r="I79" s="205">
        <f t="shared" si="8"/>
        <v>-4073229.6232677074</v>
      </c>
    </row>
    <row r="80" spans="1:9" ht="15.75">
      <c r="A80" s="182"/>
      <c r="B80" s="189"/>
      <c r="C80" s="179"/>
      <c r="D80" s="206"/>
      <c r="E80" s="218"/>
      <c r="F80" s="194"/>
      <c r="G80" s="206"/>
      <c r="H80" s="225"/>
      <c r="I80" s="193"/>
    </row>
    <row r="81" spans="1:9" ht="15.75">
      <c r="A81" s="182">
        <v>76</v>
      </c>
      <c r="B81" s="202" t="s">
        <v>382</v>
      </c>
      <c r="C81" s="208"/>
      <c r="D81" s="202"/>
      <c r="E81" s="226"/>
      <c r="F81" s="202"/>
      <c r="G81" s="202"/>
      <c r="H81" s="202"/>
      <c r="I81" s="202"/>
    </row>
    <row r="82" spans="1:9" ht="15.75">
      <c r="A82" s="227">
        <v>77</v>
      </c>
      <c r="B82" s="202" t="s">
        <v>383</v>
      </c>
    </row>
    <row r="83" spans="1:9" ht="15.75">
      <c r="A83" s="227">
        <v>78</v>
      </c>
      <c r="B83" s="202" t="s">
        <v>385</v>
      </c>
    </row>
    <row r="84" spans="1:9">
      <c r="A84" s="155">
        <v>79</v>
      </c>
      <c r="B84" s="202" t="s">
        <v>422</v>
      </c>
    </row>
  </sheetData>
  <mergeCells count="1">
    <mergeCell ref="B4:E4"/>
  </mergeCells>
  <pageMargins left="0.2" right="0.15" top="0.15" bottom="0.15" header="0.3" footer="0.3"/>
  <pageSetup paperSize="5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J4" sqref="J4"/>
    </sheetView>
  </sheetViews>
  <sheetFormatPr defaultRowHeight="15"/>
  <cols>
    <col min="1" max="1" width="6.85546875" customWidth="1"/>
    <col min="2" max="2" width="1.5703125" customWidth="1"/>
    <col min="3" max="3" width="33.85546875" customWidth="1"/>
    <col min="4" max="4" width="10.42578125" customWidth="1"/>
    <col min="5" max="5" width="1.5703125" customWidth="1"/>
    <col min="6" max="6" width="25.85546875" customWidth="1"/>
  </cols>
  <sheetData>
    <row r="1" spans="1:12">
      <c r="J1" s="265" t="s">
        <v>444</v>
      </c>
    </row>
    <row r="2" spans="1:12">
      <c r="J2" s="265" t="s">
        <v>445</v>
      </c>
    </row>
    <row r="3" spans="1:12">
      <c r="F3" s="154"/>
      <c r="J3" s="265" t="s">
        <v>449</v>
      </c>
    </row>
    <row r="4" spans="1:12">
      <c r="F4" s="154"/>
      <c r="J4" s="265"/>
    </row>
    <row r="5" spans="1:12">
      <c r="F5" s="154"/>
      <c r="J5" s="266" t="s">
        <v>275</v>
      </c>
    </row>
    <row r="6" spans="1:12" ht="15.75">
      <c r="C6" s="9" t="s">
        <v>255</v>
      </c>
      <c r="D6" s="12"/>
      <c r="E6" s="12"/>
      <c r="F6" s="12"/>
      <c r="L6" s="154"/>
    </row>
    <row r="7" spans="1:12" ht="15.75">
      <c r="C7" s="8" t="s">
        <v>45</v>
      </c>
      <c r="D7" s="12"/>
      <c r="E7" s="12"/>
      <c r="F7" s="12"/>
    </row>
    <row r="8" spans="1:12" ht="15.75">
      <c r="C8" s="10" t="s">
        <v>20</v>
      </c>
      <c r="D8" s="12"/>
      <c r="E8" s="12"/>
      <c r="F8" s="12"/>
    </row>
    <row r="9" spans="1:12" ht="15.75">
      <c r="C9" s="10" t="s">
        <v>19</v>
      </c>
      <c r="D9" s="12"/>
      <c r="E9" s="12"/>
      <c r="F9" s="12"/>
    </row>
    <row r="11" spans="1:12">
      <c r="C11" s="154" t="s">
        <v>252</v>
      </c>
    </row>
    <row r="12" spans="1:12">
      <c r="C12" s="241" t="s">
        <v>227</v>
      </c>
      <c r="D12" s="244"/>
      <c r="E12" s="244"/>
      <c r="F12" s="244"/>
      <c r="G12" s="244"/>
    </row>
    <row r="13" spans="1:12">
      <c r="A13" s="13" t="s">
        <v>47</v>
      </c>
      <c r="B13" s="13"/>
      <c r="C13" s="13"/>
      <c r="D13" s="13" t="s">
        <v>2</v>
      </c>
      <c r="E13" s="12"/>
      <c r="F13" s="12"/>
    </row>
    <row r="14" spans="1:12">
      <c r="A14" s="5" t="s">
        <v>17</v>
      </c>
      <c r="B14" s="13"/>
      <c r="C14" s="5" t="s">
        <v>14</v>
      </c>
      <c r="D14" s="5" t="s">
        <v>48</v>
      </c>
      <c r="E14" s="12"/>
      <c r="F14" s="5" t="s">
        <v>11</v>
      </c>
    </row>
    <row r="16" spans="1:12">
      <c r="A16" s="155">
        <v>1</v>
      </c>
      <c r="C16" t="s">
        <v>39</v>
      </c>
      <c r="D16" s="156">
        <v>-770</v>
      </c>
      <c r="F16" t="s">
        <v>249</v>
      </c>
    </row>
    <row r="17" spans="1:6">
      <c r="A17" s="155">
        <v>2</v>
      </c>
      <c r="C17" t="s">
        <v>254</v>
      </c>
      <c r="D17" s="156">
        <v>-39912</v>
      </c>
      <c r="F17" t="s">
        <v>250</v>
      </c>
    </row>
    <row r="18" spans="1:6">
      <c r="A18" s="155">
        <v>3</v>
      </c>
      <c r="C18" t="s">
        <v>253</v>
      </c>
      <c r="D18" s="237">
        <v>-29688</v>
      </c>
      <c r="F18" t="s">
        <v>251</v>
      </c>
    </row>
    <row r="19" spans="1:6">
      <c r="A19" s="155">
        <v>4</v>
      </c>
      <c r="C19" s="154" t="s">
        <v>394</v>
      </c>
      <c r="D19" s="236">
        <f>SUM(D16:D18)</f>
        <v>-70370</v>
      </c>
    </row>
    <row r="20" spans="1:6">
      <c r="A20" s="155"/>
    </row>
    <row r="21" spans="1:6">
      <c r="A21" s="243">
        <v>5</v>
      </c>
      <c r="B21" s="244"/>
      <c r="C21" s="244" t="s">
        <v>393</v>
      </c>
      <c r="D21" s="245">
        <v>-3996</v>
      </c>
      <c r="F21" t="s">
        <v>392</v>
      </c>
    </row>
    <row r="22" spans="1:6" ht="15.75" thickBot="1">
      <c r="A22" s="155">
        <v>6</v>
      </c>
      <c r="C22" s="154" t="s">
        <v>233</v>
      </c>
      <c r="D22" s="157">
        <f>SUM(D19:D21)</f>
        <v>-74366</v>
      </c>
    </row>
    <row r="23" spans="1:6" ht="15.75" thickTop="1"/>
  </sheetData>
  <pageMargins left="0.7" right="0.7" top="0.75" bottom="0.75" header="0.3" footer="0.3"/>
  <pageSetup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opLeftCell="A22" workbookViewId="0">
      <selection activeCell="I9" sqref="I9"/>
    </sheetView>
  </sheetViews>
  <sheetFormatPr defaultRowHeight="15"/>
  <cols>
    <col min="1" max="1" width="5.42578125" style="13" customWidth="1"/>
    <col min="2" max="2" width="1" style="12" customWidth="1"/>
    <col min="3" max="3" width="36.7109375" style="12" customWidth="1"/>
    <col min="4" max="4" width="16" style="12" customWidth="1"/>
    <col min="5" max="5" width="1.42578125" style="12" customWidth="1"/>
    <col min="6" max="6" width="23.5703125" style="12" customWidth="1"/>
    <col min="7" max="7" width="1.28515625" style="12" customWidth="1"/>
    <col min="8" max="8" width="27.7109375" style="12" customWidth="1"/>
    <col min="9" max="9" width="25.28515625" style="12" customWidth="1"/>
    <col min="10" max="16384" width="9.140625" style="12"/>
  </cols>
  <sheetData>
    <row r="1" spans="1:11">
      <c r="H1" s="265"/>
      <c r="I1" s="265" t="s">
        <v>444</v>
      </c>
    </row>
    <row r="2" spans="1:11">
      <c r="H2" s="265"/>
      <c r="I2" s="265" t="s">
        <v>445</v>
      </c>
    </row>
    <row r="3" spans="1:11">
      <c r="H3" s="265"/>
      <c r="I3" s="265" t="s">
        <v>450</v>
      </c>
    </row>
    <row r="4" spans="1:11">
      <c r="H4" s="265"/>
      <c r="I4"/>
    </row>
    <row r="5" spans="1:11" ht="15.75">
      <c r="C5" s="9" t="s">
        <v>34</v>
      </c>
      <c r="F5" s="11"/>
      <c r="H5" s="55"/>
      <c r="I5" s="55" t="s">
        <v>276</v>
      </c>
    </row>
    <row r="6" spans="1:11" ht="15.75">
      <c r="C6" s="8" t="s">
        <v>21</v>
      </c>
      <c r="F6" s="11"/>
    </row>
    <row r="7" spans="1:11" ht="15.75">
      <c r="C7" s="10" t="s">
        <v>20</v>
      </c>
    </row>
    <row r="8" spans="1:11" ht="15.75">
      <c r="C8" s="10" t="s">
        <v>19</v>
      </c>
    </row>
    <row r="9" spans="1:11" ht="15.75">
      <c r="C9" s="10"/>
    </row>
    <row r="10" spans="1:11" ht="15.75">
      <c r="C10" s="10" t="s">
        <v>261</v>
      </c>
    </row>
    <row r="11" spans="1:11">
      <c r="C11" s="144" t="s">
        <v>227</v>
      </c>
      <c r="D11" s="144"/>
      <c r="E11" s="144"/>
      <c r="F11" s="144"/>
      <c r="G11" s="144"/>
      <c r="H11" s="264"/>
    </row>
    <row r="12" spans="1:11">
      <c r="A12" s="13" t="s">
        <v>47</v>
      </c>
      <c r="B12" s="13"/>
      <c r="C12" s="13"/>
      <c r="D12" s="13" t="s">
        <v>2</v>
      </c>
    </row>
    <row r="13" spans="1:11">
      <c r="A13" s="5" t="s">
        <v>17</v>
      </c>
      <c r="B13" s="13"/>
      <c r="C13" s="5" t="s">
        <v>14</v>
      </c>
      <c r="D13" s="5" t="s">
        <v>48</v>
      </c>
      <c r="F13" s="32" t="s">
        <v>90</v>
      </c>
      <c r="G13" s="32"/>
      <c r="H13" s="32"/>
    </row>
    <row r="14" spans="1:11" ht="60">
      <c r="A14" s="13">
        <v>1</v>
      </c>
      <c r="C14" s="12" t="s">
        <v>71</v>
      </c>
      <c r="D14" s="30">
        <v>-85525</v>
      </c>
      <c r="F14" s="260" t="s">
        <v>225</v>
      </c>
      <c r="G14" s="261"/>
      <c r="H14" s="261"/>
      <c r="I14" s="261"/>
      <c r="J14" s="261"/>
      <c r="K14" s="261"/>
    </row>
    <row r="15" spans="1:11" ht="60">
      <c r="A15" s="150">
        <v>2</v>
      </c>
      <c r="B15" s="142"/>
      <c r="C15" s="142" t="s">
        <v>232</v>
      </c>
      <c r="D15" s="143">
        <v>-194548</v>
      </c>
      <c r="E15" s="142"/>
      <c r="F15" s="262" t="s">
        <v>226</v>
      </c>
      <c r="G15" s="262"/>
      <c r="H15" s="263"/>
      <c r="I15" s="263"/>
      <c r="J15" s="42"/>
    </row>
    <row r="16" spans="1:11" ht="15.75" thickBot="1">
      <c r="A16" s="13">
        <v>3</v>
      </c>
      <c r="C16" s="55" t="s">
        <v>233</v>
      </c>
      <c r="D16" s="33">
        <f>SUM(D14:D15)</f>
        <v>-280073</v>
      </c>
    </row>
    <row r="17" spans="1:8" ht="15.75" thickTop="1"/>
    <row r="18" spans="1:8">
      <c r="A18" s="13">
        <v>4</v>
      </c>
      <c r="C18" s="12" t="s">
        <v>91</v>
      </c>
    </row>
    <row r="19" spans="1:8">
      <c r="A19" s="13">
        <v>5</v>
      </c>
      <c r="C19" s="12" t="s">
        <v>92</v>
      </c>
    </row>
    <row r="20" spans="1:8">
      <c r="A20" s="13">
        <v>6</v>
      </c>
      <c r="C20" s="12" t="s">
        <v>93</v>
      </c>
    </row>
    <row r="21" spans="1:8">
      <c r="A21" s="13">
        <v>7</v>
      </c>
      <c r="C21" s="32" t="s">
        <v>94</v>
      </c>
      <c r="D21" s="5" t="s">
        <v>0</v>
      </c>
      <c r="F21" s="32" t="s">
        <v>11</v>
      </c>
      <c r="G21" s="32"/>
      <c r="H21" s="32"/>
    </row>
    <row r="22" spans="1:8">
      <c r="A22" s="13">
        <v>8</v>
      </c>
      <c r="C22" s="12" t="s">
        <v>73</v>
      </c>
      <c r="D22" s="35">
        <v>177805000</v>
      </c>
      <c r="F22" s="12" t="s">
        <v>72</v>
      </c>
    </row>
    <row r="23" spans="1:8">
      <c r="A23" s="13">
        <v>9</v>
      </c>
      <c r="C23" s="12" t="s">
        <v>74</v>
      </c>
      <c r="D23" s="36">
        <v>1.0087999999999999</v>
      </c>
      <c r="F23" s="12" t="s">
        <v>72</v>
      </c>
    </row>
    <row r="24" spans="1:8">
      <c r="A24" s="13">
        <v>10</v>
      </c>
      <c r="C24" s="12" t="s">
        <v>75</v>
      </c>
      <c r="D24" s="37">
        <f>D22/D23</f>
        <v>176253965.1070579</v>
      </c>
    </row>
    <row r="25" spans="1:8">
      <c r="A25" s="13">
        <v>11</v>
      </c>
      <c r="C25" s="12" t="s">
        <v>76</v>
      </c>
      <c r="D25" s="35">
        <f>D22-D24</f>
        <v>1551034.8929421008</v>
      </c>
    </row>
    <row r="26" spans="1:8">
      <c r="A26" s="13">
        <v>12</v>
      </c>
      <c r="C26" s="12" t="s">
        <v>78</v>
      </c>
      <c r="D26" s="38">
        <v>0.69620000000000004</v>
      </c>
      <c r="F26" s="12" t="s">
        <v>5</v>
      </c>
    </row>
    <row r="27" spans="1:8">
      <c r="A27" s="13">
        <v>13</v>
      </c>
      <c r="C27" s="12" t="s">
        <v>77</v>
      </c>
      <c r="D27" s="39">
        <f>D25*D26</f>
        <v>1079830.4924662907</v>
      </c>
    </row>
    <row r="28" spans="1:8">
      <c r="A28" s="13">
        <v>14</v>
      </c>
      <c r="C28" s="12" t="s">
        <v>13</v>
      </c>
      <c r="D28" s="40">
        <v>7.3899999999999993E-2</v>
      </c>
      <c r="F28" s="12" t="s">
        <v>12</v>
      </c>
    </row>
    <row r="29" spans="1:8" ht="15.75" thickBot="1">
      <c r="A29" s="13">
        <v>15</v>
      </c>
      <c r="C29" s="12" t="s">
        <v>79</v>
      </c>
      <c r="D29" s="41">
        <f>D27*D28</f>
        <v>79799.473393258872</v>
      </c>
    </row>
    <row r="30" spans="1:8" ht="15.75" thickTop="1">
      <c r="A30" s="13">
        <v>16</v>
      </c>
      <c r="C30" s="42" t="s">
        <v>7</v>
      </c>
      <c r="D30" s="40">
        <v>1.4500000000000001E-2</v>
      </c>
    </row>
    <row r="31" spans="1:8" ht="15.75" thickBot="1">
      <c r="A31" s="13">
        <v>17</v>
      </c>
      <c r="C31" s="42" t="s">
        <v>8</v>
      </c>
      <c r="D31" s="43">
        <f>D29*D30</f>
        <v>1157.0923642022537</v>
      </c>
    </row>
    <row r="32" spans="1:8" ht="15.75" thickTop="1">
      <c r="A32" s="13">
        <v>18</v>
      </c>
      <c r="C32" s="42" t="s">
        <v>9</v>
      </c>
      <c r="D32" s="40">
        <v>6.2E-2</v>
      </c>
    </row>
    <row r="33" spans="1:9">
      <c r="A33" s="13">
        <v>19</v>
      </c>
      <c r="C33" s="42" t="s">
        <v>81</v>
      </c>
      <c r="D33" s="44">
        <f>D29*D32</f>
        <v>4947.5673503820499</v>
      </c>
      <c r="E33" s="29"/>
    </row>
    <row r="34" spans="1:9">
      <c r="A34" s="13">
        <v>20</v>
      </c>
      <c r="C34" s="42" t="s">
        <v>83</v>
      </c>
      <c r="D34" s="45">
        <v>0.92330000000000001</v>
      </c>
    </row>
    <row r="35" spans="1:9">
      <c r="A35" s="13">
        <v>21</v>
      </c>
      <c r="C35" s="42" t="s">
        <v>82</v>
      </c>
      <c r="D35" s="46">
        <f t="shared" ref="D35" si="0">D33*D34</f>
        <v>4568.0889346077465</v>
      </c>
      <c r="E35" s="42"/>
    </row>
    <row r="36" spans="1:9" ht="16.5" thickBot="1">
      <c r="A36" s="13">
        <v>22</v>
      </c>
      <c r="B36" s="14"/>
      <c r="C36" s="47" t="s">
        <v>10</v>
      </c>
      <c r="D36" s="48">
        <f>D29+D31+D35</f>
        <v>85524.654692068871</v>
      </c>
      <c r="E36" s="47"/>
      <c r="F36" s="14"/>
    </row>
    <row r="37" spans="1:9" ht="15.75" thickTop="1"/>
    <row r="38" spans="1:9">
      <c r="A38" s="13">
        <v>23</v>
      </c>
      <c r="B38" s="12" t="s">
        <v>80</v>
      </c>
      <c r="C38" s="261"/>
      <c r="D38" s="261"/>
      <c r="E38" s="261"/>
      <c r="F38" s="261"/>
      <c r="G38" s="261"/>
      <c r="H38" s="261"/>
      <c r="I38" s="261"/>
    </row>
    <row r="39" spans="1:9">
      <c r="A39" s="13">
        <v>24</v>
      </c>
      <c r="B39" s="12" t="s">
        <v>3</v>
      </c>
      <c r="C39" s="261"/>
      <c r="D39" s="261"/>
      <c r="E39" s="261"/>
      <c r="F39" s="261"/>
      <c r="G39" s="261"/>
      <c r="H39" s="261"/>
      <c r="I39" s="261"/>
    </row>
    <row r="40" spans="1:9">
      <c r="A40" s="13">
        <v>25</v>
      </c>
      <c r="B40" s="12" t="s">
        <v>84</v>
      </c>
      <c r="C40" s="261"/>
      <c r="D40" s="261"/>
      <c r="E40" s="261"/>
      <c r="F40" s="261"/>
      <c r="G40" s="261"/>
      <c r="H40" s="261"/>
      <c r="I40" s="261"/>
    </row>
    <row r="41" spans="1:9">
      <c r="A41" s="13">
        <v>26</v>
      </c>
      <c r="B41" s="12" t="s">
        <v>85</v>
      </c>
      <c r="C41" s="261"/>
      <c r="D41" s="261"/>
      <c r="E41" s="261"/>
      <c r="F41" s="261"/>
      <c r="G41" s="261"/>
      <c r="H41" s="261"/>
      <c r="I41" s="261"/>
    </row>
    <row r="42" spans="1:9">
      <c r="A42" s="13">
        <v>27</v>
      </c>
      <c r="C42" s="5" t="s">
        <v>4</v>
      </c>
      <c r="D42" s="5" t="s">
        <v>1</v>
      </c>
      <c r="E42" s="13"/>
      <c r="F42" s="5" t="s">
        <v>2</v>
      </c>
      <c r="G42" s="13"/>
      <c r="H42" s="5" t="s">
        <v>11</v>
      </c>
    </row>
    <row r="43" spans="1:9">
      <c r="A43" s="13">
        <v>28</v>
      </c>
      <c r="C43" s="13">
        <v>920</v>
      </c>
      <c r="D43" s="35">
        <v>27221</v>
      </c>
      <c r="E43" s="35"/>
      <c r="F43" s="35">
        <v>3985</v>
      </c>
      <c r="G43" s="35"/>
      <c r="H43" s="12" t="s">
        <v>86</v>
      </c>
    </row>
    <row r="44" spans="1:9">
      <c r="A44" s="13">
        <v>29</v>
      </c>
      <c r="C44" s="13">
        <v>920</v>
      </c>
      <c r="D44" s="35">
        <v>1015618</v>
      </c>
      <c r="E44" s="35"/>
      <c r="F44" s="35">
        <v>73169</v>
      </c>
      <c r="G44" s="35"/>
      <c r="H44" s="12" t="s">
        <v>86</v>
      </c>
    </row>
    <row r="45" spans="1:9">
      <c r="A45" s="13">
        <v>30</v>
      </c>
      <c r="C45" s="13">
        <v>935</v>
      </c>
      <c r="D45" s="35">
        <v>186</v>
      </c>
      <c r="E45" s="35"/>
      <c r="F45" s="35">
        <v>20</v>
      </c>
      <c r="G45" s="35"/>
      <c r="H45" s="12" t="s">
        <v>86</v>
      </c>
    </row>
    <row r="46" spans="1:9">
      <c r="A46" s="13">
        <v>31</v>
      </c>
      <c r="C46" s="13">
        <v>935</v>
      </c>
      <c r="D46" s="49">
        <v>23613</v>
      </c>
      <c r="E46" s="49"/>
      <c r="F46" s="49">
        <v>1701</v>
      </c>
      <c r="G46" s="50"/>
      <c r="H46" s="12" t="s">
        <v>86</v>
      </c>
    </row>
    <row r="47" spans="1:9">
      <c r="A47" s="13">
        <v>32</v>
      </c>
      <c r="D47" s="35">
        <f>SUM(D43:D46)</f>
        <v>1066638</v>
      </c>
      <c r="E47" s="35"/>
      <c r="F47" s="35">
        <f>SUM(F43:F46)</f>
        <v>78875</v>
      </c>
      <c r="G47" s="35"/>
    </row>
    <row r="48" spans="1:9" ht="15.75" thickBot="1">
      <c r="A48" s="13">
        <v>33</v>
      </c>
      <c r="C48" s="13" t="s">
        <v>87</v>
      </c>
      <c r="F48" s="52">
        <f>F47/D47</f>
        <v>7.3947299833683033E-2</v>
      </c>
      <c r="G48" s="51"/>
      <c r="H48" s="12" t="s">
        <v>88</v>
      </c>
    </row>
    <row r="49" ht="15.75" thickTop="1"/>
  </sheetData>
  <pageMargins left="0.2" right="0.15" top="0.7" bottom="0.1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workbookViewId="0">
      <selection activeCell="I7" sqref="I7"/>
    </sheetView>
  </sheetViews>
  <sheetFormatPr defaultRowHeight="15"/>
  <cols>
    <col min="1" max="1" width="5.5703125" style="13" customWidth="1"/>
    <col min="2" max="2" width="1.140625" style="12" customWidth="1"/>
    <col min="3" max="3" width="40.28515625" style="12" customWidth="1"/>
    <col min="4" max="4" width="11.7109375" style="12" customWidth="1"/>
    <col min="5" max="5" width="1.42578125" style="12" customWidth="1"/>
    <col min="6" max="6" width="11.85546875" style="12" customWidth="1"/>
    <col min="7" max="8" width="9.140625" style="12"/>
    <col min="9" max="9" width="18.28515625" style="12" bestFit="1" customWidth="1"/>
    <col min="10" max="16384" width="9.140625" style="12"/>
  </cols>
  <sheetData>
    <row r="1" spans="1:9">
      <c r="I1" s="265" t="s">
        <v>444</v>
      </c>
    </row>
    <row r="2" spans="1:9">
      <c r="I2" s="265" t="s">
        <v>445</v>
      </c>
    </row>
    <row r="3" spans="1:9">
      <c r="I3" s="265" t="s">
        <v>451</v>
      </c>
    </row>
    <row r="4" spans="1:9">
      <c r="I4" s="265"/>
    </row>
    <row r="5" spans="1:9" ht="15.75">
      <c r="C5" s="9" t="s">
        <v>95</v>
      </c>
      <c r="F5" s="11"/>
      <c r="I5" s="55" t="s">
        <v>277</v>
      </c>
    </row>
    <row r="6" spans="1:9" ht="15.75">
      <c r="C6" s="8" t="s">
        <v>21</v>
      </c>
      <c r="F6" s="11"/>
    </row>
    <row r="7" spans="1:9" ht="15.75">
      <c r="C7" s="10" t="s">
        <v>20</v>
      </c>
    </row>
    <row r="8" spans="1:9" ht="15.75">
      <c r="C8" s="10" t="s">
        <v>19</v>
      </c>
    </row>
    <row r="10" spans="1:9">
      <c r="A10" s="13" t="s">
        <v>47</v>
      </c>
      <c r="B10" s="13"/>
      <c r="C10" s="13"/>
      <c r="D10" s="13" t="s">
        <v>2</v>
      </c>
    </row>
    <row r="11" spans="1:9">
      <c r="A11" s="5" t="s">
        <v>17</v>
      </c>
      <c r="B11" s="13"/>
      <c r="C11" s="5" t="s">
        <v>14</v>
      </c>
      <c r="D11" s="5" t="s">
        <v>48</v>
      </c>
      <c r="F11" s="32" t="s">
        <v>90</v>
      </c>
      <c r="G11" s="32"/>
      <c r="H11" s="32"/>
    </row>
    <row r="12" spans="1:9">
      <c r="A12" s="13">
        <v>1</v>
      </c>
      <c r="C12" s="12" t="s">
        <v>96</v>
      </c>
      <c r="D12" s="30">
        <v>-194548</v>
      </c>
      <c r="F12" s="53" t="s">
        <v>89</v>
      </c>
    </row>
    <row r="13" spans="1:9" ht="15.75" thickBot="1">
      <c r="A13" s="13">
        <v>2</v>
      </c>
      <c r="C13" s="12" t="s">
        <v>1</v>
      </c>
      <c r="D13" s="34">
        <f>SUM(D12)</f>
        <v>-194548</v>
      </c>
    </row>
    <row r="14" spans="1:9" ht="15.75" thickTop="1"/>
    <row r="15" spans="1:9">
      <c r="A15" s="13">
        <v>3</v>
      </c>
      <c r="C15" s="12" t="s">
        <v>97</v>
      </c>
    </row>
    <row r="16" spans="1:9">
      <c r="A16" s="13">
        <v>4</v>
      </c>
      <c r="C16" s="12" t="s">
        <v>98</v>
      </c>
    </row>
    <row r="17" spans="1:8">
      <c r="A17" s="13">
        <v>5</v>
      </c>
      <c r="C17" s="12" t="s">
        <v>99</v>
      </c>
    </row>
    <row r="18" spans="1:8">
      <c r="A18" s="13">
        <v>6</v>
      </c>
      <c r="C18" s="12" t="s">
        <v>100</v>
      </c>
    </row>
    <row r="20" spans="1:8">
      <c r="A20" s="13">
        <v>7</v>
      </c>
      <c r="C20" s="5" t="s">
        <v>14</v>
      </c>
      <c r="D20" s="5" t="s">
        <v>0</v>
      </c>
      <c r="E20" s="5"/>
      <c r="F20" s="5" t="s">
        <v>108</v>
      </c>
      <c r="G20" s="32"/>
      <c r="H20" s="32"/>
    </row>
    <row r="21" spans="1:8">
      <c r="A21" s="13">
        <v>8</v>
      </c>
      <c r="C21" s="12" t="s">
        <v>101</v>
      </c>
      <c r="D21" s="1">
        <v>3528224</v>
      </c>
      <c r="F21" s="12" t="s">
        <v>105</v>
      </c>
    </row>
    <row r="22" spans="1:8">
      <c r="A22" s="13">
        <v>9</v>
      </c>
      <c r="C22" s="12" t="s">
        <v>102</v>
      </c>
      <c r="D22" s="38">
        <v>0.69620000000000004</v>
      </c>
      <c r="F22" s="12" t="s">
        <v>106</v>
      </c>
    </row>
    <row r="23" spans="1:8">
      <c r="A23" s="13">
        <v>10</v>
      </c>
      <c r="C23" s="12" t="s">
        <v>103</v>
      </c>
      <c r="D23" s="39">
        <f>D21*D22</f>
        <v>2456349.5488</v>
      </c>
    </row>
    <row r="24" spans="1:8">
      <c r="A24" s="13">
        <v>11</v>
      </c>
      <c r="C24" s="12" t="s">
        <v>13</v>
      </c>
      <c r="D24" s="40">
        <v>7.3899999999999993E-2</v>
      </c>
      <c r="F24" s="12" t="s">
        <v>107</v>
      </c>
    </row>
    <row r="25" spans="1:8" ht="15.75" thickBot="1">
      <c r="A25" s="13">
        <v>12</v>
      </c>
      <c r="C25" s="12" t="s">
        <v>104</v>
      </c>
      <c r="D25" s="41">
        <f>D23*D24</f>
        <v>181524.23165631999</v>
      </c>
    </row>
    <row r="26" spans="1:8" ht="15.75" thickTop="1">
      <c r="A26" s="13">
        <v>13</v>
      </c>
      <c r="C26" s="42" t="s">
        <v>7</v>
      </c>
      <c r="D26" s="40">
        <v>1.4500000000000001E-2</v>
      </c>
    </row>
    <row r="27" spans="1:8" ht="15.75" thickBot="1">
      <c r="A27" s="13">
        <v>14</v>
      </c>
      <c r="C27" s="42" t="s">
        <v>8</v>
      </c>
      <c r="D27" s="43">
        <f>D25*D26</f>
        <v>2632.1013590166399</v>
      </c>
    </row>
    <row r="28" spans="1:8" ht="15.75" thickTop="1">
      <c r="A28" s="13">
        <v>15</v>
      </c>
      <c r="C28" s="42" t="s">
        <v>9</v>
      </c>
      <c r="D28" s="40">
        <v>6.2E-2</v>
      </c>
    </row>
    <row r="29" spans="1:8">
      <c r="A29" s="13">
        <v>16</v>
      </c>
      <c r="C29" s="42" t="s">
        <v>81</v>
      </c>
      <c r="D29" s="39">
        <f>D25*D28</f>
        <v>11254.502362691839</v>
      </c>
    </row>
    <row r="30" spans="1:8">
      <c r="A30" s="13">
        <v>17</v>
      </c>
      <c r="C30" s="42" t="s">
        <v>83</v>
      </c>
      <c r="D30" s="40">
        <v>0.92330000000000001</v>
      </c>
    </row>
    <row r="31" spans="1:8">
      <c r="A31" s="13">
        <v>18</v>
      </c>
      <c r="C31" s="42" t="s">
        <v>82</v>
      </c>
      <c r="D31" s="46">
        <f>D29*D30</f>
        <v>10391.282031473374</v>
      </c>
    </row>
    <row r="32" spans="1:8" ht="15.75" thickBot="1">
      <c r="A32" s="13">
        <v>19</v>
      </c>
      <c r="C32" s="54" t="s">
        <v>10</v>
      </c>
      <c r="D32" s="41">
        <f>D25+D27+D31</f>
        <v>194547.61504681001</v>
      </c>
    </row>
    <row r="33" ht="15.75" thickTop="1"/>
  </sheetData>
  <pageMargins left="0.7" right="0.15" top="0.7" bottom="0.15" header="0.3" footer="0.3"/>
  <pageSetup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workbookViewId="0">
      <selection activeCell="F1" sqref="F1:G3"/>
    </sheetView>
  </sheetViews>
  <sheetFormatPr defaultRowHeight="15"/>
  <cols>
    <col min="1" max="1" width="8.42578125" customWidth="1"/>
    <col min="2" max="2" width="1.5703125" customWidth="1"/>
    <col min="3" max="3" width="35.28515625" customWidth="1"/>
    <col min="4" max="4" width="18.7109375" customWidth="1"/>
    <col min="5" max="5" width="3.140625" customWidth="1"/>
  </cols>
  <sheetData>
    <row r="1" spans="1:9">
      <c r="F1" s="265" t="s">
        <v>444</v>
      </c>
      <c r="G1" s="12"/>
    </row>
    <row r="2" spans="1:9">
      <c r="F2" s="265" t="s">
        <v>445</v>
      </c>
      <c r="G2" s="12"/>
    </row>
    <row r="3" spans="1:9">
      <c r="F3" s="265" t="s">
        <v>452</v>
      </c>
      <c r="G3" s="12"/>
    </row>
    <row r="4" spans="1:9">
      <c r="F4" s="265"/>
      <c r="G4" s="12"/>
    </row>
    <row r="5" spans="1:9" ht="15.75">
      <c r="A5" s="13"/>
      <c r="B5" s="12"/>
      <c r="C5" s="9" t="s">
        <v>409</v>
      </c>
      <c r="D5" s="12"/>
      <c r="E5" s="12"/>
      <c r="F5" s="11" t="s">
        <v>406</v>
      </c>
      <c r="G5" s="265"/>
      <c r="H5" s="12"/>
      <c r="I5" s="55"/>
    </row>
    <row r="6" spans="1:9" ht="15.75">
      <c r="A6" s="13"/>
      <c r="B6" s="12"/>
      <c r="C6" s="8" t="s">
        <v>21</v>
      </c>
      <c r="D6" s="12"/>
      <c r="E6" s="12"/>
      <c r="F6" s="11"/>
      <c r="G6" s="265"/>
      <c r="H6" s="12"/>
      <c r="I6" s="12"/>
    </row>
    <row r="7" spans="1:9" ht="15.75">
      <c r="A7" s="13"/>
      <c r="B7" s="12"/>
      <c r="C7" s="10" t="s">
        <v>20</v>
      </c>
      <c r="D7" s="12"/>
      <c r="E7" s="12"/>
      <c r="F7" s="12"/>
      <c r="G7" s="265"/>
      <c r="H7" s="12"/>
      <c r="I7" s="12"/>
    </row>
    <row r="8" spans="1:9" ht="15.75">
      <c r="A8" s="13"/>
      <c r="B8" s="12"/>
      <c r="C8" s="10" t="s">
        <v>19</v>
      </c>
      <c r="D8" s="12"/>
      <c r="E8" s="12"/>
      <c r="F8" s="12"/>
      <c r="G8" s="12"/>
      <c r="H8" s="12"/>
      <c r="I8" s="12"/>
    </row>
    <row r="9" spans="1:9">
      <c r="A9" s="13"/>
      <c r="B9" s="12"/>
      <c r="C9" s="12"/>
      <c r="D9" s="12"/>
      <c r="E9" s="12"/>
      <c r="F9" s="12"/>
      <c r="G9" s="12"/>
      <c r="H9" s="12"/>
      <c r="I9" s="12"/>
    </row>
    <row r="10" spans="1:9">
      <c r="A10" s="13" t="s">
        <v>47</v>
      </c>
      <c r="B10" s="13"/>
      <c r="C10" s="13"/>
      <c r="D10" s="13" t="s">
        <v>2</v>
      </c>
      <c r="E10" s="12"/>
      <c r="F10" s="12"/>
      <c r="G10" s="12"/>
      <c r="H10" s="12"/>
      <c r="I10" s="12"/>
    </row>
    <row r="11" spans="1:9">
      <c r="A11" s="5" t="s">
        <v>17</v>
      </c>
      <c r="B11" s="13"/>
      <c r="C11" s="5" t="s">
        <v>14</v>
      </c>
      <c r="D11" s="5" t="s">
        <v>48</v>
      </c>
      <c r="E11" s="12"/>
      <c r="F11" s="32" t="s">
        <v>90</v>
      </c>
      <c r="G11" s="32"/>
      <c r="H11" s="32"/>
      <c r="I11" s="12"/>
    </row>
    <row r="12" spans="1:9">
      <c r="A12" s="13">
        <v>1</v>
      </c>
      <c r="B12" s="12"/>
      <c r="C12" s="12" t="s">
        <v>407</v>
      </c>
      <c r="D12" s="30">
        <v>-306623</v>
      </c>
      <c r="E12" s="12"/>
      <c r="F12" s="53" t="s">
        <v>408</v>
      </c>
      <c r="G12" s="12"/>
      <c r="H12" s="12"/>
      <c r="I12" s="12"/>
    </row>
    <row r="13" spans="1:9" ht="15.75" thickBot="1">
      <c r="A13" s="13">
        <v>2</v>
      </c>
      <c r="B13" s="12"/>
      <c r="C13" s="12" t="s">
        <v>233</v>
      </c>
      <c r="D13" s="34">
        <f>SUM(D12)</f>
        <v>-306623</v>
      </c>
      <c r="E13" s="12"/>
      <c r="F13" s="12"/>
      <c r="G13" s="12"/>
      <c r="H13" s="12"/>
      <c r="I13" s="12"/>
    </row>
    <row r="14" spans="1:9" ht="15.75" thickTop="1">
      <c r="A14" s="13"/>
      <c r="B14" s="12"/>
      <c r="C14" s="12"/>
      <c r="D14" s="12"/>
      <c r="E14" s="12"/>
      <c r="F14" s="12"/>
      <c r="G14" s="12"/>
      <c r="H14" s="12"/>
      <c r="I14" s="12"/>
    </row>
    <row r="20" spans="7:7">
      <c r="G20" s="265"/>
    </row>
    <row r="21" spans="7:7">
      <c r="G21" s="265"/>
    </row>
    <row r="22" spans="7:7">
      <c r="G22" s="265"/>
    </row>
  </sheetData>
  <pageMargins left="0.7" right="0.7" top="0.75" bottom="0.75" header="0.3" footer="0.3"/>
  <pageSetup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opLeftCell="A22" workbookViewId="0">
      <selection activeCell="G3" sqref="G3"/>
    </sheetView>
  </sheetViews>
  <sheetFormatPr defaultRowHeight="15"/>
  <cols>
    <col min="2" max="2" width="1.85546875" customWidth="1"/>
    <col min="3" max="3" width="33.5703125" customWidth="1"/>
    <col min="4" max="4" width="14.140625" customWidth="1"/>
    <col min="5" max="5" width="2.28515625" customWidth="1"/>
    <col min="6" max="6" width="18" customWidth="1"/>
    <col min="7" max="7" width="18.28515625" bestFit="1" customWidth="1"/>
    <col min="8" max="8" width="13.5703125" customWidth="1"/>
    <col min="9" max="9" width="13.85546875" customWidth="1"/>
    <col min="10" max="10" width="12.7109375" customWidth="1"/>
  </cols>
  <sheetData>
    <row r="1" spans="1:10">
      <c r="G1" s="265" t="s">
        <v>444</v>
      </c>
      <c r="H1" s="12"/>
    </row>
    <row r="2" spans="1:10">
      <c r="G2" s="265" t="s">
        <v>445</v>
      </c>
      <c r="H2" s="12"/>
    </row>
    <row r="3" spans="1:10">
      <c r="G3" s="265" t="s">
        <v>453</v>
      </c>
      <c r="H3" s="12"/>
    </row>
    <row r="5" spans="1:10" ht="15.75">
      <c r="A5" s="12"/>
      <c r="B5" s="12"/>
      <c r="C5" s="9" t="s">
        <v>51</v>
      </c>
      <c r="D5" s="12"/>
      <c r="E5" s="12"/>
      <c r="F5" s="12"/>
      <c r="G5" s="55" t="s">
        <v>278</v>
      </c>
      <c r="H5" s="11"/>
      <c r="I5" s="11"/>
    </row>
    <row r="6" spans="1:10" ht="15.75">
      <c r="A6" s="12"/>
      <c r="B6" s="12"/>
      <c r="C6" s="8" t="s">
        <v>45</v>
      </c>
      <c r="D6" s="12"/>
      <c r="E6" s="12"/>
      <c r="F6" s="12"/>
      <c r="G6" s="12"/>
      <c r="H6" s="11"/>
      <c r="I6" s="11"/>
    </row>
    <row r="7" spans="1:10" ht="15.75">
      <c r="A7" s="12"/>
      <c r="B7" s="12"/>
      <c r="C7" s="10" t="s">
        <v>20</v>
      </c>
      <c r="D7" s="12"/>
      <c r="E7" s="12"/>
      <c r="F7" s="12"/>
      <c r="G7" s="12"/>
      <c r="H7" s="12"/>
      <c r="I7" s="12"/>
      <c r="J7" s="12"/>
    </row>
    <row r="8" spans="1:10" ht="15.75">
      <c r="A8" s="12"/>
      <c r="B8" s="12"/>
      <c r="C8" s="10" t="s">
        <v>19</v>
      </c>
      <c r="D8" s="12"/>
      <c r="E8" s="12"/>
      <c r="F8" s="12"/>
      <c r="G8" s="12"/>
      <c r="H8" s="12"/>
      <c r="I8" s="12"/>
      <c r="J8" s="12"/>
    </row>
    <row r="9" spans="1:10" ht="15.75">
      <c r="A9" s="12"/>
      <c r="B9" s="12"/>
      <c r="C9" s="10"/>
      <c r="D9" s="12"/>
      <c r="E9" s="12"/>
      <c r="F9" s="12"/>
      <c r="G9" s="12"/>
      <c r="H9" s="12"/>
      <c r="I9" s="12"/>
      <c r="J9" s="12"/>
    </row>
    <row r="10" spans="1:10" ht="15.75">
      <c r="A10" s="12"/>
      <c r="B10" s="12"/>
      <c r="C10" s="10" t="s">
        <v>262</v>
      </c>
      <c r="D10" s="12"/>
      <c r="E10" s="12"/>
      <c r="F10" s="12"/>
      <c r="G10" s="12"/>
      <c r="H10" s="12"/>
      <c r="I10" s="12"/>
      <c r="J10" s="12"/>
    </row>
    <row r="11" spans="1:10">
      <c r="A11" s="12"/>
      <c r="B11" s="12"/>
      <c r="C11" s="144" t="s">
        <v>227</v>
      </c>
      <c r="D11" s="142"/>
      <c r="E11" s="142"/>
      <c r="F11" s="142"/>
      <c r="G11" s="42"/>
      <c r="H11" s="42"/>
      <c r="I11" s="42"/>
      <c r="J11" s="42"/>
    </row>
    <row r="12" spans="1:10">
      <c r="A12" s="13" t="s">
        <v>47</v>
      </c>
      <c r="B12" s="13"/>
      <c r="C12" s="13"/>
      <c r="D12" s="13" t="s">
        <v>2</v>
      </c>
      <c r="E12" s="12"/>
      <c r="F12" s="12"/>
      <c r="G12" s="12"/>
      <c r="H12" s="12"/>
      <c r="I12" s="12"/>
      <c r="J12" s="12"/>
    </row>
    <row r="13" spans="1:10">
      <c r="A13" s="5" t="s">
        <v>17</v>
      </c>
      <c r="B13" s="13"/>
      <c r="C13" s="5" t="s">
        <v>14</v>
      </c>
      <c r="D13" s="5" t="s">
        <v>48</v>
      </c>
      <c r="E13" s="12"/>
      <c r="F13" s="5" t="s">
        <v>11</v>
      </c>
      <c r="G13" s="12"/>
      <c r="H13" s="12"/>
      <c r="I13" s="12"/>
      <c r="J13" s="12"/>
    </row>
    <row r="14" spans="1:10">
      <c r="A14" s="13">
        <v>1</v>
      </c>
      <c r="B14" s="12"/>
      <c r="C14" s="12" t="s">
        <v>52</v>
      </c>
      <c r="D14" s="30">
        <v>-86826</v>
      </c>
      <c r="E14" s="12"/>
      <c r="F14" s="13" t="s">
        <v>54</v>
      </c>
      <c r="G14" s="12"/>
      <c r="H14" s="12"/>
      <c r="I14" s="12"/>
      <c r="J14" s="12"/>
    </row>
    <row r="15" spans="1:10">
      <c r="A15" s="13">
        <v>2</v>
      </c>
      <c r="B15" s="12"/>
      <c r="C15" s="12" t="s">
        <v>53</v>
      </c>
      <c r="D15" s="30">
        <v>-432000</v>
      </c>
      <c r="E15" s="12"/>
      <c r="F15" s="13" t="s">
        <v>56</v>
      </c>
      <c r="G15" s="12"/>
      <c r="H15" s="12"/>
      <c r="I15" s="12"/>
      <c r="J15" s="12"/>
    </row>
    <row r="16" spans="1:10">
      <c r="A16" s="13">
        <v>3</v>
      </c>
      <c r="B16" s="12"/>
      <c r="C16" s="55" t="s">
        <v>395</v>
      </c>
      <c r="D16" s="31">
        <f>SUM(D14:D15)</f>
        <v>-518826</v>
      </c>
      <c r="E16" s="12"/>
      <c r="F16" s="12"/>
      <c r="G16" s="12"/>
      <c r="H16" s="12"/>
      <c r="I16" s="12"/>
      <c r="J16" s="12"/>
    </row>
    <row r="17" spans="1:10">
      <c r="A17" s="13"/>
      <c r="B17" s="12"/>
      <c r="C17" s="55"/>
      <c r="D17" s="31"/>
      <c r="E17" s="12"/>
      <c r="F17" s="12"/>
      <c r="G17" s="12"/>
      <c r="H17" s="12"/>
      <c r="I17" s="12"/>
      <c r="J17" s="12"/>
    </row>
    <row r="18" spans="1:10">
      <c r="A18" s="239">
        <v>4</v>
      </c>
      <c r="B18" s="240"/>
      <c r="C18" s="241" t="s">
        <v>396</v>
      </c>
      <c r="D18" s="242">
        <v>-1146121</v>
      </c>
      <c r="E18" s="12"/>
      <c r="F18" s="12" t="s">
        <v>397</v>
      </c>
      <c r="G18" s="12"/>
      <c r="H18" s="12"/>
      <c r="I18" s="12"/>
      <c r="J18" s="12"/>
    </row>
    <row r="19" spans="1:10" ht="15.75" thickBot="1">
      <c r="A19" s="13">
        <v>5</v>
      </c>
      <c r="B19" s="12"/>
      <c r="C19" s="55" t="s">
        <v>233</v>
      </c>
      <c r="D19" s="33">
        <f>SUM(D16:D18)</f>
        <v>-1664947</v>
      </c>
      <c r="E19" s="12"/>
      <c r="F19" s="12"/>
      <c r="G19" s="12"/>
      <c r="H19" s="246"/>
      <c r="I19" s="246"/>
      <c r="J19" s="12"/>
    </row>
    <row r="20" spans="1:10" ht="15.75" thickTop="1">
      <c r="A20" s="13"/>
      <c r="B20" s="12"/>
      <c r="C20" s="12"/>
      <c r="D20" s="30"/>
      <c r="E20" s="12"/>
      <c r="F20" s="12"/>
      <c r="G20" s="12"/>
      <c r="H20" s="246"/>
      <c r="I20" s="246"/>
      <c r="J20" s="12"/>
    </row>
    <row r="21" spans="1:10">
      <c r="A21" s="13">
        <v>6</v>
      </c>
      <c r="B21" s="12"/>
      <c r="C21" s="12" t="s">
        <v>55</v>
      </c>
      <c r="D21" s="12"/>
      <c r="E21" s="12"/>
      <c r="F21" s="12"/>
      <c r="G21" s="12"/>
      <c r="H21" s="12"/>
      <c r="I21" s="12"/>
      <c r="J21" s="12"/>
    </row>
    <row r="22" spans="1:10">
      <c r="A22" s="13">
        <v>7</v>
      </c>
      <c r="B22" s="12"/>
      <c r="C22" s="12" t="s">
        <v>57</v>
      </c>
      <c r="D22" s="12"/>
      <c r="E22" s="12"/>
      <c r="F22" s="12"/>
      <c r="G22" s="12"/>
      <c r="H22" s="12"/>
      <c r="I22" s="12"/>
      <c r="J22" s="12"/>
    </row>
    <row r="23" spans="1:10">
      <c r="A23" s="13">
        <v>8</v>
      </c>
      <c r="C23" s="12" t="s">
        <v>58</v>
      </c>
    </row>
    <row r="24" spans="1:10">
      <c r="A24" s="13">
        <v>9</v>
      </c>
      <c r="C24" s="12" t="s">
        <v>59</v>
      </c>
    </row>
    <row r="25" spans="1:10">
      <c r="A25" s="13">
        <v>10</v>
      </c>
      <c r="C25" s="12" t="s">
        <v>60</v>
      </c>
    </row>
    <row r="26" spans="1:10">
      <c r="A26" s="13">
        <v>11</v>
      </c>
      <c r="C26" s="12" t="s">
        <v>61</v>
      </c>
    </row>
    <row r="27" spans="1:10">
      <c r="A27" s="13">
        <v>12</v>
      </c>
      <c r="C27" s="12"/>
      <c r="D27" s="12"/>
      <c r="E27" s="12"/>
      <c r="F27" s="13" t="s">
        <v>401</v>
      </c>
      <c r="G27" s="13" t="s">
        <v>403</v>
      </c>
      <c r="H27" s="13" t="s">
        <v>400</v>
      </c>
    </row>
    <row r="28" spans="1:10">
      <c r="A28" s="13">
        <v>13</v>
      </c>
      <c r="C28" s="12"/>
      <c r="D28" s="32" t="s">
        <v>6</v>
      </c>
      <c r="E28" s="12"/>
      <c r="F28" s="5" t="s">
        <v>402</v>
      </c>
      <c r="G28" s="5" t="s">
        <v>44</v>
      </c>
      <c r="H28" s="5" t="s">
        <v>44</v>
      </c>
    </row>
    <row r="29" spans="1:10">
      <c r="A29" s="13">
        <v>14</v>
      </c>
      <c r="C29" s="247" t="s">
        <v>398</v>
      </c>
      <c r="D29" s="247">
        <v>-1146121</v>
      </c>
      <c r="E29" s="247"/>
      <c r="F29" s="247">
        <f>D29+139378+283835</f>
        <v>-722908</v>
      </c>
      <c r="G29" s="247">
        <v>7282596</v>
      </c>
      <c r="H29" s="247">
        <f>(F29/0.62023)+(7282596*0.0774)/0.62023</f>
        <v>-256735.51682440389</v>
      </c>
    </row>
    <row r="30" spans="1:10">
      <c r="A30" s="13">
        <v>15</v>
      </c>
      <c r="C30" s="247" t="s">
        <v>399</v>
      </c>
      <c r="D30" s="247">
        <v>-518826</v>
      </c>
      <c r="E30" s="247"/>
      <c r="F30" s="247">
        <f>D30*0.65</f>
        <v>-337236.9</v>
      </c>
      <c r="G30" s="247"/>
      <c r="H30" s="247">
        <f>F30/0.62023</f>
        <v>-543728.77803395526</v>
      </c>
    </row>
    <row r="31" spans="1:10" ht="15.75" thickBot="1">
      <c r="A31" s="13">
        <v>16</v>
      </c>
      <c r="C31" s="247" t="s">
        <v>1</v>
      </c>
      <c r="D31" s="34">
        <f>SUM(D29:D30)</f>
        <v>-1664947</v>
      </c>
      <c r="E31" s="247"/>
      <c r="F31" s="34">
        <f>SUM(F29:F30)</f>
        <v>-1060144.8999999999</v>
      </c>
      <c r="G31" s="247"/>
      <c r="H31" s="33">
        <f>SUM(H29:H30)</f>
        <v>-800464.29485835915</v>
      </c>
    </row>
    <row r="32" spans="1:10" ht="15.75" thickTop="1">
      <c r="A32" s="13">
        <v>17</v>
      </c>
      <c r="C32" s="247" t="s">
        <v>404</v>
      </c>
      <c r="D32" s="247"/>
      <c r="E32" s="247"/>
      <c r="F32" s="247"/>
      <c r="G32" s="247"/>
      <c r="H32" s="156"/>
    </row>
    <row r="33" spans="1:3">
      <c r="A33" s="13">
        <v>18</v>
      </c>
      <c r="C33" s="247" t="s">
        <v>405</v>
      </c>
    </row>
  </sheetData>
  <pageMargins left="0.2" right="0.2" top="0.75" bottom="0.75" header="0.3" footer="0.3"/>
  <pageSetup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workbookViewId="0">
      <selection activeCell="C37" sqref="C37"/>
    </sheetView>
  </sheetViews>
  <sheetFormatPr defaultRowHeight="15"/>
  <cols>
    <col min="1" max="1" width="6" style="13" customWidth="1"/>
    <col min="2" max="2" width="0.7109375" style="12" customWidth="1"/>
    <col min="3" max="3" width="46.140625" style="12" customWidth="1"/>
    <col min="4" max="4" width="23.42578125" style="12" customWidth="1"/>
    <col min="5" max="5" width="11.7109375" style="12" customWidth="1"/>
    <col min="6" max="6" width="26.5703125" style="12" customWidth="1"/>
    <col min="7" max="7" width="10.85546875" style="12" customWidth="1"/>
    <col min="8" max="16384" width="9.140625" style="12"/>
  </cols>
  <sheetData>
    <row r="1" spans="1:7">
      <c r="E1" s="265" t="s">
        <v>444</v>
      </c>
    </row>
    <row r="2" spans="1:7">
      <c r="E2" s="265" t="s">
        <v>445</v>
      </c>
    </row>
    <row r="3" spans="1:7">
      <c r="E3" s="265" t="s">
        <v>454</v>
      </c>
    </row>
    <row r="5" spans="1:7" ht="15.75">
      <c r="C5" s="9" t="s">
        <v>36</v>
      </c>
      <c r="E5" s="55" t="s">
        <v>279</v>
      </c>
      <c r="F5" s="11"/>
    </row>
    <row r="6" spans="1:7" ht="15.75">
      <c r="C6" s="8" t="s">
        <v>21</v>
      </c>
      <c r="F6" s="11"/>
    </row>
    <row r="7" spans="1:7" ht="15.75">
      <c r="C7" s="10" t="s">
        <v>20</v>
      </c>
      <c r="F7" s="55"/>
    </row>
    <row r="8" spans="1:7" ht="15.75">
      <c r="C8" s="10" t="s">
        <v>19</v>
      </c>
    </row>
    <row r="9" spans="1:7" ht="15.75">
      <c r="C9" s="10"/>
    </row>
    <row r="10" spans="1:7">
      <c r="C10" s="55" t="s">
        <v>263</v>
      </c>
    </row>
    <row r="11" spans="1:7">
      <c r="C11" s="144" t="s">
        <v>227</v>
      </c>
      <c r="D11" s="142"/>
      <c r="E11" s="142"/>
    </row>
    <row r="12" spans="1:7">
      <c r="A12" s="13" t="s">
        <v>47</v>
      </c>
      <c r="B12" s="13"/>
      <c r="C12" s="13"/>
      <c r="D12" s="13" t="s">
        <v>2</v>
      </c>
    </row>
    <row r="13" spans="1:7">
      <c r="A13" s="5" t="s">
        <v>17</v>
      </c>
      <c r="B13" s="13"/>
      <c r="C13" s="5" t="s">
        <v>14</v>
      </c>
      <c r="D13" s="5" t="s">
        <v>48</v>
      </c>
      <c r="F13" s="32" t="s">
        <v>90</v>
      </c>
      <c r="G13" s="29"/>
    </row>
    <row r="14" spans="1:7">
      <c r="A14" s="13">
        <v>1</v>
      </c>
      <c r="C14" s="12" t="s">
        <v>110</v>
      </c>
      <c r="D14" s="30">
        <v>-375845</v>
      </c>
      <c r="F14" s="53"/>
    </row>
    <row r="15" spans="1:7">
      <c r="A15" s="13">
        <v>2</v>
      </c>
      <c r="C15" s="12" t="s">
        <v>111</v>
      </c>
      <c r="D15" s="30">
        <v>-307834</v>
      </c>
      <c r="F15" s="53"/>
    </row>
    <row r="16" spans="1:7">
      <c r="A16" s="13">
        <v>3</v>
      </c>
      <c r="C16" s="12" t="s">
        <v>112</v>
      </c>
      <c r="D16" s="30"/>
      <c r="F16" s="53"/>
    </row>
    <row r="17" spans="1:9">
      <c r="A17" s="13">
        <v>4</v>
      </c>
      <c r="C17" s="12" t="s">
        <v>113</v>
      </c>
      <c r="D17" s="30">
        <v>-151428</v>
      </c>
      <c r="F17" s="53" t="s">
        <v>463</v>
      </c>
    </row>
    <row r="18" spans="1:9">
      <c r="A18" s="13">
        <v>5</v>
      </c>
      <c r="C18" s="12" t="s">
        <v>236</v>
      </c>
      <c r="D18" s="149">
        <f>SUM(D14:D17)</f>
        <v>-835107</v>
      </c>
    </row>
    <row r="19" spans="1:9">
      <c r="D19" s="31"/>
    </row>
    <row r="20" spans="1:9">
      <c r="A20" s="150">
        <v>6</v>
      </c>
      <c r="B20" s="142"/>
      <c r="C20" s="142" t="s">
        <v>238</v>
      </c>
      <c r="D20" s="151"/>
      <c r="E20" s="142"/>
      <c r="F20" s="142" t="s">
        <v>237</v>
      </c>
      <c r="G20" s="142"/>
      <c r="H20" s="142"/>
      <c r="I20" s="142"/>
    </row>
    <row r="21" spans="1:9">
      <c r="A21" s="150">
        <v>7</v>
      </c>
      <c r="B21" s="142"/>
      <c r="C21" s="142" t="s">
        <v>240</v>
      </c>
      <c r="D21" s="143">
        <v>92326</v>
      </c>
      <c r="E21" s="142"/>
      <c r="F21" s="142" t="s">
        <v>237</v>
      </c>
      <c r="G21" s="142"/>
      <c r="H21" s="142"/>
      <c r="I21" s="142"/>
    </row>
    <row r="22" spans="1:9">
      <c r="A22" s="150">
        <v>8</v>
      </c>
      <c r="B22" s="142"/>
      <c r="C22" s="142" t="s">
        <v>241</v>
      </c>
      <c r="D22" s="143">
        <v>88614</v>
      </c>
      <c r="E22" s="142"/>
      <c r="F22" s="142" t="s">
        <v>237</v>
      </c>
      <c r="G22" s="142"/>
      <c r="H22" s="142"/>
      <c r="I22" s="142"/>
    </row>
    <row r="23" spans="1:9">
      <c r="A23" s="150">
        <v>9</v>
      </c>
      <c r="B23" s="142"/>
      <c r="C23" s="142" t="s">
        <v>242</v>
      </c>
      <c r="D23" s="143">
        <v>3087</v>
      </c>
      <c r="E23" s="142"/>
      <c r="F23" s="142" t="s">
        <v>237</v>
      </c>
      <c r="G23" s="142"/>
      <c r="H23" s="142"/>
      <c r="I23" s="142"/>
    </row>
    <row r="24" spans="1:9">
      <c r="A24" s="150">
        <v>10</v>
      </c>
      <c r="B24" s="142"/>
      <c r="C24" s="142" t="s">
        <v>239</v>
      </c>
      <c r="D24" s="143">
        <v>0</v>
      </c>
      <c r="E24" s="142"/>
      <c r="F24" s="142" t="s">
        <v>247</v>
      </c>
      <c r="G24" s="142"/>
      <c r="H24" s="142"/>
      <c r="I24" s="142"/>
    </row>
    <row r="25" spans="1:9">
      <c r="A25" s="150">
        <v>11</v>
      </c>
      <c r="B25" s="142"/>
      <c r="C25" s="142" t="s">
        <v>243</v>
      </c>
      <c r="D25" s="143">
        <v>0</v>
      </c>
      <c r="E25" s="142"/>
      <c r="F25" s="142" t="s">
        <v>247</v>
      </c>
      <c r="G25" s="142"/>
      <c r="H25" s="142"/>
      <c r="I25" s="142"/>
    </row>
    <row r="26" spans="1:9">
      <c r="A26" s="150">
        <v>12</v>
      </c>
      <c r="B26" s="142"/>
      <c r="C26" s="142" t="s">
        <v>244</v>
      </c>
      <c r="D26" s="153">
        <f>SUM(D21:D25)</f>
        <v>184027</v>
      </c>
      <c r="E26" s="142"/>
      <c r="F26" s="142"/>
      <c r="G26" s="142"/>
      <c r="H26" s="142"/>
      <c r="I26" s="142"/>
    </row>
    <row r="27" spans="1:9" ht="15.75" thickBot="1">
      <c r="A27" s="13">
        <v>13</v>
      </c>
      <c r="C27" s="55" t="s">
        <v>245</v>
      </c>
      <c r="D27" s="33">
        <f>D18+D26</f>
        <v>-651080</v>
      </c>
      <c r="F27" s="12" t="s">
        <v>246</v>
      </c>
    </row>
    <row r="28" spans="1:9" ht="15.75" thickTop="1">
      <c r="D28" s="31"/>
    </row>
    <row r="29" spans="1:9" ht="15.75" thickBot="1">
      <c r="A29" s="150">
        <v>14</v>
      </c>
      <c r="B29" s="142"/>
      <c r="C29" s="142" t="s">
        <v>248</v>
      </c>
      <c r="D29" s="152">
        <v>56245</v>
      </c>
      <c r="E29" s="142"/>
      <c r="F29" s="142" t="s">
        <v>237</v>
      </c>
    </row>
    <row r="30" spans="1:9" ht="15.75" thickTop="1">
      <c r="D30" s="30"/>
    </row>
    <row r="31" spans="1:9">
      <c r="A31" s="13">
        <v>15</v>
      </c>
      <c r="C31" s="6" t="s">
        <v>464</v>
      </c>
      <c r="D31" s="25" t="s">
        <v>114</v>
      </c>
      <c r="E31" s="3" t="s">
        <v>2</v>
      </c>
      <c r="F31" s="6"/>
    </row>
    <row r="32" spans="1:9">
      <c r="A32" s="13">
        <v>16</v>
      </c>
      <c r="C32" s="7" t="s">
        <v>14</v>
      </c>
      <c r="D32" s="7" t="s">
        <v>6</v>
      </c>
      <c r="E32" s="5" t="s">
        <v>48</v>
      </c>
      <c r="F32" s="7" t="s">
        <v>15</v>
      </c>
    </row>
    <row r="33" spans="1:6">
      <c r="A33" s="13">
        <v>17</v>
      </c>
      <c r="C33" s="56" t="s">
        <v>117</v>
      </c>
      <c r="D33" s="56" t="s">
        <v>119</v>
      </c>
      <c r="E33" s="57">
        <v>-246928</v>
      </c>
      <c r="F33" s="56" t="s">
        <v>116</v>
      </c>
    </row>
    <row r="34" spans="1:6">
      <c r="A34" s="13">
        <v>18</v>
      </c>
      <c r="C34" s="56" t="s">
        <v>118</v>
      </c>
      <c r="D34" s="56" t="s">
        <v>119</v>
      </c>
      <c r="E34" s="57">
        <v>95500</v>
      </c>
      <c r="F34" s="56" t="s">
        <v>116</v>
      </c>
    </row>
    <row r="35" spans="1:6" ht="15.75" thickBot="1">
      <c r="A35" s="13">
        <v>19</v>
      </c>
      <c r="C35" s="58" t="s">
        <v>1</v>
      </c>
      <c r="D35" s="58"/>
      <c r="E35" s="59">
        <f>SUM(E33:E34)</f>
        <v>-151428</v>
      </c>
      <c r="F35" s="56"/>
    </row>
    <row r="36" spans="1:6" ht="15.75" thickTop="1"/>
  </sheetData>
  <pageMargins left="0.15" right="0.15" top="0.7" bottom="0.1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Motion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2012-01-24T08:00:00+00:00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59453D8-A0F2-4B50-A777-218FEF3DBD5E}"/>
</file>

<file path=customXml/itemProps2.xml><?xml version="1.0" encoding="utf-8"?>
<ds:datastoreItem xmlns:ds="http://schemas.openxmlformats.org/officeDocument/2006/customXml" ds:itemID="{22BD5A67-494C-41EB-92DF-9840FB50D280}"/>
</file>

<file path=customXml/itemProps3.xml><?xml version="1.0" encoding="utf-8"?>
<ds:datastoreItem xmlns:ds="http://schemas.openxmlformats.org/officeDocument/2006/customXml" ds:itemID="{F1304F83-8B5A-4883-AC57-EBC0FF331984}"/>
</file>

<file path=customXml/itemProps4.xml><?xml version="1.0" encoding="utf-8"?>
<ds:datastoreItem xmlns:ds="http://schemas.openxmlformats.org/officeDocument/2006/customXml" ds:itemID="{CD7F4F40-AFD4-4CB4-B9E0-495B5C07A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8</vt:i4>
      </vt:variant>
    </vt:vector>
  </HeadingPairs>
  <TitlesOfParts>
    <vt:vector size="28" baseType="lpstr">
      <vt:lpstr>Revised Table 1</vt:lpstr>
      <vt:lpstr>PC Adj. Summary</vt:lpstr>
      <vt:lpstr>PC vs. Co.</vt:lpstr>
      <vt:lpstr>PC 4.1</vt:lpstr>
      <vt:lpstr>PC 4.2</vt:lpstr>
      <vt:lpstr>PC 4.2.1</vt:lpstr>
      <vt:lpstr>PC 4.3</vt:lpstr>
      <vt:lpstr>PC 4.4</vt:lpstr>
      <vt:lpstr>PC 4.5</vt:lpstr>
      <vt:lpstr>PC 4.7</vt:lpstr>
      <vt:lpstr>PC 4.10</vt:lpstr>
      <vt:lpstr>PC 4.12</vt:lpstr>
      <vt:lpstr>PC 4.13</vt:lpstr>
      <vt:lpstr>PC 4.14</vt:lpstr>
      <vt:lpstr>PC 4.15</vt:lpstr>
      <vt:lpstr>PC 4.16</vt:lpstr>
      <vt:lpstr>PC 8.11</vt:lpstr>
      <vt:lpstr>Sheet1</vt:lpstr>
      <vt:lpstr>Sheet20</vt:lpstr>
      <vt:lpstr>Sheet21</vt:lpstr>
      <vt:lpstr>'PC 4.16'!Print_Area</vt:lpstr>
      <vt:lpstr>'PC 4.2'!Print_Area</vt:lpstr>
      <vt:lpstr>'PC 4.2.1'!Print_Area</vt:lpstr>
      <vt:lpstr>'PC 4.4'!Print_Area</vt:lpstr>
      <vt:lpstr>'PC 4.5'!Print_Area</vt:lpstr>
      <vt:lpstr>'PC Adj. Summary'!Print_Area</vt:lpstr>
      <vt:lpstr>'PC vs. Co.'!Print_Area</vt:lpstr>
      <vt:lpstr>'Revised Table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2012-01-24T19:15:30Z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4" name="ContentTypeId">
    <vt:lpwstr>0x0101006E56B4D1795A2E4DB2F0B01679ED314A00D17CE28074734D4792DBD415A4708DE0</vt:lpwstr>
  </property>
  <property fmtid="{D5CDD505-2E9C-101B-9397-08002B2CF9AE}" pid="5" name="_docset_NoMedatataSyncRequired">
    <vt:lpwstr>False</vt:lpwstr>
  </property>
</Properties>
</file>