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charts/style1.xml" ContentType="application/vnd.ms-office.chartsty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sheets/sheet3.xml" ContentType="application/vnd.openxmlformats-officedocument.spreadsheetml.worksheet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threadedComments/threadedComment3.xml" ContentType="application/vnd.ms-excel.threadedcomment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0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duresources.sharepoint.com/sites/GRC-WA/Shared Documents/WA MYRP 2023 UG-240008/Testimony/First Draft Testimony/Madison/Exhibits/"/>
    </mc:Choice>
  </mc:AlternateContent>
  <xr:revisionPtr revIDLastSave="2" documentId="13_ncr:1_{1AF4FAB0-2C74-4D44-8EB5-53F865DCA9C5}" xr6:coauthVersionLast="47" xr6:coauthVersionMax="47" xr10:uidLastSave="{75237D60-D688-4388-B973-2DB133A1F8E4}"/>
  <bookViews>
    <workbookView xWindow="-108" yWindow="-108" windowWidth="23256" windowHeight="12576" firstSheet="2" activeTab="2" xr2:uid="{00000000-000D-0000-FFFF-FFFF00000000}"/>
  </bookViews>
  <sheets>
    <sheet name="Historical Annual" sheetId="1" r:id="rId1"/>
    <sheet name="Therm Tracking" sheetId="9" r:id="rId2"/>
    <sheet name="Charts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6" l="1"/>
  <c r="P6" i="6"/>
  <c r="O6" i="6"/>
  <c r="P5" i="6"/>
  <c r="P4" i="6"/>
  <c r="P3" i="6"/>
  <c r="N37" i="1" l="1"/>
  <c r="N25" i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24" i="1"/>
  <c r="N23" i="1"/>
  <c r="J40" i="1"/>
  <c r="J39" i="1"/>
  <c r="D40" i="1"/>
  <c r="D39" i="1"/>
  <c r="J20" i="1"/>
  <c r="J19" i="1"/>
  <c r="D20" i="1"/>
  <c r="D19" i="1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AF7" i="9"/>
  <c r="AG7" i="9"/>
  <c r="AH7" i="9"/>
  <c r="AI7" i="9"/>
  <c r="AJ7" i="9"/>
  <c r="AK7" i="9"/>
  <c r="AL7" i="9"/>
  <c r="AM7" i="9"/>
  <c r="AN7" i="9"/>
  <c r="AO7" i="9"/>
  <c r="AP7" i="9"/>
  <c r="AQ7" i="9"/>
  <c r="AR7" i="9"/>
  <c r="AS7" i="9"/>
  <c r="AT7" i="9"/>
  <c r="AU7" i="9"/>
  <c r="AV7" i="9"/>
  <c r="AW7" i="9"/>
  <c r="AX7" i="9"/>
  <c r="AY7" i="9"/>
  <c r="AZ7" i="9"/>
  <c r="BA7" i="9"/>
  <c r="BB7" i="9"/>
  <c r="BC7" i="9"/>
  <c r="BD7" i="9"/>
  <c r="BE7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AT8" i="9"/>
  <c r="AU8" i="9"/>
  <c r="AV8" i="9"/>
  <c r="AW8" i="9"/>
  <c r="AX8" i="9"/>
  <c r="AY8" i="9"/>
  <c r="AZ8" i="9"/>
  <c r="BA8" i="9"/>
  <c r="BB8" i="9"/>
  <c r="BC8" i="9"/>
  <c r="BD8" i="9"/>
  <c r="BE8" i="9"/>
  <c r="E9" i="9"/>
  <c r="F9" i="9"/>
  <c r="G9" i="9"/>
  <c r="H9" i="9"/>
  <c r="I9" i="9"/>
  <c r="I5" i="9" s="1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AT9" i="9"/>
  <c r="AU9" i="9"/>
  <c r="AV9" i="9"/>
  <c r="AW9" i="9"/>
  <c r="AX9" i="9"/>
  <c r="AY9" i="9"/>
  <c r="AZ9" i="9"/>
  <c r="BA9" i="9"/>
  <c r="BB9" i="9"/>
  <c r="BC9" i="9"/>
  <c r="BD9" i="9"/>
  <c r="BE9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AT10" i="9"/>
  <c r="AU10" i="9"/>
  <c r="AV10" i="9"/>
  <c r="AW10" i="9"/>
  <c r="AX10" i="9"/>
  <c r="AY10" i="9"/>
  <c r="AZ10" i="9"/>
  <c r="BA10" i="9"/>
  <c r="BB10" i="9"/>
  <c r="BC10" i="9"/>
  <c r="BD10" i="9"/>
  <c r="BE10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AT11" i="9"/>
  <c r="AU11" i="9"/>
  <c r="AV11" i="9"/>
  <c r="AW11" i="9"/>
  <c r="AX11" i="9"/>
  <c r="AY11" i="9"/>
  <c r="AZ11" i="9"/>
  <c r="BA11" i="9"/>
  <c r="BB11" i="9"/>
  <c r="BC11" i="9"/>
  <c r="BD11" i="9"/>
  <c r="BE11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Q12" i="9"/>
  <c r="AR12" i="9"/>
  <c r="AS12" i="9"/>
  <c r="AT12" i="9"/>
  <c r="AU12" i="9"/>
  <c r="AV12" i="9"/>
  <c r="AW12" i="9"/>
  <c r="AX12" i="9"/>
  <c r="AY12" i="9"/>
  <c r="AZ12" i="9"/>
  <c r="BA12" i="9"/>
  <c r="BB12" i="9"/>
  <c r="BC12" i="9"/>
  <c r="BD12" i="9"/>
  <c r="BE12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V13" i="9"/>
  <c r="AW13" i="9"/>
  <c r="AX13" i="9"/>
  <c r="AY13" i="9"/>
  <c r="AZ13" i="9"/>
  <c r="BA13" i="9"/>
  <c r="BB13" i="9"/>
  <c r="BC13" i="9"/>
  <c r="BD13" i="9"/>
  <c r="BE13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Q5" i="9" s="1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AT14" i="9"/>
  <c r="AU14" i="9"/>
  <c r="AV14" i="9"/>
  <c r="AW14" i="9"/>
  <c r="AX14" i="9"/>
  <c r="AY14" i="9"/>
  <c r="AZ14" i="9"/>
  <c r="BA14" i="9"/>
  <c r="BB14" i="9"/>
  <c r="BC14" i="9"/>
  <c r="BD14" i="9"/>
  <c r="BE14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AF15" i="9"/>
  <c r="AG15" i="9"/>
  <c r="AH15" i="9"/>
  <c r="AI15" i="9"/>
  <c r="AJ15" i="9"/>
  <c r="AK15" i="9"/>
  <c r="AL15" i="9"/>
  <c r="AM15" i="9"/>
  <c r="AN15" i="9"/>
  <c r="AO15" i="9"/>
  <c r="AP15" i="9"/>
  <c r="AQ15" i="9"/>
  <c r="AR15" i="9"/>
  <c r="AS15" i="9"/>
  <c r="AT15" i="9"/>
  <c r="AU15" i="9"/>
  <c r="AV15" i="9"/>
  <c r="AW15" i="9"/>
  <c r="AX15" i="9"/>
  <c r="AY15" i="9"/>
  <c r="AZ15" i="9"/>
  <c r="BA15" i="9"/>
  <c r="BB15" i="9"/>
  <c r="BC15" i="9"/>
  <c r="BD15" i="9"/>
  <c r="BE15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AT16" i="9"/>
  <c r="AU16" i="9"/>
  <c r="AV16" i="9"/>
  <c r="AW16" i="9"/>
  <c r="AX16" i="9"/>
  <c r="AY16" i="9"/>
  <c r="AZ16" i="9"/>
  <c r="BA16" i="9"/>
  <c r="BB16" i="9"/>
  <c r="BC16" i="9"/>
  <c r="BD16" i="9"/>
  <c r="BE16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Q17" i="9"/>
  <c r="AR17" i="9"/>
  <c r="AS17" i="9"/>
  <c r="AT17" i="9"/>
  <c r="AU17" i="9"/>
  <c r="AV17" i="9"/>
  <c r="AW17" i="9"/>
  <c r="AX17" i="9"/>
  <c r="AY17" i="9"/>
  <c r="AZ17" i="9"/>
  <c r="BA17" i="9"/>
  <c r="BB17" i="9"/>
  <c r="BC17" i="9"/>
  <c r="BD17" i="9"/>
  <c r="BE17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X18" i="9"/>
  <c r="AY18" i="9"/>
  <c r="AZ18" i="9"/>
  <c r="BA18" i="9"/>
  <c r="BB18" i="9"/>
  <c r="BC18" i="9"/>
  <c r="BD18" i="9"/>
  <c r="BE18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AQ19" i="9"/>
  <c r="AR19" i="9"/>
  <c r="AS19" i="9"/>
  <c r="AT19" i="9"/>
  <c r="AU19" i="9"/>
  <c r="AV19" i="9"/>
  <c r="AW19" i="9"/>
  <c r="AX19" i="9"/>
  <c r="AY19" i="9"/>
  <c r="AZ19" i="9"/>
  <c r="BA19" i="9"/>
  <c r="BB19" i="9"/>
  <c r="BC19" i="9"/>
  <c r="BD19" i="9"/>
  <c r="BE19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AT20" i="9"/>
  <c r="AU20" i="9"/>
  <c r="AV20" i="9"/>
  <c r="AW20" i="9"/>
  <c r="AX20" i="9"/>
  <c r="AY20" i="9"/>
  <c r="AZ20" i="9"/>
  <c r="BA20" i="9"/>
  <c r="BB20" i="9"/>
  <c r="BC20" i="9"/>
  <c r="BD20" i="9"/>
  <c r="BE20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Q21" i="9"/>
  <c r="AR21" i="9"/>
  <c r="AS21" i="9"/>
  <c r="AT21" i="9"/>
  <c r="AU21" i="9"/>
  <c r="AV21" i="9"/>
  <c r="AW21" i="9"/>
  <c r="AX21" i="9"/>
  <c r="AY21" i="9"/>
  <c r="AZ21" i="9"/>
  <c r="BA21" i="9"/>
  <c r="BB21" i="9"/>
  <c r="BC21" i="9"/>
  <c r="BD21" i="9"/>
  <c r="BE21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AQ22" i="9"/>
  <c r="AR22" i="9"/>
  <c r="AS22" i="9"/>
  <c r="AT22" i="9"/>
  <c r="AU22" i="9"/>
  <c r="AV22" i="9"/>
  <c r="AW22" i="9"/>
  <c r="AX22" i="9"/>
  <c r="AY22" i="9"/>
  <c r="AZ22" i="9"/>
  <c r="BA22" i="9"/>
  <c r="BB22" i="9"/>
  <c r="BC22" i="9"/>
  <c r="BD22" i="9"/>
  <c r="BE22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AS23" i="9"/>
  <c r="AT23" i="9"/>
  <c r="AU23" i="9"/>
  <c r="AV23" i="9"/>
  <c r="AW23" i="9"/>
  <c r="AX23" i="9"/>
  <c r="AY23" i="9"/>
  <c r="AZ23" i="9"/>
  <c r="BA23" i="9"/>
  <c r="BB23" i="9"/>
  <c r="BC23" i="9"/>
  <c r="BD23" i="9"/>
  <c r="BE23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AQ24" i="9"/>
  <c r="AR24" i="9"/>
  <c r="AS24" i="9"/>
  <c r="AT24" i="9"/>
  <c r="AU24" i="9"/>
  <c r="AV24" i="9"/>
  <c r="AW24" i="9"/>
  <c r="AX24" i="9"/>
  <c r="AY24" i="9"/>
  <c r="AZ24" i="9"/>
  <c r="BA24" i="9"/>
  <c r="BB24" i="9"/>
  <c r="BC24" i="9"/>
  <c r="BD24" i="9"/>
  <c r="BE24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AT25" i="9"/>
  <c r="AU25" i="9"/>
  <c r="AV25" i="9"/>
  <c r="AW25" i="9"/>
  <c r="AX25" i="9"/>
  <c r="AY25" i="9"/>
  <c r="AZ25" i="9"/>
  <c r="BA25" i="9"/>
  <c r="BB25" i="9"/>
  <c r="BC25" i="9"/>
  <c r="BD25" i="9"/>
  <c r="BE25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BA26" i="9"/>
  <c r="BB26" i="9"/>
  <c r="BC26" i="9"/>
  <c r="BD26" i="9"/>
  <c r="BE26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BA27" i="9"/>
  <c r="BB27" i="9"/>
  <c r="BC27" i="9"/>
  <c r="BD27" i="9"/>
  <c r="BE27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BA28" i="9"/>
  <c r="BB28" i="9"/>
  <c r="BC28" i="9"/>
  <c r="BD28" i="9"/>
  <c r="BE28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BA29" i="9"/>
  <c r="BB29" i="9"/>
  <c r="BC29" i="9"/>
  <c r="BD29" i="9"/>
  <c r="BE29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BA30" i="9"/>
  <c r="BB30" i="9"/>
  <c r="BC30" i="9"/>
  <c r="BD30" i="9"/>
  <c r="BE30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AB31" i="9"/>
  <c r="AC31" i="9"/>
  <c r="AD31" i="9"/>
  <c r="AE31" i="9"/>
  <c r="AF31" i="9"/>
  <c r="AG31" i="9"/>
  <c r="AH31" i="9"/>
  <c r="AI31" i="9"/>
  <c r="AJ31" i="9"/>
  <c r="AK31" i="9"/>
  <c r="AL31" i="9"/>
  <c r="AM31" i="9"/>
  <c r="AN31" i="9"/>
  <c r="AO31" i="9"/>
  <c r="AP31" i="9"/>
  <c r="AQ31" i="9"/>
  <c r="AR31" i="9"/>
  <c r="AS31" i="9"/>
  <c r="AT31" i="9"/>
  <c r="AU31" i="9"/>
  <c r="AV31" i="9"/>
  <c r="AW31" i="9"/>
  <c r="AX31" i="9"/>
  <c r="AY31" i="9"/>
  <c r="AZ31" i="9"/>
  <c r="BA31" i="9"/>
  <c r="BB31" i="9"/>
  <c r="BC31" i="9"/>
  <c r="BD31" i="9"/>
  <c r="BE31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BA32" i="9"/>
  <c r="BB32" i="9"/>
  <c r="BC32" i="9"/>
  <c r="BD32" i="9"/>
  <c r="BE32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AS33" i="9"/>
  <c r="AT33" i="9"/>
  <c r="AU33" i="9"/>
  <c r="AV33" i="9"/>
  <c r="AW33" i="9"/>
  <c r="AX33" i="9"/>
  <c r="AY33" i="9"/>
  <c r="AZ33" i="9"/>
  <c r="BA33" i="9"/>
  <c r="BB33" i="9"/>
  <c r="BC33" i="9"/>
  <c r="BD33" i="9"/>
  <c r="BE33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BA34" i="9"/>
  <c r="BB34" i="9"/>
  <c r="BC34" i="9"/>
  <c r="BD34" i="9"/>
  <c r="BE34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BA35" i="9"/>
  <c r="BB35" i="9"/>
  <c r="BC35" i="9"/>
  <c r="BD35" i="9"/>
  <c r="BE35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BA36" i="9"/>
  <c r="BB36" i="9"/>
  <c r="BC36" i="9"/>
  <c r="BD36" i="9"/>
  <c r="BE36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BA37" i="9"/>
  <c r="BB37" i="9"/>
  <c r="BC37" i="9"/>
  <c r="BD37" i="9"/>
  <c r="BE37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AB38" i="9"/>
  <c r="AC38" i="9"/>
  <c r="AD38" i="9"/>
  <c r="AE38" i="9"/>
  <c r="AF38" i="9"/>
  <c r="AG38" i="9"/>
  <c r="AH38" i="9"/>
  <c r="AI38" i="9"/>
  <c r="AJ38" i="9"/>
  <c r="AK38" i="9"/>
  <c r="AL38" i="9"/>
  <c r="AM38" i="9"/>
  <c r="AN38" i="9"/>
  <c r="AO38" i="9"/>
  <c r="AP38" i="9"/>
  <c r="AQ38" i="9"/>
  <c r="AR38" i="9"/>
  <c r="AS38" i="9"/>
  <c r="AT38" i="9"/>
  <c r="AU38" i="9"/>
  <c r="AV38" i="9"/>
  <c r="AW38" i="9"/>
  <c r="AX38" i="9"/>
  <c r="AY38" i="9"/>
  <c r="AZ38" i="9"/>
  <c r="BA38" i="9"/>
  <c r="BB38" i="9"/>
  <c r="BC38" i="9"/>
  <c r="BD38" i="9"/>
  <c r="BE38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AZ39" i="9"/>
  <c r="BA39" i="9"/>
  <c r="BB39" i="9"/>
  <c r="BC39" i="9"/>
  <c r="BD39" i="9"/>
  <c r="BE39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AR40" i="9"/>
  <c r="AS40" i="9"/>
  <c r="AT40" i="9"/>
  <c r="AU40" i="9"/>
  <c r="AV40" i="9"/>
  <c r="AW40" i="9"/>
  <c r="AX40" i="9"/>
  <c r="AY40" i="9"/>
  <c r="AZ40" i="9"/>
  <c r="BA40" i="9"/>
  <c r="BB40" i="9"/>
  <c r="BC40" i="9"/>
  <c r="BD40" i="9"/>
  <c r="BE40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R41" i="9"/>
  <c r="AS41" i="9"/>
  <c r="AT41" i="9"/>
  <c r="AU41" i="9"/>
  <c r="AV41" i="9"/>
  <c r="AW41" i="9"/>
  <c r="AX41" i="9"/>
  <c r="AY41" i="9"/>
  <c r="AZ41" i="9"/>
  <c r="BA41" i="9"/>
  <c r="BB41" i="9"/>
  <c r="BC41" i="9"/>
  <c r="BD41" i="9"/>
  <c r="BE41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R42" i="9"/>
  <c r="AS42" i="9"/>
  <c r="AT42" i="9"/>
  <c r="AU42" i="9"/>
  <c r="AV42" i="9"/>
  <c r="AW42" i="9"/>
  <c r="AX42" i="9"/>
  <c r="AY42" i="9"/>
  <c r="AZ42" i="9"/>
  <c r="BA42" i="9"/>
  <c r="BB42" i="9"/>
  <c r="BC42" i="9"/>
  <c r="BD42" i="9"/>
  <c r="BE42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AQ43" i="9"/>
  <c r="AR43" i="9"/>
  <c r="AS43" i="9"/>
  <c r="AT43" i="9"/>
  <c r="AU43" i="9"/>
  <c r="AV43" i="9"/>
  <c r="AW43" i="9"/>
  <c r="AX43" i="9"/>
  <c r="AY43" i="9"/>
  <c r="AZ43" i="9"/>
  <c r="BA43" i="9"/>
  <c r="BB43" i="9"/>
  <c r="BC43" i="9"/>
  <c r="BD43" i="9"/>
  <c r="BE43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AR44" i="9"/>
  <c r="AS44" i="9"/>
  <c r="AT44" i="9"/>
  <c r="AU44" i="9"/>
  <c r="AV44" i="9"/>
  <c r="AW44" i="9"/>
  <c r="AX44" i="9"/>
  <c r="AY44" i="9"/>
  <c r="AZ44" i="9"/>
  <c r="BA44" i="9"/>
  <c r="BB44" i="9"/>
  <c r="BC44" i="9"/>
  <c r="BD44" i="9"/>
  <c r="BE44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AR45" i="9"/>
  <c r="AS45" i="9"/>
  <c r="AT45" i="9"/>
  <c r="AU45" i="9"/>
  <c r="AV45" i="9"/>
  <c r="AW45" i="9"/>
  <c r="AX45" i="9"/>
  <c r="AY45" i="9"/>
  <c r="AZ45" i="9"/>
  <c r="BA45" i="9"/>
  <c r="BB45" i="9"/>
  <c r="BC45" i="9"/>
  <c r="BD45" i="9"/>
  <c r="BE45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AT46" i="9"/>
  <c r="AU46" i="9"/>
  <c r="AV46" i="9"/>
  <c r="AW46" i="9"/>
  <c r="AX46" i="9"/>
  <c r="AY46" i="9"/>
  <c r="AZ46" i="9"/>
  <c r="BA46" i="9"/>
  <c r="BB46" i="9"/>
  <c r="BC46" i="9"/>
  <c r="BD46" i="9"/>
  <c r="BE46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AT47" i="9"/>
  <c r="AU47" i="9"/>
  <c r="AV47" i="9"/>
  <c r="AW47" i="9"/>
  <c r="AX47" i="9"/>
  <c r="AY47" i="9"/>
  <c r="AZ47" i="9"/>
  <c r="BA47" i="9"/>
  <c r="BB47" i="9"/>
  <c r="BC47" i="9"/>
  <c r="BD47" i="9"/>
  <c r="BE47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X48" i="9"/>
  <c r="Y48" i="9"/>
  <c r="Z48" i="9"/>
  <c r="AA48" i="9"/>
  <c r="AB48" i="9"/>
  <c r="AC48" i="9"/>
  <c r="AD48" i="9"/>
  <c r="AE48" i="9"/>
  <c r="AF48" i="9"/>
  <c r="AG48" i="9"/>
  <c r="AH48" i="9"/>
  <c r="AI48" i="9"/>
  <c r="AJ48" i="9"/>
  <c r="AK48" i="9"/>
  <c r="AL48" i="9"/>
  <c r="AM48" i="9"/>
  <c r="AN48" i="9"/>
  <c r="AO48" i="9"/>
  <c r="AP48" i="9"/>
  <c r="AQ48" i="9"/>
  <c r="AR48" i="9"/>
  <c r="AS48" i="9"/>
  <c r="AT48" i="9"/>
  <c r="AU48" i="9"/>
  <c r="AV48" i="9"/>
  <c r="AW48" i="9"/>
  <c r="AX48" i="9"/>
  <c r="AY48" i="9"/>
  <c r="AZ48" i="9"/>
  <c r="BA48" i="9"/>
  <c r="BB48" i="9"/>
  <c r="BC48" i="9"/>
  <c r="BD48" i="9"/>
  <c r="BE48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AT49" i="9"/>
  <c r="AU49" i="9"/>
  <c r="AV49" i="9"/>
  <c r="AW49" i="9"/>
  <c r="AX49" i="9"/>
  <c r="AY49" i="9"/>
  <c r="AZ49" i="9"/>
  <c r="BA49" i="9"/>
  <c r="BB49" i="9"/>
  <c r="BC49" i="9"/>
  <c r="BD49" i="9"/>
  <c r="BE49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S50" i="9"/>
  <c r="AT50" i="9"/>
  <c r="AU50" i="9"/>
  <c r="AV50" i="9"/>
  <c r="AW50" i="9"/>
  <c r="AX50" i="9"/>
  <c r="AY50" i="9"/>
  <c r="AZ50" i="9"/>
  <c r="BA50" i="9"/>
  <c r="BB50" i="9"/>
  <c r="BC50" i="9"/>
  <c r="BD50" i="9"/>
  <c r="BE50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AT51" i="9"/>
  <c r="AU51" i="9"/>
  <c r="AV51" i="9"/>
  <c r="AW51" i="9"/>
  <c r="AX51" i="9"/>
  <c r="AY51" i="9"/>
  <c r="AZ51" i="9"/>
  <c r="BA51" i="9"/>
  <c r="BB51" i="9"/>
  <c r="BC51" i="9"/>
  <c r="BD51" i="9"/>
  <c r="BE51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Q52" i="9"/>
  <c r="AR52" i="9"/>
  <c r="AS52" i="9"/>
  <c r="AT52" i="9"/>
  <c r="AU52" i="9"/>
  <c r="AV52" i="9"/>
  <c r="AW52" i="9"/>
  <c r="AX52" i="9"/>
  <c r="AY52" i="9"/>
  <c r="AZ52" i="9"/>
  <c r="BA52" i="9"/>
  <c r="BB52" i="9"/>
  <c r="BC52" i="9"/>
  <c r="BD52" i="9"/>
  <c r="BE52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AT53" i="9"/>
  <c r="AU53" i="9"/>
  <c r="AV53" i="9"/>
  <c r="AW53" i="9"/>
  <c r="AX53" i="9"/>
  <c r="AY53" i="9"/>
  <c r="AZ53" i="9"/>
  <c r="BA53" i="9"/>
  <c r="BB53" i="9"/>
  <c r="BC53" i="9"/>
  <c r="BD53" i="9"/>
  <c r="BE53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AD54" i="9"/>
  <c r="AE54" i="9"/>
  <c r="AF54" i="9"/>
  <c r="AG54" i="9"/>
  <c r="AH54" i="9"/>
  <c r="AI54" i="9"/>
  <c r="AJ54" i="9"/>
  <c r="AK54" i="9"/>
  <c r="AL54" i="9"/>
  <c r="AM54" i="9"/>
  <c r="AN54" i="9"/>
  <c r="AO54" i="9"/>
  <c r="AP54" i="9"/>
  <c r="AQ54" i="9"/>
  <c r="AR54" i="9"/>
  <c r="AS54" i="9"/>
  <c r="AT54" i="9"/>
  <c r="AU54" i="9"/>
  <c r="AV54" i="9"/>
  <c r="AW54" i="9"/>
  <c r="AX54" i="9"/>
  <c r="AY54" i="9"/>
  <c r="AZ54" i="9"/>
  <c r="BA54" i="9"/>
  <c r="BB54" i="9"/>
  <c r="BC54" i="9"/>
  <c r="BD54" i="9"/>
  <c r="BE54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AR55" i="9"/>
  <c r="AS55" i="9"/>
  <c r="AT55" i="9"/>
  <c r="AU55" i="9"/>
  <c r="AV55" i="9"/>
  <c r="AW55" i="9"/>
  <c r="AX55" i="9"/>
  <c r="AY55" i="9"/>
  <c r="AZ55" i="9"/>
  <c r="BA55" i="9"/>
  <c r="BB55" i="9"/>
  <c r="BC55" i="9"/>
  <c r="BD55" i="9"/>
  <c r="BE55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AR56" i="9"/>
  <c r="AS56" i="9"/>
  <c r="AT56" i="9"/>
  <c r="AU56" i="9"/>
  <c r="AV56" i="9"/>
  <c r="AW56" i="9"/>
  <c r="AX56" i="9"/>
  <c r="AY56" i="9"/>
  <c r="AZ56" i="9"/>
  <c r="BA56" i="9"/>
  <c r="BB56" i="9"/>
  <c r="BC56" i="9"/>
  <c r="BD56" i="9"/>
  <c r="BE56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AI57" i="9"/>
  <c r="AJ57" i="9"/>
  <c r="AK57" i="9"/>
  <c r="AL57" i="9"/>
  <c r="AM57" i="9"/>
  <c r="AN57" i="9"/>
  <c r="AO57" i="9"/>
  <c r="AP57" i="9"/>
  <c r="AQ57" i="9"/>
  <c r="AR57" i="9"/>
  <c r="AS57" i="9"/>
  <c r="AT57" i="9"/>
  <c r="AU57" i="9"/>
  <c r="AV57" i="9"/>
  <c r="AW57" i="9"/>
  <c r="AX57" i="9"/>
  <c r="AY57" i="9"/>
  <c r="AZ57" i="9"/>
  <c r="BA57" i="9"/>
  <c r="BB57" i="9"/>
  <c r="BC57" i="9"/>
  <c r="BD57" i="9"/>
  <c r="BE57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AB58" i="9"/>
  <c r="AC58" i="9"/>
  <c r="AD58" i="9"/>
  <c r="AE58" i="9"/>
  <c r="AF58" i="9"/>
  <c r="AG58" i="9"/>
  <c r="AH58" i="9"/>
  <c r="AI58" i="9"/>
  <c r="AJ58" i="9"/>
  <c r="AK58" i="9"/>
  <c r="AL58" i="9"/>
  <c r="AM58" i="9"/>
  <c r="AN58" i="9"/>
  <c r="AO58" i="9"/>
  <c r="AP58" i="9"/>
  <c r="AQ58" i="9"/>
  <c r="AR58" i="9"/>
  <c r="AS58" i="9"/>
  <c r="AT58" i="9"/>
  <c r="AU58" i="9"/>
  <c r="AV58" i="9"/>
  <c r="AW58" i="9"/>
  <c r="AX58" i="9"/>
  <c r="AY58" i="9"/>
  <c r="AZ58" i="9"/>
  <c r="BA58" i="9"/>
  <c r="BB58" i="9"/>
  <c r="BC58" i="9"/>
  <c r="BD58" i="9"/>
  <c r="BE58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AF6" i="9"/>
  <c r="AG6" i="9"/>
  <c r="AH6" i="9"/>
  <c r="AI6" i="9"/>
  <c r="AJ6" i="9"/>
  <c r="AK6" i="9"/>
  <c r="AL6" i="9"/>
  <c r="AM6" i="9"/>
  <c r="AN6" i="9"/>
  <c r="AO6" i="9"/>
  <c r="AP6" i="9"/>
  <c r="AQ6" i="9"/>
  <c r="AR6" i="9"/>
  <c r="AS6" i="9"/>
  <c r="AT6" i="9"/>
  <c r="AU6" i="9"/>
  <c r="AV6" i="9"/>
  <c r="AW6" i="9"/>
  <c r="AX6" i="9"/>
  <c r="AY6" i="9"/>
  <c r="AZ6" i="9"/>
  <c r="BA6" i="9"/>
  <c r="BB6" i="9"/>
  <c r="BC6" i="9"/>
  <c r="BD6" i="9"/>
  <c r="BE6" i="9"/>
  <c r="E6" i="9"/>
  <c r="BL10" i="9"/>
  <c r="BL11" i="9"/>
  <c r="BL12" i="9"/>
  <c r="BL13" i="9"/>
  <c r="BL9" i="9"/>
  <c r="K37" i="1"/>
  <c r="I37" i="1"/>
  <c r="H5" i="9" l="1"/>
  <c r="S5" i="9"/>
  <c r="K5" i="9"/>
  <c r="O5" i="9"/>
  <c r="G5" i="9"/>
  <c r="R5" i="9"/>
  <c r="J5" i="9"/>
  <c r="P5" i="9"/>
  <c r="N5" i="9"/>
  <c r="F5" i="9"/>
  <c r="L5" i="9"/>
  <c r="M5" i="9"/>
  <c r="K44" i="1"/>
  <c r="M44" i="1" s="1"/>
  <c r="K45" i="1"/>
  <c r="M45" i="1" s="1"/>
  <c r="K43" i="1"/>
  <c r="L43" i="1" s="1"/>
  <c r="M34" i="1"/>
  <c r="J17" i="1"/>
  <c r="D17" i="1"/>
  <c r="D37" i="1"/>
  <c r="M24" i="1"/>
  <c r="M25" i="1"/>
  <c r="M26" i="1"/>
  <c r="M27" i="1"/>
  <c r="M28" i="1"/>
  <c r="M29" i="1"/>
  <c r="M30" i="1"/>
  <c r="M31" i="1"/>
  <c r="M32" i="1"/>
  <c r="M33" i="1"/>
  <c r="M35" i="1"/>
  <c r="M36" i="1"/>
  <c r="M37" i="1"/>
  <c r="M38" i="1"/>
  <c r="M23" i="1"/>
  <c r="M43" i="1" l="1"/>
  <c r="C6" i="9"/>
  <c r="C7" i="9" s="1"/>
  <c r="L45" i="1"/>
  <c r="L44" i="1"/>
  <c r="L47" i="1" s="1"/>
  <c r="J64" i="6"/>
  <c r="L55" i="6"/>
  <c r="L56" i="6"/>
  <c r="L57" i="6"/>
  <c r="L58" i="6"/>
  <c r="L59" i="6"/>
  <c r="L60" i="6"/>
  <c r="L61" i="6"/>
  <c r="L62" i="6"/>
  <c r="L63" i="6"/>
  <c r="L54" i="6"/>
  <c r="K64" i="6"/>
  <c r="K55" i="6"/>
  <c r="K56" i="6"/>
  <c r="K57" i="6"/>
  <c r="K58" i="6"/>
  <c r="K59" i="6"/>
  <c r="K60" i="6"/>
  <c r="K61" i="6"/>
  <c r="K62" i="6"/>
  <c r="K63" i="6"/>
  <c r="I36" i="1"/>
  <c r="E36" i="1"/>
  <c r="E16" i="1"/>
  <c r="K16" i="1"/>
  <c r="K36" i="1" l="1"/>
  <c r="G7" i="6"/>
  <c r="H7" i="6"/>
  <c r="L7" i="6"/>
  <c r="M7" i="6"/>
  <c r="N7" i="6"/>
  <c r="B7" i="6"/>
  <c r="C6" i="6"/>
  <c r="C7" i="6" s="1"/>
  <c r="D6" i="6"/>
  <c r="D7" i="6" s="1"/>
  <c r="E6" i="6"/>
  <c r="E7" i="6" s="1"/>
  <c r="F6" i="6"/>
  <c r="F7" i="6" s="1"/>
  <c r="G6" i="6"/>
  <c r="H6" i="6"/>
  <c r="I6" i="6"/>
  <c r="I7" i="6" s="1"/>
  <c r="J6" i="6"/>
  <c r="J7" i="6" s="1"/>
  <c r="K6" i="6"/>
  <c r="K7" i="6" s="1"/>
  <c r="L6" i="6"/>
  <c r="M6" i="6"/>
  <c r="N6" i="6"/>
  <c r="B6" i="6"/>
  <c r="Q6" i="6" s="1"/>
  <c r="D38" i="1"/>
  <c r="J18" i="1"/>
  <c r="D18" i="1"/>
  <c r="H37" i="1"/>
  <c r="H38" i="1"/>
  <c r="Q7" i="6" l="1"/>
  <c r="J38" i="1"/>
  <c r="J37" i="1"/>
  <c r="R12" i="1" l="1"/>
  <c r="R14" i="1" l="1"/>
  <c r="R13" i="1"/>
  <c r="R5" i="1"/>
  <c r="R6" i="1"/>
  <c r="R4" i="1"/>
  <c r="I35" i="1" l="1"/>
  <c r="D36" i="1" l="1"/>
  <c r="J16" i="1"/>
  <c r="D16" i="1"/>
  <c r="K35" i="1"/>
  <c r="H36" i="1"/>
  <c r="H35" i="1"/>
  <c r="J15" i="1"/>
  <c r="D15" i="1"/>
  <c r="J35" i="1" s="1"/>
  <c r="J36" i="1" l="1"/>
  <c r="I27" i="1"/>
  <c r="K34" i="1" l="1"/>
  <c r="I34" i="1"/>
  <c r="I33" i="1" l="1"/>
  <c r="R15" i="1" s="1"/>
  <c r="H34" i="1" l="1"/>
  <c r="J14" i="1"/>
  <c r="D14" i="1"/>
  <c r="J34" i="1" l="1"/>
  <c r="R7" i="1" s="1"/>
  <c r="K33" i="1"/>
  <c r="K32" i="1" l="1"/>
  <c r="K31" i="1"/>
  <c r="K30" i="1"/>
  <c r="K29" i="1"/>
  <c r="K28" i="1"/>
  <c r="K27" i="1"/>
  <c r="K24" i="1"/>
  <c r="K26" i="1"/>
  <c r="K23" i="1"/>
  <c r="I26" i="1"/>
  <c r="I28" i="1"/>
  <c r="I29" i="1"/>
  <c r="I30" i="1"/>
  <c r="I31" i="1"/>
  <c r="I32" i="1"/>
  <c r="I23" i="1"/>
  <c r="I24" i="1"/>
  <c r="K25" i="1"/>
  <c r="I25" i="1"/>
  <c r="H33" i="1" l="1"/>
  <c r="H26" i="1"/>
  <c r="H27" i="1"/>
  <c r="H28" i="1"/>
  <c r="H29" i="1"/>
  <c r="H30" i="1"/>
  <c r="H31" i="1"/>
  <c r="H32" i="1"/>
  <c r="C8" i="9" l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E5" i="9"/>
  <c r="C21" i="9" l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45" i="9" s="1"/>
  <c r="C46" i="9" s="1"/>
  <c r="C47" i="9" s="1"/>
  <c r="C48" i="9" s="1"/>
  <c r="C49" i="9" s="1"/>
  <c r="C50" i="9" s="1"/>
  <c r="C51" i="9" s="1"/>
  <c r="C52" i="9" s="1"/>
  <c r="C53" i="9" s="1"/>
  <c r="C54" i="9" s="1"/>
  <c r="C55" i="9" s="1"/>
  <c r="C56" i="9" s="1"/>
  <c r="C57" i="9" s="1"/>
  <c r="C58" i="9" s="1"/>
  <c r="B2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tc={BD31FF19-D934-4B6E-AB1A-7BDFA5A8AE18}</author>
    <author>tc={7A326C2F-368E-43C9-9C64-7CCE4E5882D0}</author>
    <author>tc={48106807-3495-48DA-A4AF-75FCAC29914E}</author>
  </authors>
  <commentList>
    <comment ref="K22" authorId="0" shapeId="0" xr:uid="{BD31FF19-D934-4B6E-AB1A-7BDFA5A8AE18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column includes additional spenidng for regional partnerships.</t>
      </text>
    </comment>
    <comment ref="K35" authorId="1" shapeId="0" xr:uid="{7A326C2F-368E-43C9-9C64-7CCE4E5882D0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$323,397 for NEEA/RTF Funding</t>
      </text>
    </comment>
    <comment ref="K36" authorId="2" shapeId="0" xr:uid="{48106807-3495-48DA-A4AF-75FCAC29914E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NEEA and RTF spending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tc={65EF6C1B-DFB7-4A80-A17B-86BCCC6D31C2}</author>
    <author>tc={0AD32722-4492-4BF3-AD25-B94D84DC7003}</author>
  </authors>
  <commentList>
    <comment ref="D3" authorId="0" shapeId="0" xr:uid="{65EF6C1B-DFB7-4A80-A17B-86BCCC6D31C2}">
      <text>
        <t>[Threaded comment]
Your version of Excel allows you to read this threaded comment; however, any edits to it will get removed if the file is opened in a newer version of Excel. Learn more: https://go.microsoft.com/fwlink/?linkid=870924
Comment:
    Rounded to nearest whole number</t>
      </text>
    </comment>
    <comment ref="B4" authorId="1" shapeId="0" xr:uid="{0AD32722-4492-4BF3-AD25-B94D84DC7003}">
      <text>
        <t>[Threaded comment]
Your version of Excel allows you to read this threaded comment; however, any edits to it will get removed if the file is opened in a newer version of Excel. Learn more: https://go.microsoft.com/fwlink/?linkid=870924
Comment:
    in metric tons of CO2e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tc={BE414507-3D8E-44C8-80EF-B13177D3A202}</author>
  </authors>
  <commentList>
    <comment ref="J63" authorId="0" shapeId="0" xr:uid="{BE414507-3D8E-44C8-80EF-B13177D3A202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NEEA and RTF spending</t>
      </text>
    </comment>
  </commentList>
</comments>
</file>

<file path=xl/sharedStrings.xml><?xml version="1.0" encoding="utf-8"?>
<sst xmlns="http://schemas.openxmlformats.org/spreadsheetml/2006/main" count="156" uniqueCount="62">
  <si>
    <t>Residential</t>
  </si>
  <si>
    <t>Commercial/Industrial</t>
  </si>
  <si>
    <t>Year</t>
  </si>
  <si>
    <t>Targeted Therm Savings</t>
  </si>
  <si>
    <t>Actual Therm Savings</t>
  </si>
  <si>
    <t>Expected Budget</t>
  </si>
  <si>
    <t>Actual Spending</t>
  </si>
  <si>
    <t>Weighted Average Measure Life</t>
  </si>
  <si>
    <t>Net-Present therms</t>
  </si>
  <si>
    <t>Initial Plan combined RES &amp; C/I Targets and gave a range (2008-2010)</t>
  </si>
  <si>
    <t>Three year average Admin + Rebate Budget per therm delivered</t>
  </si>
  <si>
    <t>$7.50/ therm</t>
  </si>
  <si>
    <t>$4/therm</t>
  </si>
  <si>
    <t>275,000-370,000</t>
  </si>
  <si>
    <t>Sector</t>
  </si>
  <si>
    <t xml:space="preserve">$/Therm </t>
  </si>
  <si>
    <t>355,000-475,000</t>
  </si>
  <si>
    <t>455,000 - 605,000</t>
  </si>
  <si>
    <t>Designed as stretch/ aspirational targets</t>
  </si>
  <si>
    <t>Low Income</t>
  </si>
  <si>
    <t>$6.50/therm</t>
  </si>
  <si>
    <t>Portfolio</t>
  </si>
  <si>
    <t>N/A</t>
  </si>
  <si>
    <t xml:space="preserve">TEAPot Achievable updated to programmtic level </t>
  </si>
  <si>
    <t xml:space="preserve">Three year average Rebate Budget per therm </t>
  </si>
  <si>
    <t>(TEAPot)</t>
  </si>
  <si>
    <t>LOADmap</t>
  </si>
  <si>
    <t>Pending</t>
  </si>
  <si>
    <t>Low-Income</t>
  </si>
  <si>
    <t>Cumulative Portfolio</t>
  </si>
  <si>
    <t>10,500 -15,750</t>
  </si>
  <si>
    <t>285,000- 385,750</t>
  </si>
  <si>
    <t>17,500- 35,000</t>
  </si>
  <si>
    <t>372,500 - 510,000</t>
  </si>
  <si>
    <t>476,000 - 655,000</t>
  </si>
  <si>
    <t xml:space="preserve"> - *Actual values will be made available when the 2020 annual report is finished. Rough draft out May 1st, Final Draft will be available June 1st.</t>
  </si>
  <si>
    <t>Enter program year here ====&gt;</t>
  </si>
  <si>
    <t xml:space="preserve"> - Data pulled from 2014 IRP was not acknoledged by the WUTC</t>
  </si>
  <si>
    <t>Res</t>
  </si>
  <si>
    <t xml:space="preserve"> - Initially program success was based on levelized costs and cost-effectiveness, detailed budgets were established in more recent years</t>
  </si>
  <si>
    <t>C/I</t>
  </si>
  <si>
    <t xml:space="preserve"> - "Expected Budget" includes charges exlcuded from cost-effectivness portfolio expenses like NEEA membership, software implementation and CPA costs.</t>
  </si>
  <si>
    <t>LI</t>
  </si>
  <si>
    <t xml:space="preserve"> - Budgets and targets for 2008-2010 were developed in Order 6 Docket UG-060256.  Savings estimates were estimated at two levels - as a "conservative" and "best case" and were set at a combined Residential &amp; Commercial/Industrial total</t>
  </si>
  <si>
    <t xml:space="preserve"> - Budget indicated for 2013-2016 provided at a portfolio level.  IRP noted range of $600,000 - $1,000,000 for admin costs in 2013 and $800,000 to $1,200,000 for admin costs in 2014 &amp; 2015</t>
  </si>
  <si>
    <t>Program Year Weighted Average Measure Life</t>
  </si>
  <si>
    <t xml:space="preserve"> - Budgets for 2008-2010 estimated at $4/therm C/I &amp; $7.50/therm RES per Steller Ecotope study</t>
  </si>
  <si>
    <t xml:space="preserve"> - 2018 LI program savings were intially included as part of the RES estimates, they've been added seperately here for consistency</t>
  </si>
  <si>
    <t xml:space="preserve"> - Note 2018 program accomplishments will be filed with the Commission by 06/01/19</t>
  </si>
  <si>
    <t>Program Year</t>
  </si>
  <si>
    <t>Emissions Factor</t>
  </si>
  <si>
    <t xml:space="preserve">Emissions offset </t>
  </si>
  <si>
    <t>Cumulative Therm Savings</t>
  </si>
  <si>
    <t>Net Present Therms</t>
  </si>
  <si>
    <t>Persistent therm savings (2008 to present</t>
  </si>
  <si>
    <t>Low Income Weatherization</t>
  </si>
  <si>
    <t>Commercial</t>
  </si>
  <si>
    <t>Growth</t>
  </si>
  <si>
    <t>NWGA Fact Sheet Figures</t>
  </si>
  <si>
    <t>Year over Year Delta</t>
  </si>
  <si>
    <t>Average daily spending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</si>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</sst>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2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5" borderId="0" applyNumberFormat="0" applyBorder="0" applyAlignment="0" applyProtection="0"/>
    <xf numFmtId="0" fontId="10" fillId="9" borderId="0" applyNumberFormat="0" applyBorder="0" applyAlignment="0" applyProtection="0"/>
    <xf numFmtId="0" fontId="11" fillId="26" borderId="29" applyNumberFormat="0" applyAlignment="0" applyProtection="0"/>
    <xf numFmtId="0" fontId="12" fillId="27" borderId="30" applyNumberFormat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0" borderId="31" applyNumberFormat="0" applyFill="0" applyAlignment="0" applyProtection="0"/>
    <xf numFmtId="0" fontId="16" fillId="0" borderId="32" applyNumberFormat="0" applyFill="0" applyAlignment="0" applyProtection="0"/>
    <xf numFmtId="0" fontId="17" fillId="0" borderId="33" applyNumberFormat="0" applyFill="0" applyAlignment="0" applyProtection="0"/>
    <xf numFmtId="0" fontId="17" fillId="0" borderId="0" applyNumberFormat="0" applyFill="0" applyBorder="0" applyAlignment="0" applyProtection="0"/>
    <xf numFmtId="0" fontId="18" fillId="13" borderId="29" applyNumberFormat="0" applyAlignment="0" applyProtection="0"/>
    <xf numFmtId="0" fontId="19" fillId="0" borderId="34" applyNumberFormat="0" applyFill="0" applyAlignment="0" applyProtection="0"/>
    <xf numFmtId="0" fontId="20" fillId="28" borderId="0" applyNumberFormat="0" applyBorder="0" applyAlignment="0" applyProtection="0"/>
    <xf numFmtId="0" fontId="8" fillId="29" borderId="35" applyNumberFormat="0" applyFont="0" applyAlignment="0" applyProtection="0"/>
    <xf numFmtId="0" fontId="21" fillId="26" borderId="36" applyNumberFormat="0" applyAlignment="0" applyProtection="0"/>
    <xf numFmtId="9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37" applyNumberFormat="0" applyFill="0" applyAlignment="0" applyProtection="0"/>
    <xf numFmtId="0" fontId="24" fillId="0" borderId="0" applyNumberFormat="0" applyFill="0" applyBorder="0" applyAlignment="0" applyProtection="0"/>
  </cellStyleXfs>
  <cellXfs count="99">
    <xf numFmtId="0" fontId="0" fillId="0" borderId="0" xfId="0"/>
    <xf numFmtId="164" fontId="0" fillId="0" borderId="7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165" fontId="0" fillId="0" borderId="9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2" fillId="0" borderId="0" xfId="1" applyNumberFormat="1" applyFont="1"/>
    <xf numFmtId="164" fontId="3" fillId="0" borderId="2" xfId="1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0" xfId="1" applyNumberFormat="1" applyFont="1" applyBorder="1" applyAlignment="1">
      <alignment horizontal="left"/>
    </xf>
    <xf numFmtId="164" fontId="0" fillId="0" borderId="11" xfId="1" applyNumberFormat="1" applyFont="1" applyBorder="1" applyAlignment="1">
      <alignment horizontal="left"/>
    </xf>
    <xf numFmtId="164" fontId="0" fillId="0" borderId="12" xfId="1" applyNumberFormat="1" applyFont="1" applyBorder="1" applyAlignment="1">
      <alignment horizontal="left"/>
    </xf>
    <xf numFmtId="164" fontId="0" fillId="0" borderId="0" xfId="1" applyNumberFormat="1" applyFont="1" applyFill="1" applyBorder="1" applyAlignment="1">
      <alignment horizontal="left"/>
    </xf>
    <xf numFmtId="0" fontId="0" fillId="0" borderId="10" xfId="0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165" fontId="0" fillId="0" borderId="3" xfId="0" applyNumberFormat="1" applyBorder="1" applyAlignment="1">
      <alignment horizontal="left"/>
    </xf>
    <xf numFmtId="164" fontId="4" fillId="0" borderId="0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/>
    <xf numFmtId="0" fontId="0" fillId="0" borderId="15" xfId="0" applyBorder="1"/>
    <xf numFmtId="0" fontId="0" fillId="0" borderId="19" xfId="0" applyBorder="1"/>
    <xf numFmtId="0" fontId="5" fillId="7" borderId="17" xfId="0" applyFont="1" applyFill="1" applyBorder="1"/>
    <xf numFmtId="0" fontId="5" fillId="7" borderId="18" xfId="0" applyFont="1" applyFill="1" applyBorder="1"/>
    <xf numFmtId="0" fontId="0" fillId="0" borderId="23" xfId="0" applyBorder="1"/>
    <xf numFmtId="166" fontId="0" fillId="0" borderId="2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166" fontId="0" fillId="0" borderId="16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0" fontId="5" fillId="0" borderId="20" xfId="0" applyFont="1" applyBorder="1"/>
    <xf numFmtId="166" fontId="5" fillId="0" borderId="21" xfId="0" applyNumberFormat="1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64" fontId="0" fillId="0" borderId="0" xfId="2" applyNumberFormat="1" applyFont="1" applyAlignment="1">
      <alignment horizontal="center"/>
    </xf>
    <xf numFmtId="165" fontId="0" fillId="0" borderId="0" xfId="3" applyNumberFormat="1" applyFont="1"/>
    <xf numFmtId="165" fontId="0" fillId="0" borderId="0" xfId="0" applyNumberFormat="1"/>
    <xf numFmtId="9" fontId="0" fillId="0" borderId="0" xfId="2" applyFont="1"/>
    <xf numFmtId="0" fontId="0" fillId="0" borderId="25" xfId="0" applyBorder="1"/>
    <xf numFmtId="165" fontId="3" fillId="0" borderId="25" xfId="1" applyNumberFormat="1" applyFont="1" applyBorder="1" applyAlignment="1">
      <alignment horizontal="center"/>
    </xf>
    <xf numFmtId="9" fontId="0" fillId="0" borderId="25" xfId="2" applyFont="1" applyBorder="1"/>
    <xf numFmtId="0" fontId="0" fillId="3" borderId="0" xfId="0" applyFill="1"/>
    <xf numFmtId="0" fontId="0" fillId="5" borderId="0" xfId="0" applyFill="1" applyAlignment="1">
      <alignment vertical="center"/>
    </xf>
    <xf numFmtId="0" fontId="0" fillId="4" borderId="4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4" borderId="6" xfId="0" applyFill="1" applyBorder="1" applyAlignment="1">
      <alignment wrapText="1"/>
    </xf>
    <xf numFmtId="2" fontId="0" fillId="0" borderId="0" xfId="1" applyNumberFormat="1" applyFont="1" applyBorder="1" applyAlignment="1">
      <alignment horizontal="center"/>
    </xf>
    <xf numFmtId="2" fontId="0" fillId="0" borderId="11" xfId="1" applyNumberFormat="1" applyFont="1" applyBorder="1" applyAlignment="1">
      <alignment horizontal="center"/>
    </xf>
    <xf numFmtId="2" fontId="3" fillId="0" borderId="0" xfId="1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2" fontId="0" fillId="0" borderId="8" xfId="1" applyNumberFormat="1" applyFont="1" applyBorder="1" applyAlignment="1">
      <alignment horizontal="center"/>
    </xf>
    <xf numFmtId="2" fontId="4" fillId="0" borderId="5" xfId="1" applyNumberFormat="1" applyFont="1" applyBorder="1" applyAlignment="1">
      <alignment horizontal="center"/>
    </xf>
    <xf numFmtId="2" fontId="0" fillId="0" borderId="3" xfId="1" applyNumberFormat="1" applyFont="1" applyBorder="1" applyAlignment="1">
      <alignment horizontal="center"/>
    </xf>
    <xf numFmtId="0" fontId="0" fillId="3" borderId="2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5" borderId="2" xfId="0" applyFill="1" applyBorder="1" applyAlignment="1">
      <alignment vertical="center"/>
    </xf>
    <xf numFmtId="0" fontId="0" fillId="2" borderId="0" xfId="0" applyFill="1"/>
    <xf numFmtId="0" fontId="0" fillId="4" borderId="0" xfId="0" applyFill="1" applyAlignment="1">
      <alignment wrapText="1"/>
    </xf>
    <xf numFmtId="2" fontId="0" fillId="0" borderId="0" xfId="0" applyNumberFormat="1"/>
    <xf numFmtId="164" fontId="0" fillId="0" borderId="0" xfId="1" applyNumberFormat="1" applyFont="1"/>
    <xf numFmtId="43" fontId="0" fillId="0" borderId="0" xfId="0" applyNumberFormat="1"/>
    <xf numFmtId="0" fontId="6" fillId="30" borderId="0" xfId="0" applyFont="1" applyFill="1" applyAlignment="1">
      <alignment horizontal="center" vertical="center"/>
    </xf>
    <xf numFmtId="0" fontId="6" fillId="30" borderId="0" xfId="0" applyFont="1" applyFill="1" applyAlignment="1">
      <alignment horizontal="center" vertical="center" wrapText="1"/>
    </xf>
    <xf numFmtId="2" fontId="6" fillId="30" borderId="0" xfId="0" applyNumberFormat="1" applyFont="1" applyFill="1" applyAlignment="1">
      <alignment horizontal="center" vertical="center"/>
    </xf>
    <xf numFmtId="2" fontId="6" fillId="30" borderId="0" xfId="1" applyNumberFormat="1" applyFont="1" applyFill="1" applyBorder="1" applyAlignment="1">
      <alignment horizontal="center" vertical="center"/>
    </xf>
    <xf numFmtId="2" fontId="6" fillId="30" borderId="38" xfId="0" applyNumberFormat="1" applyFont="1" applyFill="1" applyBorder="1" applyAlignment="1">
      <alignment horizontal="center" vertical="center" wrapText="1"/>
    </xf>
    <xf numFmtId="0" fontId="0" fillId="0" borderId="39" xfId="0" applyBorder="1"/>
    <xf numFmtId="2" fontId="0" fillId="0" borderId="39" xfId="0" applyNumberFormat="1" applyBorder="1"/>
    <xf numFmtId="8" fontId="0" fillId="0" borderId="0" xfId="0" applyNumberFormat="1"/>
    <xf numFmtId="0" fontId="0" fillId="0" borderId="11" xfId="0" applyBorder="1"/>
    <xf numFmtId="0" fontId="0" fillId="31" borderId="0" xfId="0" applyFill="1"/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</cellXfs>
  <cellStyles count="49">
    <cellStyle name="20% - Accent1 2" xfId="5" xr:uid="{8C75E19B-DD95-44F4-A403-50230C95846E}"/>
    <cellStyle name="20% - Accent2 2" xfId="6" xr:uid="{1A8A56BC-104B-4F55-A181-E2DBE78D591F}"/>
    <cellStyle name="20% - Accent3 2" xfId="7" xr:uid="{89890C8A-4EAA-4EB1-9289-029DC6E7E72E}"/>
    <cellStyle name="20% - Accent4 2" xfId="8" xr:uid="{02A6F982-C7B4-412F-9BEE-E8E05FAAAC48}"/>
    <cellStyle name="20% - Accent5 2" xfId="9" xr:uid="{0E282B49-6854-4160-B5A4-C3D17280E349}"/>
    <cellStyle name="20% - Accent6 2" xfId="10" xr:uid="{721C2F0F-E00C-4080-9349-BF439F8FBEEC}"/>
    <cellStyle name="40% - Accent1 2" xfId="11" xr:uid="{22468AD5-7D7E-4022-A410-D6D155CFE473}"/>
    <cellStyle name="40% - Accent2 2" xfId="12" xr:uid="{02FF78FC-14A3-4D96-B24F-188A5A207296}"/>
    <cellStyle name="40% - Accent3 2" xfId="13" xr:uid="{B5D445EC-D10B-4128-9964-0EB6299336D9}"/>
    <cellStyle name="40% - Accent4 2" xfId="14" xr:uid="{B8B69B1B-A450-4143-B5BF-A0FBD6FAC043}"/>
    <cellStyle name="40% - Accent5 2" xfId="15" xr:uid="{01350DDF-30BB-4EFE-8571-63F9B0A88396}"/>
    <cellStyle name="40% - Accent6 2" xfId="16" xr:uid="{C7D91CF0-3114-4B48-9D42-A67950730604}"/>
    <cellStyle name="60% - Accent1 2" xfId="17" xr:uid="{3E89E331-DB68-43BA-B9CD-71FF1F14E5CC}"/>
    <cellStyle name="60% - Accent2 2" xfId="18" xr:uid="{C40CA42A-996D-464F-911C-3B53A36D9320}"/>
    <cellStyle name="60% - Accent3 2" xfId="19" xr:uid="{094D351B-B725-47AB-B37B-3B46DD07E312}"/>
    <cellStyle name="60% - Accent4 2" xfId="20" xr:uid="{B49E95BE-E37A-4BA0-B098-BC8A1A49B177}"/>
    <cellStyle name="60% - Accent5 2" xfId="21" xr:uid="{2094B877-0103-4689-9143-EA702652C488}"/>
    <cellStyle name="60% - Accent6 2" xfId="22" xr:uid="{032F93B6-554A-4184-8CC3-3DD5CE5692F2}"/>
    <cellStyle name="Accent1 2" xfId="23" xr:uid="{30BB40AD-A089-4B72-AE78-BAB3C3A253C1}"/>
    <cellStyle name="Accent2 2" xfId="24" xr:uid="{D5B628D1-08C1-4193-AF6B-224723FA0BE5}"/>
    <cellStyle name="Accent3 2" xfId="25" xr:uid="{9C6D5C5B-1964-42C1-A0AD-0DD5F16B8B21}"/>
    <cellStyle name="Accent4 2" xfId="26" xr:uid="{6553BD03-5669-496A-BDE6-E33894F78FA4}"/>
    <cellStyle name="Accent5 2" xfId="27" xr:uid="{BA1A7623-13B9-480E-B648-1EA4367551D3}"/>
    <cellStyle name="Accent6 2" xfId="28" xr:uid="{55246295-9366-41B0-A3ED-BE15ED920FE6}"/>
    <cellStyle name="Bad 2" xfId="29" xr:uid="{F1F2B852-96F9-4A7A-96C0-DF3009340584}"/>
    <cellStyle name="Calculation 2" xfId="30" xr:uid="{D5B57F2B-AD5B-4F17-9F65-7562AB13B82D}"/>
    <cellStyle name="Check Cell 2" xfId="31" xr:uid="{5F239025-6572-4CCA-AA59-87287582BF93}"/>
    <cellStyle name="Comma" xfId="1" builtinId="3"/>
    <cellStyle name="Comma 2" xfId="32" xr:uid="{F59D7BF6-7CAA-457F-AAAB-ACB0A01102E6}"/>
    <cellStyle name="Currency" xfId="3" builtinId="4"/>
    <cellStyle name="Currency 2" xfId="33" xr:uid="{A2D447E8-F569-489C-BB2F-B658A9DD4EE9}"/>
    <cellStyle name="Explanatory Text 2" xfId="34" xr:uid="{CF768D68-E95C-4255-AE30-7F07BB461787}"/>
    <cellStyle name="Good 2" xfId="35" xr:uid="{98F46057-8BE8-4094-ADD9-49AF71ACB66E}"/>
    <cellStyle name="Heading 1 2" xfId="36" xr:uid="{FBF8E4BE-A492-42A8-A560-84D191830560}"/>
    <cellStyle name="Heading 2 2" xfId="37" xr:uid="{F87A297E-D529-47CE-8690-DDF0D40A04CD}"/>
    <cellStyle name="Heading 3 2" xfId="38" xr:uid="{299643F8-2338-499C-82B1-64AEB39BE172}"/>
    <cellStyle name="Heading 4 2" xfId="39" xr:uid="{D821AD7B-D71D-4A74-ABC4-25F4DEA6594F}"/>
    <cellStyle name="Input 2" xfId="40" xr:uid="{7C112BEB-492C-43EB-A671-28F80DB098CE}"/>
    <cellStyle name="Linked Cell 2" xfId="41" xr:uid="{111C44FA-BD1A-44A6-B185-D1CD44570078}"/>
    <cellStyle name="Neutral 2" xfId="42" xr:uid="{BE4046DA-CD66-43D8-BC1F-2C112DC2AF5B}"/>
    <cellStyle name="Normal" xfId="0" builtinId="0"/>
    <cellStyle name="Normal 2" xfId="4" xr:uid="{F84B6D3F-5147-483A-84B7-CFD5B2808640}"/>
    <cellStyle name="Note 2" xfId="43" xr:uid="{9D3A5FA5-9E7F-41AE-8AFC-0D0E706DE9A7}"/>
    <cellStyle name="Output 2" xfId="44" xr:uid="{27F4ABD1-61D9-4631-B7AF-9D55F7DA9F66}"/>
    <cellStyle name="Percent" xfId="2" builtinId="5"/>
    <cellStyle name="Percent 2" xfId="45" xr:uid="{AA16ED67-CBC9-4E7F-86FC-1F053CB927A9}"/>
    <cellStyle name="Title 2" xfId="46" xr:uid="{9AC09377-E061-4A69-8C0C-53C028367779}"/>
    <cellStyle name="Total 2" xfId="47" xr:uid="{3B9D343A-586E-4575-AF52-DEB67869025D}"/>
    <cellStyle name="Warning Text 2" xfId="48" xr:uid="{B3F59104-B764-4DEC-8FBD-DB8074355296}"/>
  </cellStyles>
  <dxfs count="0"/>
  <tableStyles count="0" defaultTableStyle="TableStyleMedium2" defaultPivotStyle="PivotStyleLight16"/>
  <colors>
    <mruColors>
      <color rgb="FF1BB1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EE</a:t>
            </a:r>
            <a:r>
              <a:rPr lang="en-US" baseline="0"/>
              <a:t> Annual Savings 2008-Present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Charts!$A$5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rgbClr val="1BB1CF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Charts!$B$2:$P$2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Charts!$B$5:$P$5</c:f>
              <c:numCache>
                <c:formatCode>_(* #,##0_);_(* \(#,##0\);_(* "-"??_);_(@_)</c:formatCode>
                <c:ptCount val="15"/>
                <c:pt idx="0">
                  <c:v>248658</c:v>
                </c:pt>
                <c:pt idx="1">
                  <c:v>273833</c:v>
                </c:pt>
                <c:pt idx="2">
                  <c:v>216999</c:v>
                </c:pt>
                <c:pt idx="3">
                  <c:v>219596</c:v>
                </c:pt>
                <c:pt idx="4">
                  <c:v>179330</c:v>
                </c:pt>
                <c:pt idx="5">
                  <c:v>183352</c:v>
                </c:pt>
                <c:pt idx="6">
                  <c:v>176439</c:v>
                </c:pt>
                <c:pt idx="7">
                  <c:v>181847</c:v>
                </c:pt>
                <c:pt idx="8">
                  <c:v>171620</c:v>
                </c:pt>
                <c:pt idx="9">
                  <c:v>297216</c:v>
                </c:pt>
                <c:pt idx="10">
                  <c:v>420639</c:v>
                </c:pt>
                <c:pt idx="11">
                  <c:v>363364</c:v>
                </c:pt>
                <c:pt idx="12">
                  <c:v>383018</c:v>
                </c:pt>
                <c:pt idx="13">
                  <c:v>436553</c:v>
                </c:pt>
                <c:pt idx="14">
                  <c:v>330767.88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1D-462D-8EE3-6CD28AA5CD1C}"/>
            </c:ext>
          </c:extLst>
        </c:ser>
        <c:ser>
          <c:idx val="0"/>
          <c:order val="1"/>
          <c:tx>
            <c:strRef>
              <c:f>Charts!$A$3</c:f>
              <c:strCache>
                <c:ptCount val="1"/>
                <c:pt idx="0">
                  <c:v>Low Income Weatherization</c:v>
                </c:pt>
              </c:strCache>
            </c:strRef>
          </c:tx>
          <c:spPr>
            <a:pattFill prst="lg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Charts!$B$2:$P$2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Charts!$B$3:$P$3</c:f>
              <c:numCache>
                <c:formatCode>_(* #,##0_);_(* \(#,##0\);_(* "-"??_);_(@_)</c:formatCode>
                <c:ptCount val="15"/>
                <c:pt idx="0">
                  <c:v>13985</c:v>
                </c:pt>
                <c:pt idx="1">
                  <c:v>14733</c:v>
                </c:pt>
                <c:pt idx="2">
                  <c:v>30809</c:v>
                </c:pt>
                <c:pt idx="3">
                  <c:v>24130</c:v>
                </c:pt>
                <c:pt idx="4">
                  <c:v>21824</c:v>
                </c:pt>
                <c:pt idx="5">
                  <c:v>14960</c:v>
                </c:pt>
                <c:pt idx="6">
                  <c:v>7338</c:v>
                </c:pt>
                <c:pt idx="7">
                  <c:v>11724</c:v>
                </c:pt>
                <c:pt idx="8">
                  <c:v>11743</c:v>
                </c:pt>
                <c:pt idx="9">
                  <c:v>5564</c:v>
                </c:pt>
                <c:pt idx="10">
                  <c:v>5181</c:v>
                </c:pt>
                <c:pt idx="11">
                  <c:v>13416</c:v>
                </c:pt>
                <c:pt idx="12">
                  <c:v>9213</c:v>
                </c:pt>
                <c:pt idx="13">
                  <c:v>8076</c:v>
                </c:pt>
                <c:pt idx="14">
                  <c:v>7254.19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D-462D-8EE3-6CD28AA5CD1C}"/>
            </c:ext>
          </c:extLst>
        </c:ser>
        <c:ser>
          <c:idx val="1"/>
          <c:order val="2"/>
          <c:tx>
            <c:strRef>
              <c:f>Charts!$A$4</c:f>
              <c:strCache>
                <c:ptCount val="1"/>
                <c:pt idx="0">
                  <c:v>Commercial</c:v>
                </c:pt>
              </c:strCache>
            </c:strRef>
          </c:tx>
          <c:spPr>
            <a:pattFill prst="weave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Charts!$B$2:$P$2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Charts!$B$4:$P$4</c:f>
              <c:numCache>
                <c:formatCode>_(* #,##0_);_(* \(#,##0\);_(* "-"??_);_(@_)</c:formatCode>
                <c:ptCount val="15"/>
                <c:pt idx="0">
                  <c:v>191837</c:v>
                </c:pt>
                <c:pt idx="1">
                  <c:v>275604</c:v>
                </c:pt>
                <c:pt idx="2">
                  <c:v>227017</c:v>
                </c:pt>
                <c:pt idx="3">
                  <c:v>467657</c:v>
                </c:pt>
                <c:pt idx="4">
                  <c:v>359003</c:v>
                </c:pt>
                <c:pt idx="5">
                  <c:v>288079</c:v>
                </c:pt>
                <c:pt idx="6">
                  <c:v>465176</c:v>
                </c:pt>
                <c:pt idx="7">
                  <c:v>637930</c:v>
                </c:pt>
                <c:pt idx="8">
                  <c:v>222194</c:v>
                </c:pt>
                <c:pt idx="9">
                  <c:v>260176</c:v>
                </c:pt>
                <c:pt idx="10">
                  <c:v>345999</c:v>
                </c:pt>
                <c:pt idx="11">
                  <c:v>384176</c:v>
                </c:pt>
                <c:pt idx="12">
                  <c:v>266945</c:v>
                </c:pt>
                <c:pt idx="13">
                  <c:v>798874</c:v>
                </c:pt>
                <c:pt idx="14">
                  <c:v>289919.12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D-462D-8EE3-6CD28AA5C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161904"/>
        <c:axId val="689162560"/>
      </c:barChart>
      <c:scatterChart>
        <c:scatterStyle val="lineMarker"/>
        <c:varyColors val="0"/>
        <c:ser>
          <c:idx val="3"/>
          <c:order val="3"/>
          <c:tx>
            <c:strRef>
              <c:f>Charts!$A$6</c:f>
              <c:strCache>
                <c:ptCount val="1"/>
                <c:pt idx="0">
                  <c:v>Growth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yVal>
            <c:numRef>
              <c:f>Charts!$B$6:$O$6</c:f>
              <c:numCache>
                <c:formatCode>_(* #,##0_);_(* \(#,##0\);_(* "-"??_);_(@_)</c:formatCode>
                <c:ptCount val="14"/>
                <c:pt idx="0">
                  <c:v>454480</c:v>
                </c:pt>
                <c:pt idx="1">
                  <c:v>564170</c:v>
                </c:pt>
                <c:pt idx="2">
                  <c:v>474825</c:v>
                </c:pt>
                <c:pt idx="3">
                  <c:v>711383</c:v>
                </c:pt>
                <c:pt idx="4">
                  <c:v>560157</c:v>
                </c:pt>
                <c:pt idx="5">
                  <c:v>486391</c:v>
                </c:pt>
                <c:pt idx="6">
                  <c:v>648953</c:v>
                </c:pt>
                <c:pt idx="7">
                  <c:v>831501</c:v>
                </c:pt>
                <c:pt idx="8">
                  <c:v>405557</c:v>
                </c:pt>
                <c:pt idx="9">
                  <c:v>562956</c:v>
                </c:pt>
                <c:pt idx="10">
                  <c:v>771819</c:v>
                </c:pt>
                <c:pt idx="11">
                  <c:v>760956</c:v>
                </c:pt>
                <c:pt idx="12">
                  <c:v>659176</c:v>
                </c:pt>
                <c:pt idx="13">
                  <c:v>1243503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1D-462D-8EE3-6CD28AA5C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688152"/>
        <c:axId val="391687824"/>
      </c:scatterChart>
      <c:catAx>
        <c:axId val="689161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Program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162560"/>
        <c:crosses val="autoZero"/>
        <c:auto val="1"/>
        <c:lblAlgn val="ctr"/>
        <c:lblOffset val="100"/>
        <c:noMultiLvlLbl val="0"/>
      </c:catAx>
      <c:valAx>
        <c:axId val="68916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Therm</a:t>
                </a:r>
                <a:r>
                  <a:rPr lang="en-US" baseline="0"/>
                  <a:t>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161904"/>
        <c:crosses val="autoZero"/>
        <c:crossBetween val="between"/>
      </c:valAx>
      <c:valAx>
        <c:axId val="391687824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extTo"/>
        <c:crossAx val="391688152"/>
        <c:crosses val="max"/>
        <c:crossBetween val="midCat"/>
      </c:valAx>
      <c:valAx>
        <c:axId val="3916881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1687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24754116996203193"/>
          <c:y val="0.93404232981515611"/>
          <c:w val="0.53058326323261562"/>
          <c:h val="5.4610152454347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EE</a:t>
            </a:r>
            <a:r>
              <a:rPr lang="en-US" baseline="0"/>
              <a:t> Annual Savings 2011-Present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Charts!$A$5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rgbClr val="1BB1CF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Charts!$E$2:$O$2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Charts!$E$5:$O$5</c:f>
              <c:numCache>
                <c:formatCode>_(* #,##0_);_(* \(#,##0\);_(* "-"??_);_(@_)</c:formatCode>
                <c:ptCount val="11"/>
                <c:pt idx="0">
                  <c:v>219596</c:v>
                </c:pt>
                <c:pt idx="1">
                  <c:v>179330</c:v>
                </c:pt>
                <c:pt idx="2">
                  <c:v>183352</c:v>
                </c:pt>
                <c:pt idx="3">
                  <c:v>176439</c:v>
                </c:pt>
                <c:pt idx="4">
                  <c:v>181847</c:v>
                </c:pt>
                <c:pt idx="5">
                  <c:v>171620</c:v>
                </c:pt>
                <c:pt idx="6">
                  <c:v>297216</c:v>
                </c:pt>
                <c:pt idx="7">
                  <c:v>420639</c:v>
                </c:pt>
                <c:pt idx="8">
                  <c:v>363364</c:v>
                </c:pt>
                <c:pt idx="9">
                  <c:v>383018</c:v>
                </c:pt>
                <c:pt idx="10">
                  <c:v>436553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C-4BB4-9196-867F6453823F}"/>
            </c:ext>
          </c:extLst>
        </c:ser>
        <c:ser>
          <c:idx val="0"/>
          <c:order val="1"/>
          <c:tx>
            <c:strRef>
              <c:f>Charts!$A$3</c:f>
              <c:strCache>
                <c:ptCount val="1"/>
                <c:pt idx="0">
                  <c:v>Low Income Weatherization</c:v>
                </c:pt>
              </c:strCache>
            </c:strRef>
          </c:tx>
          <c:spPr>
            <a:pattFill prst="lgChe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Charts!$E$2:$O$2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Charts!$E$3:$O$3</c:f>
              <c:numCache>
                <c:formatCode>_(* #,##0_);_(* \(#,##0\);_(* "-"??_);_(@_)</c:formatCode>
                <c:ptCount val="11"/>
                <c:pt idx="0">
                  <c:v>24130</c:v>
                </c:pt>
                <c:pt idx="1">
                  <c:v>21824</c:v>
                </c:pt>
                <c:pt idx="2">
                  <c:v>14960</c:v>
                </c:pt>
                <c:pt idx="3">
                  <c:v>7338</c:v>
                </c:pt>
                <c:pt idx="4">
                  <c:v>11724</c:v>
                </c:pt>
                <c:pt idx="5">
                  <c:v>11743</c:v>
                </c:pt>
                <c:pt idx="6">
                  <c:v>5564</c:v>
                </c:pt>
                <c:pt idx="7">
                  <c:v>5181</c:v>
                </c:pt>
                <c:pt idx="8">
                  <c:v>13416</c:v>
                </c:pt>
                <c:pt idx="9">
                  <c:v>9213</c:v>
                </c:pt>
                <c:pt idx="10">
                  <c:v>8076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C-4BB4-9196-867F6453823F}"/>
            </c:ext>
          </c:extLst>
        </c:ser>
        <c:ser>
          <c:idx val="1"/>
          <c:order val="2"/>
          <c:tx>
            <c:strRef>
              <c:f>Charts!$A$4</c:f>
              <c:strCache>
                <c:ptCount val="1"/>
                <c:pt idx="0">
                  <c:v>Commercial</c:v>
                </c:pt>
              </c:strCache>
            </c:strRef>
          </c:tx>
          <c:spPr>
            <a:pattFill prst="weave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Charts!$E$2:$O$2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Charts!$E$4:$O$4</c:f>
              <c:numCache>
                <c:formatCode>_(* #,##0_);_(* \(#,##0\);_(* "-"??_);_(@_)</c:formatCode>
                <c:ptCount val="11"/>
                <c:pt idx="0">
                  <c:v>467657</c:v>
                </c:pt>
                <c:pt idx="1">
                  <c:v>359003</c:v>
                </c:pt>
                <c:pt idx="2">
                  <c:v>288079</c:v>
                </c:pt>
                <c:pt idx="3">
                  <c:v>465176</c:v>
                </c:pt>
                <c:pt idx="4">
                  <c:v>637930</c:v>
                </c:pt>
                <c:pt idx="5">
                  <c:v>222194</c:v>
                </c:pt>
                <c:pt idx="6">
                  <c:v>260176</c:v>
                </c:pt>
                <c:pt idx="7">
                  <c:v>345999</c:v>
                </c:pt>
                <c:pt idx="8">
                  <c:v>384176</c:v>
                </c:pt>
                <c:pt idx="9">
                  <c:v>266945</c:v>
                </c:pt>
                <c:pt idx="10">
                  <c:v>798874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EC-4BB4-9196-867F64538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9161904"/>
        <c:axId val="689162560"/>
      </c:barChart>
      <c:scatterChart>
        <c:scatterStyle val="lineMarker"/>
        <c:varyColors val="0"/>
        <c:ser>
          <c:idx val="3"/>
          <c:order val="3"/>
          <c:tx>
            <c:strRef>
              <c:f>Charts!$A$6</c:f>
              <c:strCache>
                <c:ptCount val="1"/>
                <c:pt idx="0">
                  <c:v>Growth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1BB1CF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yVal>
            <c:numRef>
              <c:f>Charts!$E$6:$O$6</c:f>
              <c:numCache>
                <c:formatCode>_(* #,##0_);_(* \(#,##0\);_(* "-"??_);_(@_)</c:formatCode>
                <c:ptCount val="11"/>
                <c:pt idx="0">
                  <c:v>711383</c:v>
                </c:pt>
                <c:pt idx="1">
                  <c:v>560157</c:v>
                </c:pt>
                <c:pt idx="2">
                  <c:v>486391</c:v>
                </c:pt>
                <c:pt idx="3">
                  <c:v>648953</c:v>
                </c:pt>
                <c:pt idx="4">
                  <c:v>831501</c:v>
                </c:pt>
                <c:pt idx="5">
                  <c:v>405557</c:v>
                </c:pt>
                <c:pt idx="6">
                  <c:v>562956</c:v>
                </c:pt>
                <c:pt idx="7">
                  <c:v>771819</c:v>
                </c:pt>
                <c:pt idx="8">
                  <c:v>760956</c:v>
                </c:pt>
                <c:pt idx="9">
                  <c:v>659176</c:v>
                </c:pt>
                <c:pt idx="10">
                  <c:v>1243503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EC-4BB4-9196-867F64538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688152"/>
        <c:axId val="391687824"/>
      </c:scatterChart>
      <c:catAx>
        <c:axId val="689161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Program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162560"/>
        <c:crosses val="autoZero"/>
        <c:auto val="1"/>
        <c:lblAlgn val="ctr"/>
        <c:lblOffset val="100"/>
        <c:noMultiLvlLbl val="0"/>
      </c:catAx>
      <c:valAx>
        <c:axId val="68916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Therm</a:t>
                </a:r>
                <a:r>
                  <a:rPr lang="en-US" baseline="0"/>
                  <a:t>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161904"/>
        <c:crosses val="autoZero"/>
        <c:crossBetween val="between"/>
      </c:valAx>
      <c:valAx>
        <c:axId val="391687824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extTo"/>
        <c:crossAx val="391688152"/>
        <c:crosses val="max"/>
        <c:crossBetween val="midCat"/>
      </c:valAx>
      <c:valAx>
        <c:axId val="3916881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1687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delete val="1"/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24754116996203193"/>
          <c:y val="0.93404232981515611"/>
          <c:w val="0.53058326323261562"/>
          <c:h val="5.46101524543474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8</xdr:row>
      <xdr:rowOff>9525</xdr:rowOff>
    </xdr:from>
    <xdr:to>
      <xdr:col>16</xdr:col>
      <xdr:colOff>1943100</xdr:colOff>
      <xdr:row>43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A63812-B9A2-426E-89A5-4071B47334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2133600</xdr:colOff>
      <xdr:row>8</xdr:row>
      <xdr:rowOff>0</xdr:rowOff>
    </xdr:from>
    <xdr:to>
      <xdr:col>32</xdr:col>
      <xdr:colOff>323850</xdr:colOff>
      <xdr:row>43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FDEE9A7-2DB7-4A65-B5E3-C4BC66A63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0.66987</cdr:x>
      <cdr:y>0.94894</cdr:y>
    </cdr:from>
    <cdr:to>
      <cdr:x>0.75457</cdr:x>
      <cdr:y>0.98298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8F2CED46-D6C1-45C8-BDDB-39380FD9CF29}"/>
            </a:ext>
          </a:extLst>
        </cdr:cNvPr>
        <cdr:cNvSpPr/>
      </cdr:nvSpPr>
      <cdr:spPr>
        <a:xfrm xmlns:a="http://schemas.openxmlformats.org/drawingml/2006/main">
          <a:off x="6629400" y="6372225"/>
          <a:ext cx="83820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0.66218</cdr:x>
      <cdr:y>0.94043</cdr:y>
    </cdr:from>
    <cdr:to>
      <cdr:x>0.73917</cdr:x>
      <cdr:y>0.96879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3051822-96B0-412E-8A53-664071297FEC}"/>
            </a:ext>
          </a:extLst>
        </cdr:cNvPr>
        <cdr:cNvSpPr txBox="1"/>
      </cdr:nvSpPr>
      <cdr:spPr>
        <a:xfrm xmlns:a="http://schemas.openxmlformats.org/drawingml/2006/main">
          <a:off x="6553200" y="6315075"/>
          <a:ext cx="7620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bg2">
                  <a:lumMod val="50000"/>
                </a:schemeClr>
              </a:solidFill>
              <a:latin typeface="+mn-lt"/>
            </a:rPr>
            <a:t>Trendline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Storvick, Jon" id="{39CD2E0F-C2D8-4A1E-B48D-9C5C3218CDBD}" userId="S::Jon.Storvick@cngc.com::28eddeee-209e-4925-9513-23bbf73119c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2" dT="2022-04-25T23:54:27.94" personId="{39CD2E0F-C2D8-4A1E-B48D-9C5C3218CDBD}" id="{BD31FF19-D934-4B6E-AB1A-7BDFA5A8AE18}">
    <text>This column includes additional spenidng for regional partnerships.</text>
  </threadedComment>
  <threadedComment ref="K35" dT="2021-09-13T22:53:52.97" personId="{39CD2E0F-C2D8-4A1E-B48D-9C5C3218CDBD}" id="{7A326C2F-368E-43C9-9C64-7CCE4E5882D0}">
    <text>Includes $323,397 for NEEA/RTF Funding</text>
  </threadedComment>
  <threadedComment ref="K36" dT="2022-04-25T23:56:10.67" personId="{39CD2E0F-C2D8-4A1E-B48D-9C5C3218CDBD}" id="{48106807-3495-48DA-A4AF-75FCAC29914E}">
    <text>Includes NEEA and RTF spending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3" dT="2023-05-03T16:13:42.09" personId="{39CD2E0F-C2D8-4A1E-B48D-9C5C3218CDBD}" id="{65EF6C1B-DFB7-4A80-A17B-86BCCC6D31C2}">
    <text>Rounded to nearest whole number</text>
  </threadedComment>
  <threadedComment ref="B4" dT="2023-05-03T17:28:07.63" personId="{39CD2E0F-C2D8-4A1E-B48D-9C5C3218CDBD}" id="{0AD32722-4492-4BF3-AD25-B94D84DC7003}">
    <text>in metric tons of CO2e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J63" dT="2022-04-25T23:56:10.67" personId="{39CD2E0F-C2D8-4A1E-B48D-9C5C3218CDBD}" id="{BE414507-3D8E-44C8-80EF-B13177D3A202}">
    <text>Includes NEEA and RTF spending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4"/>
  <sheetViews>
    <sheetView zoomScaleNormal="100" workbookViewId="0">
      <pane xSplit="1" topLeftCell="B1" activePane="topRight" state="frozen"/>
      <selection pane="topRight" activeCell="P22" sqref="P22"/>
    </sheetView>
  </sheetViews>
  <sheetFormatPr defaultColWidth="9.140625" defaultRowHeight="14.45"/>
  <cols>
    <col min="1" max="1" width="13.42578125" customWidth="1"/>
    <col min="2" max="2" width="15.5703125" style="16" bestFit="1" customWidth="1"/>
    <col min="3" max="3" width="10.140625" style="16" bestFit="1" customWidth="1"/>
    <col min="4" max="4" width="13.85546875" style="17" bestFit="1" customWidth="1"/>
    <col min="5" max="5" width="12.28515625" style="17" bestFit="1" customWidth="1"/>
    <col min="6" max="7" width="18.28515625" style="16" hidden="1" customWidth="1"/>
    <col min="8" max="8" width="17.42578125" style="16" bestFit="1" customWidth="1"/>
    <col min="9" max="9" width="16.42578125" style="17" customWidth="1"/>
    <col min="10" max="10" width="16.5703125" style="17" customWidth="1"/>
    <col min="11" max="11" width="17.7109375" customWidth="1"/>
    <col min="12" max="13" width="32.140625" hidden="1" customWidth="1"/>
    <col min="14" max="14" width="47.42578125" bestFit="1" customWidth="1"/>
    <col min="15" max="15" width="20.7109375" customWidth="1"/>
    <col min="16" max="16" width="20.5703125" bestFit="1" customWidth="1"/>
    <col min="17" max="17" width="20.42578125" customWidth="1"/>
  </cols>
  <sheetData>
    <row r="1" spans="1:18" ht="15" thickBot="1">
      <c r="A1" s="11"/>
      <c r="B1" s="70" t="s">
        <v>0</v>
      </c>
      <c r="C1" s="71"/>
      <c r="D1" s="71"/>
      <c r="E1" s="71"/>
      <c r="F1" s="72"/>
      <c r="G1" s="74"/>
      <c r="H1" s="69" t="s">
        <v>1</v>
      </c>
      <c r="I1" s="57"/>
      <c r="J1" s="57"/>
      <c r="K1" s="57"/>
      <c r="L1" s="57"/>
      <c r="M1" s="57"/>
    </row>
    <row r="2" spans="1:18" s="14" customFormat="1" ht="57.6">
      <c r="A2" s="11" t="s">
        <v>2</v>
      </c>
      <c r="B2" s="12" t="s">
        <v>3</v>
      </c>
      <c r="C2" s="12" t="s">
        <v>4</v>
      </c>
      <c r="D2" s="13" t="s">
        <v>5</v>
      </c>
      <c r="E2" s="13" t="s">
        <v>6</v>
      </c>
      <c r="F2" s="13" t="s">
        <v>7</v>
      </c>
      <c r="G2" s="13" t="s">
        <v>8</v>
      </c>
      <c r="H2" s="12" t="s">
        <v>3</v>
      </c>
      <c r="I2" s="12" t="s">
        <v>4</v>
      </c>
      <c r="J2" s="13" t="s">
        <v>5</v>
      </c>
      <c r="K2" s="13" t="s">
        <v>6</v>
      </c>
      <c r="L2" s="13" t="s">
        <v>7</v>
      </c>
      <c r="M2" s="13" t="s">
        <v>8</v>
      </c>
      <c r="O2" s="20" t="s">
        <v>9</v>
      </c>
      <c r="Q2" s="97" t="s">
        <v>10</v>
      </c>
      <c r="R2" s="98"/>
    </row>
    <row r="3" spans="1:18" ht="14.45" customHeight="1" thickBot="1">
      <c r="A3" s="15">
        <v>2008</v>
      </c>
      <c r="B3" s="3">
        <v>322500</v>
      </c>
      <c r="C3" s="4">
        <v>248658</v>
      </c>
      <c r="D3" s="6" t="s">
        <v>11</v>
      </c>
      <c r="E3" s="9">
        <v>1568447</v>
      </c>
      <c r="F3" s="62">
        <v>20.73</v>
      </c>
      <c r="G3" s="62">
        <v>3088800</v>
      </c>
      <c r="H3" s="3">
        <v>322500</v>
      </c>
      <c r="I3" s="4">
        <v>191837</v>
      </c>
      <c r="J3" s="6" t="s">
        <v>12</v>
      </c>
      <c r="K3" s="9">
        <v>621333</v>
      </c>
      <c r="L3" s="68">
        <v>19.190000000000001</v>
      </c>
      <c r="M3" s="68">
        <v>2369558</v>
      </c>
      <c r="N3" s="15">
        <v>2008</v>
      </c>
      <c r="O3" s="21" t="s">
        <v>13</v>
      </c>
      <c r="Q3" s="35" t="s">
        <v>14</v>
      </c>
      <c r="R3" s="36" t="s">
        <v>15</v>
      </c>
    </row>
    <row r="4" spans="1:18">
      <c r="A4" s="15">
        <v>2009</v>
      </c>
      <c r="B4" s="3">
        <v>415000</v>
      </c>
      <c r="C4" s="4">
        <v>273833</v>
      </c>
      <c r="D4" s="6" t="s">
        <v>11</v>
      </c>
      <c r="E4" s="9">
        <v>1934516</v>
      </c>
      <c r="F4" s="62">
        <v>24.24</v>
      </c>
      <c r="G4" s="62">
        <v>3701540.1105992477</v>
      </c>
      <c r="H4" s="3">
        <v>415000</v>
      </c>
      <c r="I4" s="4">
        <v>275604</v>
      </c>
      <c r="J4" s="6" t="s">
        <v>12</v>
      </c>
      <c r="K4" s="9">
        <v>1046094</v>
      </c>
      <c r="L4" s="68">
        <v>15.45</v>
      </c>
      <c r="M4" s="68">
        <v>2886736</v>
      </c>
      <c r="N4" s="15">
        <v>2009</v>
      </c>
      <c r="O4" s="22" t="s">
        <v>16</v>
      </c>
      <c r="Q4" s="34" t="s">
        <v>0</v>
      </c>
      <c r="R4" s="39">
        <f>SUM(E13:E15)/SUM(C13:C15)</f>
        <v>8.0666294779614081</v>
      </c>
    </row>
    <row r="5" spans="1:18">
      <c r="A5" s="15">
        <v>2010</v>
      </c>
      <c r="B5" s="3">
        <v>530000</v>
      </c>
      <c r="C5" s="4">
        <v>216999</v>
      </c>
      <c r="D5" s="6" t="s">
        <v>11</v>
      </c>
      <c r="E5" s="9">
        <v>1926849</v>
      </c>
      <c r="F5" s="62">
        <v>26.59</v>
      </c>
      <c r="G5" s="62">
        <v>2861833.0496905823</v>
      </c>
      <c r="H5" s="3">
        <v>530000</v>
      </c>
      <c r="I5" s="4">
        <v>227017</v>
      </c>
      <c r="J5" s="6" t="s">
        <v>12</v>
      </c>
      <c r="K5" s="9">
        <v>1270056</v>
      </c>
      <c r="L5" s="68">
        <v>17.170000000000002</v>
      </c>
      <c r="M5" s="68">
        <v>2613114.1913096812</v>
      </c>
      <c r="N5" s="15">
        <v>2010</v>
      </c>
      <c r="O5" s="23" t="s">
        <v>17</v>
      </c>
      <c r="Q5" s="33" t="s">
        <v>1</v>
      </c>
      <c r="R5" s="40">
        <f>SUM(K13:K15)/SUM(I13:I15)</f>
        <v>5.8506799582798461</v>
      </c>
    </row>
    <row r="6" spans="1:18" ht="15" thickBot="1">
      <c r="A6" s="15">
        <v>2011</v>
      </c>
      <c r="B6" s="3">
        <v>332399</v>
      </c>
      <c r="C6" s="4">
        <v>219596</v>
      </c>
      <c r="D6" s="6" t="s">
        <v>11</v>
      </c>
      <c r="E6" s="9">
        <v>1572380</v>
      </c>
      <c r="F6" s="62">
        <v>32.6</v>
      </c>
      <c r="G6" s="62">
        <v>3704041</v>
      </c>
      <c r="H6" s="3">
        <v>336772</v>
      </c>
      <c r="I6" s="4">
        <v>467657</v>
      </c>
      <c r="J6" s="6" t="s">
        <v>12</v>
      </c>
      <c r="K6" s="9">
        <v>1613272</v>
      </c>
      <c r="L6" s="68">
        <v>17.600000000000001</v>
      </c>
      <c r="M6" s="68">
        <v>5622610</v>
      </c>
      <c r="N6" s="15">
        <v>2011</v>
      </c>
      <c r="O6" s="24" t="s">
        <v>18</v>
      </c>
      <c r="Q6" s="37" t="s">
        <v>19</v>
      </c>
      <c r="R6" s="41">
        <f>SUM(E33:E35)/SUM(C33:C35)</f>
        <v>67.718158935634662</v>
      </c>
    </row>
    <row r="7" spans="1:18" ht="15.6" thickTop="1" thickBot="1">
      <c r="A7" s="15">
        <v>2012</v>
      </c>
      <c r="B7" s="3">
        <v>396845</v>
      </c>
      <c r="C7" s="4">
        <v>179330</v>
      </c>
      <c r="D7" s="6" t="s">
        <v>20</v>
      </c>
      <c r="E7" s="9">
        <v>1096330.55</v>
      </c>
      <c r="F7" s="62">
        <v>27.62</v>
      </c>
      <c r="G7" s="62">
        <v>2417071</v>
      </c>
      <c r="H7" s="3">
        <v>356237</v>
      </c>
      <c r="I7" s="4">
        <v>359003</v>
      </c>
      <c r="J7" s="6" t="s">
        <v>12</v>
      </c>
      <c r="K7" s="9">
        <v>1385292.3</v>
      </c>
      <c r="L7" s="68">
        <v>16.91</v>
      </c>
      <c r="M7" s="68">
        <v>4190879</v>
      </c>
      <c r="N7" s="15">
        <v>2012</v>
      </c>
      <c r="O7" s="24" t="s">
        <v>18</v>
      </c>
      <c r="Q7" s="42" t="s">
        <v>21</v>
      </c>
      <c r="R7" s="43">
        <f>SUM(J33:J35)/SUM(I33:I35)</f>
        <v>8.1764820472720423</v>
      </c>
    </row>
    <row r="8" spans="1:18">
      <c r="A8" s="15">
        <v>2013</v>
      </c>
      <c r="B8" s="3">
        <v>189619</v>
      </c>
      <c r="C8" s="4">
        <v>183352</v>
      </c>
      <c r="D8" s="6" t="s">
        <v>22</v>
      </c>
      <c r="E8" s="9">
        <v>1047452.4</v>
      </c>
      <c r="F8" s="62">
        <v>26.13</v>
      </c>
      <c r="G8" s="62">
        <v>2736807</v>
      </c>
      <c r="H8" s="3">
        <v>320892</v>
      </c>
      <c r="I8" s="4">
        <v>288079</v>
      </c>
      <c r="J8" s="6" t="s">
        <v>22</v>
      </c>
      <c r="K8" s="9">
        <v>1179001.3999999999</v>
      </c>
      <c r="L8" s="68">
        <v>16.940000000000001</v>
      </c>
      <c r="M8" s="68">
        <v>3339161</v>
      </c>
      <c r="N8" s="15">
        <v>2013</v>
      </c>
      <c r="O8" s="24" t="s">
        <v>18</v>
      </c>
    </row>
    <row r="9" spans="1:18" ht="15" thickBot="1">
      <c r="A9" s="15">
        <v>2014</v>
      </c>
      <c r="B9" s="3">
        <v>226382</v>
      </c>
      <c r="C9" s="4">
        <v>176439</v>
      </c>
      <c r="D9" s="6" t="s">
        <v>22</v>
      </c>
      <c r="E9" s="9">
        <v>850586</v>
      </c>
      <c r="F9" s="62">
        <v>23.775853073187037</v>
      </c>
      <c r="G9" s="62">
        <v>2489627.2090129713</v>
      </c>
      <c r="H9" s="3">
        <v>339768</v>
      </c>
      <c r="I9" s="4">
        <v>465176</v>
      </c>
      <c r="J9" s="6" t="s">
        <v>22</v>
      </c>
      <c r="K9" s="9">
        <v>1313441</v>
      </c>
      <c r="L9" s="68">
        <v>15.43</v>
      </c>
      <c r="M9" s="68">
        <v>5098851</v>
      </c>
      <c r="N9" s="15">
        <v>2014</v>
      </c>
      <c r="O9" s="24" t="s">
        <v>23</v>
      </c>
    </row>
    <row r="10" spans="1:18">
      <c r="A10" s="15">
        <v>2015</v>
      </c>
      <c r="B10" s="3">
        <v>132085</v>
      </c>
      <c r="C10" s="4">
        <v>181847</v>
      </c>
      <c r="D10" s="6" t="s">
        <v>22</v>
      </c>
      <c r="E10" s="9">
        <v>889189</v>
      </c>
      <c r="F10" s="62">
        <v>23.36</v>
      </c>
      <c r="G10" s="62">
        <v>2546349</v>
      </c>
      <c r="H10" s="3">
        <v>388969</v>
      </c>
      <c r="I10" s="4">
        <v>637930</v>
      </c>
      <c r="J10" s="6" t="s">
        <v>22</v>
      </c>
      <c r="K10" s="9">
        <v>1492967</v>
      </c>
      <c r="L10" s="68">
        <v>15.07</v>
      </c>
      <c r="M10" s="68">
        <v>6915701</v>
      </c>
      <c r="N10" s="15">
        <v>2015</v>
      </c>
      <c r="O10" s="24" t="s">
        <v>23</v>
      </c>
      <c r="Q10" s="97" t="s">
        <v>24</v>
      </c>
      <c r="R10" s="98"/>
    </row>
    <row r="11" spans="1:18" ht="15" thickBot="1">
      <c r="A11" s="15">
        <v>2016</v>
      </c>
      <c r="B11" s="18">
        <v>409975</v>
      </c>
      <c r="C11" s="4">
        <v>171620</v>
      </c>
      <c r="D11" s="6">
        <v>507199</v>
      </c>
      <c r="E11" s="9">
        <v>977921</v>
      </c>
      <c r="F11" s="63">
        <v>22.86</v>
      </c>
      <c r="G11" s="62">
        <v>2391466</v>
      </c>
      <c r="H11" s="18">
        <v>565940</v>
      </c>
      <c r="I11" s="4">
        <v>222194</v>
      </c>
      <c r="J11" s="6">
        <v>983301</v>
      </c>
      <c r="K11" s="9">
        <v>1369017</v>
      </c>
      <c r="L11" s="68">
        <v>18.04</v>
      </c>
      <c r="M11" s="68">
        <v>2674050</v>
      </c>
      <c r="N11" s="15">
        <v>2016</v>
      </c>
      <c r="O11" s="24" t="s">
        <v>25</v>
      </c>
      <c r="Q11" s="35" t="s">
        <v>14</v>
      </c>
      <c r="R11" s="36" t="s">
        <v>15</v>
      </c>
    </row>
    <row r="12" spans="1:18">
      <c r="A12" s="15">
        <v>2017</v>
      </c>
      <c r="B12" s="3">
        <v>323878</v>
      </c>
      <c r="C12" s="4">
        <v>297216</v>
      </c>
      <c r="D12" s="6">
        <v>1441663</v>
      </c>
      <c r="E12" s="9">
        <v>1776852</v>
      </c>
      <c r="F12" s="62">
        <v>22.82</v>
      </c>
      <c r="G12" s="62">
        <v>4396437</v>
      </c>
      <c r="H12" s="3">
        <v>515998</v>
      </c>
      <c r="I12" s="4">
        <v>260176</v>
      </c>
      <c r="J12" s="6">
        <v>1582149</v>
      </c>
      <c r="K12" s="9">
        <v>1414447</v>
      </c>
      <c r="L12" s="68">
        <v>18.920000000000002</v>
      </c>
      <c r="M12" s="68">
        <v>3455586</v>
      </c>
      <c r="N12" s="15">
        <v>2017</v>
      </c>
      <c r="O12" s="24" t="s">
        <v>25</v>
      </c>
      <c r="Q12" s="34" t="s">
        <v>0</v>
      </c>
      <c r="R12" s="38">
        <f>SUM(2509800,2228048,2315585)/SUM(C13:C15)</f>
        <v>6.0439640760534727</v>
      </c>
    </row>
    <row r="13" spans="1:18">
      <c r="A13" s="15">
        <v>2018</v>
      </c>
      <c r="B13" s="3">
        <v>238627</v>
      </c>
      <c r="C13" s="4">
        <v>420639</v>
      </c>
      <c r="D13" s="6">
        <v>2089959</v>
      </c>
      <c r="E13" s="9">
        <v>3237038</v>
      </c>
      <c r="F13" s="62">
        <v>24.32</v>
      </c>
      <c r="G13" s="62">
        <v>5812942</v>
      </c>
      <c r="H13" s="3">
        <v>377640</v>
      </c>
      <c r="I13" s="4">
        <v>345999</v>
      </c>
      <c r="J13" s="6">
        <v>2271089</v>
      </c>
      <c r="K13" s="9">
        <v>1949397</v>
      </c>
      <c r="L13" s="68">
        <v>19.71</v>
      </c>
      <c r="M13" s="68">
        <v>4326806</v>
      </c>
      <c r="N13" s="15">
        <v>2018</v>
      </c>
      <c r="O13" s="24" t="s">
        <v>25</v>
      </c>
      <c r="Q13" s="33" t="s">
        <v>1</v>
      </c>
      <c r="R13" s="40">
        <f>SUM(908818,940237,992806)/SUM(I13:I15)</f>
        <v>2.8500691992939666</v>
      </c>
    </row>
    <row r="14" spans="1:18" ht="15" thickBot="1">
      <c r="A14" s="15">
        <v>2019</v>
      </c>
      <c r="B14" s="3">
        <v>333424</v>
      </c>
      <c r="C14" s="31">
        <v>363364</v>
      </c>
      <c r="D14" s="6">
        <f>1920000+924186</f>
        <v>2844186</v>
      </c>
      <c r="E14" s="9">
        <v>2973431</v>
      </c>
      <c r="F14" s="62">
        <v>23.48</v>
      </c>
      <c r="G14" s="62">
        <v>4953103</v>
      </c>
      <c r="H14" s="3">
        <v>370587</v>
      </c>
      <c r="I14" s="31">
        <v>384176</v>
      </c>
      <c r="J14" s="6">
        <f>950000+1261274</f>
        <v>2211274</v>
      </c>
      <c r="K14" s="9">
        <v>2047391</v>
      </c>
      <c r="L14" s="68">
        <v>18.75</v>
      </c>
      <c r="M14" s="68">
        <v>4684296.24</v>
      </c>
      <c r="N14" s="15">
        <v>2019</v>
      </c>
      <c r="O14" s="24" t="s">
        <v>26</v>
      </c>
      <c r="Q14" s="37" t="s">
        <v>19</v>
      </c>
      <c r="R14" s="41">
        <f>SUM(234667,910314,639469)/SUM(C33:C35)</f>
        <v>64.165767709457029</v>
      </c>
    </row>
    <row r="15" spans="1:18" ht="15.6" thickTop="1" thickBot="1">
      <c r="A15" s="15">
        <v>2020</v>
      </c>
      <c r="B15" s="3">
        <v>327801</v>
      </c>
      <c r="C15" s="4">
        <v>383018</v>
      </c>
      <c r="D15" s="6">
        <f>3017205+1036849</f>
        <v>4054054</v>
      </c>
      <c r="E15" s="9">
        <v>3203457</v>
      </c>
      <c r="F15" s="62">
        <v>22.3721769882373</v>
      </c>
      <c r="G15" s="62">
        <v>5053522.9278808897</v>
      </c>
      <c r="H15" s="3">
        <v>387824</v>
      </c>
      <c r="I15" s="31">
        <v>266945</v>
      </c>
      <c r="J15" s="6">
        <f>1216930+1209203</f>
        <v>2426133</v>
      </c>
      <c r="K15" s="9">
        <v>1837042</v>
      </c>
      <c r="L15" s="68">
        <v>18.691115976702608</v>
      </c>
      <c r="M15" s="68">
        <v>3169155.9550888259</v>
      </c>
      <c r="N15" s="15">
        <v>2020</v>
      </c>
      <c r="O15" s="24" t="s">
        <v>26</v>
      </c>
      <c r="Q15" s="42" t="s">
        <v>21</v>
      </c>
      <c r="R15" s="43">
        <f>SUM(2509800,908818,234667,4078599,3947860)/SUM(I33:I35)</f>
        <v>5.3284694776479951</v>
      </c>
    </row>
    <row r="16" spans="1:18">
      <c r="A16" s="15">
        <v>2021</v>
      </c>
      <c r="B16" s="3">
        <v>471164</v>
      </c>
      <c r="C16" s="46">
        <v>436103.39</v>
      </c>
      <c r="D16" s="6">
        <f>2897659+1066042</f>
        <v>3963701</v>
      </c>
      <c r="E16" s="49">
        <f>2786510.06+931291.5</f>
        <v>3717801.56</v>
      </c>
      <c r="F16" s="64">
        <v>22.92</v>
      </c>
      <c r="G16" s="64">
        <v>6523265</v>
      </c>
      <c r="H16" s="3">
        <v>578483</v>
      </c>
      <c r="I16" s="46">
        <v>798874.36</v>
      </c>
      <c r="J16" s="6">
        <f>1961057+1436858</f>
        <v>3397915</v>
      </c>
      <c r="K16" s="49">
        <f>1757837.71+1600291.91</f>
        <v>3358129.62</v>
      </c>
      <c r="L16" s="64">
        <v>16.54</v>
      </c>
      <c r="M16" s="64">
        <v>9860736</v>
      </c>
      <c r="N16" s="15">
        <v>2021</v>
      </c>
      <c r="O16" s="24" t="s">
        <v>26</v>
      </c>
    </row>
    <row r="17" spans="1:15">
      <c r="A17" s="15">
        <v>2022</v>
      </c>
      <c r="B17" s="3">
        <v>429213</v>
      </c>
      <c r="C17" s="46">
        <v>330767.88</v>
      </c>
      <c r="D17" s="6">
        <f>3983311+1257715</f>
        <v>5241026</v>
      </c>
      <c r="E17" s="49">
        <v>4507118.2549999999</v>
      </c>
      <c r="F17" s="64">
        <v>25.622500032832892</v>
      </c>
      <c r="G17" s="64">
        <v>5306679.7913055941</v>
      </c>
      <c r="H17" s="3">
        <v>419461</v>
      </c>
      <c r="I17" s="46">
        <v>289919.12</v>
      </c>
      <c r="J17" s="6">
        <f>2453847+1194623</f>
        <v>3648470</v>
      </c>
      <c r="K17" s="49">
        <v>2026531.9360000002</v>
      </c>
      <c r="L17" s="64">
        <v>18.082096793064217</v>
      </c>
      <c r="M17" s="64">
        <v>3719678.8025715579</v>
      </c>
      <c r="N17" s="15">
        <v>2022</v>
      </c>
      <c r="O17" s="24" t="s">
        <v>26</v>
      </c>
    </row>
    <row r="18" spans="1:15">
      <c r="A18" s="15">
        <v>2023</v>
      </c>
      <c r="B18" s="3">
        <v>507695</v>
      </c>
      <c r="C18" s="29" t="s">
        <v>27</v>
      </c>
      <c r="D18" s="6">
        <f>4711663+1404670</f>
        <v>6116333</v>
      </c>
      <c r="E18" s="30" t="s">
        <v>27</v>
      </c>
      <c r="F18" s="65"/>
      <c r="G18" s="65"/>
      <c r="H18" s="3">
        <v>537858</v>
      </c>
      <c r="I18" s="29" t="s">
        <v>27</v>
      </c>
      <c r="J18" s="6">
        <f>3146469+1409349</f>
        <v>4555818</v>
      </c>
      <c r="K18" s="30" t="s">
        <v>27</v>
      </c>
      <c r="L18" s="65"/>
      <c r="M18" s="65"/>
      <c r="N18" s="15">
        <v>2023</v>
      </c>
      <c r="O18" s="24" t="s">
        <v>26</v>
      </c>
    </row>
    <row r="19" spans="1:15">
      <c r="A19" s="87">
        <v>2024</v>
      </c>
      <c r="B19" s="3">
        <v>426621</v>
      </c>
      <c r="C19" s="29" t="s">
        <v>27</v>
      </c>
      <c r="D19" s="6">
        <f>4965868+1708246</f>
        <v>6674114</v>
      </c>
      <c r="E19" s="30" t="s">
        <v>27</v>
      </c>
      <c r="F19" s="65"/>
      <c r="G19" s="65"/>
      <c r="H19" s="3">
        <v>368700</v>
      </c>
      <c r="I19" s="29" t="s">
        <v>27</v>
      </c>
      <c r="J19" s="6">
        <f>1758699+1351913</f>
        <v>3110612</v>
      </c>
      <c r="K19" s="30" t="s">
        <v>27</v>
      </c>
      <c r="L19" s="65"/>
      <c r="M19" s="65"/>
      <c r="N19" s="15">
        <v>2024</v>
      </c>
      <c r="O19" s="24" t="s">
        <v>26</v>
      </c>
    </row>
    <row r="20" spans="1:15">
      <c r="A20" s="87">
        <v>2025</v>
      </c>
      <c r="B20" s="3">
        <v>502044</v>
      </c>
      <c r="C20" s="29" t="s">
        <v>27</v>
      </c>
      <c r="D20" s="6">
        <f>5846792+1742411</f>
        <v>7589203</v>
      </c>
      <c r="E20" s="30" t="s">
        <v>27</v>
      </c>
      <c r="F20" s="65"/>
      <c r="G20" s="65"/>
      <c r="H20" s="3">
        <v>443760</v>
      </c>
      <c r="I20" s="29" t="s">
        <v>27</v>
      </c>
      <c r="J20" s="6">
        <f>2116735+1453405</f>
        <v>3570140</v>
      </c>
      <c r="K20" s="30" t="s">
        <v>27</v>
      </c>
      <c r="L20" s="65"/>
      <c r="M20" s="65"/>
      <c r="N20" s="15">
        <v>2025</v>
      </c>
      <c r="O20" s="24" t="s">
        <v>26</v>
      </c>
    </row>
    <row r="21" spans="1:15">
      <c r="B21" s="59" t="s">
        <v>28</v>
      </c>
      <c r="C21" s="60"/>
      <c r="D21" s="60"/>
      <c r="E21" s="61"/>
      <c r="F21" s="61"/>
      <c r="G21" s="75"/>
      <c r="H21" s="73" t="s">
        <v>21</v>
      </c>
      <c r="I21" s="58"/>
      <c r="J21" s="58"/>
      <c r="K21" s="58"/>
      <c r="L21" s="58"/>
      <c r="M21" s="58"/>
      <c r="N21" s="88" t="s">
        <v>29</v>
      </c>
    </row>
    <row r="22" spans="1:15" ht="43.15">
      <c r="A22" s="11" t="s">
        <v>2</v>
      </c>
      <c r="B22" s="12" t="s">
        <v>3</v>
      </c>
      <c r="C22" s="12" t="s">
        <v>4</v>
      </c>
      <c r="D22" s="13" t="s">
        <v>5</v>
      </c>
      <c r="E22" s="13" t="s">
        <v>6</v>
      </c>
      <c r="F22" s="13" t="s">
        <v>7</v>
      </c>
      <c r="G22" s="13" t="s">
        <v>8</v>
      </c>
      <c r="H22" s="12" t="s">
        <v>3</v>
      </c>
      <c r="I22" s="12" t="s">
        <v>4</v>
      </c>
      <c r="J22" s="13" t="s">
        <v>5</v>
      </c>
      <c r="K22" s="13" t="s">
        <v>6</v>
      </c>
      <c r="L22" s="13" t="s">
        <v>7</v>
      </c>
      <c r="M22" s="13" t="s">
        <v>8</v>
      </c>
    </row>
    <row r="23" spans="1:15">
      <c r="A23" s="15">
        <v>2008</v>
      </c>
      <c r="B23" s="1" t="s">
        <v>30</v>
      </c>
      <c r="C23" s="2">
        <v>13985</v>
      </c>
      <c r="D23" s="6" t="s">
        <v>22</v>
      </c>
      <c r="E23" s="10">
        <v>192706</v>
      </c>
      <c r="F23" s="66">
        <v>26.74</v>
      </c>
      <c r="G23" s="66">
        <v>220713</v>
      </c>
      <c r="H23" s="1" t="s">
        <v>31</v>
      </c>
      <c r="I23" s="2">
        <f t="shared" ref="I23:I37" si="0">SUM(C3,I3,C23)</f>
        <v>454480</v>
      </c>
      <c r="J23" s="8" t="s">
        <v>22</v>
      </c>
      <c r="K23" s="10">
        <f>SUM(E3,K3,E23)</f>
        <v>2382486</v>
      </c>
      <c r="L23" s="62">
        <v>20.264898939447285</v>
      </c>
      <c r="M23" s="62">
        <f t="shared" ref="M23:M38" si="1">SUM(G3,M3,G23)</f>
        <v>5679071</v>
      </c>
      <c r="N23" s="4">
        <f>I23</f>
        <v>454480</v>
      </c>
    </row>
    <row r="24" spans="1:15">
      <c r="A24" s="15">
        <v>2009</v>
      </c>
      <c r="B24" s="3" t="s">
        <v>32</v>
      </c>
      <c r="C24" s="4">
        <v>14733</v>
      </c>
      <c r="D24" s="6" t="s">
        <v>22</v>
      </c>
      <c r="E24" s="9">
        <v>242765</v>
      </c>
      <c r="F24" s="62">
        <v>27.45</v>
      </c>
      <c r="G24" s="62">
        <v>236240</v>
      </c>
      <c r="H24" s="3" t="s">
        <v>33</v>
      </c>
      <c r="I24" s="4">
        <f t="shared" si="0"/>
        <v>564170</v>
      </c>
      <c r="J24" s="6" t="s">
        <v>22</v>
      </c>
      <c r="K24" s="9">
        <f>SUM(E4,K4,E24)</f>
        <v>3223375</v>
      </c>
      <c r="L24" s="62">
        <v>20.029804083875426</v>
      </c>
      <c r="M24" s="62">
        <f t="shared" si="1"/>
        <v>6824516.1105992477</v>
      </c>
      <c r="N24" s="4">
        <f>I24+N23</f>
        <v>1018650</v>
      </c>
    </row>
    <row r="25" spans="1:15">
      <c r="A25" s="15">
        <v>2010</v>
      </c>
      <c r="B25" s="3">
        <v>50000</v>
      </c>
      <c r="C25" s="4">
        <v>30809</v>
      </c>
      <c r="D25" s="6" t="s">
        <v>22</v>
      </c>
      <c r="E25" s="9">
        <v>417125</v>
      </c>
      <c r="F25" s="62">
        <v>27.14</v>
      </c>
      <c r="G25" s="62">
        <v>490679.71627813205</v>
      </c>
      <c r="H25" s="3" t="s">
        <v>34</v>
      </c>
      <c r="I25" s="4">
        <f t="shared" si="0"/>
        <v>474825</v>
      </c>
      <c r="J25" s="6" t="s">
        <v>22</v>
      </c>
      <c r="K25" s="9">
        <f>SUM(E5,K5,E25)</f>
        <v>3614030</v>
      </c>
      <c r="L25" s="62">
        <v>22.121921887011005</v>
      </c>
      <c r="M25" s="62">
        <f t="shared" si="1"/>
        <v>5965626.9572783951</v>
      </c>
      <c r="N25" s="4">
        <f t="shared" ref="N25:N37" si="2">I25+N24</f>
        <v>1493475</v>
      </c>
    </row>
    <row r="26" spans="1:15">
      <c r="A26" s="15">
        <v>2011</v>
      </c>
      <c r="B26" s="19">
        <v>40000</v>
      </c>
      <c r="C26" s="4">
        <v>24130</v>
      </c>
      <c r="D26" s="6" t="s">
        <v>22</v>
      </c>
      <c r="E26" s="9">
        <v>304033</v>
      </c>
      <c r="F26" s="62">
        <v>27.55</v>
      </c>
      <c r="G26" s="62">
        <v>356075</v>
      </c>
      <c r="H26" s="3">
        <f t="shared" ref="H26:H38" si="3">SUM(B6,H6,B26)</f>
        <v>709171</v>
      </c>
      <c r="I26" s="4">
        <f t="shared" si="0"/>
        <v>711383</v>
      </c>
      <c r="J26" s="6" t="s">
        <v>22</v>
      </c>
      <c r="K26" s="9">
        <f>SUM(E6,K6,E26)</f>
        <v>3489685</v>
      </c>
      <c r="L26" s="62">
        <v>22.567835188639595</v>
      </c>
      <c r="M26" s="62">
        <f t="shared" si="1"/>
        <v>9682726</v>
      </c>
      <c r="N26" s="4">
        <f t="shared" si="2"/>
        <v>2204858</v>
      </c>
    </row>
    <row r="27" spans="1:15">
      <c r="A27" s="15">
        <v>2012</v>
      </c>
      <c r="B27" s="3">
        <v>45000</v>
      </c>
      <c r="C27" s="4">
        <v>21824</v>
      </c>
      <c r="D27" s="6" t="s">
        <v>22</v>
      </c>
      <c r="E27" s="9">
        <v>248162</v>
      </c>
      <c r="F27" s="62">
        <v>26.6</v>
      </c>
      <c r="G27" s="62">
        <v>343337</v>
      </c>
      <c r="H27" s="3">
        <f t="shared" si="3"/>
        <v>798082</v>
      </c>
      <c r="I27" s="4">
        <f t="shared" si="0"/>
        <v>560157</v>
      </c>
      <c r="J27" s="6" t="s">
        <v>22</v>
      </c>
      <c r="K27" s="9">
        <f>SUM(E7,K7,E27)</f>
        <v>2729784.85</v>
      </c>
      <c r="L27" s="62">
        <v>20.716252282842134</v>
      </c>
      <c r="M27" s="62">
        <f t="shared" si="1"/>
        <v>6951287</v>
      </c>
      <c r="N27" s="4">
        <f t="shared" si="2"/>
        <v>2765015</v>
      </c>
    </row>
    <row r="28" spans="1:15">
      <c r="A28" s="15">
        <v>2013</v>
      </c>
      <c r="B28" s="3">
        <v>26250</v>
      </c>
      <c r="C28" s="4">
        <v>14960</v>
      </c>
      <c r="D28" s="6" t="s">
        <v>22</v>
      </c>
      <c r="E28" s="9">
        <v>176537</v>
      </c>
      <c r="F28" s="62">
        <v>26.49</v>
      </c>
      <c r="G28" s="62">
        <v>234768</v>
      </c>
      <c r="H28" s="3">
        <f t="shared" si="3"/>
        <v>536761</v>
      </c>
      <c r="I28" s="4">
        <f t="shared" si="0"/>
        <v>486391</v>
      </c>
      <c r="J28" s="6">
        <v>2369000</v>
      </c>
      <c r="K28" s="9">
        <f>SUM(E8,K8,E28,103,140.93)</f>
        <v>2403234.73</v>
      </c>
      <c r="L28" s="62">
        <v>20.698031871477884</v>
      </c>
      <c r="M28" s="62">
        <f t="shared" si="1"/>
        <v>6310736</v>
      </c>
      <c r="N28" s="4">
        <f t="shared" si="2"/>
        <v>3251406</v>
      </c>
    </row>
    <row r="29" spans="1:15">
      <c r="A29" s="15">
        <v>2014</v>
      </c>
      <c r="B29" s="3">
        <v>22500</v>
      </c>
      <c r="C29" s="4">
        <v>7338</v>
      </c>
      <c r="D29" s="6" t="s">
        <v>22</v>
      </c>
      <c r="E29" s="9">
        <v>69374</v>
      </c>
      <c r="F29" s="62">
        <v>26.5</v>
      </c>
      <c r="G29" s="62">
        <v>115172</v>
      </c>
      <c r="H29" s="3">
        <f t="shared" si="3"/>
        <v>588650</v>
      </c>
      <c r="I29" s="4">
        <f t="shared" si="0"/>
        <v>648953</v>
      </c>
      <c r="J29" s="6">
        <v>3290867.92</v>
      </c>
      <c r="K29" s="9">
        <f>SUM(E9,K9,E29,14679.07)</f>
        <v>2248080.0699999998</v>
      </c>
      <c r="L29" s="62">
        <v>17.824265270951901</v>
      </c>
      <c r="M29" s="62">
        <f t="shared" si="1"/>
        <v>7703650.2090129713</v>
      </c>
      <c r="N29" s="4">
        <f t="shared" si="2"/>
        <v>3900359</v>
      </c>
    </row>
    <row r="30" spans="1:15">
      <c r="A30" s="15">
        <v>2015</v>
      </c>
      <c r="B30" s="3">
        <v>7000</v>
      </c>
      <c r="C30" s="4">
        <v>11724</v>
      </c>
      <c r="D30" s="6" t="s">
        <v>22</v>
      </c>
      <c r="E30" s="9">
        <v>96637.46</v>
      </c>
      <c r="F30" s="62">
        <v>27.65</v>
      </c>
      <c r="G30" s="62">
        <v>188836</v>
      </c>
      <c r="H30" s="3">
        <f t="shared" si="3"/>
        <v>528054</v>
      </c>
      <c r="I30" s="4">
        <f t="shared" si="0"/>
        <v>831501</v>
      </c>
      <c r="J30" s="6">
        <v>3245042</v>
      </c>
      <c r="K30" s="9">
        <f>SUM(E10,K10,E30,145848)</f>
        <v>2624641.46</v>
      </c>
      <c r="L30" s="62">
        <v>17.060375898525677</v>
      </c>
      <c r="M30" s="62">
        <f t="shared" si="1"/>
        <v>9650886</v>
      </c>
      <c r="N30" s="4">
        <f t="shared" si="2"/>
        <v>4731860</v>
      </c>
    </row>
    <row r="31" spans="1:15">
      <c r="A31" s="15">
        <v>2016</v>
      </c>
      <c r="B31" s="18">
        <v>7000</v>
      </c>
      <c r="C31" s="4">
        <v>11743</v>
      </c>
      <c r="D31" s="6" t="s">
        <v>22</v>
      </c>
      <c r="E31" s="9">
        <v>93377</v>
      </c>
      <c r="F31" s="62">
        <v>26.52</v>
      </c>
      <c r="G31" s="62">
        <v>184401</v>
      </c>
      <c r="H31" s="3">
        <f t="shared" si="3"/>
        <v>982915</v>
      </c>
      <c r="I31" s="4">
        <f t="shared" si="0"/>
        <v>405557</v>
      </c>
      <c r="J31" s="6">
        <v>1735496</v>
      </c>
      <c r="K31" s="9">
        <f>SUM(E11,K11,E31,244944,86072)</f>
        <v>2771331</v>
      </c>
      <c r="L31" s="62">
        <v>20.325225110157142</v>
      </c>
      <c r="M31" s="62">
        <f t="shared" si="1"/>
        <v>5249917</v>
      </c>
      <c r="N31" s="4">
        <f t="shared" si="2"/>
        <v>5137417</v>
      </c>
    </row>
    <row r="32" spans="1:15">
      <c r="A32" s="15">
        <v>2017</v>
      </c>
      <c r="B32" s="3">
        <v>15000</v>
      </c>
      <c r="C32" s="4">
        <v>5564</v>
      </c>
      <c r="D32" s="6">
        <v>393911</v>
      </c>
      <c r="E32" s="9">
        <v>206053</v>
      </c>
      <c r="F32" s="62">
        <v>38.04</v>
      </c>
      <c r="G32" s="62">
        <v>103978</v>
      </c>
      <c r="H32" s="3">
        <f t="shared" si="3"/>
        <v>854876</v>
      </c>
      <c r="I32" s="4">
        <f t="shared" si="0"/>
        <v>562956</v>
      </c>
      <c r="J32" s="6">
        <v>3765897</v>
      </c>
      <c r="K32" s="9">
        <f>SUM(E12,K12,E32,313124,43990)</f>
        <v>3754466</v>
      </c>
      <c r="L32" s="62">
        <v>22.368974474585361</v>
      </c>
      <c r="M32" s="62">
        <f t="shared" si="1"/>
        <v>7956001</v>
      </c>
      <c r="N32" s="4">
        <f t="shared" si="2"/>
        <v>5700373</v>
      </c>
      <c r="O32" s="32"/>
    </row>
    <row r="33" spans="1:14">
      <c r="A33" s="25">
        <v>2018</v>
      </c>
      <c r="B33" s="3">
        <v>5000</v>
      </c>
      <c r="C33" s="4">
        <v>5181</v>
      </c>
      <c r="D33" s="6">
        <v>196000</v>
      </c>
      <c r="E33" s="9">
        <v>258547</v>
      </c>
      <c r="F33" s="62">
        <v>41.54</v>
      </c>
      <c r="G33" s="62">
        <v>86447</v>
      </c>
      <c r="H33" s="3">
        <f t="shared" si="3"/>
        <v>621267</v>
      </c>
      <c r="I33" s="4">
        <f t="shared" si="0"/>
        <v>771819</v>
      </c>
      <c r="J33" s="6">
        <v>5089333</v>
      </c>
      <c r="K33" s="9">
        <f>SUM(E13,K13,E33,452211,20893)</f>
        <v>5918086</v>
      </c>
      <c r="L33" s="62">
        <v>22.368974474585361</v>
      </c>
      <c r="M33" s="62">
        <f t="shared" si="1"/>
        <v>10226195</v>
      </c>
      <c r="N33" s="4">
        <f t="shared" si="2"/>
        <v>6472192</v>
      </c>
    </row>
    <row r="34" spans="1:14">
      <c r="A34" s="15">
        <v>2019</v>
      </c>
      <c r="B34" s="3">
        <v>15000</v>
      </c>
      <c r="C34" s="31">
        <v>13416</v>
      </c>
      <c r="D34" s="6">
        <v>540568</v>
      </c>
      <c r="E34" s="9">
        <v>955376</v>
      </c>
      <c r="F34" s="62">
        <v>56.78</v>
      </c>
      <c r="G34" s="62">
        <v>258956</v>
      </c>
      <c r="H34" s="3">
        <f t="shared" si="3"/>
        <v>719011</v>
      </c>
      <c r="I34" s="4">
        <f t="shared" si="0"/>
        <v>760956</v>
      </c>
      <c r="J34" s="6">
        <f t="shared" ref="J34:J40" si="4">SUM(D14,J14,D34)</f>
        <v>5596028</v>
      </c>
      <c r="K34" s="9">
        <f>SUM(E14,K14,E34,548804,56095)</f>
        <v>6581097</v>
      </c>
      <c r="L34" s="62">
        <v>21.679107859061499</v>
      </c>
      <c r="M34" s="62">
        <f t="shared" si="1"/>
        <v>9896355.2400000002</v>
      </c>
      <c r="N34" s="4">
        <f t="shared" si="2"/>
        <v>7233148</v>
      </c>
    </row>
    <row r="35" spans="1:14">
      <c r="A35" s="15">
        <v>2020</v>
      </c>
      <c r="B35" s="3">
        <v>11000</v>
      </c>
      <c r="C35" s="31">
        <v>9213</v>
      </c>
      <c r="D35" s="6">
        <v>756900</v>
      </c>
      <c r="E35" s="9">
        <v>669319</v>
      </c>
      <c r="F35" s="62">
        <v>38</v>
      </c>
      <c r="G35" s="62">
        <v>181932.01645009659</v>
      </c>
      <c r="H35" s="3">
        <f t="shared" si="3"/>
        <v>726625</v>
      </c>
      <c r="I35" s="4">
        <f t="shared" si="0"/>
        <v>659176</v>
      </c>
      <c r="J35" s="6">
        <f t="shared" si="4"/>
        <v>7237087</v>
      </c>
      <c r="K35" s="9">
        <f>SUM(E15,K15,E35,323397)</f>
        <v>6033215</v>
      </c>
      <c r="L35" s="62">
        <v>21.09988901307322</v>
      </c>
      <c r="M35" s="62">
        <f t="shared" si="1"/>
        <v>8404610.8994198125</v>
      </c>
      <c r="N35" s="4">
        <f t="shared" si="2"/>
        <v>7892324</v>
      </c>
    </row>
    <row r="36" spans="1:14">
      <c r="A36" s="15">
        <v>2021</v>
      </c>
      <c r="B36" s="3">
        <v>12180</v>
      </c>
      <c r="C36" s="46">
        <v>8244.82</v>
      </c>
      <c r="D36" s="6">
        <f>840000+59900</f>
        <v>899900</v>
      </c>
      <c r="E36" s="49">
        <f>663762.15+23512.5</f>
        <v>687274.65</v>
      </c>
      <c r="F36" s="64">
        <v>35.119999999999997</v>
      </c>
      <c r="G36" s="64">
        <v>157714.23999999999</v>
      </c>
      <c r="H36" s="3">
        <f t="shared" si="3"/>
        <v>1061827</v>
      </c>
      <c r="I36" s="4">
        <f t="shared" si="0"/>
        <v>1243222.57</v>
      </c>
      <c r="J36" s="6">
        <f t="shared" si="4"/>
        <v>8261516</v>
      </c>
      <c r="K36" s="49">
        <f>E16+K16+E36+127663.4+30600</f>
        <v>7921469.2300000004</v>
      </c>
      <c r="L36" s="62">
        <v>18.901225137506955</v>
      </c>
      <c r="M36" s="62">
        <f t="shared" si="1"/>
        <v>16541715.24</v>
      </c>
      <c r="N36" s="4">
        <f t="shared" si="2"/>
        <v>9135546.5700000003</v>
      </c>
    </row>
    <row r="37" spans="1:14">
      <c r="A37" s="15">
        <v>2022</v>
      </c>
      <c r="B37" s="3">
        <v>17859</v>
      </c>
      <c r="C37" s="46">
        <v>7254.19</v>
      </c>
      <c r="D37" s="6">
        <f>1654829+63252</f>
        <v>1718081</v>
      </c>
      <c r="E37" s="49">
        <v>525740.36999999988</v>
      </c>
      <c r="F37" s="64">
        <v>36.578830122271349</v>
      </c>
      <c r="G37" s="64">
        <v>142667.34835072956</v>
      </c>
      <c r="H37" s="3">
        <f t="shared" si="3"/>
        <v>866533</v>
      </c>
      <c r="I37" s="4">
        <f t="shared" si="0"/>
        <v>627941.18999999994</v>
      </c>
      <c r="J37" s="6">
        <f t="shared" si="4"/>
        <v>10607577</v>
      </c>
      <c r="K37" s="49">
        <f>E17+K17+E37+224375</f>
        <v>7283765.5609999998</v>
      </c>
      <c r="L37" s="62">
        <v>22.267683045039217</v>
      </c>
      <c r="M37" s="62">
        <f t="shared" si="1"/>
        <v>9169025.9422278814</v>
      </c>
      <c r="N37" s="4">
        <f t="shared" si="2"/>
        <v>9763487.7599999998</v>
      </c>
    </row>
    <row r="38" spans="1:14">
      <c r="A38" s="15">
        <v>2023</v>
      </c>
      <c r="B38" s="5">
        <v>19665</v>
      </c>
      <c r="C38" s="44" t="s">
        <v>27</v>
      </c>
      <c r="D38" s="7">
        <f>1858614+67296</f>
        <v>1925910</v>
      </c>
      <c r="E38" s="45" t="s">
        <v>27</v>
      </c>
      <c r="F38" s="67"/>
      <c r="G38" s="67"/>
      <c r="H38" s="5">
        <f t="shared" si="3"/>
        <v>1065218</v>
      </c>
      <c r="I38" s="44" t="s">
        <v>27</v>
      </c>
      <c r="J38" s="7">
        <f t="shared" si="4"/>
        <v>12598061</v>
      </c>
      <c r="K38" s="45" t="s">
        <v>27</v>
      </c>
      <c r="L38" s="65"/>
      <c r="M38" s="62">
        <f t="shared" si="1"/>
        <v>0</v>
      </c>
      <c r="N38" s="4"/>
    </row>
    <row r="39" spans="1:14">
      <c r="A39" s="87">
        <v>2024</v>
      </c>
      <c r="B39" s="4">
        <v>19522</v>
      </c>
      <c r="C39" s="44" t="s">
        <v>27</v>
      </c>
      <c r="D39" s="6">
        <f>1377574+459191</f>
        <v>1836765</v>
      </c>
      <c r="E39" s="44" t="s">
        <v>27</v>
      </c>
      <c r="F39" s="65"/>
      <c r="G39" s="65"/>
      <c r="H39" s="4">
        <v>814843</v>
      </c>
      <c r="I39" s="44" t="s">
        <v>27</v>
      </c>
      <c r="J39" s="7">
        <f t="shared" si="4"/>
        <v>11621491</v>
      </c>
      <c r="K39" s="44" t="s">
        <v>27</v>
      </c>
      <c r="L39" s="65"/>
      <c r="M39" s="62"/>
      <c r="N39" s="4"/>
    </row>
    <row r="40" spans="1:14">
      <c r="A40" s="87">
        <v>2025</v>
      </c>
      <c r="B40" s="4">
        <v>21565</v>
      </c>
      <c r="C40" s="44" t="s">
        <v>27</v>
      </c>
      <c r="D40" s="6">
        <f>1552173+517391</f>
        <v>2069564</v>
      </c>
      <c r="E40" s="44" t="s">
        <v>27</v>
      </c>
      <c r="F40" s="65"/>
      <c r="G40" s="65"/>
      <c r="H40" s="4">
        <v>967369</v>
      </c>
      <c r="I40" s="44" t="s">
        <v>27</v>
      </c>
      <c r="J40" s="7">
        <f t="shared" si="4"/>
        <v>13228907</v>
      </c>
      <c r="K40" s="44" t="s">
        <v>27</v>
      </c>
      <c r="L40" s="65"/>
      <c r="M40" s="62"/>
      <c r="N40" s="4"/>
    </row>
    <row r="41" spans="1:14" ht="36.75" customHeight="1">
      <c r="C41" s="50"/>
      <c r="J41" s="16"/>
    </row>
    <row r="42" spans="1:14" ht="33.75" customHeight="1">
      <c r="A42" s="95" t="s">
        <v>35</v>
      </c>
      <c r="B42" s="95"/>
      <c r="C42" s="95"/>
      <c r="D42" s="95"/>
      <c r="E42" s="95"/>
      <c r="F42" s="95"/>
      <c r="G42" s="95"/>
      <c r="H42" s="95"/>
      <c r="I42" s="96"/>
      <c r="J42" s="80" t="s">
        <v>36</v>
      </c>
      <c r="K42" s="81">
        <v>2016</v>
      </c>
      <c r="L42" s="81" t="s">
        <v>7</v>
      </c>
      <c r="M42" s="82" t="s">
        <v>4</v>
      </c>
    </row>
    <row r="43" spans="1:14" ht="33.75" customHeight="1">
      <c r="A43" s="26" t="s">
        <v>37</v>
      </c>
      <c r="B43" s="26"/>
      <c r="C43" s="26"/>
      <c r="D43" s="27"/>
      <c r="E43" s="27"/>
      <c r="F43" s="26"/>
      <c r="G43" s="26"/>
      <c r="H43" s="26"/>
      <c r="I43" s="28"/>
      <c r="J43" s="79" t="s">
        <v>38</v>
      </c>
      <c r="K43" s="76">
        <f>$K$42</f>
        <v>2016</v>
      </c>
      <c r="L43" s="76">
        <f>VLOOKUP(K43,A3:I18,6)</f>
        <v>22.86</v>
      </c>
      <c r="M43" s="76">
        <f>VLOOKUP(K43,A3:I18,3)</f>
        <v>171620</v>
      </c>
    </row>
    <row r="44" spans="1:14" ht="45" customHeight="1">
      <c r="A44" s="92" t="s">
        <v>39</v>
      </c>
      <c r="B44" s="93"/>
      <c r="C44" s="93"/>
      <c r="D44" s="93"/>
      <c r="E44" s="93"/>
      <c r="F44" s="93"/>
      <c r="G44" s="93"/>
      <c r="H44" s="93"/>
      <c r="I44" s="94"/>
      <c r="J44" s="79" t="s">
        <v>40</v>
      </c>
      <c r="K44" s="76">
        <f t="shared" ref="K44:K45" si="5">$K$42</f>
        <v>2016</v>
      </c>
      <c r="L44" s="76">
        <f>VLOOKUP(K44,A3:L18,12)</f>
        <v>18.04</v>
      </c>
      <c r="M44" s="76">
        <f>VLOOKUP(K44,A3:I18,9)</f>
        <v>222194</v>
      </c>
    </row>
    <row r="45" spans="1:14" ht="31.5" customHeight="1">
      <c r="A45" s="92" t="s">
        <v>41</v>
      </c>
      <c r="B45" s="93"/>
      <c r="C45" s="93"/>
      <c r="D45" s="93"/>
      <c r="E45" s="93"/>
      <c r="F45" s="93"/>
      <c r="G45" s="93"/>
      <c r="H45" s="93"/>
      <c r="I45" s="94"/>
      <c r="J45" s="79" t="s">
        <v>42</v>
      </c>
      <c r="K45" s="76">
        <f t="shared" si="5"/>
        <v>2016</v>
      </c>
      <c r="L45" s="76">
        <f>VLOOKUP(K45,A23:F38,6)</f>
        <v>26.52</v>
      </c>
      <c r="M45" s="76">
        <f>VLOOKUP(K45,A23:I38,3)</f>
        <v>11743</v>
      </c>
    </row>
    <row r="46" spans="1:14" ht="15" thickBot="1">
      <c r="A46" s="92" t="s">
        <v>43</v>
      </c>
      <c r="B46" s="93"/>
      <c r="C46" s="93"/>
      <c r="D46" s="93"/>
      <c r="E46" s="93"/>
      <c r="F46" s="93"/>
      <c r="G46" s="93"/>
      <c r="H46" s="93"/>
      <c r="I46" s="94"/>
      <c r="J46" s="79"/>
      <c r="K46" s="76"/>
      <c r="L46" s="76"/>
    </row>
    <row r="47" spans="1:14" ht="70.5" customHeight="1" thickTop="1">
      <c r="A47" s="92" t="s">
        <v>44</v>
      </c>
      <c r="B47" s="93"/>
      <c r="C47" s="93"/>
      <c r="D47" s="93"/>
      <c r="E47" s="93"/>
      <c r="F47" s="93"/>
      <c r="G47" s="93"/>
      <c r="H47" s="93"/>
      <c r="I47" s="94"/>
      <c r="J47" s="83" t="s">
        <v>45</v>
      </c>
      <c r="K47" s="84"/>
      <c r="L47" s="85">
        <f>SUMPRODUCT(L43:L45,M43:M45)/SUM(M43:M45)</f>
        <v>20.325225110157142</v>
      </c>
      <c r="M47" s="84"/>
    </row>
    <row r="48" spans="1:14">
      <c r="A48" s="92" t="s">
        <v>46</v>
      </c>
      <c r="B48" s="93"/>
      <c r="C48" s="93"/>
      <c r="D48" s="93"/>
      <c r="E48" s="93"/>
      <c r="F48" s="93"/>
      <c r="G48" s="93"/>
      <c r="H48" s="93"/>
      <c r="I48" s="94"/>
      <c r="J48" s="16"/>
      <c r="K48" s="76"/>
      <c r="L48" s="76"/>
    </row>
    <row r="49" spans="1:12">
      <c r="A49" s="92" t="s">
        <v>47</v>
      </c>
      <c r="B49" s="93"/>
      <c r="C49" s="93"/>
      <c r="D49" s="93"/>
      <c r="E49" s="93"/>
      <c r="F49" s="93"/>
      <c r="G49" s="93"/>
      <c r="H49" s="93"/>
      <c r="I49" s="94"/>
      <c r="J49" s="16"/>
      <c r="K49" s="76"/>
      <c r="L49" s="76"/>
    </row>
    <row r="50" spans="1:12">
      <c r="A50" s="89" t="s">
        <v>48</v>
      </c>
      <c r="B50" s="90"/>
      <c r="C50" s="90"/>
      <c r="D50" s="90"/>
      <c r="E50" s="90"/>
      <c r="F50" s="90"/>
      <c r="G50" s="90"/>
      <c r="H50" s="90"/>
      <c r="I50" s="91"/>
      <c r="J50" s="16"/>
      <c r="K50" s="76"/>
      <c r="L50" s="76"/>
    </row>
    <row r="51" spans="1:12">
      <c r="J51" s="16"/>
      <c r="K51" s="76"/>
      <c r="L51" s="76"/>
    </row>
    <row r="52" spans="1:12">
      <c r="J52" s="16"/>
      <c r="K52" s="76"/>
      <c r="L52" s="76"/>
    </row>
    <row r="53" spans="1:12">
      <c r="J53" s="16"/>
      <c r="K53" s="76"/>
      <c r="L53" s="76"/>
    </row>
    <row r="54" spans="1:12">
      <c r="J54" s="16"/>
      <c r="K54" s="76"/>
      <c r="L54" s="76"/>
    </row>
    <row r="55" spans="1:12">
      <c r="J55" s="16"/>
      <c r="K55" s="76"/>
      <c r="L55" s="76"/>
    </row>
    <row r="56" spans="1:12">
      <c r="J56" s="16"/>
      <c r="K56" s="76"/>
      <c r="L56" s="76"/>
    </row>
    <row r="57" spans="1:12">
      <c r="J57" s="16"/>
      <c r="K57" s="76"/>
      <c r="L57" s="76"/>
    </row>
    <row r="58" spans="1:12">
      <c r="J58" s="16"/>
      <c r="K58" s="76"/>
      <c r="L58" s="76"/>
    </row>
    <row r="59" spans="1:12">
      <c r="J59" s="16"/>
      <c r="K59" s="76"/>
      <c r="L59" s="76"/>
    </row>
    <row r="60" spans="1:12">
      <c r="J60" s="16"/>
      <c r="K60" s="76"/>
      <c r="L60" s="76"/>
    </row>
    <row r="61" spans="1:12">
      <c r="J61" s="16"/>
      <c r="K61" s="76"/>
      <c r="L61" s="76"/>
    </row>
    <row r="62" spans="1:12">
      <c r="J62" s="16"/>
      <c r="K62" s="76"/>
      <c r="L62" s="76"/>
    </row>
    <row r="63" spans="1:12">
      <c r="J63" s="16"/>
      <c r="K63" s="76"/>
      <c r="L63" s="76"/>
    </row>
    <row r="64" spans="1:12">
      <c r="J64" s="16"/>
      <c r="K64" s="76"/>
      <c r="L64" s="76"/>
    </row>
    <row r="65" spans="10:12">
      <c r="J65" s="16"/>
      <c r="K65" s="76"/>
      <c r="L65" s="76"/>
    </row>
    <row r="66" spans="10:12">
      <c r="J66" s="16"/>
      <c r="K66" s="76"/>
      <c r="L66" s="76"/>
    </row>
    <row r="67" spans="10:12">
      <c r="J67" s="16"/>
      <c r="K67" s="76"/>
      <c r="L67" s="76"/>
    </row>
    <row r="68" spans="10:12">
      <c r="J68" s="16"/>
      <c r="K68" s="76"/>
      <c r="L68" s="76"/>
    </row>
    <row r="69" spans="10:12">
      <c r="J69" s="16"/>
      <c r="K69" s="76"/>
      <c r="L69" s="76"/>
    </row>
    <row r="70" spans="10:12">
      <c r="J70" s="16"/>
      <c r="K70" s="76"/>
      <c r="L70" s="76"/>
    </row>
    <row r="71" spans="10:12">
      <c r="J71" s="16"/>
      <c r="K71" s="76"/>
      <c r="L71" s="76"/>
    </row>
    <row r="72" spans="10:12">
      <c r="J72" s="16"/>
      <c r="K72" s="76"/>
      <c r="L72" s="76"/>
    </row>
    <row r="73" spans="10:12">
      <c r="J73" s="16"/>
      <c r="K73" s="76"/>
      <c r="L73" s="76"/>
    </row>
    <row r="74" spans="10:12">
      <c r="J74" s="16"/>
      <c r="K74" s="76"/>
      <c r="L74" s="76"/>
    </row>
    <row r="75" spans="10:12">
      <c r="J75" s="16"/>
      <c r="K75" s="76"/>
      <c r="L75" s="76"/>
    </row>
    <row r="76" spans="10:12">
      <c r="J76" s="16"/>
      <c r="K76" s="76"/>
      <c r="L76" s="76"/>
    </row>
    <row r="77" spans="10:12">
      <c r="J77" s="16"/>
      <c r="K77" s="76"/>
      <c r="L77" s="76"/>
    </row>
    <row r="78" spans="10:12">
      <c r="J78" s="16"/>
      <c r="K78" s="76"/>
      <c r="L78" s="76"/>
    </row>
    <row r="79" spans="10:12">
      <c r="J79" s="16"/>
      <c r="K79" s="76"/>
      <c r="L79" s="76"/>
    </row>
    <row r="80" spans="10:12">
      <c r="J80" s="16"/>
      <c r="K80" s="76"/>
      <c r="L80" s="76"/>
    </row>
    <row r="81" spans="10:12">
      <c r="J81" s="16"/>
      <c r="K81" s="76"/>
      <c r="L81" s="76"/>
    </row>
    <row r="82" spans="10:12">
      <c r="J82" s="16"/>
      <c r="K82" s="76"/>
      <c r="L82" s="76"/>
    </row>
    <row r="83" spans="10:12">
      <c r="J83" s="16"/>
      <c r="K83" s="76"/>
      <c r="L83" s="76"/>
    </row>
    <row r="84" spans="10:12">
      <c r="J84" s="16"/>
      <c r="K84" s="76"/>
      <c r="L84" s="76"/>
    </row>
    <row r="85" spans="10:12">
      <c r="J85" s="16"/>
      <c r="K85" s="76"/>
      <c r="L85" s="76"/>
    </row>
    <row r="86" spans="10:12">
      <c r="J86" s="16"/>
      <c r="K86" s="76"/>
      <c r="L86" s="76"/>
    </row>
    <row r="87" spans="10:12">
      <c r="J87" s="16"/>
    </row>
    <row r="88" spans="10:12">
      <c r="J88" s="16"/>
    </row>
    <row r="89" spans="10:12">
      <c r="J89" s="16"/>
    </row>
    <row r="90" spans="10:12">
      <c r="J90" s="16"/>
    </row>
    <row r="91" spans="10:12">
      <c r="J91" s="16"/>
    </row>
    <row r="92" spans="10:12">
      <c r="J92" s="16"/>
    </row>
    <row r="93" spans="10:12">
      <c r="J93" s="16"/>
    </row>
    <row r="94" spans="10:12">
      <c r="J94" s="16"/>
    </row>
    <row r="95" spans="10:12">
      <c r="J95" s="16"/>
    </row>
    <row r="96" spans="10:12">
      <c r="J96" s="16"/>
    </row>
    <row r="97" spans="10:10">
      <c r="J97" s="16"/>
    </row>
    <row r="98" spans="10:10">
      <c r="J98" s="16"/>
    </row>
    <row r="99" spans="10:10">
      <c r="J99" s="16"/>
    </row>
    <row r="100" spans="10:10">
      <c r="J100" s="16"/>
    </row>
    <row r="101" spans="10:10">
      <c r="J101" s="16"/>
    </row>
    <row r="102" spans="10:10">
      <c r="J102" s="16"/>
    </row>
    <row r="103" spans="10:10">
      <c r="J103" s="16"/>
    </row>
    <row r="104" spans="10:10">
      <c r="J104" s="16"/>
    </row>
    <row r="105" spans="10:10">
      <c r="J105" s="16"/>
    </row>
    <row r="106" spans="10:10">
      <c r="J106" s="16"/>
    </row>
    <row r="107" spans="10:10">
      <c r="J107" s="16"/>
    </row>
    <row r="108" spans="10:10">
      <c r="J108" s="16"/>
    </row>
    <row r="109" spans="10:10">
      <c r="J109" s="16"/>
    </row>
    <row r="110" spans="10:10">
      <c r="J110" s="16"/>
    </row>
    <row r="111" spans="10:10">
      <c r="J111" s="16"/>
    </row>
    <row r="112" spans="10:10">
      <c r="J112" s="16"/>
    </row>
    <row r="113" spans="10:10">
      <c r="J113" s="16"/>
    </row>
    <row r="114" spans="10:10">
      <c r="J114" s="16"/>
    </row>
    <row r="115" spans="10:10">
      <c r="J115" s="16"/>
    </row>
    <row r="116" spans="10:10">
      <c r="J116" s="16"/>
    </row>
    <row r="117" spans="10:10">
      <c r="J117" s="16"/>
    </row>
    <row r="118" spans="10:10">
      <c r="J118" s="16"/>
    </row>
    <row r="119" spans="10:10">
      <c r="J119" s="16"/>
    </row>
    <row r="120" spans="10:10">
      <c r="J120" s="16"/>
    </row>
    <row r="121" spans="10:10">
      <c r="J121" s="16"/>
    </row>
    <row r="122" spans="10:10">
      <c r="J122" s="16"/>
    </row>
    <row r="123" spans="10:10">
      <c r="J123" s="16"/>
    </row>
    <row r="124" spans="10:10">
      <c r="J124" s="16"/>
    </row>
    <row r="125" spans="10:10">
      <c r="J125" s="16"/>
    </row>
    <row r="126" spans="10:10">
      <c r="J126" s="16"/>
    </row>
    <row r="127" spans="10:10">
      <c r="J127" s="16"/>
    </row>
    <row r="128" spans="10:10">
      <c r="J128" s="16"/>
    </row>
    <row r="129" spans="10:10">
      <c r="J129" s="16"/>
    </row>
    <row r="130" spans="10:10">
      <c r="J130" s="16"/>
    </row>
    <row r="131" spans="10:10">
      <c r="J131" s="16"/>
    </row>
    <row r="132" spans="10:10">
      <c r="J132" s="16"/>
    </row>
    <row r="133" spans="10:10">
      <c r="J133" s="16"/>
    </row>
    <row r="134" spans="10:10">
      <c r="J134" s="16"/>
    </row>
    <row r="135" spans="10:10">
      <c r="J135" s="16"/>
    </row>
    <row r="136" spans="10:10">
      <c r="J136" s="16"/>
    </row>
    <row r="137" spans="10:10">
      <c r="J137" s="16"/>
    </row>
    <row r="138" spans="10:10">
      <c r="J138" s="16"/>
    </row>
    <row r="139" spans="10:10">
      <c r="J139" s="16"/>
    </row>
    <row r="140" spans="10:10">
      <c r="J140" s="16"/>
    </row>
    <row r="141" spans="10:10">
      <c r="J141" s="16"/>
    </row>
    <row r="142" spans="10:10">
      <c r="J142" s="16"/>
    </row>
    <row r="143" spans="10:10">
      <c r="J143" s="16"/>
    </row>
    <row r="144" spans="10:10">
      <c r="J144" s="16"/>
    </row>
    <row r="145" spans="10:10">
      <c r="J145" s="16"/>
    </row>
    <row r="146" spans="10:10">
      <c r="J146" s="16"/>
    </row>
    <row r="147" spans="10:10">
      <c r="J147" s="16"/>
    </row>
    <row r="148" spans="10:10">
      <c r="J148" s="16"/>
    </row>
    <row r="149" spans="10:10">
      <c r="J149" s="16"/>
    </row>
    <row r="150" spans="10:10">
      <c r="J150" s="16"/>
    </row>
    <row r="151" spans="10:10">
      <c r="J151" s="16"/>
    </row>
    <row r="152" spans="10:10">
      <c r="J152" s="16"/>
    </row>
    <row r="153" spans="10:10">
      <c r="J153" s="16"/>
    </row>
    <row r="154" spans="10:10">
      <c r="J154" s="16"/>
    </row>
    <row r="155" spans="10:10">
      <c r="J155" s="16"/>
    </row>
    <row r="156" spans="10:10">
      <c r="J156" s="16"/>
    </row>
    <row r="157" spans="10:10">
      <c r="J157" s="16"/>
    </row>
    <row r="158" spans="10:10">
      <c r="J158" s="16"/>
    </row>
    <row r="159" spans="10:10">
      <c r="J159" s="16"/>
    </row>
    <row r="160" spans="10:10">
      <c r="J160" s="16"/>
    </row>
    <row r="161" spans="10:10">
      <c r="J161" s="16"/>
    </row>
    <row r="162" spans="10:10">
      <c r="J162" s="16"/>
    </row>
    <row r="163" spans="10:10">
      <c r="J163" s="16"/>
    </row>
    <row r="164" spans="10:10">
      <c r="J164" s="16"/>
    </row>
    <row r="165" spans="10:10">
      <c r="J165" s="16"/>
    </row>
    <row r="166" spans="10:10">
      <c r="J166" s="16"/>
    </row>
    <row r="167" spans="10:10">
      <c r="J167" s="16"/>
    </row>
    <row r="168" spans="10:10">
      <c r="J168" s="16"/>
    </row>
    <row r="169" spans="10:10">
      <c r="J169" s="16"/>
    </row>
    <row r="170" spans="10:10">
      <c r="J170" s="16"/>
    </row>
    <row r="171" spans="10:10">
      <c r="J171" s="16"/>
    </row>
    <row r="172" spans="10:10">
      <c r="J172" s="16"/>
    </row>
    <row r="173" spans="10:10">
      <c r="J173" s="16"/>
    </row>
    <row r="174" spans="10:10">
      <c r="J174" s="16"/>
    </row>
    <row r="175" spans="10:10">
      <c r="J175" s="16"/>
    </row>
    <row r="176" spans="10:10">
      <c r="J176" s="16"/>
    </row>
    <row r="177" spans="10:10">
      <c r="J177" s="16"/>
    </row>
    <row r="178" spans="10:10">
      <c r="J178" s="16"/>
    </row>
    <row r="179" spans="10:10">
      <c r="J179" s="16"/>
    </row>
    <row r="180" spans="10:10">
      <c r="J180" s="16"/>
    </row>
    <row r="181" spans="10:10">
      <c r="J181" s="16"/>
    </row>
    <row r="182" spans="10:10">
      <c r="J182" s="16"/>
    </row>
    <row r="183" spans="10:10">
      <c r="J183" s="16"/>
    </row>
    <row r="184" spans="10:10">
      <c r="J184" s="16"/>
    </row>
    <row r="185" spans="10:10">
      <c r="J185" s="16"/>
    </row>
    <row r="186" spans="10:10">
      <c r="J186" s="16"/>
    </row>
    <row r="187" spans="10:10">
      <c r="J187" s="16"/>
    </row>
    <row r="188" spans="10:10">
      <c r="J188" s="16"/>
    </row>
    <row r="189" spans="10:10">
      <c r="J189" s="16"/>
    </row>
    <row r="190" spans="10:10">
      <c r="J190" s="16"/>
    </row>
    <row r="191" spans="10:10">
      <c r="J191" s="16"/>
    </row>
    <row r="192" spans="10:10">
      <c r="J192" s="16"/>
    </row>
    <row r="193" spans="10:10">
      <c r="J193" s="16"/>
    </row>
    <row r="194" spans="10:10">
      <c r="J194" s="16"/>
    </row>
    <row r="195" spans="10:10">
      <c r="J195" s="16"/>
    </row>
    <row r="196" spans="10:10">
      <c r="J196" s="16"/>
    </row>
    <row r="197" spans="10:10">
      <c r="J197" s="16"/>
    </row>
    <row r="198" spans="10:10">
      <c r="J198" s="16"/>
    </row>
    <row r="199" spans="10:10">
      <c r="J199" s="16"/>
    </row>
    <row r="200" spans="10:10">
      <c r="J200" s="16"/>
    </row>
    <row r="201" spans="10:10">
      <c r="J201" s="16"/>
    </row>
    <row r="202" spans="10:10">
      <c r="J202" s="16"/>
    </row>
    <row r="203" spans="10:10">
      <c r="J203" s="16"/>
    </row>
    <row r="204" spans="10:10">
      <c r="J204" s="16"/>
    </row>
    <row r="205" spans="10:10">
      <c r="J205" s="16"/>
    </row>
    <row r="206" spans="10:10">
      <c r="J206" s="16"/>
    </row>
    <row r="207" spans="10:10">
      <c r="J207" s="16"/>
    </row>
    <row r="208" spans="10:10">
      <c r="J208" s="16"/>
    </row>
    <row r="209" spans="10:10">
      <c r="J209" s="16"/>
    </row>
    <row r="210" spans="10:10">
      <c r="J210" s="16"/>
    </row>
    <row r="211" spans="10:10">
      <c r="J211" s="16"/>
    </row>
    <row r="212" spans="10:10">
      <c r="J212" s="16"/>
    </row>
    <row r="213" spans="10:10">
      <c r="J213" s="16"/>
    </row>
    <row r="214" spans="10:10">
      <c r="J214" s="16"/>
    </row>
    <row r="215" spans="10:10">
      <c r="J215" s="16"/>
    </row>
    <row r="216" spans="10:10">
      <c r="J216" s="16"/>
    </row>
    <row r="217" spans="10:10">
      <c r="J217" s="16"/>
    </row>
    <row r="218" spans="10:10">
      <c r="J218" s="16"/>
    </row>
    <row r="219" spans="10:10">
      <c r="J219" s="16"/>
    </row>
    <row r="220" spans="10:10">
      <c r="J220" s="16"/>
    </row>
    <row r="221" spans="10:10">
      <c r="J221" s="16"/>
    </row>
    <row r="222" spans="10:10">
      <c r="J222" s="16"/>
    </row>
    <row r="223" spans="10:10">
      <c r="J223" s="16"/>
    </row>
    <row r="224" spans="10:10">
      <c r="J224" s="16"/>
    </row>
    <row r="225" spans="10:10">
      <c r="J225" s="16"/>
    </row>
    <row r="226" spans="10:10">
      <c r="J226" s="16"/>
    </row>
    <row r="227" spans="10:10">
      <c r="J227" s="16"/>
    </row>
    <row r="228" spans="10:10">
      <c r="J228" s="16"/>
    </row>
    <row r="229" spans="10:10">
      <c r="J229" s="16"/>
    </row>
    <row r="230" spans="10:10">
      <c r="J230" s="16"/>
    </row>
    <row r="231" spans="10:10">
      <c r="J231" s="16"/>
    </row>
    <row r="232" spans="10:10">
      <c r="J232" s="16"/>
    </row>
    <row r="233" spans="10:10">
      <c r="J233" s="16"/>
    </row>
    <row r="234" spans="10:10">
      <c r="J234" s="16"/>
    </row>
    <row r="235" spans="10:10">
      <c r="J235" s="16"/>
    </row>
    <row r="236" spans="10:10">
      <c r="J236" s="16"/>
    </row>
    <row r="237" spans="10:10">
      <c r="J237" s="16"/>
    </row>
    <row r="238" spans="10:10">
      <c r="J238" s="16"/>
    </row>
    <row r="239" spans="10:10">
      <c r="J239" s="16"/>
    </row>
    <row r="240" spans="10:10">
      <c r="J240" s="16"/>
    </row>
    <row r="241" spans="10:10">
      <c r="J241" s="16"/>
    </row>
    <row r="242" spans="10:10">
      <c r="J242" s="16"/>
    </row>
    <row r="243" spans="10:10">
      <c r="J243" s="16"/>
    </row>
    <row r="244" spans="10:10">
      <c r="J244" s="16"/>
    </row>
    <row r="245" spans="10:10">
      <c r="J245" s="16"/>
    </row>
    <row r="246" spans="10:10">
      <c r="J246" s="16"/>
    </row>
    <row r="247" spans="10:10">
      <c r="J247" s="16"/>
    </row>
    <row r="248" spans="10:10">
      <c r="J248" s="16"/>
    </row>
    <row r="249" spans="10:10">
      <c r="J249" s="16"/>
    </row>
    <row r="250" spans="10:10">
      <c r="J250" s="16"/>
    </row>
    <row r="251" spans="10:10">
      <c r="J251" s="16"/>
    </row>
    <row r="252" spans="10:10">
      <c r="J252" s="16"/>
    </row>
    <row r="253" spans="10:10">
      <c r="J253" s="16"/>
    </row>
    <row r="254" spans="10:10">
      <c r="J254" s="16"/>
    </row>
    <row r="255" spans="10:10">
      <c r="J255" s="16"/>
    </row>
    <row r="256" spans="10:10">
      <c r="J256" s="16"/>
    </row>
    <row r="257" spans="10:10">
      <c r="J257" s="16"/>
    </row>
    <row r="258" spans="10:10">
      <c r="J258" s="16"/>
    </row>
    <row r="259" spans="10:10">
      <c r="J259" s="16"/>
    </row>
    <row r="260" spans="10:10">
      <c r="J260" s="16"/>
    </row>
    <row r="261" spans="10:10">
      <c r="J261" s="16"/>
    </row>
    <row r="262" spans="10:10">
      <c r="J262" s="16"/>
    </row>
    <row r="263" spans="10:10">
      <c r="J263" s="16"/>
    </row>
    <row r="264" spans="10:10">
      <c r="J264" s="16"/>
    </row>
    <row r="265" spans="10:10">
      <c r="J265" s="16"/>
    </row>
    <row r="266" spans="10:10">
      <c r="J266" s="16"/>
    </row>
    <row r="267" spans="10:10">
      <c r="J267" s="16"/>
    </row>
    <row r="268" spans="10:10">
      <c r="J268" s="16"/>
    </row>
    <row r="269" spans="10:10">
      <c r="J269" s="16"/>
    </row>
    <row r="270" spans="10:10">
      <c r="J270" s="16"/>
    </row>
    <row r="271" spans="10:10">
      <c r="J271" s="16"/>
    </row>
    <row r="272" spans="10:10">
      <c r="J272" s="16"/>
    </row>
    <row r="273" spans="10:10">
      <c r="J273" s="16"/>
    </row>
    <row r="274" spans="10:10">
      <c r="J274" s="16"/>
    </row>
    <row r="275" spans="10:10">
      <c r="J275" s="16"/>
    </row>
    <row r="276" spans="10:10">
      <c r="J276" s="16"/>
    </row>
    <row r="277" spans="10:10">
      <c r="J277" s="16"/>
    </row>
    <row r="278" spans="10:10">
      <c r="J278" s="16"/>
    </row>
    <row r="279" spans="10:10">
      <c r="J279" s="16"/>
    </row>
    <row r="280" spans="10:10">
      <c r="J280" s="16"/>
    </row>
    <row r="281" spans="10:10">
      <c r="J281" s="16"/>
    </row>
    <row r="282" spans="10:10">
      <c r="J282" s="16"/>
    </row>
    <row r="283" spans="10:10">
      <c r="J283" s="16"/>
    </row>
    <row r="284" spans="10:10">
      <c r="J284" s="16"/>
    </row>
    <row r="285" spans="10:10">
      <c r="J285" s="16"/>
    </row>
    <row r="286" spans="10:10">
      <c r="J286" s="16"/>
    </row>
    <row r="287" spans="10:10">
      <c r="J287" s="16"/>
    </row>
    <row r="288" spans="10:10">
      <c r="J288" s="16"/>
    </row>
    <row r="289" spans="10:10">
      <c r="J289" s="16"/>
    </row>
    <row r="290" spans="10:10">
      <c r="J290" s="16"/>
    </row>
    <row r="291" spans="10:10">
      <c r="J291" s="16"/>
    </row>
    <row r="292" spans="10:10">
      <c r="J292" s="16"/>
    </row>
    <row r="293" spans="10:10">
      <c r="J293" s="16"/>
    </row>
    <row r="294" spans="10:10">
      <c r="J294" s="16"/>
    </row>
    <row r="295" spans="10:10">
      <c r="J295" s="16"/>
    </row>
    <row r="296" spans="10:10">
      <c r="J296" s="16"/>
    </row>
    <row r="297" spans="10:10">
      <c r="J297" s="16"/>
    </row>
    <row r="298" spans="10:10">
      <c r="J298" s="16"/>
    </row>
    <row r="299" spans="10:10">
      <c r="J299" s="16"/>
    </row>
    <row r="300" spans="10:10">
      <c r="J300" s="16"/>
    </row>
    <row r="301" spans="10:10">
      <c r="J301" s="16"/>
    </row>
    <row r="302" spans="10:10">
      <c r="J302" s="16"/>
    </row>
    <row r="303" spans="10:10">
      <c r="J303" s="16"/>
    </row>
    <row r="304" spans="10:10">
      <c r="J304" s="16"/>
    </row>
    <row r="305" spans="10:10">
      <c r="J305" s="16"/>
    </row>
    <row r="306" spans="10:10">
      <c r="J306" s="16"/>
    </row>
    <row r="307" spans="10:10">
      <c r="J307" s="16"/>
    </row>
    <row r="308" spans="10:10">
      <c r="J308" s="16"/>
    </row>
    <row r="309" spans="10:10">
      <c r="J309" s="16"/>
    </row>
    <row r="310" spans="10:10">
      <c r="J310" s="16"/>
    </row>
    <row r="311" spans="10:10">
      <c r="J311" s="16"/>
    </row>
    <row r="312" spans="10:10">
      <c r="J312" s="16"/>
    </row>
    <row r="313" spans="10:10">
      <c r="J313" s="16"/>
    </row>
    <row r="314" spans="10:10">
      <c r="J314" s="16"/>
    </row>
    <row r="315" spans="10:10">
      <c r="J315" s="16"/>
    </row>
    <row r="316" spans="10:10">
      <c r="J316" s="16"/>
    </row>
    <row r="317" spans="10:10">
      <c r="J317" s="16"/>
    </row>
    <row r="318" spans="10:10">
      <c r="J318" s="16"/>
    </row>
    <row r="319" spans="10:10">
      <c r="J319" s="16"/>
    </row>
    <row r="320" spans="10:10">
      <c r="J320" s="16"/>
    </row>
    <row r="321" spans="10:10">
      <c r="J321" s="16"/>
    </row>
    <row r="322" spans="10:10">
      <c r="J322" s="16"/>
    </row>
    <row r="323" spans="10:10">
      <c r="J323" s="16"/>
    </row>
    <row r="324" spans="10:10">
      <c r="J324" s="16"/>
    </row>
    <row r="325" spans="10:10">
      <c r="J325" s="16"/>
    </row>
    <row r="326" spans="10:10">
      <c r="J326" s="16"/>
    </row>
    <row r="327" spans="10:10">
      <c r="J327" s="16"/>
    </row>
    <row r="328" spans="10:10">
      <c r="J328" s="16"/>
    </row>
    <row r="329" spans="10:10">
      <c r="J329" s="16"/>
    </row>
    <row r="330" spans="10:10">
      <c r="J330" s="16"/>
    </row>
    <row r="331" spans="10:10">
      <c r="J331" s="16"/>
    </row>
    <row r="332" spans="10:10">
      <c r="J332" s="16"/>
    </row>
    <row r="333" spans="10:10">
      <c r="J333" s="16"/>
    </row>
    <row r="334" spans="10:10">
      <c r="J334" s="16"/>
    </row>
    <row r="335" spans="10:10">
      <c r="J335" s="16"/>
    </row>
    <row r="336" spans="10:10">
      <c r="J336" s="16"/>
    </row>
    <row r="337" spans="10:10">
      <c r="J337" s="16"/>
    </row>
    <row r="338" spans="10:10">
      <c r="J338" s="16"/>
    </row>
    <row r="339" spans="10:10">
      <c r="J339" s="16"/>
    </row>
    <row r="340" spans="10:10">
      <c r="J340" s="16"/>
    </row>
    <row r="341" spans="10:10">
      <c r="J341" s="16"/>
    </row>
    <row r="342" spans="10:10">
      <c r="J342" s="16"/>
    </row>
    <row r="343" spans="10:10">
      <c r="J343" s="16"/>
    </row>
    <row r="344" spans="10:10">
      <c r="J344" s="16"/>
    </row>
    <row r="345" spans="10:10">
      <c r="J345" s="16"/>
    </row>
    <row r="346" spans="10:10">
      <c r="J346" s="16"/>
    </row>
    <row r="347" spans="10:10">
      <c r="J347" s="16"/>
    </row>
    <row r="348" spans="10:10">
      <c r="J348" s="16"/>
    </row>
    <row r="349" spans="10:10">
      <c r="J349" s="16"/>
    </row>
    <row r="350" spans="10:10">
      <c r="J350" s="16"/>
    </row>
    <row r="351" spans="10:10">
      <c r="J351" s="16"/>
    </row>
    <row r="352" spans="10:10">
      <c r="J352" s="16"/>
    </row>
    <row r="353" spans="10:10">
      <c r="J353" s="16"/>
    </row>
    <row r="354" spans="10:10">
      <c r="J354" s="16"/>
    </row>
  </sheetData>
  <mergeCells count="10">
    <mergeCell ref="A50:I50"/>
    <mergeCell ref="A47:I47"/>
    <mergeCell ref="A44:I44"/>
    <mergeCell ref="A42:I42"/>
    <mergeCell ref="Q2:R2"/>
    <mergeCell ref="Q10:R10"/>
    <mergeCell ref="A48:I48"/>
    <mergeCell ref="A45:I45"/>
    <mergeCell ref="A49:I49"/>
    <mergeCell ref="A46:I46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ED646-5AEE-4214-815E-B964D1CEAD00}">
  <dimension ref="A2:BL58"/>
  <sheetViews>
    <sheetView topLeftCell="C1" zoomScale="130" zoomScaleNormal="130" workbookViewId="0">
      <selection activeCell="E5" sqref="E5:J5"/>
    </sheetView>
  </sheetViews>
  <sheetFormatPr defaultRowHeight="14.45"/>
  <cols>
    <col min="1" max="1" width="15.7109375" bestFit="1" customWidth="1"/>
    <col min="2" max="2" width="15.5703125" bestFit="1" customWidth="1"/>
    <col min="3" max="3" width="24.7109375" bestFit="1" customWidth="1"/>
    <col min="4" max="4" width="30" bestFit="1" customWidth="1"/>
    <col min="5" max="5" width="11.7109375" bestFit="1" customWidth="1"/>
    <col min="6" max="11" width="11.5703125" bestFit="1" customWidth="1"/>
    <col min="12" max="12" width="13.28515625" bestFit="1" customWidth="1"/>
    <col min="13" max="17" width="11.5703125" bestFit="1" customWidth="1"/>
    <col min="18" max="18" width="13.28515625" bestFit="1" customWidth="1"/>
    <col min="19" max="19" width="11.5703125" bestFit="1" customWidth="1"/>
    <col min="20" max="57" width="9.28515625" bestFit="1" customWidth="1"/>
    <col min="64" max="64" width="10.85546875" bestFit="1" customWidth="1"/>
  </cols>
  <sheetData>
    <row r="2" spans="1:64">
      <c r="D2" t="s">
        <v>49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>
        <v>2014</v>
      </c>
      <c r="L2">
        <v>2015</v>
      </c>
      <c r="M2">
        <v>2016</v>
      </c>
      <c r="N2">
        <v>2017</v>
      </c>
      <c r="O2">
        <v>2018</v>
      </c>
      <c r="P2">
        <v>2019</v>
      </c>
      <c r="Q2">
        <v>2020</v>
      </c>
      <c r="R2">
        <v>2021</v>
      </c>
      <c r="S2">
        <v>2022</v>
      </c>
      <c r="T2">
        <v>2023</v>
      </c>
      <c r="U2">
        <v>2024</v>
      </c>
      <c r="V2">
        <v>2025</v>
      </c>
      <c r="W2">
        <v>2026</v>
      </c>
      <c r="X2">
        <v>2027</v>
      </c>
      <c r="Y2">
        <v>2028</v>
      </c>
      <c r="Z2">
        <v>2029</v>
      </c>
      <c r="AA2">
        <v>2030</v>
      </c>
      <c r="AB2">
        <v>2031</v>
      </c>
      <c r="AC2">
        <v>2032</v>
      </c>
      <c r="AD2">
        <v>2033</v>
      </c>
      <c r="AE2">
        <v>2034</v>
      </c>
      <c r="AF2">
        <v>2035</v>
      </c>
      <c r="AG2">
        <v>2036</v>
      </c>
      <c r="AH2">
        <v>2037</v>
      </c>
      <c r="AI2">
        <v>2038</v>
      </c>
      <c r="AJ2">
        <v>2039</v>
      </c>
      <c r="AK2">
        <v>2040</v>
      </c>
      <c r="AL2">
        <v>2041</v>
      </c>
      <c r="AM2">
        <v>2042</v>
      </c>
      <c r="AN2">
        <v>2043</v>
      </c>
      <c r="AO2">
        <v>2044</v>
      </c>
      <c r="AP2">
        <v>2045</v>
      </c>
      <c r="AQ2">
        <v>2046</v>
      </c>
      <c r="AR2">
        <v>2047</v>
      </c>
      <c r="AS2">
        <v>2048</v>
      </c>
      <c r="AT2">
        <v>2049</v>
      </c>
      <c r="AU2">
        <v>2050</v>
      </c>
      <c r="AV2">
        <v>2051</v>
      </c>
      <c r="AW2">
        <v>2052</v>
      </c>
      <c r="AX2">
        <v>2053</v>
      </c>
      <c r="AY2">
        <v>2054</v>
      </c>
      <c r="AZ2">
        <v>2055</v>
      </c>
      <c r="BA2">
        <v>2056</v>
      </c>
      <c r="BB2">
        <v>2057</v>
      </c>
      <c r="BC2">
        <v>2058</v>
      </c>
      <c r="BD2">
        <v>2059</v>
      </c>
      <c r="BE2">
        <v>2060</v>
      </c>
    </row>
    <row r="3" spans="1:64">
      <c r="D3" t="s">
        <v>7</v>
      </c>
      <c r="E3" s="76">
        <v>20</v>
      </c>
      <c r="F3" s="76">
        <v>20</v>
      </c>
      <c r="G3" s="76">
        <v>22</v>
      </c>
      <c r="H3" s="76">
        <v>23</v>
      </c>
      <c r="I3" s="76">
        <v>21</v>
      </c>
      <c r="J3" s="76">
        <v>21</v>
      </c>
      <c r="K3" s="76">
        <v>18</v>
      </c>
      <c r="L3" s="76">
        <v>17</v>
      </c>
      <c r="M3" s="76">
        <v>20</v>
      </c>
      <c r="N3" s="76">
        <v>22</v>
      </c>
      <c r="O3" s="76">
        <v>22</v>
      </c>
      <c r="P3" s="76">
        <v>22</v>
      </c>
      <c r="Q3" s="76">
        <v>21</v>
      </c>
      <c r="R3" s="76">
        <v>19</v>
      </c>
      <c r="S3" s="76">
        <v>22</v>
      </c>
      <c r="T3" s="76"/>
    </row>
    <row r="4" spans="1:64">
      <c r="A4" t="s">
        <v>50</v>
      </c>
      <c r="B4" t="s">
        <v>51</v>
      </c>
      <c r="C4" t="s">
        <v>52</v>
      </c>
      <c r="D4" t="s">
        <v>53</v>
      </c>
      <c r="E4">
        <v>5679071</v>
      </c>
      <c r="F4">
        <v>6824516.1105992477</v>
      </c>
      <c r="G4">
        <v>5965626.9572783951</v>
      </c>
      <c r="H4">
        <v>9682726</v>
      </c>
      <c r="I4">
        <v>6951287</v>
      </c>
      <c r="J4">
        <v>6310736</v>
      </c>
      <c r="K4">
        <v>7703650.2090129713</v>
      </c>
      <c r="L4">
        <v>9650886</v>
      </c>
      <c r="M4">
        <v>5249917</v>
      </c>
      <c r="N4">
        <v>7956001</v>
      </c>
      <c r="O4">
        <v>10226195</v>
      </c>
      <c r="P4">
        <v>9896355.2400000002</v>
      </c>
      <c r="Q4">
        <v>8404610.8994198125</v>
      </c>
      <c r="R4">
        <v>16541715.24</v>
      </c>
      <c r="S4">
        <v>9169025.9422278814</v>
      </c>
      <c r="BK4">
        <v>50000</v>
      </c>
    </row>
    <row r="5" spans="1:64">
      <c r="E5">
        <f>SUM(E6:E25)</f>
        <v>5679071.0000000019</v>
      </c>
      <c r="F5">
        <f>SUM(F6:F58)</f>
        <v>6824516.1105992468</v>
      </c>
      <c r="G5">
        <f t="shared" ref="G5:S5" si="0">SUM(G6:G58)</f>
        <v>5965626.9572783932</v>
      </c>
      <c r="H5">
        <f t="shared" si="0"/>
        <v>9682726</v>
      </c>
      <c r="I5">
        <f t="shared" si="0"/>
        <v>6951286.9999999991</v>
      </c>
      <c r="J5">
        <f t="shared" si="0"/>
        <v>6310736.0000000037</v>
      </c>
      <c r="K5">
        <f t="shared" si="0"/>
        <v>7703650.2090129657</v>
      </c>
      <c r="L5">
        <f t="shared" si="0"/>
        <v>9650886</v>
      </c>
      <c r="M5">
        <f t="shared" si="0"/>
        <v>5249916.9999999981</v>
      </c>
      <c r="N5">
        <f t="shared" si="0"/>
        <v>7956000.9999999944</v>
      </c>
      <c r="O5">
        <f t="shared" si="0"/>
        <v>10226195.000000002</v>
      </c>
      <c r="P5">
        <f t="shared" si="0"/>
        <v>9896355.2399999965</v>
      </c>
      <c r="Q5">
        <f t="shared" si="0"/>
        <v>8404610.8994198088</v>
      </c>
      <c r="R5">
        <f t="shared" si="0"/>
        <v>16541715.240000002</v>
      </c>
      <c r="S5">
        <f t="shared" si="0"/>
        <v>9169025.9422278795</v>
      </c>
      <c r="BK5">
        <v>10000</v>
      </c>
    </row>
    <row r="6" spans="1:64">
      <c r="C6" s="77">
        <f>SUM(E6:BE6)+C5</f>
        <v>567907.1</v>
      </c>
      <c r="D6">
        <v>2008</v>
      </c>
      <c r="E6" s="77">
        <f>IF(AND($D6&lt;(E$2+E$3),$D6&gt;=E$2),VDB(E$4,0,E$3,($D6-E$2),($D6-(E$2-1))),0)</f>
        <v>567907.1</v>
      </c>
      <c r="F6" s="77">
        <f t="shared" ref="F6:BE10" si="1">IF(AND($D6&lt;(F$2+F$3),$D6&gt;=F$2),VDB(F$4,0,F$3,($D6-F$2),($D6-(F$2-1))),0)</f>
        <v>0</v>
      </c>
      <c r="G6" s="77">
        <f t="shared" si="1"/>
        <v>0</v>
      </c>
      <c r="H6" s="77">
        <f t="shared" si="1"/>
        <v>0</v>
      </c>
      <c r="I6" s="77">
        <f t="shared" si="1"/>
        <v>0</v>
      </c>
      <c r="J6" s="77">
        <f t="shared" si="1"/>
        <v>0</v>
      </c>
      <c r="K6" s="77">
        <f t="shared" si="1"/>
        <v>0</v>
      </c>
      <c r="L6" s="77">
        <f t="shared" si="1"/>
        <v>0</v>
      </c>
      <c r="M6" s="77">
        <f t="shared" si="1"/>
        <v>0</v>
      </c>
      <c r="N6" s="77">
        <f t="shared" si="1"/>
        <v>0</v>
      </c>
      <c r="O6" s="77">
        <f t="shared" si="1"/>
        <v>0</v>
      </c>
      <c r="P6" s="77">
        <f t="shared" si="1"/>
        <v>0</v>
      </c>
      <c r="Q6" s="77">
        <f t="shared" si="1"/>
        <v>0</v>
      </c>
      <c r="R6" s="77">
        <f t="shared" si="1"/>
        <v>0</v>
      </c>
      <c r="S6" s="77">
        <f t="shared" si="1"/>
        <v>0</v>
      </c>
      <c r="T6" s="77">
        <f t="shared" si="1"/>
        <v>0</v>
      </c>
      <c r="U6" s="77">
        <f t="shared" si="1"/>
        <v>0</v>
      </c>
      <c r="V6" s="77">
        <f t="shared" si="1"/>
        <v>0</v>
      </c>
      <c r="W6" s="77">
        <f t="shared" si="1"/>
        <v>0</v>
      </c>
      <c r="X6" s="77">
        <f t="shared" si="1"/>
        <v>0</v>
      </c>
      <c r="Y6" s="77">
        <f t="shared" si="1"/>
        <v>0</v>
      </c>
      <c r="Z6" s="77">
        <f t="shared" si="1"/>
        <v>0</v>
      </c>
      <c r="AA6" s="77">
        <f t="shared" si="1"/>
        <v>0</v>
      </c>
      <c r="AB6" s="77">
        <f t="shared" si="1"/>
        <v>0</v>
      </c>
      <c r="AC6" s="77">
        <f t="shared" si="1"/>
        <v>0</v>
      </c>
      <c r="AD6" s="77">
        <f t="shared" si="1"/>
        <v>0</v>
      </c>
      <c r="AE6" s="77">
        <f t="shared" si="1"/>
        <v>0</v>
      </c>
      <c r="AF6" s="77">
        <f t="shared" si="1"/>
        <v>0</v>
      </c>
      <c r="AG6" s="77">
        <f t="shared" si="1"/>
        <v>0</v>
      </c>
      <c r="AH6" s="77">
        <f t="shared" si="1"/>
        <v>0</v>
      </c>
      <c r="AI6" s="77">
        <f t="shared" si="1"/>
        <v>0</v>
      </c>
      <c r="AJ6" s="77">
        <f t="shared" si="1"/>
        <v>0</v>
      </c>
      <c r="AK6" s="77">
        <f t="shared" si="1"/>
        <v>0</v>
      </c>
      <c r="AL6" s="77">
        <f t="shared" si="1"/>
        <v>0</v>
      </c>
      <c r="AM6" s="77">
        <f t="shared" si="1"/>
        <v>0</v>
      </c>
      <c r="AN6" s="77">
        <f t="shared" si="1"/>
        <v>0</v>
      </c>
      <c r="AO6" s="77">
        <f t="shared" si="1"/>
        <v>0</v>
      </c>
      <c r="AP6" s="77">
        <f t="shared" si="1"/>
        <v>0</v>
      </c>
      <c r="AQ6" s="77">
        <f t="shared" si="1"/>
        <v>0</v>
      </c>
      <c r="AR6" s="77">
        <f t="shared" si="1"/>
        <v>0</v>
      </c>
      <c r="AS6" s="77">
        <f t="shared" si="1"/>
        <v>0</v>
      </c>
      <c r="AT6" s="77">
        <f t="shared" si="1"/>
        <v>0</v>
      </c>
      <c r="AU6" s="77">
        <f t="shared" si="1"/>
        <v>0</v>
      </c>
      <c r="AV6" s="77">
        <f t="shared" si="1"/>
        <v>0</v>
      </c>
      <c r="AW6" s="77">
        <f t="shared" si="1"/>
        <v>0</v>
      </c>
      <c r="AX6" s="77">
        <f t="shared" si="1"/>
        <v>0</v>
      </c>
      <c r="AY6" s="77">
        <f t="shared" si="1"/>
        <v>0</v>
      </c>
      <c r="AZ6" s="77">
        <f t="shared" si="1"/>
        <v>0</v>
      </c>
      <c r="BA6" s="77">
        <f t="shared" si="1"/>
        <v>0</v>
      </c>
      <c r="BB6" s="77">
        <f t="shared" si="1"/>
        <v>0</v>
      </c>
      <c r="BC6" s="77">
        <f t="shared" si="1"/>
        <v>0</v>
      </c>
      <c r="BD6" s="77">
        <f t="shared" si="1"/>
        <v>0</v>
      </c>
      <c r="BE6" s="77">
        <f t="shared" si="1"/>
        <v>0</v>
      </c>
      <c r="BK6">
        <v>5</v>
      </c>
    </row>
    <row r="7" spans="1:64">
      <c r="C7" s="77">
        <f t="shared" ref="C7:C58" si="2">SUM(E7:BE7)+C6</f>
        <v>1761475.1010599248</v>
      </c>
      <c r="D7">
        <v>2009</v>
      </c>
      <c r="E7" s="77">
        <f t="shared" ref="E7:T26" si="3">IF(AND($D7&lt;(E$2+E$3),$D7&gt;=E$2),VDB(E$4,0,E$3,($D7-E$2),($D7-(E$2-1))),0)</f>
        <v>511116.39000000007</v>
      </c>
      <c r="F7" s="77">
        <f t="shared" si="1"/>
        <v>682451.61105992482</v>
      </c>
      <c r="G7" s="77">
        <f t="shared" si="1"/>
        <v>0</v>
      </c>
      <c r="H7" s="77">
        <f t="shared" si="1"/>
        <v>0</v>
      </c>
      <c r="I7" s="77">
        <f t="shared" si="1"/>
        <v>0</v>
      </c>
      <c r="J7" s="77">
        <f t="shared" si="1"/>
        <v>0</v>
      </c>
      <c r="K7" s="77">
        <f t="shared" si="1"/>
        <v>0</v>
      </c>
      <c r="L7" s="77">
        <f t="shared" si="1"/>
        <v>0</v>
      </c>
      <c r="M7" s="77">
        <f t="shared" si="1"/>
        <v>0</v>
      </c>
      <c r="N7" s="77">
        <f t="shared" si="1"/>
        <v>0</v>
      </c>
      <c r="O7" s="77">
        <f t="shared" si="1"/>
        <v>0</v>
      </c>
      <c r="P7" s="77">
        <f t="shared" si="1"/>
        <v>0</v>
      </c>
      <c r="Q7" s="77">
        <f t="shared" si="1"/>
        <v>0</v>
      </c>
      <c r="R7" s="77">
        <f t="shared" si="1"/>
        <v>0</v>
      </c>
      <c r="S7" s="77">
        <f t="shared" si="1"/>
        <v>0</v>
      </c>
      <c r="T7" s="77">
        <f t="shared" si="1"/>
        <v>0</v>
      </c>
      <c r="U7" s="77">
        <f t="shared" si="1"/>
        <v>0</v>
      </c>
      <c r="V7" s="77">
        <f t="shared" si="1"/>
        <v>0</v>
      </c>
      <c r="W7" s="77">
        <f t="shared" si="1"/>
        <v>0</v>
      </c>
      <c r="X7" s="77">
        <f t="shared" si="1"/>
        <v>0</v>
      </c>
      <c r="Y7" s="77">
        <f t="shared" si="1"/>
        <v>0</v>
      </c>
      <c r="Z7" s="77">
        <f t="shared" si="1"/>
        <v>0</v>
      </c>
      <c r="AA7" s="77">
        <f t="shared" si="1"/>
        <v>0</v>
      </c>
      <c r="AB7" s="77">
        <f t="shared" si="1"/>
        <v>0</v>
      </c>
      <c r="AC7" s="77">
        <f t="shared" si="1"/>
        <v>0</v>
      </c>
      <c r="AD7" s="77">
        <f t="shared" si="1"/>
        <v>0</v>
      </c>
      <c r="AE7" s="77">
        <f t="shared" si="1"/>
        <v>0</v>
      </c>
      <c r="AF7" s="77">
        <f t="shared" si="1"/>
        <v>0</v>
      </c>
      <c r="AG7" s="77">
        <f t="shared" si="1"/>
        <v>0</v>
      </c>
      <c r="AH7" s="77">
        <f t="shared" si="1"/>
        <v>0</v>
      </c>
      <c r="AI7" s="77">
        <f t="shared" si="1"/>
        <v>0</v>
      </c>
      <c r="AJ7" s="77">
        <f t="shared" si="1"/>
        <v>0</v>
      </c>
      <c r="AK7" s="77">
        <f t="shared" si="1"/>
        <v>0</v>
      </c>
      <c r="AL7" s="77">
        <f t="shared" si="1"/>
        <v>0</v>
      </c>
      <c r="AM7" s="77">
        <f t="shared" si="1"/>
        <v>0</v>
      </c>
      <c r="AN7" s="77">
        <f t="shared" si="1"/>
        <v>0</v>
      </c>
      <c r="AO7" s="77">
        <f t="shared" si="1"/>
        <v>0</v>
      </c>
      <c r="AP7" s="77">
        <f t="shared" si="1"/>
        <v>0</v>
      </c>
      <c r="AQ7" s="77">
        <f t="shared" si="1"/>
        <v>0</v>
      </c>
      <c r="AR7" s="77">
        <f t="shared" si="1"/>
        <v>0</v>
      </c>
      <c r="AS7" s="77">
        <f t="shared" si="1"/>
        <v>0</v>
      </c>
      <c r="AT7" s="77">
        <f t="shared" si="1"/>
        <v>0</v>
      </c>
      <c r="AU7" s="77">
        <f t="shared" si="1"/>
        <v>0</v>
      </c>
      <c r="AV7" s="77">
        <f t="shared" si="1"/>
        <v>0</v>
      </c>
      <c r="AW7" s="77">
        <f t="shared" si="1"/>
        <v>0</v>
      </c>
      <c r="AX7" s="77">
        <f t="shared" si="1"/>
        <v>0</v>
      </c>
      <c r="AY7" s="77">
        <f t="shared" si="1"/>
        <v>0</v>
      </c>
      <c r="AZ7" s="77">
        <f t="shared" si="1"/>
        <v>0</v>
      </c>
      <c r="BA7" s="77">
        <f t="shared" si="1"/>
        <v>0</v>
      </c>
      <c r="BB7" s="77">
        <f t="shared" si="1"/>
        <v>0</v>
      </c>
      <c r="BC7" s="77">
        <f t="shared" si="1"/>
        <v>0</v>
      </c>
      <c r="BD7" s="77">
        <f t="shared" si="1"/>
        <v>0</v>
      </c>
      <c r="BE7" s="77">
        <f t="shared" si="1"/>
        <v>0</v>
      </c>
    </row>
    <row r="8" spans="1:64">
      <c r="C8" s="77">
        <f t="shared" si="2"/>
        <v>3378016.025402802</v>
      </c>
      <c r="D8">
        <v>2010</v>
      </c>
      <c r="E8" s="77">
        <f t="shared" si="3"/>
        <v>460004.75100000011</v>
      </c>
      <c r="F8" s="77">
        <f t="shared" si="1"/>
        <v>614206.44995393232</v>
      </c>
      <c r="G8" s="77">
        <f t="shared" si="1"/>
        <v>542329.72338894499</v>
      </c>
      <c r="H8" s="77">
        <f t="shared" si="1"/>
        <v>0</v>
      </c>
      <c r="I8" s="77">
        <f t="shared" si="1"/>
        <v>0</v>
      </c>
      <c r="J8" s="77">
        <f t="shared" si="1"/>
        <v>0</v>
      </c>
      <c r="K8" s="77">
        <f t="shared" si="1"/>
        <v>0</v>
      </c>
      <c r="L8" s="77">
        <f t="shared" si="1"/>
        <v>0</v>
      </c>
      <c r="M8" s="77">
        <f t="shared" si="1"/>
        <v>0</v>
      </c>
      <c r="N8" s="77">
        <f t="shared" si="1"/>
        <v>0</v>
      </c>
      <c r="O8" s="77">
        <f t="shared" si="1"/>
        <v>0</v>
      </c>
      <c r="P8" s="77">
        <f t="shared" si="1"/>
        <v>0</v>
      </c>
      <c r="Q8" s="77">
        <f t="shared" si="1"/>
        <v>0</v>
      </c>
      <c r="R8" s="77">
        <f t="shared" si="1"/>
        <v>0</v>
      </c>
      <c r="S8" s="77">
        <f t="shared" si="1"/>
        <v>0</v>
      </c>
      <c r="T8" s="77">
        <f t="shared" si="1"/>
        <v>0</v>
      </c>
      <c r="U8" s="77">
        <f t="shared" si="1"/>
        <v>0</v>
      </c>
      <c r="V8" s="77">
        <f t="shared" si="1"/>
        <v>0</v>
      </c>
      <c r="W8" s="77">
        <f t="shared" si="1"/>
        <v>0</v>
      </c>
      <c r="X8" s="77">
        <f t="shared" si="1"/>
        <v>0</v>
      </c>
      <c r="Y8" s="77">
        <f t="shared" si="1"/>
        <v>0</v>
      </c>
      <c r="Z8" s="77">
        <f t="shared" si="1"/>
        <v>0</v>
      </c>
      <c r="AA8" s="77">
        <f t="shared" si="1"/>
        <v>0</v>
      </c>
      <c r="AB8" s="77">
        <f t="shared" si="1"/>
        <v>0</v>
      </c>
      <c r="AC8" s="77">
        <f t="shared" si="1"/>
        <v>0</v>
      </c>
      <c r="AD8" s="77">
        <f t="shared" si="1"/>
        <v>0</v>
      </c>
      <c r="AE8" s="77">
        <f t="shared" si="1"/>
        <v>0</v>
      </c>
      <c r="AF8" s="77">
        <f t="shared" si="1"/>
        <v>0</v>
      </c>
      <c r="AG8" s="77">
        <f t="shared" si="1"/>
        <v>0</v>
      </c>
      <c r="AH8" s="77">
        <f t="shared" si="1"/>
        <v>0</v>
      </c>
      <c r="AI8" s="77">
        <f t="shared" si="1"/>
        <v>0</v>
      </c>
      <c r="AJ8" s="77">
        <f t="shared" si="1"/>
        <v>0</v>
      </c>
      <c r="AK8" s="77">
        <f t="shared" si="1"/>
        <v>0</v>
      </c>
      <c r="AL8" s="77">
        <f t="shared" si="1"/>
        <v>0</v>
      </c>
      <c r="AM8" s="77">
        <f t="shared" si="1"/>
        <v>0</v>
      </c>
      <c r="AN8" s="77">
        <f t="shared" si="1"/>
        <v>0</v>
      </c>
      <c r="AO8" s="77">
        <f t="shared" si="1"/>
        <v>0</v>
      </c>
      <c r="AP8" s="77">
        <f t="shared" si="1"/>
        <v>0</v>
      </c>
      <c r="AQ8" s="77">
        <f t="shared" si="1"/>
        <v>0</v>
      </c>
      <c r="AR8" s="77">
        <f t="shared" si="1"/>
        <v>0</v>
      </c>
      <c r="AS8" s="77">
        <f t="shared" si="1"/>
        <v>0</v>
      </c>
      <c r="AT8" s="77">
        <f t="shared" si="1"/>
        <v>0</v>
      </c>
      <c r="AU8" s="77">
        <f t="shared" si="1"/>
        <v>0</v>
      </c>
      <c r="AV8" s="77">
        <f t="shared" si="1"/>
        <v>0</v>
      </c>
      <c r="AW8" s="77">
        <f t="shared" si="1"/>
        <v>0</v>
      </c>
      <c r="AX8" s="77">
        <f t="shared" si="1"/>
        <v>0</v>
      </c>
      <c r="AY8" s="77">
        <f t="shared" si="1"/>
        <v>0</v>
      </c>
      <c r="AZ8" s="77">
        <f t="shared" si="1"/>
        <v>0</v>
      </c>
      <c r="BA8" s="77">
        <f t="shared" si="1"/>
        <v>0</v>
      </c>
      <c r="BB8" s="77">
        <f t="shared" si="1"/>
        <v>0</v>
      </c>
      <c r="BC8" s="77">
        <f t="shared" si="1"/>
        <v>0</v>
      </c>
      <c r="BD8" s="77">
        <f t="shared" si="1"/>
        <v>0</v>
      </c>
      <c r="BE8" s="77">
        <f t="shared" si="1"/>
        <v>0</v>
      </c>
    </row>
    <row r="9" spans="1:64">
      <c r="C9" s="77">
        <f t="shared" si="2"/>
        <v>5679809.3014370622</v>
      </c>
      <c r="D9">
        <v>2011</v>
      </c>
      <c r="E9" s="77">
        <f t="shared" si="3"/>
        <v>414004.27590000007</v>
      </c>
      <c r="F9" s="77">
        <f t="shared" si="1"/>
        <v>552785.80495853908</v>
      </c>
      <c r="G9" s="77">
        <f t="shared" si="1"/>
        <v>493027.02126267733</v>
      </c>
      <c r="H9" s="77">
        <f t="shared" si="1"/>
        <v>841976.17391304346</v>
      </c>
      <c r="I9" s="77">
        <f t="shared" si="1"/>
        <v>0</v>
      </c>
      <c r="J9" s="77">
        <f t="shared" si="1"/>
        <v>0</v>
      </c>
      <c r="K9" s="77">
        <f t="shared" si="1"/>
        <v>0</v>
      </c>
      <c r="L9" s="77">
        <f t="shared" si="1"/>
        <v>0</v>
      </c>
      <c r="M9" s="77">
        <f t="shared" si="1"/>
        <v>0</v>
      </c>
      <c r="N9" s="77">
        <f t="shared" si="1"/>
        <v>0</v>
      </c>
      <c r="O9" s="77">
        <f t="shared" si="1"/>
        <v>0</v>
      </c>
      <c r="P9" s="77">
        <f t="shared" si="1"/>
        <v>0</v>
      </c>
      <c r="Q9" s="77">
        <f t="shared" si="1"/>
        <v>0</v>
      </c>
      <c r="R9" s="77">
        <f t="shared" si="1"/>
        <v>0</v>
      </c>
      <c r="S9" s="77">
        <f t="shared" si="1"/>
        <v>0</v>
      </c>
      <c r="T9" s="77">
        <f t="shared" si="1"/>
        <v>0</v>
      </c>
      <c r="U9" s="77">
        <f t="shared" si="1"/>
        <v>0</v>
      </c>
      <c r="V9" s="77">
        <f t="shared" si="1"/>
        <v>0</v>
      </c>
      <c r="W9" s="77">
        <f t="shared" si="1"/>
        <v>0</v>
      </c>
      <c r="X9" s="77">
        <f t="shared" si="1"/>
        <v>0</v>
      </c>
      <c r="Y9" s="77">
        <f t="shared" si="1"/>
        <v>0</v>
      </c>
      <c r="Z9" s="77">
        <f t="shared" si="1"/>
        <v>0</v>
      </c>
      <c r="AA9" s="77">
        <f t="shared" si="1"/>
        <v>0</v>
      </c>
      <c r="AB9" s="77">
        <f t="shared" si="1"/>
        <v>0</v>
      </c>
      <c r="AC9" s="77">
        <f t="shared" si="1"/>
        <v>0</v>
      </c>
      <c r="AD9" s="77">
        <f t="shared" si="1"/>
        <v>0</v>
      </c>
      <c r="AE9" s="77">
        <f t="shared" si="1"/>
        <v>0</v>
      </c>
      <c r="AF9" s="77">
        <f t="shared" si="1"/>
        <v>0</v>
      </c>
      <c r="AG9" s="77">
        <f t="shared" si="1"/>
        <v>0</v>
      </c>
      <c r="AH9" s="77">
        <f t="shared" si="1"/>
        <v>0</v>
      </c>
      <c r="AI9" s="77">
        <f t="shared" si="1"/>
        <v>0</v>
      </c>
      <c r="AJ9" s="77">
        <f t="shared" si="1"/>
        <v>0</v>
      </c>
      <c r="AK9" s="77">
        <f t="shared" si="1"/>
        <v>0</v>
      </c>
      <c r="AL9" s="77">
        <f t="shared" si="1"/>
        <v>0</v>
      </c>
      <c r="AM9" s="77">
        <f t="shared" si="1"/>
        <v>0</v>
      </c>
      <c r="AN9" s="77">
        <f t="shared" si="1"/>
        <v>0</v>
      </c>
      <c r="AO9" s="77">
        <f t="shared" si="1"/>
        <v>0</v>
      </c>
      <c r="AP9" s="77">
        <f t="shared" si="1"/>
        <v>0</v>
      </c>
      <c r="AQ9" s="77">
        <f t="shared" si="1"/>
        <v>0</v>
      </c>
      <c r="AR9" s="77">
        <f t="shared" si="1"/>
        <v>0</v>
      </c>
      <c r="AS9" s="77">
        <f t="shared" si="1"/>
        <v>0</v>
      </c>
      <c r="AT9" s="77">
        <f t="shared" si="1"/>
        <v>0</v>
      </c>
      <c r="AU9" s="77">
        <f t="shared" si="1"/>
        <v>0</v>
      </c>
      <c r="AV9" s="77">
        <f t="shared" si="1"/>
        <v>0</v>
      </c>
      <c r="AW9" s="77">
        <f t="shared" si="1"/>
        <v>0</v>
      </c>
      <c r="AX9" s="77">
        <f t="shared" si="1"/>
        <v>0</v>
      </c>
      <c r="AY9" s="77">
        <f t="shared" si="1"/>
        <v>0</v>
      </c>
      <c r="AZ9" s="77">
        <f t="shared" si="1"/>
        <v>0</v>
      </c>
      <c r="BA9" s="77">
        <f t="shared" si="1"/>
        <v>0</v>
      </c>
      <c r="BB9" s="77">
        <f t="shared" si="1"/>
        <v>0</v>
      </c>
      <c r="BC9" s="77">
        <f t="shared" si="1"/>
        <v>0</v>
      </c>
      <c r="BD9" s="77">
        <f t="shared" si="1"/>
        <v>0</v>
      </c>
      <c r="BE9" s="77">
        <f t="shared" si="1"/>
        <v>0</v>
      </c>
      <c r="BK9">
        <v>1</v>
      </c>
      <c r="BL9" s="86">
        <f>VDB($BK$4,$BK$5,$BK$6,BK9-1,BK9)</f>
        <v>20000</v>
      </c>
    </row>
    <row r="10" spans="1:64">
      <c r="C10" s="77">
        <f t="shared" si="2"/>
        <v>8428914.9449514952</v>
      </c>
      <c r="D10">
        <v>2012</v>
      </c>
      <c r="E10" s="77">
        <f t="shared" si="3"/>
        <v>372603.84831000003</v>
      </c>
      <c r="F10" s="77">
        <f t="shared" si="1"/>
        <v>497507.22446268518</v>
      </c>
      <c r="G10" s="77">
        <f t="shared" si="1"/>
        <v>448206.38296607026</v>
      </c>
      <c r="H10" s="77">
        <f t="shared" si="1"/>
        <v>768760.85444234405</v>
      </c>
      <c r="I10" s="77">
        <f t="shared" si="1"/>
        <v>662027.33333333326</v>
      </c>
      <c r="J10" s="77">
        <f t="shared" si="1"/>
        <v>0</v>
      </c>
      <c r="K10" s="77">
        <f t="shared" si="1"/>
        <v>0</v>
      </c>
      <c r="L10" s="77">
        <f t="shared" si="1"/>
        <v>0</v>
      </c>
      <c r="M10" s="77">
        <f t="shared" si="1"/>
        <v>0</v>
      </c>
      <c r="N10" s="77">
        <f t="shared" si="1"/>
        <v>0</v>
      </c>
      <c r="O10" s="77">
        <f t="shared" si="1"/>
        <v>0</v>
      </c>
      <c r="P10" s="77">
        <f t="shared" si="1"/>
        <v>0</v>
      </c>
      <c r="Q10" s="77">
        <f t="shared" si="1"/>
        <v>0</v>
      </c>
      <c r="R10" s="77">
        <f t="shared" si="1"/>
        <v>0</v>
      </c>
      <c r="S10" s="77">
        <f t="shared" si="1"/>
        <v>0</v>
      </c>
      <c r="T10" s="77">
        <f t="shared" si="1"/>
        <v>0</v>
      </c>
      <c r="U10" s="77">
        <f t="shared" si="1"/>
        <v>0</v>
      </c>
      <c r="V10" s="77">
        <f t="shared" si="1"/>
        <v>0</v>
      </c>
      <c r="W10" s="77">
        <f t="shared" si="1"/>
        <v>0</v>
      </c>
      <c r="X10" s="77">
        <f t="shared" si="1"/>
        <v>0</v>
      </c>
      <c r="Y10" s="77">
        <f t="shared" si="1"/>
        <v>0</v>
      </c>
      <c r="Z10" s="77">
        <f t="shared" si="1"/>
        <v>0</v>
      </c>
      <c r="AA10" s="77">
        <f t="shared" si="1"/>
        <v>0</v>
      </c>
      <c r="AB10" s="77">
        <f t="shared" si="1"/>
        <v>0</v>
      </c>
      <c r="AC10" s="77">
        <f t="shared" si="1"/>
        <v>0</v>
      </c>
      <c r="AD10" s="77">
        <f t="shared" si="1"/>
        <v>0</v>
      </c>
      <c r="AE10" s="77">
        <f t="shared" si="1"/>
        <v>0</v>
      </c>
      <c r="AF10" s="77">
        <f t="shared" si="1"/>
        <v>0</v>
      </c>
      <c r="AG10" s="77">
        <f t="shared" si="1"/>
        <v>0</v>
      </c>
      <c r="AH10" s="77">
        <f t="shared" si="1"/>
        <v>0</v>
      </c>
      <c r="AI10" s="77">
        <f t="shared" si="1"/>
        <v>0</v>
      </c>
      <c r="AJ10" s="77">
        <f t="shared" si="1"/>
        <v>0</v>
      </c>
      <c r="AK10" s="77">
        <f t="shared" si="1"/>
        <v>0</v>
      </c>
      <c r="AL10" s="77">
        <f t="shared" si="1"/>
        <v>0</v>
      </c>
      <c r="AM10" s="77">
        <f t="shared" si="1"/>
        <v>0</v>
      </c>
      <c r="AN10" s="77">
        <f t="shared" si="1"/>
        <v>0</v>
      </c>
      <c r="AO10" s="77">
        <f t="shared" si="1"/>
        <v>0</v>
      </c>
      <c r="AP10" s="77">
        <f t="shared" si="1"/>
        <v>0</v>
      </c>
      <c r="AQ10" s="77">
        <f t="shared" si="1"/>
        <v>0</v>
      </c>
      <c r="AR10" s="77">
        <f t="shared" si="1"/>
        <v>0</v>
      </c>
      <c r="AS10" s="77">
        <f t="shared" si="1"/>
        <v>0</v>
      </c>
      <c r="AT10" s="77">
        <f t="shared" si="1"/>
        <v>0</v>
      </c>
      <c r="AU10" s="77">
        <f t="shared" si="1"/>
        <v>0</v>
      </c>
      <c r="AV10" s="77">
        <f t="shared" si="1"/>
        <v>0</v>
      </c>
      <c r="AW10" s="77">
        <f t="shared" si="1"/>
        <v>0</v>
      </c>
      <c r="AX10" s="77">
        <f t="shared" si="1"/>
        <v>0</v>
      </c>
      <c r="AY10" s="77">
        <f t="shared" si="1"/>
        <v>0</v>
      </c>
      <c r="AZ10" s="77">
        <f t="shared" si="1"/>
        <v>0</v>
      </c>
      <c r="BA10" s="77">
        <f t="shared" ref="BA10:BE25" si="4">IF(AND($D10&lt;(BA$2+BA$3),$D10&gt;=BA$2),VDB(BA$4,0,BA$3,($D10-BA$2),($D10-(BA$2-1))),0)</f>
        <v>0</v>
      </c>
      <c r="BB10" s="77">
        <f t="shared" si="4"/>
        <v>0</v>
      </c>
      <c r="BC10" s="77">
        <f t="shared" si="4"/>
        <v>0</v>
      </c>
      <c r="BD10" s="77">
        <f t="shared" si="4"/>
        <v>0</v>
      </c>
      <c r="BE10" s="77">
        <f t="shared" si="4"/>
        <v>0</v>
      </c>
      <c r="BK10">
        <v>2</v>
      </c>
      <c r="BL10" s="86">
        <f t="shared" ref="BL10:BL13" si="5">VDB($BK$4,$BK$5,$BK$6,BK10-1,BK10)</f>
        <v>12000</v>
      </c>
    </row>
    <row r="11" spans="1:64">
      <c r="C11" s="77">
        <f t="shared" si="2"/>
        <v>11521386.930390308</v>
      </c>
      <c r="D11">
        <v>2013</v>
      </c>
      <c r="E11" s="77">
        <f t="shared" si="3"/>
        <v>335343.46347900009</v>
      </c>
      <c r="F11" s="77">
        <f t="shared" si="3"/>
        <v>447756.50201641669</v>
      </c>
      <c r="G11" s="77">
        <f t="shared" si="3"/>
        <v>407460.34815097298</v>
      </c>
      <c r="H11" s="77">
        <f t="shared" si="3"/>
        <v>701912.0844908359</v>
      </c>
      <c r="I11" s="77">
        <f t="shared" si="3"/>
        <v>598977.11111111112</v>
      </c>
      <c r="J11" s="77">
        <f t="shared" si="3"/>
        <v>601022.47619047621</v>
      </c>
      <c r="K11" s="77">
        <f t="shared" si="3"/>
        <v>0</v>
      </c>
      <c r="L11" s="77">
        <f t="shared" si="3"/>
        <v>0</v>
      </c>
      <c r="M11" s="77">
        <f t="shared" si="3"/>
        <v>0</v>
      </c>
      <c r="N11" s="77">
        <f t="shared" si="3"/>
        <v>0</v>
      </c>
      <c r="O11" s="77">
        <f t="shared" si="3"/>
        <v>0</v>
      </c>
      <c r="P11" s="77">
        <f t="shared" si="3"/>
        <v>0</v>
      </c>
      <c r="Q11" s="77">
        <f t="shared" si="3"/>
        <v>0</v>
      </c>
      <c r="R11" s="77">
        <f t="shared" si="3"/>
        <v>0</v>
      </c>
      <c r="S11" s="77">
        <f t="shared" si="3"/>
        <v>0</v>
      </c>
      <c r="T11" s="77">
        <f t="shared" si="3"/>
        <v>0</v>
      </c>
      <c r="U11" s="77">
        <f t="shared" ref="U11:AJ28" si="6">IF(AND($D11&lt;(U$2+U$3),$D11&gt;=U$2),VDB(U$4,0,U$3,($D11-U$2),($D11-(U$2-1))),0)</f>
        <v>0</v>
      </c>
      <c r="V11" s="77">
        <f t="shared" si="6"/>
        <v>0</v>
      </c>
      <c r="W11" s="77">
        <f t="shared" si="6"/>
        <v>0</v>
      </c>
      <c r="X11" s="77">
        <f t="shared" si="6"/>
        <v>0</v>
      </c>
      <c r="Y11" s="77">
        <f t="shared" si="6"/>
        <v>0</v>
      </c>
      <c r="Z11" s="77">
        <f t="shared" si="6"/>
        <v>0</v>
      </c>
      <c r="AA11" s="77">
        <f t="shared" si="6"/>
        <v>0</v>
      </c>
      <c r="AB11" s="77">
        <f t="shared" si="6"/>
        <v>0</v>
      </c>
      <c r="AC11" s="77">
        <f t="shared" si="6"/>
        <v>0</v>
      </c>
      <c r="AD11" s="77">
        <f t="shared" si="6"/>
        <v>0</v>
      </c>
      <c r="AE11" s="77">
        <f t="shared" si="6"/>
        <v>0</v>
      </c>
      <c r="AF11" s="77">
        <f t="shared" si="6"/>
        <v>0</v>
      </c>
      <c r="AG11" s="77">
        <f t="shared" si="6"/>
        <v>0</v>
      </c>
      <c r="AH11" s="77">
        <f t="shared" si="6"/>
        <v>0</v>
      </c>
      <c r="AI11" s="77">
        <f t="shared" si="6"/>
        <v>0</v>
      </c>
      <c r="AJ11" s="77">
        <f t="shared" si="6"/>
        <v>0</v>
      </c>
      <c r="AK11" s="77">
        <f t="shared" ref="AK11:AZ26" si="7">IF(AND($D11&lt;(AK$2+AK$3),$D11&gt;=AK$2),VDB(AK$4,0,AK$3,($D11-AK$2),($D11-(AK$2-1))),0)</f>
        <v>0</v>
      </c>
      <c r="AL11" s="77">
        <f t="shared" si="7"/>
        <v>0</v>
      </c>
      <c r="AM11" s="77">
        <f t="shared" si="7"/>
        <v>0</v>
      </c>
      <c r="AN11" s="77">
        <f t="shared" si="7"/>
        <v>0</v>
      </c>
      <c r="AO11" s="77">
        <f t="shared" si="7"/>
        <v>0</v>
      </c>
      <c r="AP11" s="77">
        <f t="shared" si="7"/>
        <v>0</v>
      </c>
      <c r="AQ11" s="77">
        <f t="shared" si="7"/>
        <v>0</v>
      </c>
      <c r="AR11" s="77">
        <f t="shared" si="7"/>
        <v>0</v>
      </c>
      <c r="AS11" s="77">
        <f t="shared" si="7"/>
        <v>0</v>
      </c>
      <c r="AT11" s="77">
        <f t="shared" si="7"/>
        <v>0</v>
      </c>
      <c r="AU11" s="77">
        <f t="shared" si="7"/>
        <v>0</v>
      </c>
      <c r="AV11" s="77">
        <f t="shared" si="7"/>
        <v>0</v>
      </c>
      <c r="AW11" s="77">
        <f t="shared" si="7"/>
        <v>0</v>
      </c>
      <c r="AX11" s="77">
        <f t="shared" si="7"/>
        <v>0</v>
      </c>
      <c r="AY11" s="77">
        <f t="shared" si="7"/>
        <v>0</v>
      </c>
      <c r="AZ11" s="77">
        <f t="shared" si="7"/>
        <v>0</v>
      </c>
      <c r="BA11" s="77">
        <f t="shared" si="4"/>
        <v>0</v>
      </c>
      <c r="BB11" s="77">
        <f t="shared" si="4"/>
        <v>0</v>
      </c>
      <c r="BC11" s="77">
        <f t="shared" si="4"/>
        <v>0</v>
      </c>
      <c r="BD11" s="77">
        <f t="shared" si="4"/>
        <v>0</v>
      </c>
      <c r="BE11" s="77">
        <f t="shared" si="4"/>
        <v>0</v>
      </c>
      <c r="BK11">
        <v>3</v>
      </c>
      <c r="BL11" s="86">
        <f t="shared" si="5"/>
        <v>7200</v>
      </c>
    </row>
    <row r="12" spans="1:64">
      <c r="C12" s="77">
        <f t="shared" si="2"/>
        <v>15179146.695367359</v>
      </c>
      <c r="D12">
        <v>2014</v>
      </c>
      <c r="E12" s="77">
        <f t="shared" si="3"/>
        <v>301809.11713110004</v>
      </c>
      <c r="F12" s="77">
        <f t="shared" si="3"/>
        <v>402980.85181477503</v>
      </c>
      <c r="G12" s="77">
        <f t="shared" si="3"/>
        <v>370418.4983190663</v>
      </c>
      <c r="H12" s="77">
        <f t="shared" si="3"/>
        <v>640876.25105685019</v>
      </c>
      <c r="I12" s="77">
        <f t="shared" si="3"/>
        <v>541931.67195767199</v>
      </c>
      <c r="J12" s="77">
        <f t="shared" si="3"/>
        <v>543782.24036281183</v>
      </c>
      <c r="K12" s="77">
        <f t="shared" si="3"/>
        <v>855961.13433477457</v>
      </c>
      <c r="L12" s="77">
        <f t="shared" si="3"/>
        <v>0</v>
      </c>
      <c r="M12" s="77">
        <f t="shared" si="3"/>
        <v>0</v>
      </c>
      <c r="N12" s="77">
        <f t="shared" si="3"/>
        <v>0</v>
      </c>
      <c r="O12" s="77">
        <f t="shared" si="3"/>
        <v>0</v>
      </c>
      <c r="P12" s="77">
        <f t="shared" si="3"/>
        <v>0</v>
      </c>
      <c r="Q12" s="77">
        <f t="shared" si="3"/>
        <v>0</v>
      </c>
      <c r="R12" s="77">
        <f t="shared" si="3"/>
        <v>0</v>
      </c>
      <c r="S12" s="77">
        <f t="shared" si="3"/>
        <v>0</v>
      </c>
      <c r="T12" s="77">
        <f t="shared" si="3"/>
        <v>0</v>
      </c>
      <c r="U12" s="77">
        <f t="shared" si="6"/>
        <v>0</v>
      </c>
      <c r="V12" s="77">
        <f t="shared" si="6"/>
        <v>0</v>
      </c>
      <c r="W12" s="77">
        <f t="shared" si="6"/>
        <v>0</v>
      </c>
      <c r="X12" s="77">
        <f t="shared" si="6"/>
        <v>0</v>
      </c>
      <c r="Y12" s="77">
        <f t="shared" si="6"/>
        <v>0</v>
      </c>
      <c r="Z12" s="77">
        <f t="shared" si="6"/>
        <v>0</v>
      </c>
      <c r="AA12" s="77">
        <f t="shared" si="6"/>
        <v>0</v>
      </c>
      <c r="AB12" s="77">
        <f t="shared" si="6"/>
        <v>0</v>
      </c>
      <c r="AC12" s="77">
        <f t="shared" si="6"/>
        <v>0</v>
      </c>
      <c r="AD12" s="77">
        <f t="shared" si="6"/>
        <v>0</v>
      </c>
      <c r="AE12" s="77">
        <f t="shared" si="6"/>
        <v>0</v>
      </c>
      <c r="AF12" s="77">
        <f t="shared" si="6"/>
        <v>0</v>
      </c>
      <c r="AG12" s="77">
        <f t="shared" si="6"/>
        <v>0</v>
      </c>
      <c r="AH12" s="77">
        <f t="shared" si="6"/>
        <v>0</v>
      </c>
      <c r="AI12" s="77">
        <f t="shared" si="6"/>
        <v>0</v>
      </c>
      <c r="AJ12" s="77">
        <f t="shared" si="6"/>
        <v>0</v>
      </c>
      <c r="AK12" s="77">
        <f t="shared" si="7"/>
        <v>0</v>
      </c>
      <c r="AL12" s="77">
        <f t="shared" si="7"/>
        <v>0</v>
      </c>
      <c r="AM12" s="77">
        <f t="shared" si="7"/>
        <v>0</v>
      </c>
      <c r="AN12" s="77">
        <f t="shared" si="7"/>
        <v>0</v>
      </c>
      <c r="AO12" s="77">
        <f t="shared" si="7"/>
        <v>0</v>
      </c>
      <c r="AP12" s="77">
        <f t="shared" si="7"/>
        <v>0</v>
      </c>
      <c r="AQ12" s="77">
        <f t="shared" si="7"/>
        <v>0</v>
      </c>
      <c r="AR12" s="77">
        <f t="shared" si="7"/>
        <v>0</v>
      </c>
      <c r="AS12" s="77">
        <f t="shared" si="7"/>
        <v>0</v>
      </c>
      <c r="AT12" s="77">
        <f t="shared" si="7"/>
        <v>0</v>
      </c>
      <c r="AU12" s="77">
        <f t="shared" si="7"/>
        <v>0</v>
      </c>
      <c r="AV12" s="77">
        <f t="shared" si="7"/>
        <v>0</v>
      </c>
      <c r="AW12" s="77">
        <f t="shared" si="7"/>
        <v>0</v>
      </c>
      <c r="AX12" s="77">
        <f t="shared" si="7"/>
        <v>0</v>
      </c>
      <c r="AY12" s="77">
        <f t="shared" si="7"/>
        <v>0</v>
      </c>
      <c r="AZ12" s="77">
        <f t="shared" si="7"/>
        <v>0</v>
      </c>
      <c r="BA12" s="77">
        <f t="shared" si="4"/>
        <v>0</v>
      </c>
      <c r="BB12" s="77">
        <f t="shared" si="4"/>
        <v>0</v>
      </c>
      <c r="BC12" s="77">
        <f t="shared" si="4"/>
        <v>0</v>
      </c>
      <c r="BD12" s="77">
        <f t="shared" si="4"/>
        <v>0</v>
      </c>
      <c r="BE12" s="77">
        <f t="shared" si="4"/>
        <v>0</v>
      </c>
      <c r="BK12">
        <v>4</v>
      </c>
      <c r="BL12" s="86">
        <f t="shared" si="5"/>
        <v>800</v>
      </c>
    </row>
    <row r="13" spans="1:64">
      <c r="C13" s="77">
        <f t="shared" si="2"/>
        <v>19613914.920109015</v>
      </c>
      <c r="D13">
        <v>2015</v>
      </c>
      <c r="E13" s="77">
        <f t="shared" si="3"/>
        <v>271628.20541799004</v>
      </c>
      <c r="F13" s="77">
        <f t="shared" si="3"/>
        <v>362682.76663329755</v>
      </c>
      <c r="G13" s="77">
        <f t="shared" si="3"/>
        <v>336744.08938096941</v>
      </c>
      <c r="H13" s="77">
        <f t="shared" si="3"/>
        <v>585147.88139973278</v>
      </c>
      <c r="I13" s="77">
        <f t="shared" si="3"/>
        <v>490319.13177122705</v>
      </c>
      <c r="J13" s="77">
        <f t="shared" si="3"/>
        <v>491993.45556635351</v>
      </c>
      <c r="K13" s="77">
        <f t="shared" si="3"/>
        <v>760854.34163091064</v>
      </c>
      <c r="L13" s="77">
        <f t="shared" si="3"/>
        <v>1135398.3529411764</v>
      </c>
      <c r="M13" s="77">
        <f t="shared" si="3"/>
        <v>0</v>
      </c>
      <c r="N13" s="77">
        <f t="shared" si="3"/>
        <v>0</v>
      </c>
      <c r="O13" s="77">
        <f t="shared" si="3"/>
        <v>0</v>
      </c>
      <c r="P13" s="77">
        <f t="shared" si="3"/>
        <v>0</v>
      </c>
      <c r="Q13" s="77">
        <f t="shared" si="3"/>
        <v>0</v>
      </c>
      <c r="R13" s="77">
        <f t="shared" si="3"/>
        <v>0</v>
      </c>
      <c r="S13" s="77">
        <f t="shared" si="3"/>
        <v>0</v>
      </c>
      <c r="T13" s="77">
        <f t="shared" si="3"/>
        <v>0</v>
      </c>
      <c r="U13" s="77">
        <f t="shared" si="6"/>
        <v>0</v>
      </c>
      <c r="V13" s="77">
        <f t="shared" si="6"/>
        <v>0</v>
      </c>
      <c r="W13" s="77">
        <f t="shared" si="6"/>
        <v>0</v>
      </c>
      <c r="X13" s="77">
        <f t="shared" si="6"/>
        <v>0</v>
      </c>
      <c r="Y13" s="77">
        <f t="shared" si="6"/>
        <v>0</v>
      </c>
      <c r="Z13" s="77">
        <f t="shared" si="6"/>
        <v>0</v>
      </c>
      <c r="AA13" s="77">
        <f t="shared" si="6"/>
        <v>0</v>
      </c>
      <c r="AB13" s="77">
        <f t="shared" si="6"/>
        <v>0</v>
      </c>
      <c r="AC13" s="77">
        <f t="shared" si="6"/>
        <v>0</v>
      </c>
      <c r="AD13" s="77">
        <f t="shared" si="6"/>
        <v>0</v>
      </c>
      <c r="AE13" s="77">
        <f t="shared" si="6"/>
        <v>0</v>
      </c>
      <c r="AF13" s="77">
        <f t="shared" si="6"/>
        <v>0</v>
      </c>
      <c r="AG13" s="77">
        <f t="shared" si="6"/>
        <v>0</v>
      </c>
      <c r="AH13" s="77">
        <f t="shared" si="6"/>
        <v>0</v>
      </c>
      <c r="AI13" s="77">
        <f t="shared" si="6"/>
        <v>0</v>
      </c>
      <c r="AJ13" s="77">
        <f t="shared" si="6"/>
        <v>0</v>
      </c>
      <c r="AK13" s="77">
        <f t="shared" si="7"/>
        <v>0</v>
      </c>
      <c r="AL13" s="77">
        <f t="shared" si="7"/>
        <v>0</v>
      </c>
      <c r="AM13" s="77">
        <f t="shared" si="7"/>
        <v>0</v>
      </c>
      <c r="AN13" s="77">
        <f t="shared" si="7"/>
        <v>0</v>
      </c>
      <c r="AO13" s="77">
        <f t="shared" si="7"/>
        <v>0</v>
      </c>
      <c r="AP13" s="77">
        <f t="shared" si="7"/>
        <v>0</v>
      </c>
      <c r="AQ13" s="77">
        <f t="shared" si="7"/>
        <v>0</v>
      </c>
      <c r="AR13" s="77">
        <f t="shared" si="7"/>
        <v>0</v>
      </c>
      <c r="AS13" s="77">
        <f t="shared" si="7"/>
        <v>0</v>
      </c>
      <c r="AT13" s="77">
        <f t="shared" si="7"/>
        <v>0</v>
      </c>
      <c r="AU13" s="77">
        <f t="shared" si="7"/>
        <v>0</v>
      </c>
      <c r="AV13" s="77">
        <f t="shared" si="7"/>
        <v>0</v>
      </c>
      <c r="AW13" s="77">
        <f t="shared" si="7"/>
        <v>0</v>
      </c>
      <c r="AX13" s="77">
        <f t="shared" si="7"/>
        <v>0</v>
      </c>
      <c r="AY13" s="77">
        <f t="shared" si="7"/>
        <v>0</v>
      </c>
      <c r="AZ13" s="77">
        <f t="shared" si="7"/>
        <v>0</v>
      </c>
      <c r="BA13" s="77">
        <f t="shared" si="4"/>
        <v>0</v>
      </c>
      <c r="BB13" s="77">
        <f t="shared" si="4"/>
        <v>0</v>
      </c>
      <c r="BC13" s="77">
        <f t="shared" si="4"/>
        <v>0</v>
      </c>
      <c r="BD13" s="77">
        <f t="shared" si="4"/>
        <v>0</v>
      </c>
      <c r="BE13" s="77">
        <f t="shared" si="4"/>
        <v>0</v>
      </c>
      <c r="BK13">
        <v>5</v>
      </c>
      <c r="BL13" s="86">
        <f t="shared" si="5"/>
        <v>0</v>
      </c>
    </row>
    <row r="14" spans="1:64">
      <c r="C14" s="77">
        <f t="shared" si="2"/>
        <v>24117078.996285997</v>
      </c>
      <c r="D14">
        <v>2016</v>
      </c>
      <c r="E14" s="77">
        <f t="shared" si="3"/>
        <v>244465.38487619103</v>
      </c>
      <c r="F14" s="77">
        <f t="shared" si="3"/>
        <v>326414.48996996781</v>
      </c>
      <c r="G14" s="77">
        <f t="shared" si="3"/>
        <v>306130.99034633581</v>
      </c>
      <c r="H14" s="77">
        <f t="shared" si="3"/>
        <v>534265.45693019079</v>
      </c>
      <c r="I14" s="77">
        <f t="shared" si="3"/>
        <v>443622.07160253875</v>
      </c>
      <c r="J14" s="77">
        <f t="shared" si="3"/>
        <v>445136.9359886056</v>
      </c>
      <c r="K14" s="77">
        <f t="shared" si="3"/>
        <v>676314.9703385873</v>
      </c>
      <c r="L14" s="77">
        <f t="shared" si="3"/>
        <v>1001822.0761245675</v>
      </c>
      <c r="M14" s="77">
        <f t="shared" si="3"/>
        <v>524991.70000000007</v>
      </c>
      <c r="N14" s="77">
        <f t="shared" si="3"/>
        <v>0</v>
      </c>
      <c r="O14" s="77">
        <f t="shared" si="3"/>
        <v>0</v>
      </c>
      <c r="P14" s="77">
        <f t="shared" si="3"/>
        <v>0</v>
      </c>
      <c r="Q14" s="77">
        <f t="shared" si="3"/>
        <v>0</v>
      </c>
      <c r="R14" s="77">
        <f t="shared" si="3"/>
        <v>0</v>
      </c>
      <c r="S14" s="77">
        <f t="shared" si="3"/>
        <v>0</v>
      </c>
      <c r="T14" s="77">
        <f t="shared" si="3"/>
        <v>0</v>
      </c>
      <c r="U14" s="77">
        <f t="shared" si="6"/>
        <v>0</v>
      </c>
      <c r="V14" s="77">
        <f t="shared" si="6"/>
        <v>0</v>
      </c>
      <c r="W14" s="77">
        <f t="shared" si="6"/>
        <v>0</v>
      </c>
      <c r="X14" s="77">
        <f t="shared" si="6"/>
        <v>0</v>
      </c>
      <c r="Y14" s="77">
        <f t="shared" si="6"/>
        <v>0</v>
      </c>
      <c r="Z14" s="77">
        <f t="shared" si="6"/>
        <v>0</v>
      </c>
      <c r="AA14" s="77">
        <f t="shared" si="6"/>
        <v>0</v>
      </c>
      <c r="AB14" s="77">
        <f t="shared" si="6"/>
        <v>0</v>
      </c>
      <c r="AC14" s="77">
        <f t="shared" si="6"/>
        <v>0</v>
      </c>
      <c r="AD14" s="77">
        <f t="shared" si="6"/>
        <v>0</v>
      </c>
      <c r="AE14" s="77">
        <f t="shared" si="6"/>
        <v>0</v>
      </c>
      <c r="AF14" s="77">
        <f t="shared" si="6"/>
        <v>0</v>
      </c>
      <c r="AG14" s="77">
        <f t="shared" si="6"/>
        <v>0</v>
      </c>
      <c r="AH14" s="77">
        <f t="shared" si="6"/>
        <v>0</v>
      </c>
      <c r="AI14" s="77">
        <f t="shared" si="6"/>
        <v>0</v>
      </c>
      <c r="AJ14" s="77">
        <f t="shared" si="6"/>
        <v>0</v>
      </c>
      <c r="AK14" s="77">
        <f t="shared" si="7"/>
        <v>0</v>
      </c>
      <c r="AL14" s="77">
        <f t="shared" si="7"/>
        <v>0</v>
      </c>
      <c r="AM14" s="77">
        <f t="shared" si="7"/>
        <v>0</v>
      </c>
      <c r="AN14" s="77">
        <f t="shared" si="7"/>
        <v>0</v>
      </c>
      <c r="AO14" s="77">
        <f t="shared" si="7"/>
        <v>0</v>
      </c>
      <c r="AP14" s="77">
        <f t="shared" si="7"/>
        <v>0</v>
      </c>
      <c r="AQ14" s="77">
        <f t="shared" si="7"/>
        <v>0</v>
      </c>
      <c r="AR14" s="77">
        <f t="shared" si="7"/>
        <v>0</v>
      </c>
      <c r="AS14" s="77">
        <f t="shared" si="7"/>
        <v>0</v>
      </c>
      <c r="AT14" s="77">
        <f t="shared" si="7"/>
        <v>0</v>
      </c>
      <c r="AU14" s="77">
        <f t="shared" si="7"/>
        <v>0</v>
      </c>
      <c r="AV14" s="77">
        <f t="shared" si="7"/>
        <v>0</v>
      </c>
      <c r="AW14" s="77">
        <f t="shared" si="7"/>
        <v>0</v>
      </c>
      <c r="AX14" s="77">
        <f t="shared" si="7"/>
        <v>0</v>
      </c>
      <c r="AY14" s="77">
        <f t="shared" si="7"/>
        <v>0</v>
      </c>
      <c r="AZ14" s="77">
        <f t="shared" si="7"/>
        <v>0</v>
      </c>
      <c r="BA14" s="77">
        <f t="shared" si="4"/>
        <v>0</v>
      </c>
      <c r="BB14" s="77">
        <f t="shared" si="4"/>
        <v>0</v>
      </c>
      <c r="BC14" s="77">
        <f t="shared" si="4"/>
        <v>0</v>
      </c>
      <c r="BD14" s="77">
        <f t="shared" si="4"/>
        <v>0</v>
      </c>
      <c r="BE14" s="77">
        <f t="shared" si="4"/>
        <v>0</v>
      </c>
    </row>
    <row r="15" spans="1:64">
      <c r="C15" s="77">
        <f t="shared" si="2"/>
        <v>28881989.533764064</v>
      </c>
      <c r="D15">
        <v>2017</v>
      </c>
      <c r="E15" s="77">
        <f t="shared" si="3"/>
        <v>220018.8463885719</v>
      </c>
      <c r="F15" s="77">
        <f t="shared" si="3"/>
        <v>293773.04097297101</v>
      </c>
      <c r="G15" s="77">
        <f t="shared" si="3"/>
        <v>278300.90031485073</v>
      </c>
      <c r="H15" s="77">
        <f t="shared" si="3"/>
        <v>487807.59111017425</v>
      </c>
      <c r="I15" s="77">
        <f t="shared" si="3"/>
        <v>401372.35049753502</v>
      </c>
      <c r="J15" s="77">
        <f t="shared" si="3"/>
        <v>402742.94208492886</v>
      </c>
      <c r="K15" s="77">
        <f t="shared" si="3"/>
        <v>601168.8625231887</v>
      </c>
      <c r="L15" s="77">
        <f t="shared" si="3"/>
        <v>883960.65540403011</v>
      </c>
      <c r="M15" s="77">
        <f t="shared" si="3"/>
        <v>472492.53</v>
      </c>
      <c r="N15" s="77">
        <f t="shared" si="3"/>
        <v>723272.81818181823</v>
      </c>
      <c r="O15" s="77">
        <f t="shared" si="3"/>
        <v>0</v>
      </c>
      <c r="P15" s="77">
        <f t="shared" si="3"/>
        <v>0</v>
      </c>
      <c r="Q15" s="77">
        <f t="shared" si="3"/>
        <v>0</v>
      </c>
      <c r="R15" s="77">
        <f t="shared" si="3"/>
        <v>0</v>
      </c>
      <c r="S15" s="77">
        <f t="shared" si="3"/>
        <v>0</v>
      </c>
      <c r="T15" s="77">
        <f t="shared" si="3"/>
        <v>0</v>
      </c>
      <c r="U15" s="77">
        <f t="shared" si="6"/>
        <v>0</v>
      </c>
      <c r="V15" s="77">
        <f t="shared" si="6"/>
        <v>0</v>
      </c>
      <c r="W15" s="77">
        <f t="shared" si="6"/>
        <v>0</v>
      </c>
      <c r="X15" s="77">
        <f t="shared" si="6"/>
        <v>0</v>
      </c>
      <c r="Y15" s="77">
        <f t="shared" si="6"/>
        <v>0</v>
      </c>
      <c r="Z15" s="77">
        <f t="shared" si="6"/>
        <v>0</v>
      </c>
      <c r="AA15" s="77">
        <f t="shared" si="6"/>
        <v>0</v>
      </c>
      <c r="AB15" s="77">
        <f t="shared" si="6"/>
        <v>0</v>
      </c>
      <c r="AC15" s="77">
        <f t="shared" si="6"/>
        <v>0</v>
      </c>
      <c r="AD15" s="77">
        <f t="shared" si="6"/>
        <v>0</v>
      </c>
      <c r="AE15" s="77">
        <f t="shared" si="6"/>
        <v>0</v>
      </c>
      <c r="AF15" s="77">
        <f t="shared" si="6"/>
        <v>0</v>
      </c>
      <c r="AG15" s="77">
        <f t="shared" si="6"/>
        <v>0</v>
      </c>
      <c r="AH15" s="77">
        <f t="shared" si="6"/>
        <v>0</v>
      </c>
      <c r="AI15" s="77">
        <f t="shared" si="6"/>
        <v>0</v>
      </c>
      <c r="AJ15" s="77">
        <f t="shared" si="6"/>
        <v>0</v>
      </c>
      <c r="AK15" s="77">
        <f t="shared" si="7"/>
        <v>0</v>
      </c>
      <c r="AL15" s="77">
        <f t="shared" si="7"/>
        <v>0</v>
      </c>
      <c r="AM15" s="77">
        <f t="shared" si="7"/>
        <v>0</v>
      </c>
      <c r="AN15" s="77">
        <f t="shared" si="7"/>
        <v>0</v>
      </c>
      <c r="AO15" s="77">
        <f t="shared" si="7"/>
        <v>0</v>
      </c>
      <c r="AP15" s="77">
        <f t="shared" si="7"/>
        <v>0</v>
      </c>
      <c r="AQ15" s="77">
        <f t="shared" si="7"/>
        <v>0</v>
      </c>
      <c r="AR15" s="77">
        <f t="shared" si="7"/>
        <v>0</v>
      </c>
      <c r="AS15" s="77">
        <f t="shared" si="7"/>
        <v>0</v>
      </c>
      <c r="AT15" s="77">
        <f t="shared" si="7"/>
        <v>0</v>
      </c>
      <c r="AU15" s="77">
        <f t="shared" si="7"/>
        <v>0</v>
      </c>
      <c r="AV15" s="77">
        <f t="shared" si="7"/>
        <v>0</v>
      </c>
      <c r="AW15" s="77">
        <f t="shared" si="7"/>
        <v>0</v>
      </c>
      <c r="AX15" s="77">
        <f t="shared" si="7"/>
        <v>0</v>
      </c>
      <c r="AY15" s="77">
        <f t="shared" si="7"/>
        <v>0</v>
      </c>
      <c r="AZ15" s="77">
        <f t="shared" si="7"/>
        <v>0</v>
      </c>
      <c r="BA15" s="77">
        <f t="shared" si="4"/>
        <v>0</v>
      </c>
      <c r="BB15" s="77">
        <f t="shared" si="4"/>
        <v>0</v>
      </c>
      <c r="BC15" s="77">
        <f t="shared" si="4"/>
        <v>0</v>
      </c>
      <c r="BD15" s="77">
        <f t="shared" si="4"/>
        <v>0</v>
      </c>
      <c r="BE15" s="77">
        <f t="shared" si="4"/>
        <v>0</v>
      </c>
    </row>
    <row r="16" spans="1:64">
      <c r="C16" s="77">
        <f t="shared" si="2"/>
        <v>34097081.192465477</v>
      </c>
      <c r="D16">
        <v>2018</v>
      </c>
      <c r="E16" s="77">
        <f t="shared" si="3"/>
        <v>198016.96174971471</v>
      </c>
      <c r="F16" s="77">
        <f t="shared" si="3"/>
        <v>264395.73687567393</v>
      </c>
      <c r="G16" s="77">
        <f t="shared" si="3"/>
        <v>253000.81846804614</v>
      </c>
      <c r="H16" s="77">
        <f t="shared" si="3"/>
        <v>445389.5397092895</v>
      </c>
      <c r="I16" s="77">
        <f t="shared" si="3"/>
        <v>363146.41235491261</v>
      </c>
      <c r="J16" s="77">
        <f t="shared" si="3"/>
        <v>364386.47141017375</v>
      </c>
      <c r="K16" s="77">
        <f t="shared" si="3"/>
        <v>534372.32224283437</v>
      </c>
      <c r="L16" s="77">
        <f t="shared" si="3"/>
        <v>779965.28418002662</v>
      </c>
      <c r="M16" s="77">
        <f t="shared" si="3"/>
        <v>425243.277</v>
      </c>
      <c r="N16" s="77">
        <f t="shared" si="3"/>
        <v>657520.74380165292</v>
      </c>
      <c r="O16" s="77">
        <f t="shared" si="3"/>
        <v>929654.09090909094</v>
      </c>
      <c r="P16" s="77">
        <f t="shared" si="3"/>
        <v>0</v>
      </c>
      <c r="Q16" s="77">
        <f t="shared" si="3"/>
        <v>0</v>
      </c>
      <c r="R16" s="77">
        <f t="shared" si="3"/>
        <v>0</v>
      </c>
      <c r="S16" s="77">
        <f t="shared" si="3"/>
        <v>0</v>
      </c>
      <c r="T16" s="77">
        <f t="shared" si="3"/>
        <v>0</v>
      </c>
      <c r="U16" s="77">
        <f t="shared" si="6"/>
        <v>0</v>
      </c>
      <c r="V16" s="77">
        <f t="shared" si="6"/>
        <v>0</v>
      </c>
      <c r="W16" s="77">
        <f t="shared" si="6"/>
        <v>0</v>
      </c>
      <c r="X16" s="77">
        <f t="shared" si="6"/>
        <v>0</v>
      </c>
      <c r="Y16" s="77">
        <f t="shared" si="6"/>
        <v>0</v>
      </c>
      <c r="Z16" s="77">
        <f t="shared" si="6"/>
        <v>0</v>
      </c>
      <c r="AA16" s="77">
        <f t="shared" si="6"/>
        <v>0</v>
      </c>
      <c r="AB16" s="77">
        <f t="shared" si="6"/>
        <v>0</v>
      </c>
      <c r="AC16" s="77">
        <f t="shared" si="6"/>
        <v>0</v>
      </c>
      <c r="AD16" s="77">
        <f t="shared" si="6"/>
        <v>0</v>
      </c>
      <c r="AE16" s="77">
        <f t="shared" si="6"/>
        <v>0</v>
      </c>
      <c r="AF16" s="77">
        <f t="shared" si="6"/>
        <v>0</v>
      </c>
      <c r="AG16" s="77">
        <f t="shared" si="6"/>
        <v>0</v>
      </c>
      <c r="AH16" s="77">
        <f t="shared" si="6"/>
        <v>0</v>
      </c>
      <c r="AI16" s="77">
        <f t="shared" si="6"/>
        <v>0</v>
      </c>
      <c r="AJ16" s="77">
        <f t="shared" si="6"/>
        <v>0</v>
      </c>
      <c r="AK16" s="77">
        <f t="shared" si="7"/>
        <v>0</v>
      </c>
      <c r="AL16" s="77">
        <f t="shared" si="7"/>
        <v>0</v>
      </c>
      <c r="AM16" s="77">
        <f t="shared" si="7"/>
        <v>0</v>
      </c>
      <c r="AN16" s="77">
        <f t="shared" si="7"/>
        <v>0</v>
      </c>
      <c r="AO16" s="77">
        <f t="shared" si="7"/>
        <v>0</v>
      </c>
      <c r="AP16" s="77">
        <f t="shared" si="7"/>
        <v>0</v>
      </c>
      <c r="AQ16" s="77">
        <f t="shared" si="7"/>
        <v>0</v>
      </c>
      <c r="AR16" s="77">
        <f t="shared" si="7"/>
        <v>0</v>
      </c>
      <c r="AS16" s="77">
        <f t="shared" si="7"/>
        <v>0</v>
      </c>
      <c r="AT16" s="77">
        <f t="shared" si="7"/>
        <v>0</v>
      </c>
      <c r="AU16" s="77">
        <f t="shared" si="7"/>
        <v>0</v>
      </c>
      <c r="AV16" s="77">
        <f t="shared" si="7"/>
        <v>0</v>
      </c>
      <c r="AW16" s="77">
        <f t="shared" si="7"/>
        <v>0</v>
      </c>
      <c r="AX16" s="77">
        <f t="shared" si="7"/>
        <v>0</v>
      </c>
      <c r="AY16" s="77">
        <f t="shared" si="7"/>
        <v>0</v>
      </c>
      <c r="AZ16" s="77">
        <f t="shared" si="7"/>
        <v>0</v>
      </c>
      <c r="BA16" s="77">
        <f t="shared" si="4"/>
        <v>0</v>
      </c>
      <c r="BB16" s="77">
        <f t="shared" si="4"/>
        <v>0</v>
      </c>
      <c r="BC16" s="77">
        <f t="shared" si="4"/>
        <v>0</v>
      </c>
      <c r="BD16" s="77">
        <f t="shared" si="4"/>
        <v>0</v>
      </c>
      <c r="BE16" s="77">
        <f t="shared" si="4"/>
        <v>0</v>
      </c>
    </row>
    <row r="17" spans="1:57">
      <c r="C17" s="77">
        <f t="shared" si="2"/>
        <v>39716435.216812976</v>
      </c>
      <c r="D17">
        <v>2019</v>
      </c>
      <c r="E17" s="77">
        <f t="shared" si="3"/>
        <v>198016.96174971468</v>
      </c>
      <c r="F17" s="77">
        <f t="shared" si="3"/>
        <v>237956.16318810653</v>
      </c>
      <c r="G17" s="77">
        <f t="shared" si="3"/>
        <v>230000.74406186008</v>
      </c>
      <c r="H17" s="77">
        <f t="shared" si="3"/>
        <v>406660.01451717736</v>
      </c>
      <c r="I17" s="77">
        <f t="shared" si="3"/>
        <v>328561.03974968288</v>
      </c>
      <c r="J17" s="77">
        <f t="shared" si="3"/>
        <v>329682.99794253812</v>
      </c>
      <c r="K17" s="77">
        <f t="shared" si="3"/>
        <v>474997.61977140832</v>
      </c>
      <c r="L17" s="77">
        <f t="shared" si="3"/>
        <v>688204.66251178819</v>
      </c>
      <c r="M17" s="77">
        <f t="shared" si="3"/>
        <v>382718.94929999998</v>
      </c>
      <c r="N17" s="77">
        <f t="shared" si="3"/>
        <v>597746.13072877529</v>
      </c>
      <c r="O17" s="77">
        <f t="shared" si="3"/>
        <v>845140.08264462801</v>
      </c>
      <c r="P17" s="77">
        <f t="shared" si="3"/>
        <v>899668.6581818182</v>
      </c>
      <c r="Q17" s="77">
        <f t="shared" si="3"/>
        <v>0</v>
      </c>
      <c r="R17" s="77">
        <f t="shared" si="3"/>
        <v>0</v>
      </c>
      <c r="S17" s="77">
        <f t="shared" si="3"/>
        <v>0</v>
      </c>
      <c r="T17" s="77">
        <f t="shared" si="3"/>
        <v>0</v>
      </c>
      <c r="U17" s="77">
        <f t="shared" si="6"/>
        <v>0</v>
      </c>
      <c r="V17" s="77">
        <f t="shared" si="6"/>
        <v>0</v>
      </c>
      <c r="W17" s="77">
        <f t="shared" si="6"/>
        <v>0</v>
      </c>
      <c r="X17" s="77">
        <f t="shared" si="6"/>
        <v>0</v>
      </c>
      <c r="Y17" s="77">
        <f t="shared" si="6"/>
        <v>0</v>
      </c>
      <c r="Z17" s="77">
        <f t="shared" si="6"/>
        <v>0</v>
      </c>
      <c r="AA17" s="77">
        <f t="shared" si="6"/>
        <v>0</v>
      </c>
      <c r="AB17" s="77">
        <f t="shared" si="6"/>
        <v>0</v>
      </c>
      <c r="AC17" s="77">
        <f t="shared" si="6"/>
        <v>0</v>
      </c>
      <c r="AD17" s="77">
        <f t="shared" si="6"/>
        <v>0</v>
      </c>
      <c r="AE17" s="77">
        <f t="shared" si="6"/>
        <v>0</v>
      </c>
      <c r="AF17" s="77">
        <f t="shared" si="6"/>
        <v>0</v>
      </c>
      <c r="AG17" s="77">
        <f t="shared" si="6"/>
        <v>0</v>
      </c>
      <c r="AH17" s="77">
        <f t="shared" si="6"/>
        <v>0</v>
      </c>
      <c r="AI17" s="77">
        <f t="shared" si="6"/>
        <v>0</v>
      </c>
      <c r="AJ17" s="77">
        <f t="shared" si="6"/>
        <v>0</v>
      </c>
      <c r="AK17" s="77">
        <f t="shared" si="7"/>
        <v>0</v>
      </c>
      <c r="AL17" s="77">
        <f t="shared" si="7"/>
        <v>0</v>
      </c>
      <c r="AM17" s="77">
        <f t="shared" si="7"/>
        <v>0</v>
      </c>
      <c r="AN17" s="77">
        <f t="shared" si="7"/>
        <v>0</v>
      </c>
      <c r="AO17" s="77">
        <f t="shared" si="7"/>
        <v>0</v>
      </c>
      <c r="AP17" s="77">
        <f t="shared" si="7"/>
        <v>0</v>
      </c>
      <c r="AQ17" s="77">
        <f t="shared" si="7"/>
        <v>0</v>
      </c>
      <c r="AR17" s="77">
        <f t="shared" si="7"/>
        <v>0</v>
      </c>
      <c r="AS17" s="77">
        <f t="shared" si="7"/>
        <v>0</v>
      </c>
      <c r="AT17" s="77">
        <f t="shared" si="7"/>
        <v>0</v>
      </c>
      <c r="AU17" s="77">
        <f t="shared" si="7"/>
        <v>0</v>
      </c>
      <c r="AV17" s="77">
        <f t="shared" si="7"/>
        <v>0</v>
      </c>
      <c r="AW17" s="77">
        <f t="shared" si="7"/>
        <v>0</v>
      </c>
      <c r="AX17" s="77">
        <f t="shared" si="7"/>
        <v>0</v>
      </c>
      <c r="AY17" s="77">
        <f t="shared" si="7"/>
        <v>0</v>
      </c>
      <c r="AZ17" s="77">
        <f t="shared" si="7"/>
        <v>0</v>
      </c>
      <c r="BA17" s="77">
        <f t="shared" si="4"/>
        <v>0</v>
      </c>
      <c r="BB17" s="77">
        <f t="shared" si="4"/>
        <v>0</v>
      </c>
      <c r="BC17" s="77">
        <f t="shared" si="4"/>
        <v>0</v>
      </c>
      <c r="BD17" s="77">
        <f t="shared" si="4"/>
        <v>0</v>
      </c>
      <c r="BE17" s="77">
        <f t="shared" si="4"/>
        <v>0</v>
      </c>
    </row>
    <row r="18" spans="1:57">
      <c r="C18" s="77">
        <f t="shared" si="2"/>
        <v>45632293.370714203</v>
      </c>
      <c r="D18">
        <v>2020</v>
      </c>
      <c r="E18" s="77">
        <f t="shared" si="3"/>
        <v>198016.96174971468</v>
      </c>
      <c r="F18" s="77">
        <f t="shared" si="3"/>
        <v>237956.16318810653</v>
      </c>
      <c r="G18" s="77">
        <f t="shared" si="3"/>
        <v>209091.58551078188</v>
      </c>
      <c r="H18" s="77">
        <f t="shared" si="3"/>
        <v>371298.27412437939</v>
      </c>
      <c r="I18" s="77">
        <f t="shared" si="3"/>
        <v>297269.51215447497</v>
      </c>
      <c r="J18" s="77">
        <f t="shared" si="3"/>
        <v>298284.61718610593</v>
      </c>
      <c r="K18" s="77">
        <f t="shared" si="3"/>
        <v>422220.10646347405</v>
      </c>
      <c r="L18" s="77">
        <f t="shared" si="3"/>
        <v>607239.40809863666</v>
      </c>
      <c r="M18" s="77">
        <f t="shared" si="3"/>
        <v>344447.05437000003</v>
      </c>
      <c r="N18" s="77">
        <f t="shared" si="3"/>
        <v>543405.57338979573</v>
      </c>
      <c r="O18" s="77">
        <f t="shared" si="3"/>
        <v>768309.16604057094</v>
      </c>
      <c r="P18" s="77">
        <f t="shared" si="3"/>
        <v>817880.59834710753</v>
      </c>
      <c r="Q18" s="77">
        <f t="shared" si="3"/>
        <v>800439.13327807735</v>
      </c>
      <c r="R18" s="77">
        <f t="shared" si="3"/>
        <v>0</v>
      </c>
      <c r="S18" s="77">
        <f t="shared" si="3"/>
        <v>0</v>
      </c>
      <c r="T18" s="77">
        <f t="shared" si="3"/>
        <v>0</v>
      </c>
      <c r="U18" s="77">
        <f t="shared" si="6"/>
        <v>0</v>
      </c>
      <c r="V18" s="77">
        <f t="shared" si="6"/>
        <v>0</v>
      </c>
      <c r="W18" s="77">
        <f t="shared" si="6"/>
        <v>0</v>
      </c>
      <c r="X18" s="77">
        <f t="shared" si="6"/>
        <v>0</v>
      </c>
      <c r="Y18" s="77">
        <f t="shared" si="6"/>
        <v>0</v>
      </c>
      <c r="Z18" s="77">
        <f t="shared" si="6"/>
        <v>0</v>
      </c>
      <c r="AA18" s="77">
        <f t="shared" si="6"/>
        <v>0</v>
      </c>
      <c r="AB18" s="77">
        <f t="shared" si="6"/>
        <v>0</v>
      </c>
      <c r="AC18" s="77">
        <f t="shared" si="6"/>
        <v>0</v>
      </c>
      <c r="AD18" s="77">
        <f t="shared" si="6"/>
        <v>0</v>
      </c>
      <c r="AE18" s="77">
        <f t="shared" si="6"/>
        <v>0</v>
      </c>
      <c r="AF18" s="77">
        <f t="shared" si="6"/>
        <v>0</v>
      </c>
      <c r="AG18" s="77">
        <f t="shared" si="6"/>
        <v>0</v>
      </c>
      <c r="AH18" s="77">
        <f t="shared" si="6"/>
        <v>0</v>
      </c>
      <c r="AI18" s="77">
        <f t="shared" si="6"/>
        <v>0</v>
      </c>
      <c r="AJ18" s="77">
        <f t="shared" si="6"/>
        <v>0</v>
      </c>
      <c r="AK18" s="77">
        <f t="shared" si="7"/>
        <v>0</v>
      </c>
      <c r="AL18" s="77">
        <f t="shared" si="7"/>
        <v>0</v>
      </c>
      <c r="AM18" s="77">
        <f t="shared" si="7"/>
        <v>0</v>
      </c>
      <c r="AN18" s="77">
        <f t="shared" si="7"/>
        <v>0</v>
      </c>
      <c r="AO18" s="77">
        <f t="shared" si="7"/>
        <v>0</v>
      </c>
      <c r="AP18" s="77">
        <f t="shared" si="7"/>
        <v>0</v>
      </c>
      <c r="AQ18" s="77">
        <f t="shared" si="7"/>
        <v>0</v>
      </c>
      <c r="AR18" s="77">
        <f t="shared" si="7"/>
        <v>0</v>
      </c>
      <c r="AS18" s="77">
        <f t="shared" si="7"/>
        <v>0</v>
      </c>
      <c r="AT18" s="77">
        <f t="shared" si="7"/>
        <v>0</v>
      </c>
      <c r="AU18" s="77">
        <f t="shared" si="7"/>
        <v>0</v>
      </c>
      <c r="AV18" s="77">
        <f t="shared" si="7"/>
        <v>0</v>
      </c>
      <c r="AW18" s="77">
        <f t="shared" si="7"/>
        <v>0</v>
      </c>
      <c r="AX18" s="77">
        <f t="shared" si="7"/>
        <v>0</v>
      </c>
      <c r="AY18" s="77">
        <f t="shared" si="7"/>
        <v>0</v>
      </c>
      <c r="AZ18" s="77">
        <f t="shared" si="7"/>
        <v>0</v>
      </c>
      <c r="BA18" s="77">
        <f t="shared" si="4"/>
        <v>0</v>
      </c>
      <c r="BB18" s="77">
        <f t="shared" si="4"/>
        <v>0</v>
      </c>
      <c r="BC18" s="77">
        <f t="shared" si="4"/>
        <v>0</v>
      </c>
      <c r="BD18" s="77">
        <f t="shared" si="4"/>
        <v>0</v>
      </c>
      <c r="BE18" s="77">
        <f t="shared" si="4"/>
        <v>0</v>
      </c>
    </row>
    <row r="19" spans="1:57">
      <c r="C19" s="77">
        <f t="shared" si="2"/>
        <v>52758740.27894944</v>
      </c>
      <c r="D19">
        <v>2021</v>
      </c>
      <c r="E19" s="77">
        <f t="shared" si="3"/>
        <v>198016.96174971468</v>
      </c>
      <c r="F19" s="77">
        <f t="shared" si="3"/>
        <v>237956.16318810653</v>
      </c>
      <c r="G19" s="77">
        <f t="shared" si="3"/>
        <v>190083.25955525626</v>
      </c>
      <c r="H19" s="77">
        <f t="shared" si="3"/>
        <v>339011.46767878119</v>
      </c>
      <c r="I19" s="77">
        <f t="shared" si="3"/>
        <v>268958.13004452497</v>
      </c>
      <c r="J19" s="77">
        <f t="shared" si="3"/>
        <v>269876.5584064768</v>
      </c>
      <c r="K19" s="77">
        <f t="shared" si="3"/>
        <v>375306.76130086579</v>
      </c>
      <c r="L19" s="77">
        <f t="shared" si="3"/>
        <v>535799.47773409111</v>
      </c>
      <c r="M19" s="77">
        <f t="shared" si="3"/>
        <v>310002.348933</v>
      </c>
      <c r="N19" s="77">
        <f t="shared" si="3"/>
        <v>494005.06671799609</v>
      </c>
      <c r="O19" s="77">
        <f t="shared" si="3"/>
        <v>698462.87821870076</v>
      </c>
      <c r="P19" s="77">
        <f t="shared" si="3"/>
        <v>743527.81667918863</v>
      </c>
      <c r="Q19" s="77">
        <f t="shared" si="3"/>
        <v>724206.83487064135</v>
      </c>
      <c r="R19" s="77">
        <f t="shared" si="3"/>
        <v>1741233.1831578948</v>
      </c>
      <c r="S19" s="77">
        <f t="shared" si="3"/>
        <v>0</v>
      </c>
      <c r="T19" s="77">
        <f t="shared" si="3"/>
        <v>0</v>
      </c>
      <c r="U19" s="77">
        <f t="shared" si="6"/>
        <v>0</v>
      </c>
      <c r="V19" s="77">
        <f t="shared" si="6"/>
        <v>0</v>
      </c>
      <c r="W19" s="77">
        <f t="shared" si="6"/>
        <v>0</v>
      </c>
      <c r="X19" s="77">
        <f t="shared" si="6"/>
        <v>0</v>
      </c>
      <c r="Y19" s="77">
        <f t="shared" si="6"/>
        <v>0</v>
      </c>
      <c r="Z19" s="77">
        <f t="shared" si="6"/>
        <v>0</v>
      </c>
      <c r="AA19" s="77">
        <f t="shared" si="6"/>
        <v>0</v>
      </c>
      <c r="AB19" s="77">
        <f t="shared" si="6"/>
        <v>0</v>
      </c>
      <c r="AC19" s="77">
        <f t="shared" si="6"/>
        <v>0</v>
      </c>
      <c r="AD19" s="77">
        <f t="shared" si="6"/>
        <v>0</v>
      </c>
      <c r="AE19" s="77">
        <f t="shared" si="6"/>
        <v>0</v>
      </c>
      <c r="AF19" s="77">
        <f t="shared" si="6"/>
        <v>0</v>
      </c>
      <c r="AG19" s="77">
        <f t="shared" si="6"/>
        <v>0</v>
      </c>
      <c r="AH19" s="77">
        <f t="shared" si="6"/>
        <v>0</v>
      </c>
      <c r="AI19" s="77">
        <f t="shared" si="6"/>
        <v>0</v>
      </c>
      <c r="AJ19" s="77">
        <f t="shared" si="6"/>
        <v>0</v>
      </c>
      <c r="AK19" s="77">
        <f t="shared" si="7"/>
        <v>0</v>
      </c>
      <c r="AL19" s="77">
        <f t="shared" si="7"/>
        <v>0</v>
      </c>
      <c r="AM19" s="77">
        <f t="shared" si="7"/>
        <v>0</v>
      </c>
      <c r="AN19" s="77">
        <f t="shared" si="7"/>
        <v>0</v>
      </c>
      <c r="AO19" s="77">
        <f t="shared" si="7"/>
        <v>0</v>
      </c>
      <c r="AP19" s="77">
        <f t="shared" si="7"/>
        <v>0</v>
      </c>
      <c r="AQ19" s="77">
        <f t="shared" si="7"/>
        <v>0</v>
      </c>
      <c r="AR19" s="77">
        <f t="shared" si="7"/>
        <v>0</v>
      </c>
      <c r="AS19" s="77">
        <f t="shared" si="7"/>
        <v>0</v>
      </c>
      <c r="AT19" s="77">
        <f t="shared" si="7"/>
        <v>0</v>
      </c>
      <c r="AU19" s="77">
        <f t="shared" si="7"/>
        <v>0</v>
      </c>
      <c r="AV19" s="77">
        <f t="shared" si="7"/>
        <v>0</v>
      </c>
      <c r="AW19" s="77">
        <f t="shared" si="7"/>
        <v>0</v>
      </c>
      <c r="AX19" s="77">
        <f t="shared" si="7"/>
        <v>0</v>
      </c>
      <c r="AY19" s="77">
        <f t="shared" si="7"/>
        <v>0</v>
      </c>
      <c r="AZ19" s="77">
        <f t="shared" si="7"/>
        <v>0</v>
      </c>
      <c r="BA19" s="77">
        <f t="shared" si="4"/>
        <v>0</v>
      </c>
      <c r="BB19" s="77">
        <f t="shared" si="4"/>
        <v>0</v>
      </c>
      <c r="BC19" s="77">
        <f t="shared" si="4"/>
        <v>0</v>
      </c>
      <c r="BD19" s="77">
        <f t="shared" si="4"/>
        <v>0</v>
      </c>
      <c r="BE19" s="77">
        <f t="shared" si="4"/>
        <v>0</v>
      </c>
    </row>
    <row r="20" spans="1:57">
      <c r="A20">
        <v>5.5085999999999998E-3</v>
      </c>
      <c r="B20" s="78">
        <f>A20*C20</f>
        <v>330923.31985469908</v>
      </c>
      <c r="C20" s="77">
        <f t="shared" si="2"/>
        <v>60073942.536161475</v>
      </c>
      <c r="D20">
        <v>2022</v>
      </c>
      <c r="E20" s="77">
        <f t="shared" si="3"/>
        <v>198016.96174971468</v>
      </c>
      <c r="F20" s="77">
        <f t="shared" si="3"/>
        <v>237956.16318810653</v>
      </c>
      <c r="G20" s="77">
        <f t="shared" si="3"/>
        <v>190083.25955525626</v>
      </c>
      <c r="H20" s="77">
        <f t="shared" si="3"/>
        <v>309532.20961975673</v>
      </c>
      <c r="I20" s="77">
        <f t="shared" si="3"/>
        <v>243343.07004028451</v>
      </c>
      <c r="J20" s="77">
        <f t="shared" si="3"/>
        <v>244174.02903443138</v>
      </c>
      <c r="K20" s="77">
        <f t="shared" si="3"/>
        <v>333606.01004521403</v>
      </c>
      <c r="L20" s="77">
        <f t="shared" si="3"/>
        <v>472764.24505949212</v>
      </c>
      <c r="M20" s="77">
        <f t="shared" si="3"/>
        <v>279002.11403969995</v>
      </c>
      <c r="N20" s="77">
        <f t="shared" si="3"/>
        <v>449095.51519817824</v>
      </c>
      <c r="O20" s="77">
        <f t="shared" si="3"/>
        <v>634966.25292609155</v>
      </c>
      <c r="P20" s="77">
        <f t="shared" si="3"/>
        <v>675934.37879926234</v>
      </c>
      <c r="Q20" s="77">
        <f t="shared" si="3"/>
        <v>655234.75535915175</v>
      </c>
      <c r="R20" s="77">
        <f t="shared" si="3"/>
        <v>1557945.47966759</v>
      </c>
      <c r="S20" s="77">
        <f t="shared" si="3"/>
        <v>833547.81292980746</v>
      </c>
      <c r="T20" s="77">
        <f t="shared" si="3"/>
        <v>0</v>
      </c>
      <c r="U20" s="77">
        <f t="shared" si="6"/>
        <v>0</v>
      </c>
      <c r="V20" s="77">
        <f t="shared" si="6"/>
        <v>0</v>
      </c>
      <c r="W20" s="77">
        <f t="shared" si="6"/>
        <v>0</v>
      </c>
      <c r="X20" s="77">
        <f t="shared" si="6"/>
        <v>0</v>
      </c>
      <c r="Y20" s="77">
        <f t="shared" si="6"/>
        <v>0</v>
      </c>
      <c r="Z20" s="77">
        <f t="shared" si="6"/>
        <v>0</v>
      </c>
      <c r="AA20" s="77">
        <f t="shared" si="6"/>
        <v>0</v>
      </c>
      <c r="AB20" s="77">
        <f t="shared" si="6"/>
        <v>0</v>
      </c>
      <c r="AC20" s="77">
        <f t="shared" si="6"/>
        <v>0</v>
      </c>
      <c r="AD20" s="77">
        <f t="shared" si="6"/>
        <v>0</v>
      </c>
      <c r="AE20" s="77">
        <f t="shared" si="6"/>
        <v>0</v>
      </c>
      <c r="AF20" s="77">
        <f t="shared" si="6"/>
        <v>0</v>
      </c>
      <c r="AG20" s="77">
        <f t="shared" si="6"/>
        <v>0</v>
      </c>
      <c r="AH20" s="77">
        <f t="shared" si="6"/>
        <v>0</v>
      </c>
      <c r="AI20" s="77">
        <f t="shared" si="6"/>
        <v>0</v>
      </c>
      <c r="AJ20" s="77">
        <f t="shared" si="6"/>
        <v>0</v>
      </c>
      <c r="AK20" s="77">
        <f t="shared" si="7"/>
        <v>0</v>
      </c>
      <c r="AL20" s="77">
        <f t="shared" si="7"/>
        <v>0</v>
      </c>
      <c r="AM20" s="77">
        <f t="shared" si="7"/>
        <v>0</v>
      </c>
      <c r="AN20" s="77">
        <f t="shared" si="7"/>
        <v>0</v>
      </c>
      <c r="AO20" s="77">
        <f t="shared" si="7"/>
        <v>0</v>
      </c>
      <c r="AP20" s="77">
        <f t="shared" si="7"/>
        <v>0</v>
      </c>
      <c r="AQ20" s="77">
        <f t="shared" si="7"/>
        <v>0</v>
      </c>
      <c r="AR20" s="77">
        <f t="shared" si="7"/>
        <v>0</v>
      </c>
      <c r="AS20" s="77">
        <f t="shared" si="7"/>
        <v>0</v>
      </c>
      <c r="AT20" s="77">
        <f t="shared" si="7"/>
        <v>0</v>
      </c>
      <c r="AU20" s="77">
        <f t="shared" si="7"/>
        <v>0</v>
      </c>
      <c r="AV20" s="77">
        <f t="shared" si="7"/>
        <v>0</v>
      </c>
      <c r="AW20" s="77">
        <f t="shared" si="7"/>
        <v>0</v>
      </c>
      <c r="AX20" s="77">
        <f t="shared" si="7"/>
        <v>0</v>
      </c>
      <c r="AY20" s="77">
        <f t="shared" si="7"/>
        <v>0</v>
      </c>
      <c r="AZ20" s="77">
        <f t="shared" si="7"/>
        <v>0</v>
      </c>
      <c r="BA20" s="77">
        <f t="shared" si="4"/>
        <v>0</v>
      </c>
      <c r="BB20" s="77">
        <f t="shared" si="4"/>
        <v>0</v>
      </c>
      <c r="BC20" s="77">
        <f t="shared" si="4"/>
        <v>0</v>
      </c>
      <c r="BD20" s="77">
        <f t="shared" si="4"/>
        <v>0</v>
      </c>
      <c r="BE20" s="77">
        <f t="shared" si="4"/>
        <v>0</v>
      </c>
    </row>
    <row r="21" spans="1:57">
      <c r="C21" s="77">
        <f t="shared" si="2"/>
        <v>66756892.161071353</v>
      </c>
      <c r="D21">
        <v>2023</v>
      </c>
      <c r="E21" s="77">
        <f t="shared" si="3"/>
        <v>198016.96174971468</v>
      </c>
      <c r="F21" s="77">
        <f t="shared" si="3"/>
        <v>237956.16318810653</v>
      </c>
      <c r="G21" s="77">
        <f t="shared" si="3"/>
        <v>190083.25955525626</v>
      </c>
      <c r="H21" s="77">
        <f t="shared" si="3"/>
        <v>295462.56372794963</v>
      </c>
      <c r="I21" s="77">
        <f t="shared" si="3"/>
        <v>231175.91653827028</v>
      </c>
      <c r="J21" s="77">
        <f t="shared" si="3"/>
        <v>220919.35960258078</v>
      </c>
      <c r="K21" s="77">
        <f t="shared" si="3"/>
        <v>296538.67559574579</v>
      </c>
      <c r="L21" s="77">
        <f t="shared" si="3"/>
        <v>417144.92211131658</v>
      </c>
      <c r="M21" s="77">
        <f t="shared" si="3"/>
        <v>251101.90263572999</v>
      </c>
      <c r="N21" s="77">
        <f t="shared" si="3"/>
        <v>408268.65018016205</v>
      </c>
      <c r="O21" s="77">
        <f t="shared" si="3"/>
        <v>577242.04811462876</v>
      </c>
      <c r="P21" s="77">
        <f t="shared" si="3"/>
        <v>614485.79890842026</v>
      </c>
      <c r="Q21" s="77">
        <f t="shared" si="3"/>
        <v>592831.44532494689</v>
      </c>
      <c r="R21" s="77">
        <f t="shared" si="3"/>
        <v>1393951.2186499487</v>
      </c>
      <c r="S21" s="77">
        <f t="shared" si="3"/>
        <v>757770.7390270977</v>
      </c>
      <c r="T21" s="77">
        <f t="shared" si="3"/>
        <v>0</v>
      </c>
      <c r="U21" s="77">
        <f t="shared" si="6"/>
        <v>0</v>
      </c>
      <c r="V21" s="77">
        <f t="shared" si="6"/>
        <v>0</v>
      </c>
      <c r="W21" s="77">
        <f t="shared" si="6"/>
        <v>0</v>
      </c>
      <c r="X21" s="77">
        <f t="shared" si="6"/>
        <v>0</v>
      </c>
      <c r="Y21" s="77">
        <f t="shared" si="6"/>
        <v>0</v>
      </c>
      <c r="Z21" s="77">
        <f t="shared" si="6"/>
        <v>0</v>
      </c>
      <c r="AA21" s="77">
        <f t="shared" si="6"/>
        <v>0</v>
      </c>
      <c r="AB21" s="77">
        <f t="shared" si="6"/>
        <v>0</v>
      </c>
      <c r="AC21" s="77">
        <f t="shared" si="6"/>
        <v>0</v>
      </c>
      <c r="AD21" s="77">
        <f t="shared" si="6"/>
        <v>0</v>
      </c>
      <c r="AE21" s="77">
        <f t="shared" si="6"/>
        <v>0</v>
      </c>
      <c r="AF21" s="77">
        <f t="shared" si="6"/>
        <v>0</v>
      </c>
      <c r="AG21" s="77">
        <f t="shared" si="6"/>
        <v>0</v>
      </c>
      <c r="AH21" s="77">
        <f t="shared" si="6"/>
        <v>0</v>
      </c>
      <c r="AI21" s="77">
        <f t="shared" si="6"/>
        <v>0</v>
      </c>
      <c r="AJ21" s="77">
        <f t="shared" si="6"/>
        <v>0</v>
      </c>
      <c r="AK21" s="77">
        <f t="shared" si="7"/>
        <v>0</v>
      </c>
      <c r="AL21" s="77">
        <f t="shared" si="7"/>
        <v>0</v>
      </c>
      <c r="AM21" s="77">
        <f t="shared" si="7"/>
        <v>0</v>
      </c>
      <c r="AN21" s="77">
        <f t="shared" si="7"/>
        <v>0</v>
      </c>
      <c r="AO21" s="77">
        <f t="shared" si="7"/>
        <v>0</v>
      </c>
      <c r="AP21" s="77">
        <f t="shared" si="7"/>
        <v>0</v>
      </c>
      <c r="AQ21" s="77">
        <f t="shared" si="7"/>
        <v>0</v>
      </c>
      <c r="AR21" s="77">
        <f t="shared" si="7"/>
        <v>0</v>
      </c>
      <c r="AS21" s="77">
        <f t="shared" si="7"/>
        <v>0</v>
      </c>
      <c r="AT21" s="77">
        <f t="shared" si="7"/>
        <v>0</v>
      </c>
      <c r="AU21" s="77">
        <f t="shared" si="7"/>
        <v>0</v>
      </c>
      <c r="AV21" s="77">
        <f t="shared" si="7"/>
        <v>0</v>
      </c>
      <c r="AW21" s="77">
        <f t="shared" si="7"/>
        <v>0</v>
      </c>
      <c r="AX21" s="77">
        <f t="shared" si="7"/>
        <v>0</v>
      </c>
      <c r="AY21" s="77">
        <f t="shared" si="7"/>
        <v>0</v>
      </c>
      <c r="AZ21" s="77">
        <f t="shared" si="7"/>
        <v>0</v>
      </c>
      <c r="BA21" s="77">
        <f t="shared" si="4"/>
        <v>0</v>
      </c>
      <c r="BB21" s="77">
        <f t="shared" si="4"/>
        <v>0</v>
      </c>
      <c r="BC21" s="77">
        <f t="shared" si="4"/>
        <v>0</v>
      </c>
      <c r="BD21" s="77">
        <f t="shared" si="4"/>
        <v>0</v>
      </c>
      <c r="BE21" s="77">
        <f t="shared" si="4"/>
        <v>0</v>
      </c>
    </row>
    <row r="22" spans="1:57">
      <c r="C22" s="77">
        <f t="shared" si="2"/>
        <v>72960079.749208331</v>
      </c>
      <c r="D22">
        <v>2024</v>
      </c>
      <c r="E22" s="77">
        <f t="shared" si="3"/>
        <v>198016.96174971468</v>
      </c>
      <c r="F22" s="77">
        <f t="shared" si="3"/>
        <v>237956.16318810653</v>
      </c>
      <c r="G22" s="77">
        <f t="shared" si="3"/>
        <v>190083.25955525626</v>
      </c>
      <c r="H22" s="77">
        <f t="shared" si="3"/>
        <v>295462.56372794963</v>
      </c>
      <c r="I22" s="77">
        <f t="shared" si="3"/>
        <v>231175.91653827028</v>
      </c>
      <c r="J22" s="77">
        <f t="shared" si="3"/>
        <v>209873.39162245175</v>
      </c>
      <c r="K22" s="77">
        <f t="shared" si="3"/>
        <v>296538.67559574579</v>
      </c>
      <c r="L22" s="77">
        <f t="shared" si="3"/>
        <v>391073.3644793593</v>
      </c>
      <c r="M22" s="77">
        <f t="shared" si="3"/>
        <v>225991.712372157</v>
      </c>
      <c r="N22" s="77">
        <f t="shared" si="3"/>
        <v>371153.31834560185</v>
      </c>
      <c r="O22" s="77">
        <f t="shared" si="3"/>
        <v>524765.49828602606</v>
      </c>
      <c r="P22" s="77">
        <f t="shared" si="3"/>
        <v>558623.45355310931</v>
      </c>
      <c r="Q22" s="77">
        <f t="shared" si="3"/>
        <v>536371.30767495197</v>
      </c>
      <c r="R22" s="77">
        <f t="shared" si="3"/>
        <v>1247219.5114236386</v>
      </c>
      <c r="S22" s="77">
        <f t="shared" si="3"/>
        <v>688882.49002463429</v>
      </c>
      <c r="T22" s="77">
        <f t="shared" si="3"/>
        <v>0</v>
      </c>
      <c r="U22" s="77">
        <f t="shared" si="6"/>
        <v>0</v>
      </c>
      <c r="V22" s="77">
        <f t="shared" si="6"/>
        <v>0</v>
      </c>
      <c r="W22" s="77">
        <f t="shared" si="6"/>
        <v>0</v>
      </c>
      <c r="X22" s="77">
        <f t="shared" si="6"/>
        <v>0</v>
      </c>
      <c r="Y22" s="77">
        <f t="shared" si="6"/>
        <v>0</v>
      </c>
      <c r="Z22" s="77">
        <f t="shared" si="6"/>
        <v>0</v>
      </c>
      <c r="AA22" s="77">
        <f t="shared" si="6"/>
        <v>0</v>
      </c>
      <c r="AB22" s="77">
        <f t="shared" si="6"/>
        <v>0</v>
      </c>
      <c r="AC22" s="77">
        <f t="shared" si="6"/>
        <v>0</v>
      </c>
      <c r="AD22" s="77">
        <f t="shared" si="6"/>
        <v>0</v>
      </c>
      <c r="AE22" s="77">
        <f t="shared" si="6"/>
        <v>0</v>
      </c>
      <c r="AF22" s="77">
        <f t="shared" si="6"/>
        <v>0</v>
      </c>
      <c r="AG22" s="77">
        <f t="shared" si="6"/>
        <v>0</v>
      </c>
      <c r="AH22" s="77">
        <f t="shared" si="6"/>
        <v>0</v>
      </c>
      <c r="AI22" s="77">
        <f t="shared" si="6"/>
        <v>0</v>
      </c>
      <c r="AJ22" s="77">
        <f t="shared" si="6"/>
        <v>0</v>
      </c>
      <c r="AK22" s="77">
        <f t="shared" si="7"/>
        <v>0</v>
      </c>
      <c r="AL22" s="77">
        <f t="shared" si="7"/>
        <v>0</v>
      </c>
      <c r="AM22" s="77">
        <f t="shared" si="7"/>
        <v>0</v>
      </c>
      <c r="AN22" s="77">
        <f t="shared" si="7"/>
        <v>0</v>
      </c>
      <c r="AO22" s="77">
        <f t="shared" si="7"/>
        <v>0</v>
      </c>
      <c r="AP22" s="77">
        <f t="shared" si="7"/>
        <v>0</v>
      </c>
      <c r="AQ22" s="77">
        <f t="shared" si="7"/>
        <v>0</v>
      </c>
      <c r="AR22" s="77">
        <f t="shared" si="7"/>
        <v>0</v>
      </c>
      <c r="AS22" s="77">
        <f t="shared" si="7"/>
        <v>0</v>
      </c>
      <c r="AT22" s="77">
        <f t="shared" si="7"/>
        <v>0</v>
      </c>
      <c r="AU22" s="77">
        <f t="shared" si="7"/>
        <v>0</v>
      </c>
      <c r="AV22" s="77">
        <f t="shared" si="7"/>
        <v>0</v>
      </c>
      <c r="AW22" s="77">
        <f t="shared" si="7"/>
        <v>0</v>
      </c>
      <c r="AX22" s="77">
        <f t="shared" si="7"/>
        <v>0</v>
      </c>
      <c r="AY22" s="77">
        <f t="shared" si="7"/>
        <v>0</v>
      </c>
      <c r="AZ22" s="77">
        <f t="shared" si="7"/>
        <v>0</v>
      </c>
      <c r="BA22" s="77">
        <f t="shared" si="4"/>
        <v>0</v>
      </c>
      <c r="BB22" s="77">
        <f t="shared" si="4"/>
        <v>0</v>
      </c>
      <c r="BC22" s="77">
        <f t="shared" si="4"/>
        <v>0</v>
      </c>
      <c r="BD22" s="77">
        <f t="shared" si="4"/>
        <v>0</v>
      </c>
      <c r="BE22" s="77">
        <f t="shared" si="4"/>
        <v>0</v>
      </c>
    </row>
    <row r="23" spans="1:57">
      <c r="C23" s="77">
        <f t="shared" si="2"/>
        <v>78763442.123681709</v>
      </c>
      <c r="D23">
        <v>2025</v>
      </c>
      <c r="E23" s="77">
        <f t="shared" si="3"/>
        <v>198016.96174971468</v>
      </c>
      <c r="F23" s="77">
        <f t="shared" si="3"/>
        <v>237956.16318810653</v>
      </c>
      <c r="G23" s="77">
        <f t="shared" si="3"/>
        <v>190083.25955525626</v>
      </c>
      <c r="H23" s="77">
        <f t="shared" si="3"/>
        <v>295462.56372794963</v>
      </c>
      <c r="I23" s="77">
        <f t="shared" si="3"/>
        <v>231175.91653827028</v>
      </c>
      <c r="J23" s="77">
        <f t="shared" si="3"/>
        <v>209873.39162245175</v>
      </c>
      <c r="K23" s="77">
        <f t="shared" si="3"/>
        <v>296538.67559574579</v>
      </c>
      <c r="L23" s="77">
        <f t="shared" si="3"/>
        <v>391073.3644793593</v>
      </c>
      <c r="M23" s="77">
        <f t="shared" si="3"/>
        <v>203392.54113494128</v>
      </c>
      <c r="N23" s="77">
        <f t="shared" si="3"/>
        <v>337412.10758691077</v>
      </c>
      <c r="O23" s="77">
        <f t="shared" si="3"/>
        <v>477059.54389638745</v>
      </c>
      <c r="P23" s="77">
        <f t="shared" si="3"/>
        <v>507839.50323009939</v>
      </c>
      <c r="Q23" s="77">
        <f t="shared" si="3"/>
        <v>485288.32599162316</v>
      </c>
      <c r="R23" s="77">
        <f t="shared" si="3"/>
        <v>1115933.2470632556</v>
      </c>
      <c r="S23" s="77">
        <f t="shared" si="3"/>
        <v>626256.80911330378</v>
      </c>
      <c r="T23" s="77">
        <f t="shared" si="3"/>
        <v>0</v>
      </c>
      <c r="U23" s="77">
        <f t="shared" si="6"/>
        <v>0</v>
      </c>
      <c r="V23" s="77">
        <f t="shared" si="6"/>
        <v>0</v>
      </c>
      <c r="W23" s="77">
        <f t="shared" si="6"/>
        <v>0</v>
      </c>
      <c r="X23" s="77">
        <f t="shared" si="6"/>
        <v>0</v>
      </c>
      <c r="Y23" s="77">
        <f t="shared" si="6"/>
        <v>0</v>
      </c>
      <c r="Z23" s="77">
        <f t="shared" si="6"/>
        <v>0</v>
      </c>
      <c r="AA23" s="77">
        <f t="shared" si="6"/>
        <v>0</v>
      </c>
      <c r="AB23" s="77">
        <f t="shared" si="6"/>
        <v>0</v>
      </c>
      <c r="AC23" s="77">
        <f t="shared" si="6"/>
        <v>0</v>
      </c>
      <c r="AD23" s="77">
        <f t="shared" si="6"/>
        <v>0</v>
      </c>
      <c r="AE23" s="77">
        <f t="shared" si="6"/>
        <v>0</v>
      </c>
      <c r="AF23" s="77">
        <f t="shared" si="6"/>
        <v>0</v>
      </c>
      <c r="AG23" s="77">
        <f t="shared" si="6"/>
        <v>0</v>
      </c>
      <c r="AH23" s="77">
        <f t="shared" si="6"/>
        <v>0</v>
      </c>
      <c r="AI23" s="77">
        <f t="shared" si="6"/>
        <v>0</v>
      </c>
      <c r="AJ23" s="77">
        <f t="shared" si="6"/>
        <v>0</v>
      </c>
      <c r="AK23" s="77">
        <f t="shared" si="7"/>
        <v>0</v>
      </c>
      <c r="AL23" s="77">
        <f t="shared" si="7"/>
        <v>0</v>
      </c>
      <c r="AM23" s="77">
        <f t="shared" si="7"/>
        <v>0</v>
      </c>
      <c r="AN23" s="77">
        <f t="shared" si="7"/>
        <v>0</v>
      </c>
      <c r="AO23" s="77">
        <f t="shared" si="7"/>
        <v>0</v>
      </c>
      <c r="AP23" s="77">
        <f t="shared" si="7"/>
        <v>0</v>
      </c>
      <c r="AQ23" s="77">
        <f t="shared" si="7"/>
        <v>0</v>
      </c>
      <c r="AR23" s="77">
        <f t="shared" si="7"/>
        <v>0</v>
      </c>
      <c r="AS23" s="77">
        <f t="shared" si="7"/>
        <v>0</v>
      </c>
      <c r="AT23" s="77">
        <f t="shared" si="7"/>
        <v>0</v>
      </c>
      <c r="AU23" s="77">
        <f t="shared" si="7"/>
        <v>0</v>
      </c>
      <c r="AV23" s="77">
        <f t="shared" si="7"/>
        <v>0</v>
      </c>
      <c r="AW23" s="77">
        <f t="shared" si="7"/>
        <v>0</v>
      </c>
      <c r="AX23" s="77">
        <f t="shared" si="7"/>
        <v>0</v>
      </c>
      <c r="AY23" s="77">
        <f t="shared" si="7"/>
        <v>0</v>
      </c>
      <c r="AZ23" s="77">
        <f t="shared" si="7"/>
        <v>0</v>
      </c>
      <c r="BA23" s="77">
        <f t="shared" si="4"/>
        <v>0</v>
      </c>
      <c r="BB23" s="77">
        <f t="shared" si="4"/>
        <v>0</v>
      </c>
      <c r="BC23" s="77">
        <f t="shared" si="4"/>
        <v>0</v>
      </c>
      <c r="BD23" s="77">
        <f t="shared" si="4"/>
        <v>0</v>
      </c>
      <c r="BE23" s="77">
        <f t="shared" si="4"/>
        <v>0</v>
      </c>
    </row>
    <row r="24" spans="1:57">
      <c r="C24" s="77">
        <f t="shared" si="2"/>
        <v>84205638.108481199</v>
      </c>
      <c r="D24">
        <v>2026</v>
      </c>
      <c r="E24" s="77">
        <f t="shared" si="3"/>
        <v>198016.96174971468</v>
      </c>
      <c r="F24" s="77">
        <f t="shared" si="3"/>
        <v>237956.16318810653</v>
      </c>
      <c r="G24" s="77">
        <f t="shared" si="3"/>
        <v>190083.25955525626</v>
      </c>
      <c r="H24" s="77">
        <f t="shared" si="3"/>
        <v>295462.56372794963</v>
      </c>
      <c r="I24" s="77">
        <f t="shared" si="3"/>
        <v>231175.91653827028</v>
      </c>
      <c r="J24" s="77">
        <f t="shared" si="3"/>
        <v>209873.39162245175</v>
      </c>
      <c r="K24" s="77">
        <f t="shared" si="3"/>
        <v>296538.67559574579</v>
      </c>
      <c r="L24" s="77">
        <f t="shared" si="3"/>
        <v>391073.3644793593</v>
      </c>
      <c r="M24" s="77">
        <f t="shared" si="3"/>
        <v>183053.28702144718</v>
      </c>
      <c r="N24" s="77">
        <f t="shared" si="3"/>
        <v>306738.27962446434</v>
      </c>
      <c r="O24" s="77">
        <f t="shared" si="3"/>
        <v>433690.4944512613</v>
      </c>
      <c r="P24" s="77">
        <f t="shared" si="3"/>
        <v>461672.27566372673</v>
      </c>
      <c r="Q24" s="77">
        <f t="shared" si="3"/>
        <v>439070.39018289716</v>
      </c>
      <c r="R24" s="77">
        <f t="shared" si="3"/>
        <v>998466.58947764977</v>
      </c>
      <c r="S24" s="77">
        <f t="shared" si="3"/>
        <v>569324.37192118529</v>
      </c>
      <c r="T24" s="77">
        <f t="shared" si="3"/>
        <v>0</v>
      </c>
      <c r="U24" s="77">
        <f t="shared" si="6"/>
        <v>0</v>
      </c>
      <c r="V24" s="77">
        <f t="shared" si="6"/>
        <v>0</v>
      </c>
      <c r="W24" s="77">
        <f t="shared" si="6"/>
        <v>0</v>
      </c>
      <c r="X24" s="77">
        <f t="shared" si="6"/>
        <v>0</v>
      </c>
      <c r="Y24" s="77">
        <f t="shared" si="6"/>
        <v>0</v>
      </c>
      <c r="Z24" s="77">
        <f t="shared" si="6"/>
        <v>0</v>
      </c>
      <c r="AA24" s="77">
        <f t="shared" si="6"/>
        <v>0</v>
      </c>
      <c r="AB24" s="77">
        <f t="shared" si="6"/>
        <v>0</v>
      </c>
      <c r="AC24" s="77">
        <f t="shared" si="6"/>
        <v>0</v>
      </c>
      <c r="AD24" s="77">
        <f t="shared" si="6"/>
        <v>0</v>
      </c>
      <c r="AE24" s="77">
        <f t="shared" si="6"/>
        <v>0</v>
      </c>
      <c r="AF24" s="77">
        <f t="shared" si="6"/>
        <v>0</v>
      </c>
      <c r="AG24" s="77">
        <f t="shared" si="6"/>
        <v>0</v>
      </c>
      <c r="AH24" s="77">
        <f t="shared" si="6"/>
        <v>0</v>
      </c>
      <c r="AI24" s="77">
        <f t="shared" si="6"/>
        <v>0</v>
      </c>
      <c r="AJ24" s="77">
        <f t="shared" si="6"/>
        <v>0</v>
      </c>
      <c r="AK24" s="77">
        <f t="shared" si="7"/>
        <v>0</v>
      </c>
      <c r="AL24" s="77">
        <f t="shared" si="7"/>
        <v>0</v>
      </c>
      <c r="AM24" s="77">
        <f t="shared" si="7"/>
        <v>0</v>
      </c>
      <c r="AN24" s="77">
        <f t="shared" si="7"/>
        <v>0</v>
      </c>
      <c r="AO24" s="77">
        <f t="shared" si="7"/>
        <v>0</v>
      </c>
      <c r="AP24" s="77">
        <f t="shared" si="7"/>
        <v>0</v>
      </c>
      <c r="AQ24" s="77">
        <f t="shared" si="7"/>
        <v>0</v>
      </c>
      <c r="AR24" s="77">
        <f t="shared" si="7"/>
        <v>0</v>
      </c>
      <c r="AS24" s="77">
        <f t="shared" si="7"/>
        <v>0</v>
      </c>
      <c r="AT24" s="77">
        <f t="shared" si="7"/>
        <v>0</v>
      </c>
      <c r="AU24" s="77">
        <f t="shared" si="7"/>
        <v>0</v>
      </c>
      <c r="AV24" s="77">
        <f t="shared" si="7"/>
        <v>0</v>
      </c>
      <c r="AW24" s="77">
        <f t="shared" si="7"/>
        <v>0</v>
      </c>
      <c r="AX24" s="77">
        <f t="shared" si="7"/>
        <v>0</v>
      </c>
      <c r="AY24" s="77">
        <f t="shared" si="7"/>
        <v>0</v>
      </c>
      <c r="AZ24" s="77">
        <f t="shared" si="7"/>
        <v>0</v>
      </c>
      <c r="BA24" s="77">
        <f t="shared" si="4"/>
        <v>0</v>
      </c>
      <c r="BB24" s="77">
        <f t="shared" si="4"/>
        <v>0</v>
      </c>
      <c r="BC24" s="77">
        <f t="shared" si="4"/>
        <v>0</v>
      </c>
      <c r="BD24" s="77">
        <f t="shared" si="4"/>
        <v>0</v>
      </c>
      <c r="BE24" s="77">
        <f t="shared" si="4"/>
        <v>0</v>
      </c>
    </row>
    <row r="25" spans="1:57">
      <c r="C25" s="77">
        <f t="shared" si="2"/>
        <v>89339877.444686994</v>
      </c>
      <c r="D25">
        <v>2027</v>
      </c>
      <c r="E25" s="77">
        <f t="shared" si="3"/>
        <v>198016.96174971468</v>
      </c>
      <c r="F25" s="77">
        <f t="shared" si="3"/>
        <v>237956.16318810653</v>
      </c>
      <c r="G25" s="77">
        <f t="shared" si="3"/>
        <v>190083.25955525626</v>
      </c>
      <c r="H25" s="77">
        <f t="shared" si="3"/>
        <v>295462.56372794963</v>
      </c>
      <c r="I25" s="77">
        <f t="shared" si="3"/>
        <v>231175.91653827028</v>
      </c>
      <c r="J25" s="77">
        <f t="shared" si="3"/>
        <v>209873.39162245175</v>
      </c>
      <c r="K25" s="77">
        <f t="shared" si="3"/>
        <v>296538.67559574579</v>
      </c>
      <c r="L25" s="77">
        <f t="shared" si="3"/>
        <v>391073.3644793593</v>
      </c>
      <c r="M25" s="77">
        <f t="shared" si="3"/>
        <v>183053.28702144715</v>
      </c>
      <c r="N25" s="77">
        <f t="shared" si="3"/>
        <v>278852.98147678573</v>
      </c>
      <c r="O25" s="77">
        <f t="shared" si="3"/>
        <v>394264.08586478303</v>
      </c>
      <c r="P25" s="77">
        <f t="shared" si="3"/>
        <v>419702.06878520607</v>
      </c>
      <c r="Q25" s="77">
        <f t="shared" si="3"/>
        <v>397254.16254643077</v>
      </c>
      <c r="R25" s="77">
        <f t="shared" si="3"/>
        <v>893364.8432168446</v>
      </c>
      <c r="S25" s="77">
        <f t="shared" si="3"/>
        <v>517567.61083744111</v>
      </c>
      <c r="T25" s="77">
        <f t="shared" si="3"/>
        <v>0</v>
      </c>
      <c r="U25" s="77">
        <f t="shared" si="6"/>
        <v>0</v>
      </c>
      <c r="V25" s="77">
        <f t="shared" si="6"/>
        <v>0</v>
      </c>
      <c r="W25" s="77">
        <f t="shared" si="6"/>
        <v>0</v>
      </c>
      <c r="X25" s="77">
        <f t="shared" si="6"/>
        <v>0</v>
      </c>
      <c r="Y25" s="77">
        <f t="shared" si="6"/>
        <v>0</v>
      </c>
      <c r="Z25" s="77">
        <f t="shared" si="6"/>
        <v>0</v>
      </c>
      <c r="AA25" s="77">
        <f t="shared" si="6"/>
        <v>0</v>
      </c>
      <c r="AB25" s="77">
        <f t="shared" si="6"/>
        <v>0</v>
      </c>
      <c r="AC25" s="77">
        <f t="shared" si="6"/>
        <v>0</v>
      </c>
      <c r="AD25" s="77">
        <f t="shared" si="6"/>
        <v>0</v>
      </c>
      <c r="AE25" s="77">
        <f t="shared" si="6"/>
        <v>0</v>
      </c>
      <c r="AF25" s="77">
        <f t="shared" si="6"/>
        <v>0</v>
      </c>
      <c r="AG25" s="77">
        <f t="shared" si="6"/>
        <v>0</v>
      </c>
      <c r="AH25" s="77">
        <f t="shared" si="6"/>
        <v>0</v>
      </c>
      <c r="AI25" s="77">
        <f t="shared" si="6"/>
        <v>0</v>
      </c>
      <c r="AJ25" s="77">
        <f t="shared" si="6"/>
        <v>0</v>
      </c>
      <c r="AK25" s="77">
        <f t="shared" si="7"/>
        <v>0</v>
      </c>
      <c r="AL25" s="77">
        <f t="shared" si="7"/>
        <v>0</v>
      </c>
      <c r="AM25" s="77">
        <f t="shared" si="7"/>
        <v>0</v>
      </c>
      <c r="AN25" s="77">
        <f t="shared" si="7"/>
        <v>0</v>
      </c>
      <c r="AO25" s="77">
        <f t="shared" si="7"/>
        <v>0</v>
      </c>
      <c r="AP25" s="77">
        <f t="shared" si="7"/>
        <v>0</v>
      </c>
      <c r="AQ25" s="77">
        <f t="shared" si="7"/>
        <v>0</v>
      </c>
      <c r="AR25" s="77">
        <f t="shared" si="7"/>
        <v>0</v>
      </c>
      <c r="AS25" s="77">
        <f t="shared" si="7"/>
        <v>0</v>
      </c>
      <c r="AT25" s="77">
        <f t="shared" si="7"/>
        <v>0</v>
      </c>
      <c r="AU25" s="77">
        <f t="shared" si="7"/>
        <v>0</v>
      </c>
      <c r="AV25" s="77">
        <f t="shared" si="7"/>
        <v>0</v>
      </c>
      <c r="AW25" s="77">
        <f t="shared" si="7"/>
        <v>0</v>
      </c>
      <c r="AX25" s="77">
        <f t="shared" si="7"/>
        <v>0</v>
      </c>
      <c r="AY25" s="77">
        <f t="shared" si="7"/>
        <v>0</v>
      </c>
      <c r="AZ25" s="77">
        <f t="shared" si="7"/>
        <v>0</v>
      </c>
      <c r="BA25" s="77">
        <f t="shared" si="4"/>
        <v>0</v>
      </c>
      <c r="BB25" s="77">
        <f t="shared" si="4"/>
        <v>0</v>
      </c>
      <c r="BC25" s="77">
        <f t="shared" si="4"/>
        <v>0</v>
      </c>
      <c r="BD25" s="77">
        <f t="shared" si="4"/>
        <v>0</v>
      </c>
      <c r="BE25" s="77">
        <f t="shared" si="4"/>
        <v>0</v>
      </c>
    </row>
    <row r="26" spans="1:57">
      <c r="C26" s="77">
        <f t="shared" si="2"/>
        <v>93997828.889649034</v>
      </c>
      <c r="D26">
        <v>2028</v>
      </c>
      <c r="E26" s="77">
        <f t="shared" si="3"/>
        <v>0</v>
      </c>
      <c r="F26" s="77">
        <f t="shared" si="3"/>
        <v>237956.16318810653</v>
      </c>
      <c r="G26" s="77">
        <f t="shared" si="3"/>
        <v>190083.25955525626</v>
      </c>
      <c r="H26" s="77">
        <f t="shared" si="3"/>
        <v>295462.56372794963</v>
      </c>
      <c r="I26" s="77">
        <f t="shared" si="3"/>
        <v>231175.91653827028</v>
      </c>
      <c r="J26" s="77">
        <f t="shared" si="3"/>
        <v>209873.39162245175</v>
      </c>
      <c r="K26" s="77">
        <f t="shared" si="3"/>
        <v>296538.67559574579</v>
      </c>
      <c r="L26" s="77">
        <f t="shared" si="3"/>
        <v>391073.3644793593</v>
      </c>
      <c r="M26" s="77">
        <f t="shared" si="3"/>
        <v>183053.28702144715</v>
      </c>
      <c r="N26" s="77">
        <f t="shared" si="3"/>
        <v>253502.71043344159</v>
      </c>
      <c r="O26" s="77">
        <f t="shared" si="3"/>
        <v>358421.89624071179</v>
      </c>
      <c r="P26" s="77">
        <f t="shared" ref="P26:AE41" si="8">IF(AND($D26&lt;(P$2+P$3),$D26&gt;=P$2),VDB(P$4,0,P$3,($D26-P$2),($D26-(P$2-1))),0)</f>
        <v>381547.33525927825</v>
      </c>
      <c r="Q26" s="77">
        <f t="shared" si="8"/>
        <v>359420.43278010405</v>
      </c>
      <c r="R26" s="77">
        <f t="shared" si="8"/>
        <v>799326.43866770307</v>
      </c>
      <c r="S26" s="77">
        <f t="shared" si="8"/>
        <v>470516.0098522192</v>
      </c>
      <c r="T26" s="77">
        <f t="shared" si="8"/>
        <v>0</v>
      </c>
      <c r="U26" s="77">
        <f t="shared" si="8"/>
        <v>0</v>
      </c>
      <c r="V26" s="77">
        <f t="shared" si="8"/>
        <v>0</v>
      </c>
      <c r="W26" s="77">
        <f t="shared" si="8"/>
        <v>0</v>
      </c>
      <c r="X26" s="77">
        <f t="shared" si="8"/>
        <v>0</v>
      </c>
      <c r="Y26" s="77">
        <f t="shared" si="8"/>
        <v>0</v>
      </c>
      <c r="Z26" s="77">
        <f t="shared" si="8"/>
        <v>0</v>
      </c>
      <c r="AA26" s="77">
        <f t="shared" si="8"/>
        <v>0</v>
      </c>
      <c r="AB26" s="77">
        <f t="shared" si="8"/>
        <v>0</v>
      </c>
      <c r="AC26" s="77">
        <f t="shared" si="8"/>
        <v>0</v>
      </c>
      <c r="AD26" s="77">
        <f t="shared" si="8"/>
        <v>0</v>
      </c>
      <c r="AE26" s="77">
        <f t="shared" si="8"/>
        <v>0</v>
      </c>
      <c r="AF26" s="77">
        <f t="shared" si="6"/>
        <v>0</v>
      </c>
      <c r="AG26" s="77">
        <f t="shared" si="6"/>
        <v>0</v>
      </c>
      <c r="AH26" s="77">
        <f t="shared" si="6"/>
        <v>0</v>
      </c>
      <c r="AI26" s="77">
        <f t="shared" si="6"/>
        <v>0</v>
      </c>
      <c r="AJ26" s="77">
        <f t="shared" si="6"/>
        <v>0</v>
      </c>
      <c r="AK26" s="77">
        <f t="shared" si="7"/>
        <v>0</v>
      </c>
      <c r="AL26" s="77">
        <f t="shared" si="7"/>
        <v>0</v>
      </c>
      <c r="AM26" s="77">
        <f t="shared" si="7"/>
        <v>0</v>
      </c>
      <c r="AN26" s="77">
        <f t="shared" si="7"/>
        <v>0</v>
      </c>
      <c r="AO26" s="77">
        <f t="shared" si="7"/>
        <v>0</v>
      </c>
      <c r="AP26" s="77">
        <f t="shared" si="7"/>
        <v>0</v>
      </c>
      <c r="AQ26" s="77">
        <f t="shared" si="7"/>
        <v>0</v>
      </c>
      <c r="AR26" s="77">
        <f t="shared" si="7"/>
        <v>0</v>
      </c>
      <c r="AS26" s="77">
        <f t="shared" si="7"/>
        <v>0</v>
      </c>
      <c r="AT26" s="77">
        <f t="shared" si="7"/>
        <v>0</v>
      </c>
      <c r="AU26" s="77">
        <f t="shared" si="7"/>
        <v>0</v>
      </c>
      <c r="AV26" s="77">
        <f t="shared" si="7"/>
        <v>0</v>
      </c>
      <c r="AW26" s="77">
        <f t="shared" si="7"/>
        <v>0</v>
      </c>
      <c r="AX26" s="77">
        <f t="shared" si="7"/>
        <v>0</v>
      </c>
      <c r="AY26" s="77">
        <f t="shared" si="7"/>
        <v>0</v>
      </c>
      <c r="AZ26" s="77">
        <f t="shared" ref="AZ26:BE44" si="9">IF(AND($D26&lt;(AZ$2+AZ$3),$D26&gt;=AZ$2),VDB(AZ$4,0,AZ$3,($D26-AZ$2),($D26-(AZ$2-1))),0)</f>
        <v>0</v>
      </c>
      <c r="BA26" s="77">
        <f t="shared" si="9"/>
        <v>0</v>
      </c>
      <c r="BB26" s="77">
        <f t="shared" si="9"/>
        <v>0</v>
      </c>
      <c r="BC26" s="77">
        <f t="shared" si="9"/>
        <v>0</v>
      </c>
      <c r="BD26" s="77">
        <f t="shared" si="9"/>
        <v>0</v>
      </c>
      <c r="BE26" s="77">
        <f t="shared" si="9"/>
        <v>0</v>
      </c>
    </row>
    <row r="27" spans="1:57">
      <c r="C27" s="77">
        <f t="shared" si="2"/>
        <v>98189409.916042224</v>
      </c>
      <c r="D27">
        <v>2029</v>
      </c>
      <c r="E27" s="77">
        <f t="shared" ref="E27:T42" si="10">IF(AND($D27&lt;(E$2+E$3),$D27&gt;=E$2),VDB(E$4,0,E$3,($D27-E$2),($D27-(E$2-1))),0)</f>
        <v>0</v>
      </c>
      <c r="F27" s="77">
        <f t="shared" si="10"/>
        <v>0</v>
      </c>
      <c r="G27" s="77">
        <f t="shared" si="10"/>
        <v>190083.25955525626</v>
      </c>
      <c r="H27" s="77">
        <f t="shared" si="10"/>
        <v>295462.56372794963</v>
      </c>
      <c r="I27" s="77">
        <f t="shared" si="10"/>
        <v>231175.91653827028</v>
      </c>
      <c r="J27" s="77">
        <f t="shared" si="10"/>
        <v>209873.39162245175</v>
      </c>
      <c r="K27" s="77">
        <f t="shared" si="10"/>
        <v>296538.67559574579</v>
      </c>
      <c r="L27" s="77">
        <f t="shared" si="10"/>
        <v>391073.3644793593</v>
      </c>
      <c r="M27" s="77">
        <f t="shared" si="10"/>
        <v>183053.28702144715</v>
      </c>
      <c r="N27" s="77">
        <f t="shared" si="10"/>
        <v>253502.71043344159</v>
      </c>
      <c r="O27" s="77">
        <f t="shared" si="10"/>
        <v>325838.08749155619</v>
      </c>
      <c r="P27" s="77">
        <f t="shared" si="10"/>
        <v>346861.21387207112</v>
      </c>
      <c r="Q27" s="77">
        <f t="shared" si="10"/>
        <v>325189.91537247505</v>
      </c>
      <c r="R27" s="77">
        <f t="shared" si="10"/>
        <v>715186.81354478688</v>
      </c>
      <c r="S27" s="77">
        <f t="shared" si="10"/>
        <v>427741.82713838108</v>
      </c>
      <c r="T27" s="77">
        <f t="shared" si="10"/>
        <v>0</v>
      </c>
      <c r="U27" s="77">
        <f t="shared" si="8"/>
        <v>0</v>
      </c>
      <c r="V27" s="77">
        <f t="shared" si="8"/>
        <v>0</v>
      </c>
      <c r="W27" s="77">
        <f t="shared" si="8"/>
        <v>0</v>
      </c>
      <c r="X27" s="77">
        <f t="shared" si="8"/>
        <v>0</v>
      </c>
      <c r="Y27" s="77">
        <f t="shared" si="8"/>
        <v>0</v>
      </c>
      <c r="Z27" s="77">
        <f t="shared" si="8"/>
        <v>0</v>
      </c>
      <c r="AA27" s="77">
        <f t="shared" si="8"/>
        <v>0</v>
      </c>
      <c r="AB27" s="77">
        <f t="shared" si="8"/>
        <v>0</v>
      </c>
      <c r="AC27" s="77">
        <f t="shared" si="8"/>
        <v>0</v>
      </c>
      <c r="AD27" s="77">
        <f t="shared" si="8"/>
        <v>0</v>
      </c>
      <c r="AE27" s="77">
        <f t="shared" si="8"/>
        <v>0</v>
      </c>
      <c r="AF27" s="77">
        <f t="shared" si="6"/>
        <v>0</v>
      </c>
      <c r="AG27" s="77">
        <f t="shared" si="6"/>
        <v>0</v>
      </c>
      <c r="AH27" s="77">
        <f t="shared" si="6"/>
        <v>0</v>
      </c>
      <c r="AI27" s="77">
        <f t="shared" si="6"/>
        <v>0</v>
      </c>
      <c r="AJ27" s="77">
        <f t="shared" si="6"/>
        <v>0</v>
      </c>
      <c r="AK27" s="77">
        <f t="shared" ref="AK27:AZ44" si="11">IF(AND($D27&lt;(AK$2+AK$3),$D27&gt;=AK$2),VDB(AK$4,0,AK$3,($D27-AK$2),($D27-(AK$2-1))),0)</f>
        <v>0</v>
      </c>
      <c r="AL27" s="77">
        <f t="shared" si="11"/>
        <v>0</v>
      </c>
      <c r="AM27" s="77">
        <f t="shared" si="11"/>
        <v>0</v>
      </c>
      <c r="AN27" s="77">
        <f t="shared" si="11"/>
        <v>0</v>
      </c>
      <c r="AO27" s="77">
        <f t="shared" si="11"/>
        <v>0</v>
      </c>
      <c r="AP27" s="77">
        <f t="shared" si="11"/>
        <v>0</v>
      </c>
      <c r="AQ27" s="77">
        <f t="shared" si="11"/>
        <v>0</v>
      </c>
      <c r="AR27" s="77">
        <f t="shared" si="11"/>
        <v>0</v>
      </c>
      <c r="AS27" s="77">
        <f t="shared" si="11"/>
        <v>0</v>
      </c>
      <c r="AT27" s="77">
        <f t="shared" si="11"/>
        <v>0</v>
      </c>
      <c r="AU27" s="77">
        <f t="shared" si="11"/>
        <v>0</v>
      </c>
      <c r="AV27" s="77">
        <f t="shared" si="11"/>
        <v>0</v>
      </c>
      <c r="AW27" s="77">
        <f t="shared" si="11"/>
        <v>0</v>
      </c>
      <c r="AX27" s="77">
        <f t="shared" si="11"/>
        <v>0</v>
      </c>
      <c r="AY27" s="77">
        <f t="shared" si="11"/>
        <v>0</v>
      </c>
      <c r="AZ27" s="77">
        <f t="shared" si="11"/>
        <v>0</v>
      </c>
      <c r="BA27" s="77">
        <f t="shared" si="9"/>
        <v>0</v>
      </c>
      <c r="BB27" s="77">
        <f t="shared" si="9"/>
        <v>0</v>
      </c>
      <c r="BC27" s="77">
        <f t="shared" si="9"/>
        <v>0</v>
      </c>
      <c r="BD27" s="77">
        <f t="shared" si="9"/>
        <v>0</v>
      </c>
      <c r="BE27" s="77">
        <f t="shared" si="9"/>
        <v>0</v>
      </c>
    </row>
    <row r="28" spans="1:57">
      <c r="C28" s="77">
        <f t="shared" si="2"/>
        <v>102204319.19355263</v>
      </c>
      <c r="D28">
        <v>2030</v>
      </c>
      <c r="E28" s="77">
        <f t="shared" si="10"/>
        <v>0</v>
      </c>
      <c r="F28" s="77">
        <f t="shared" si="10"/>
        <v>0</v>
      </c>
      <c r="G28" s="77">
        <f t="shared" si="10"/>
        <v>190083.25955525626</v>
      </c>
      <c r="H28" s="77">
        <f t="shared" si="10"/>
        <v>295462.56372794963</v>
      </c>
      <c r="I28" s="77">
        <f t="shared" si="10"/>
        <v>231175.91653827028</v>
      </c>
      <c r="J28" s="77">
        <f t="shared" si="10"/>
        <v>209873.39162245175</v>
      </c>
      <c r="K28" s="77">
        <f t="shared" si="10"/>
        <v>296538.67559574579</v>
      </c>
      <c r="L28" s="77">
        <f t="shared" si="10"/>
        <v>391073.3644793593</v>
      </c>
      <c r="M28" s="77">
        <f t="shared" si="10"/>
        <v>183053.28702144715</v>
      </c>
      <c r="N28" s="77">
        <f t="shared" si="10"/>
        <v>253502.71043344159</v>
      </c>
      <c r="O28" s="77">
        <f t="shared" si="10"/>
        <v>325838.08749155619</v>
      </c>
      <c r="P28" s="77">
        <f t="shared" si="10"/>
        <v>315328.37624733738</v>
      </c>
      <c r="Q28" s="77">
        <f t="shared" si="10"/>
        <v>294219.44724176318</v>
      </c>
      <c r="R28" s="77">
        <f t="shared" si="10"/>
        <v>639903.99106638832</v>
      </c>
      <c r="S28" s="77">
        <f t="shared" si="10"/>
        <v>388856.20648943738</v>
      </c>
      <c r="T28" s="77">
        <f t="shared" si="10"/>
        <v>0</v>
      </c>
      <c r="U28" s="77">
        <f t="shared" si="8"/>
        <v>0</v>
      </c>
      <c r="V28" s="77">
        <f t="shared" si="8"/>
        <v>0</v>
      </c>
      <c r="W28" s="77">
        <f t="shared" si="8"/>
        <v>0</v>
      </c>
      <c r="X28" s="77">
        <f t="shared" si="8"/>
        <v>0</v>
      </c>
      <c r="Y28" s="77">
        <f t="shared" si="8"/>
        <v>0</v>
      </c>
      <c r="Z28" s="77">
        <f t="shared" si="8"/>
        <v>0</v>
      </c>
      <c r="AA28" s="77">
        <f t="shared" si="8"/>
        <v>0</v>
      </c>
      <c r="AB28" s="77">
        <f t="shared" si="8"/>
        <v>0</v>
      </c>
      <c r="AC28" s="77">
        <f t="shared" si="8"/>
        <v>0</v>
      </c>
      <c r="AD28" s="77">
        <f t="shared" si="8"/>
        <v>0</v>
      </c>
      <c r="AE28" s="77">
        <f t="shared" si="8"/>
        <v>0</v>
      </c>
      <c r="AF28" s="77">
        <f t="shared" si="6"/>
        <v>0</v>
      </c>
      <c r="AG28" s="77">
        <f t="shared" si="6"/>
        <v>0</v>
      </c>
      <c r="AH28" s="77">
        <f t="shared" si="6"/>
        <v>0</v>
      </c>
      <c r="AI28" s="77">
        <f t="shared" si="6"/>
        <v>0</v>
      </c>
      <c r="AJ28" s="77">
        <f t="shared" si="6"/>
        <v>0</v>
      </c>
      <c r="AK28" s="77">
        <f t="shared" si="11"/>
        <v>0</v>
      </c>
      <c r="AL28" s="77">
        <f t="shared" si="11"/>
        <v>0</v>
      </c>
      <c r="AM28" s="77">
        <f t="shared" si="11"/>
        <v>0</v>
      </c>
      <c r="AN28" s="77">
        <f t="shared" si="11"/>
        <v>0</v>
      </c>
      <c r="AO28" s="77">
        <f t="shared" si="11"/>
        <v>0</v>
      </c>
      <c r="AP28" s="77">
        <f t="shared" si="11"/>
        <v>0</v>
      </c>
      <c r="AQ28" s="77">
        <f t="shared" si="11"/>
        <v>0</v>
      </c>
      <c r="AR28" s="77">
        <f t="shared" si="11"/>
        <v>0</v>
      </c>
      <c r="AS28" s="77">
        <f t="shared" si="11"/>
        <v>0</v>
      </c>
      <c r="AT28" s="77">
        <f t="shared" si="11"/>
        <v>0</v>
      </c>
      <c r="AU28" s="77">
        <f t="shared" si="11"/>
        <v>0</v>
      </c>
      <c r="AV28" s="77">
        <f t="shared" si="11"/>
        <v>0</v>
      </c>
      <c r="AW28" s="77">
        <f t="shared" si="11"/>
        <v>0</v>
      </c>
      <c r="AX28" s="77">
        <f t="shared" si="11"/>
        <v>0</v>
      </c>
      <c r="AY28" s="77">
        <f t="shared" si="11"/>
        <v>0</v>
      </c>
      <c r="AZ28" s="77">
        <f t="shared" si="11"/>
        <v>0</v>
      </c>
      <c r="BA28" s="77">
        <f t="shared" si="9"/>
        <v>0</v>
      </c>
      <c r="BB28" s="77">
        <f t="shared" si="9"/>
        <v>0</v>
      </c>
      <c r="BC28" s="77">
        <f t="shared" si="9"/>
        <v>0</v>
      </c>
      <c r="BD28" s="77">
        <f t="shared" si="9"/>
        <v>0</v>
      </c>
      <c r="BE28" s="77">
        <f t="shared" si="9"/>
        <v>0</v>
      </c>
    </row>
    <row r="29" spans="1:57">
      <c r="C29" s="77">
        <f t="shared" si="2"/>
        <v>106133616.71274872</v>
      </c>
      <c r="D29">
        <v>2031</v>
      </c>
      <c r="E29" s="77">
        <f t="shared" si="10"/>
        <v>0</v>
      </c>
      <c r="F29" s="77">
        <f t="shared" si="10"/>
        <v>0</v>
      </c>
      <c r="G29" s="77">
        <f t="shared" si="10"/>
        <v>190083.25955525626</v>
      </c>
      <c r="H29" s="77">
        <f t="shared" si="10"/>
        <v>295462.56372794963</v>
      </c>
      <c r="I29" s="77">
        <f t="shared" si="10"/>
        <v>231175.91653827028</v>
      </c>
      <c r="J29" s="77">
        <f t="shared" si="10"/>
        <v>209873.39162245175</v>
      </c>
      <c r="K29" s="77">
        <f t="shared" si="10"/>
        <v>296538.67559574579</v>
      </c>
      <c r="L29" s="77">
        <f t="shared" si="10"/>
        <v>391073.3644793593</v>
      </c>
      <c r="M29" s="77">
        <f t="shared" si="10"/>
        <v>183053.28702144715</v>
      </c>
      <c r="N29" s="77">
        <f t="shared" si="10"/>
        <v>253502.71043344159</v>
      </c>
      <c r="O29" s="77">
        <f t="shared" si="10"/>
        <v>325838.08749155619</v>
      </c>
      <c r="P29" s="77">
        <f t="shared" si="10"/>
        <v>315328.37624733732</v>
      </c>
      <c r="Q29" s="77">
        <f t="shared" si="10"/>
        <v>279508.47487967502</v>
      </c>
      <c r="R29" s="77">
        <f t="shared" si="10"/>
        <v>604353.76934047788</v>
      </c>
      <c r="S29" s="77">
        <f t="shared" si="10"/>
        <v>353505.64226312487</v>
      </c>
      <c r="T29" s="77">
        <f t="shared" si="10"/>
        <v>0</v>
      </c>
      <c r="U29" s="77">
        <f t="shared" si="8"/>
        <v>0</v>
      </c>
      <c r="V29" s="77">
        <f t="shared" si="8"/>
        <v>0</v>
      </c>
      <c r="W29" s="77">
        <f t="shared" si="8"/>
        <v>0</v>
      </c>
      <c r="X29" s="77">
        <f t="shared" si="8"/>
        <v>0</v>
      </c>
      <c r="Y29" s="77">
        <f t="shared" si="8"/>
        <v>0</v>
      </c>
      <c r="Z29" s="77">
        <f t="shared" si="8"/>
        <v>0</v>
      </c>
      <c r="AA29" s="77">
        <f t="shared" si="8"/>
        <v>0</v>
      </c>
      <c r="AB29" s="77">
        <f t="shared" si="8"/>
        <v>0</v>
      </c>
      <c r="AC29" s="77">
        <f t="shared" si="8"/>
        <v>0</v>
      </c>
      <c r="AD29" s="77">
        <f t="shared" si="8"/>
        <v>0</v>
      </c>
      <c r="AE29" s="77">
        <f t="shared" si="8"/>
        <v>0</v>
      </c>
      <c r="AF29" s="77">
        <f t="shared" ref="AF29:AU45" si="12">IF(AND($D29&lt;(AF$2+AF$3),$D29&gt;=AF$2),VDB(AF$4,0,AF$3,($D29-AF$2),($D29-(AF$2-1))),0)</f>
        <v>0</v>
      </c>
      <c r="AG29" s="77">
        <f t="shared" si="12"/>
        <v>0</v>
      </c>
      <c r="AH29" s="77">
        <f t="shared" si="12"/>
        <v>0</v>
      </c>
      <c r="AI29" s="77">
        <f t="shared" si="12"/>
        <v>0</v>
      </c>
      <c r="AJ29" s="77">
        <f t="shared" si="12"/>
        <v>0</v>
      </c>
      <c r="AK29" s="77">
        <f t="shared" si="12"/>
        <v>0</v>
      </c>
      <c r="AL29" s="77">
        <f t="shared" si="12"/>
        <v>0</v>
      </c>
      <c r="AM29" s="77">
        <f t="shared" si="12"/>
        <v>0</v>
      </c>
      <c r="AN29" s="77">
        <f t="shared" si="12"/>
        <v>0</v>
      </c>
      <c r="AO29" s="77">
        <f t="shared" si="12"/>
        <v>0</v>
      </c>
      <c r="AP29" s="77">
        <f t="shared" si="12"/>
        <v>0</v>
      </c>
      <c r="AQ29" s="77">
        <f t="shared" si="12"/>
        <v>0</v>
      </c>
      <c r="AR29" s="77">
        <f t="shared" si="12"/>
        <v>0</v>
      </c>
      <c r="AS29" s="77">
        <f t="shared" si="12"/>
        <v>0</v>
      </c>
      <c r="AT29" s="77">
        <f t="shared" si="12"/>
        <v>0</v>
      </c>
      <c r="AU29" s="77">
        <f t="shared" si="12"/>
        <v>0</v>
      </c>
      <c r="AV29" s="77">
        <f t="shared" si="11"/>
        <v>0</v>
      </c>
      <c r="AW29" s="77">
        <f t="shared" si="11"/>
        <v>0</v>
      </c>
      <c r="AX29" s="77">
        <f t="shared" si="11"/>
        <v>0</v>
      </c>
      <c r="AY29" s="77">
        <f t="shared" si="11"/>
        <v>0</v>
      </c>
      <c r="AZ29" s="77">
        <f t="shared" si="11"/>
        <v>0</v>
      </c>
      <c r="BA29" s="77">
        <f t="shared" si="9"/>
        <v>0</v>
      </c>
      <c r="BB29" s="77">
        <f t="shared" si="9"/>
        <v>0</v>
      </c>
      <c r="BC29" s="77">
        <f t="shared" si="9"/>
        <v>0</v>
      </c>
      <c r="BD29" s="77">
        <f t="shared" si="9"/>
        <v>0</v>
      </c>
      <c r="BE29" s="77">
        <f t="shared" si="9"/>
        <v>0</v>
      </c>
    </row>
    <row r="30" spans="1:57">
      <c r="C30" s="77">
        <f t="shared" si="2"/>
        <v>109153082.05574508</v>
      </c>
      <c r="D30">
        <v>2032</v>
      </c>
      <c r="E30" s="77">
        <f t="shared" si="10"/>
        <v>0</v>
      </c>
      <c r="F30" s="77">
        <f t="shared" si="10"/>
        <v>0</v>
      </c>
      <c r="G30" s="77">
        <f t="shared" si="10"/>
        <v>0</v>
      </c>
      <c r="H30" s="77">
        <f t="shared" si="10"/>
        <v>295462.56372794963</v>
      </c>
      <c r="I30" s="77">
        <f t="shared" si="10"/>
        <v>231175.91653827028</v>
      </c>
      <c r="J30" s="77">
        <f t="shared" si="10"/>
        <v>209873.39162245175</v>
      </c>
      <c r="K30" s="77">
        <f t="shared" si="10"/>
        <v>0</v>
      </c>
      <c r="L30" s="77">
        <f t="shared" si="10"/>
        <v>0</v>
      </c>
      <c r="M30" s="77">
        <f t="shared" si="10"/>
        <v>183053.28702144715</v>
      </c>
      <c r="N30" s="77">
        <f t="shared" si="10"/>
        <v>253502.71043344159</v>
      </c>
      <c r="O30" s="77">
        <f t="shared" si="10"/>
        <v>325838.08749155619</v>
      </c>
      <c r="P30" s="77">
        <f t="shared" si="10"/>
        <v>315328.37624733732</v>
      </c>
      <c r="Q30" s="77">
        <f t="shared" si="10"/>
        <v>279508.47487967502</v>
      </c>
      <c r="R30" s="77">
        <f t="shared" si="10"/>
        <v>604353.76934047788</v>
      </c>
      <c r="S30" s="77">
        <f t="shared" si="10"/>
        <v>321368.76569374988</v>
      </c>
      <c r="T30" s="77">
        <f t="shared" si="10"/>
        <v>0</v>
      </c>
      <c r="U30" s="77">
        <f t="shared" si="8"/>
        <v>0</v>
      </c>
      <c r="V30" s="77">
        <f t="shared" si="8"/>
        <v>0</v>
      </c>
      <c r="W30" s="77">
        <f t="shared" si="8"/>
        <v>0</v>
      </c>
      <c r="X30" s="77">
        <f t="shared" si="8"/>
        <v>0</v>
      </c>
      <c r="Y30" s="77">
        <f t="shared" si="8"/>
        <v>0</v>
      </c>
      <c r="Z30" s="77">
        <f t="shared" si="8"/>
        <v>0</v>
      </c>
      <c r="AA30" s="77">
        <f t="shared" si="8"/>
        <v>0</v>
      </c>
      <c r="AB30" s="77">
        <f t="shared" si="8"/>
        <v>0</v>
      </c>
      <c r="AC30" s="77">
        <f t="shared" si="8"/>
        <v>0</v>
      </c>
      <c r="AD30" s="77">
        <f t="shared" si="8"/>
        <v>0</v>
      </c>
      <c r="AE30" s="77">
        <f t="shared" si="8"/>
        <v>0</v>
      </c>
      <c r="AF30" s="77">
        <f t="shared" si="12"/>
        <v>0</v>
      </c>
      <c r="AG30" s="77">
        <f t="shared" si="12"/>
        <v>0</v>
      </c>
      <c r="AH30" s="77">
        <f t="shared" si="12"/>
        <v>0</v>
      </c>
      <c r="AI30" s="77">
        <f t="shared" si="12"/>
        <v>0</v>
      </c>
      <c r="AJ30" s="77">
        <f t="shared" si="12"/>
        <v>0</v>
      </c>
      <c r="AK30" s="77">
        <f t="shared" si="12"/>
        <v>0</v>
      </c>
      <c r="AL30" s="77">
        <f t="shared" si="12"/>
        <v>0</v>
      </c>
      <c r="AM30" s="77">
        <f t="shared" si="12"/>
        <v>0</v>
      </c>
      <c r="AN30" s="77">
        <f t="shared" si="12"/>
        <v>0</v>
      </c>
      <c r="AO30" s="77">
        <f t="shared" si="12"/>
        <v>0</v>
      </c>
      <c r="AP30" s="77">
        <f t="shared" si="12"/>
        <v>0</v>
      </c>
      <c r="AQ30" s="77">
        <f t="shared" si="12"/>
        <v>0</v>
      </c>
      <c r="AR30" s="77">
        <f t="shared" si="12"/>
        <v>0</v>
      </c>
      <c r="AS30" s="77">
        <f t="shared" si="12"/>
        <v>0</v>
      </c>
      <c r="AT30" s="77">
        <f t="shared" si="12"/>
        <v>0</v>
      </c>
      <c r="AU30" s="77">
        <f t="shared" si="12"/>
        <v>0</v>
      </c>
      <c r="AV30" s="77">
        <f t="shared" si="11"/>
        <v>0</v>
      </c>
      <c r="AW30" s="77">
        <f t="shared" si="11"/>
        <v>0</v>
      </c>
      <c r="AX30" s="77">
        <f t="shared" si="11"/>
        <v>0</v>
      </c>
      <c r="AY30" s="77">
        <f t="shared" si="11"/>
        <v>0</v>
      </c>
      <c r="AZ30" s="77">
        <f t="shared" si="11"/>
        <v>0</v>
      </c>
      <c r="BA30" s="77">
        <f t="shared" si="9"/>
        <v>0</v>
      </c>
      <c r="BB30" s="77">
        <f t="shared" si="9"/>
        <v>0</v>
      </c>
      <c r="BC30" s="77">
        <f t="shared" si="9"/>
        <v>0</v>
      </c>
      <c r="BD30" s="77">
        <f t="shared" si="9"/>
        <v>0</v>
      </c>
      <c r="BE30" s="77">
        <f t="shared" si="9"/>
        <v>0</v>
      </c>
    </row>
    <row r="31" spans="1:57">
      <c r="C31" s="77">
        <f t="shared" si="2"/>
        <v>111912156.13986737</v>
      </c>
      <c r="D31">
        <v>2033</v>
      </c>
      <c r="E31" s="77">
        <f t="shared" si="10"/>
        <v>0</v>
      </c>
      <c r="F31" s="77">
        <f t="shared" si="10"/>
        <v>0</v>
      </c>
      <c r="G31" s="77">
        <f t="shared" si="10"/>
        <v>0</v>
      </c>
      <c r="H31" s="77">
        <f t="shared" si="10"/>
        <v>295462.56372794963</v>
      </c>
      <c r="I31" s="77">
        <f t="shared" si="10"/>
        <v>0</v>
      </c>
      <c r="J31" s="77">
        <f t="shared" si="10"/>
        <v>209873.39162245175</v>
      </c>
      <c r="K31" s="77">
        <f t="shared" si="10"/>
        <v>0</v>
      </c>
      <c r="L31" s="77">
        <f t="shared" si="10"/>
        <v>0</v>
      </c>
      <c r="M31" s="77">
        <f t="shared" si="10"/>
        <v>183053.28702144715</v>
      </c>
      <c r="N31" s="77">
        <f t="shared" si="10"/>
        <v>253502.71043344159</v>
      </c>
      <c r="O31" s="77">
        <f t="shared" si="10"/>
        <v>325838.08749155619</v>
      </c>
      <c r="P31" s="77">
        <f t="shared" si="10"/>
        <v>315328.37624733732</v>
      </c>
      <c r="Q31" s="77">
        <f t="shared" si="10"/>
        <v>279508.47487967502</v>
      </c>
      <c r="R31" s="77">
        <f t="shared" si="10"/>
        <v>604353.76934047788</v>
      </c>
      <c r="S31" s="77">
        <f t="shared" si="10"/>
        <v>292153.42335795448</v>
      </c>
      <c r="T31" s="77">
        <f t="shared" si="10"/>
        <v>0</v>
      </c>
      <c r="U31" s="77">
        <f t="shared" si="8"/>
        <v>0</v>
      </c>
      <c r="V31" s="77">
        <f t="shared" si="8"/>
        <v>0</v>
      </c>
      <c r="W31" s="77">
        <f t="shared" si="8"/>
        <v>0</v>
      </c>
      <c r="X31" s="77">
        <f t="shared" si="8"/>
        <v>0</v>
      </c>
      <c r="Y31" s="77">
        <f t="shared" si="8"/>
        <v>0</v>
      </c>
      <c r="Z31" s="77">
        <f t="shared" si="8"/>
        <v>0</v>
      </c>
      <c r="AA31" s="77">
        <f t="shared" si="8"/>
        <v>0</v>
      </c>
      <c r="AB31" s="77">
        <f t="shared" si="8"/>
        <v>0</v>
      </c>
      <c r="AC31" s="77">
        <f t="shared" si="8"/>
        <v>0</v>
      </c>
      <c r="AD31" s="77">
        <f t="shared" si="8"/>
        <v>0</v>
      </c>
      <c r="AE31" s="77">
        <f t="shared" si="8"/>
        <v>0</v>
      </c>
      <c r="AF31" s="77">
        <f t="shared" si="12"/>
        <v>0</v>
      </c>
      <c r="AG31" s="77">
        <f t="shared" si="12"/>
        <v>0</v>
      </c>
      <c r="AH31" s="77">
        <f t="shared" si="12"/>
        <v>0</v>
      </c>
      <c r="AI31" s="77">
        <f t="shared" si="12"/>
        <v>0</v>
      </c>
      <c r="AJ31" s="77">
        <f t="shared" si="12"/>
        <v>0</v>
      </c>
      <c r="AK31" s="77">
        <f t="shared" si="12"/>
        <v>0</v>
      </c>
      <c r="AL31" s="77">
        <f t="shared" si="12"/>
        <v>0</v>
      </c>
      <c r="AM31" s="77">
        <f t="shared" si="12"/>
        <v>0</v>
      </c>
      <c r="AN31" s="77">
        <f t="shared" si="12"/>
        <v>0</v>
      </c>
      <c r="AO31" s="77">
        <f t="shared" si="12"/>
        <v>0</v>
      </c>
      <c r="AP31" s="77">
        <f t="shared" si="12"/>
        <v>0</v>
      </c>
      <c r="AQ31" s="77">
        <f t="shared" si="12"/>
        <v>0</v>
      </c>
      <c r="AR31" s="77">
        <f t="shared" si="12"/>
        <v>0</v>
      </c>
      <c r="AS31" s="77">
        <f t="shared" si="12"/>
        <v>0</v>
      </c>
      <c r="AT31" s="77">
        <f t="shared" si="12"/>
        <v>0</v>
      </c>
      <c r="AU31" s="77">
        <f t="shared" si="12"/>
        <v>0</v>
      </c>
      <c r="AV31" s="77">
        <f t="shared" si="11"/>
        <v>0</v>
      </c>
      <c r="AW31" s="77">
        <f t="shared" si="11"/>
        <v>0</v>
      </c>
      <c r="AX31" s="77">
        <f t="shared" si="11"/>
        <v>0</v>
      </c>
      <c r="AY31" s="77">
        <f t="shared" si="11"/>
        <v>0</v>
      </c>
      <c r="AZ31" s="77">
        <f t="shared" si="11"/>
        <v>0</v>
      </c>
      <c r="BA31" s="77">
        <f t="shared" si="9"/>
        <v>0</v>
      </c>
      <c r="BB31" s="77">
        <f t="shared" si="9"/>
        <v>0</v>
      </c>
      <c r="BC31" s="77">
        <f t="shared" si="9"/>
        <v>0</v>
      </c>
      <c r="BD31" s="77">
        <f t="shared" si="9"/>
        <v>0</v>
      </c>
      <c r="BE31" s="77">
        <f t="shared" si="9"/>
        <v>0</v>
      </c>
    </row>
    <row r="32" spans="1:57">
      <c r="C32" s="77">
        <f t="shared" si="2"/>
        <v>114165894.26863925</v>
      </c>
      <c r="D32">
        <v>2034</v>
      </c>
      <c r="E32" s="77">
        <f t="shared" si="10"/>
        <v>0</v>
      </c>
      <c r="F32" s="77">
        <f t="shared" si="10"/>
        <v>0</v>
      </c>
      <c r="G32" s="77">
        <f t="shared" si="10"/>
        <v>0</v>
      </c>
      <c r="H32" s="77">
        <f t="shared" si="10"/>
        <v>0</v>
      </c>
      <c r="I32" s="77">
        <f t="shared" si="10"/>
        <v>0</v>
      </c>
      <c r="J32" s="77">
        <f t="shared" si="10"/>
        <v>0</v>
      </c>
      <c r="K32" s="77">
        <f t="shared" si="10"/>
        <v>0</v>
      </c>
      <c r="L32" s="77">
        <f t="shared" si="10"/>
        <v>0</v>
      </c>
      <c r="M32" s="77">
        <f t="shared" si="10"/>
        <v>183053.28702144715</v>
      </c>
      <c r="N32" s="77">
        <f t="shared" si="10"/>
        <v>253502.71043344159</v>
      </c>
      <c r="O32" s="77">
        <f t="shared" si="10"/>
        <v>325838.08749155619</v>
      </c>
      <c r="P32" s="77">
        <f t="shared" si="10"/>
        <v>315328.37624733732</v>
      </c>
      <c r="Q32" s="77">
        <f t="shared" si="10"/>
        <v>279508.47487967502</v>
      </c>
      <c r="R32" s="77">
        <f t="shared" si="10"/>
        <v>604353.76934047788</v>
      </c>
      <c r="S32" s="77">
        <f t="shared" si="10"/>
        <v>292153.42335795442</v>
      </c>
      <c r="T32" s="77">
        <f t="shared" si="10"/>
        <v>0</v>
      </c>
      <c r="U32" s="77">
        <f t="shared" si="8"/>
        <v>0</v>
      </c>
      <c r="V32" s="77">
        <f t="shared" si="8"/>
        <v>0</v>
      </c>
      <c r="W32" s="77">
        <f t="shared" si="8"/>
        <v>0</v>
      </c>
      <c r="X32" s="77">
        <f t="shared" si="8"/>
        <v>0</v>
      </c>
      <c r="Y32" s="77">
        <f t="shared" si="8"/>
        <v>0</v>
      </c>
      <c r="Z32" s="77">
        <f t="shared" si="8"/>
        <v>0</v>
      </c>
      <c r="AA32" s="77">
        <f t="shared" si="8"/>
        <v>0</v>
      </c>
      <c r="AB32" s="77">
        <f t="shared" si="8"/>
        <v>0</v>
      </c>
      <c r="AC32" s="77">
        <f t="shared" si="8"/>
        <v>0</v>
      </c>
      <c r="AD32" s="77">
        <f t="shared" si="8"/>
        <v>0</v>
      </c>
      <c r="AE32" s="77">
        <f t="shared" si="8"/>
        <v>0</v>
      </c>
      <c r="AF32" s="77">
        <f t="shared" si="12"/>
        <v>0</v>
      </c>
      <c r="AG32" s="77">
        <f t="shared" si="12"/>
        <v>0</v>
      </c>
      <c r="AH32" s="77">
        <f t="shared" si="12"/>
        <v>0</v>
      </c>
      <c r="AI32" s="77">
        <f t="shared" si="12"/>
        <v>0</v>
      </c>
      <c r="AJ32" s="77">
        <f t="shared" si="12"/>
        <v>0</v>
      </c>
      <c r="AK32" s="77">
        <f t="shared" si="12"/>
        <v>0</v>
      </c>
      <c r="AL32" s="77">
        <f t="shared" si="12"/>
        <v>0</v>
      </c>
      <c r="AM32" s="77">
        <f t="shared" si="12"/>
        <v>0</v>
      </c>
      <c r="AN32" s="77">
        <f t="shared" si="12"/>
        <v>0</v>
      </c>
      <c r="AO32" s="77">
        <f t="shared" si="12"/>
        <v>0</v>
      </c>
      <c r="AP32" s="77">
        <f t="shared" si="12"/>
        <v>0</v>
      </c>
      <c r="AQ32" s="77">
        <f t="shared" si="12"/>
        <v>0</v>
      </c>
      <c r="AR32" s="77">
        <f t="shared" si="12"/>
        <v>0</v>
      </c>
      <c r="AS32" s="77">
        <f t="shared" si="12"/>
        <v>0</v>
      </c>
      <c r="AT32" s="77">
        <f t="shared" si="12"/>
        <v>0</v>
      </c>
      <c r="AU32" s="77">
        <f t="shared" si="12"/>
        <v>0</v>
      </c>
      <c r="AV32" s="77">
        <f t="shared" si="11"/>
        <v>0</v>
      </c>
      <c r="AW32" s="77">
        <f t="shared" si="11"/>
        <v>0</v>
      </c>
      <c r="AX32" s="77">
        <f t="shared" si="11"/>
        <v>0</v>
      </c>
      <c r="AY32" s="77">
        <f t="shared" si="11"/>
        <v>0</v>
      </c>
      <c r="AZ32" s="77">
        <f t="shared" si="11"/>
        <v>0</v>
      </c>
      <c r="BA32" s="77">
        <f t="shared" si="9"/>
        <v>0</v>
      </c>
      <c r="BB32" s="77">
        <f t="shared" si="9"/>
        <v>0</v>
      </c>
      <c r="BC32" s="77">
        <f t="shared" si="9"/>
        <v>0</v>
      </c>
      <c r="BD32" s="77">
        <f t="shared" si="9"/>
        <v>0</v>
      </c>
      <c r="BE32" s="77">
        <f t="shared" si="9"/>
        <v>0</v>
      </c>
    </row>
    <row r="33" spans="3:57">
      <c r="C33" s="77">
        <f t="shared" si="2"/>
        <v>116419632.39741114</v>
      </c>
      <c r="D33">
        <v>2035</v>
      </c>
      <c r="E33" s="77">
        <f t="shared" si="10"/>
        <v>0</v>
      </c>
      <c r="F33" s="77">
        <f t="shared" si="10"/>
        <v>0</v>
      </c>
      <c r="G33" s="77">
        <f t="shared" si="10"/>
        <v>0</v>
      </c>
      <c r="H33" s="77">
        <f t="shared" si="10"/>
        <v>0</v>
      </c>
      <c r="I33" s="77">
        <f t="shared" si="10"/>
        <v>0</v>
      </c>
      <c r="J33" s="77">
        <f t="shared" si="10"/>
        <v>0</v>
      </c>
      <c r="K33" s="77">
        <f t="shared" si="10"/>
        <v>0</v>
      </c>
      <c r="L33" s="77">
        <f t="shared" si="10"/>
        <v>0</v>
      </c>
      <c r="M33" s="77">
        <f t="shared" si="10"/>
        <v>183053.28702144715</v>
      </c>
      <c r="N33" s="77">
        <f t="shared" si="10"/>
        <v>253502.71043344159</v>
      </c>
      <c r="O33" s="77">
        <f t="shared" si="10"/>
        <v>325838.08749155619</v>
      </c>
      <c r="P33" s="77">
        <f t="shared" si="10"/>
        <v>315328.37624733732</v>
      </c>
      <c r="Q33" s="77">
        <f t="shared" si="10"/>
        <v>279508.47487967502</v>
      </c>
      <c r="R33" s="77">
        <f t="shared" si="10"/>
        <v>604353.76934047788</v>
      </c>
      <c r="S33" s="77">
        <f t="shared" si="10"/>
        <v>292153.42335795442</v>
      </c>
      <c r="T33" s="77">
        <f t="shared" si="10"/>
        <v>0</v>
      </c>
      <c r="U33" s="77">
        <f t="shared" si="8"/>
        <v>0</v>
      </c>
      <c r="V33" s="77">
        <f t="shared" si="8"/>
        <v>0</v>
      </c>
      <c r="W33" s="77">
        <f t="shared" si="8"/>
        <v>0</v>
      </c>
      <c r="X33" s="77">
        <f t="shared" si="8"/>
        <v>0</v>
      </c>
      <c r="Y33" s="77">
        <f t="shared" si="8"/>
        <v>0</v>
      </c>
      <c r="Z33" s="77">
        <f t="shared" si="8"/>
        <v>0</v>
      </c>
      <c r="AA33" s="77">
        <f t="shared" si="8"/>
        <v>0</v>
      </c>
      <c r="AB33" s="77">
        <f t="shared" si="8"/>
        <v>0</v>
      </c>
      <c r="AC33" s="77">
        <f t="shared" si="8"/>
        <v>0</v>
      </c>
      <c r="AD33" s="77">
        <f t="shared" si="8"/>
        <v>0</v>
      </c>
      <c r="AE33" s="77">
        <f t="shared" si="8"/>
        <v>0</v>
      </c>
      <c r="AF33" s="77">
        <f t="shared" si="12"/>
        <v>0</v>
      </c>
      <c r="AG33" s="77">
        <f t="shared" si="12"/>
        <v>0</v>
      </c>
      <c r="AH33" s="77">
        <f t="shared" si="12"/>
        <v>0</v>
      </c>
      <c r="AI33" s="77">
        <f t="shared" si="12"/>
        <v>0</v>
      </c>
      <c r="AJ33" s="77">
        <f t="shared" si="12"/>
        <v>0</v>
      </c>
      <c r="AK33" s="77">
        <f t="shared" si="12"/>
        <v>0</v>
      </c>
      <c r="AL33" s="77">
        <f t="shared" si="12"/>
        <v>0</v>
      </c>
      <c r="AM33" s="77">
        <f t="shared" si="12"/>
        <v>0</v>
      </c>
      <c r="AN33" s="77">
        <f t="shared" si="12"/>
        <v>0</v>
      </c>
      <c r="AO33" s="77">
        <f t="shared" si="12"/>
        <v>0</v>
      </c>
      <c r="AP33" s="77">
        <f t="shared" si="12"/>
        <v>0</v>
      </c>
      <c r="AQ33" s="77">
        <f t="shared" si="12"/>
        <v>0</v>
      </c>
      <c r="AR33" s="77">
        <f t="shared" si="12"/>
        <v>0</v>
      </c>
      <c r="AS33" s="77">
        <f t="shared" si="12"/>
        <v>0</v>
      </c>
      <c r="AT33" s="77">
        <f t="shared" si="12"/>
        <v>0</v>
      </c>
      <c r="AU33" s="77">
        <f t="shared" si="12"/>
        <v>0</v>
      </c>
      <c r="AV33" s="77">
        <f t="shared" si="11"/>
        <v>0</v>
      </c>
      <c r="AW33" s="77">
        <f t="shared" si="11"/>
        <v>0</v>
      </c>
      <c r="AX33" s="77">
        <f t="shared" si="11"/>
        <v>0</v>
      </c>
      <c r="AY33" s="77">
        <f t="shared" si="11"/>
        <v>0</v>
      </c>
      <c r="AZ33" s="77">
        <f t="shared" si="11"/>
        <v>0</v>
      </c>
      <c r="BA33" s="77">
        <f t="shared" si="9"/>
        <v>0</v>
      </c>
      <c r="BB33" s="77">
        <f t="shared" si="9"/>
        <v>0</v>
      </c>
      <c r="BC33" s="77">
        <f t="shared" si="9"/>
        <v>0</v>
      </c>
      <c r="BD33" s="77">
        <f t="shared" si="9"/>
        <v>0</v>
      </c>
      <c r="BE33" s="77">
        <f t="shared" si="9"/>
        <v>0</v>
      </c>
    </row>
    <row r="34" spans="3:57">
      <c r="C34" s="77">
        <f t="shared" si="2"/>
        <v>118490317.23916158</v>
      </c>
      <c r="D34">
        <v>2036</v>
      </c>
      <c r="E34" s="77">
        <f t="shared" si="10"/>
        <v>0</v>
      </c>
      <c r="F34" s="77">
        <f t="shared" si="10"/>
        <v>0</v>
      </c>
      <c r="G34" s="77">
        <f t="shared" si="10"/>
        <v>0</v>
      </c>
      <c r="H34" s="77">
        <f t="shared" si="10"/>
        <v>0</v>
      </c>
      <c r="I34" s="77">
        <f t="shared" si="10"/>
        <v>0</v>
      </c>
      <c r="J34" s="77">
        <f t="shared" si="10"/>
        <v>0</v>
      </c>
      <c r="K34" s="77">
        <f t="shared" si="10"/>
        <v>0</v>
      </c>
      <c r="L34" s="77">
        <f t="shared" si="10"/>
        <v>0</v>
      </c>
      <c r="M34" s="77">
        <f t="shared" si="10"/>
        <v>0</v>
      </c>
      <c r="N34" s="77">
        <f t="shared" si="10"/>
        <v>253502.71043344159</v>
      </c>
      <c r="O34" s="77">
        <f t="shared" si="10"/>
        <v>325838.08749155619</v>
      </c>
      <c r="P34" s="77">
        <f t="shared" si="10"/>
        <v>315328.37624733732</v>
      </c>
      <c r="Q34" s="77">
        <f t="shared" si="10"/>
        <v>279508.47487967502</v>
      </c>
      <c r="R34" s="77">
        <f t="shared" si="10"/>
        <v>604353.76934047788</v>
      </c>
      <c r="S34" s="77">
        <f t="shared" si="10"/>
        <v>292153.42335795442</v>
      </c>
      <c r="T34" s="77">
        <f t="shared" si="10"/>
        <v>0</v>
      </c>
      <c r="U34" s="77">
        <f t="shared" si="8"/>
        <v>0</v>
      </c>
      <c r="V34" s="77">
        <f t="shared" si="8"/>
        <v>0</v>
      </c>
      <c r="W34" s="77">
        <f t="shared" si="8"/>
        <v>0</v>
      </c>
      <c r="X34" s="77">
        <f t="shared" si="8"/>
        <v>0</v>
      </c>
      <c r="Y34" s="77">
        <f t="shared" si="8"/>
        <v>0</v>
      </c>
      <c r="Z34" s="77">
        <f t="shared" si="8"/>
        <v>0</v>
      </c>
      <c r="AA34" s="77">
        <f t="shared" si="8"/>
        <v>0</v>
      </c>
      <c r="AB34" s="77">
        <f t="shared" si="8"/>
        <v>0</v>
      </c>
      <c r="AC34" s="77">
        <f t="shared" si="8"/>
        <v>0</v>
      </c>
      <c r="AD34" s="77">
        <f t="shared" si="8"/>
        <v>0</v>
      </c>
      <c r="AE34" s="77">
        <f t="shared" si="8"/>
        <v>0</v>
      </c>
      <c r="AF34" s="77">
        <f t="shared" si="12"/>
        <v>0</v>
      </c>
      <c r="AG34" s="77">
        <f t="shared" si="12"/>
        <v>0</v>
      </c>
      <c r="AH34" s="77">
        <f t="shared" si="12"/>
        <v>0</v>
      </c>
      <c r="AI34" s="77">
        <f t="shared" si="12"/>
        <v>0</v>
      </c>
      <c r="AJ34" s="77">
        <f t="shared" si="12"/>
        <v>0</v>
      </c>
      <c r="AK34" s="77">
        <f t="shared" si="12"/>
        <v>0</v>
      </c>
      <c r="AL34" s="77">
        <f t="shared" si="12"/>
        <v>0</v>
      </c>
      <c r="AM34" s="77">
        <f t="shared" si="12"/>
        <v>0</v>
      </c>
      <c r="AN34" s="77">
        <f t="shared" si="12"/>
        <v>0</v>
      </c>
      <c r="AO34" s="77">
        <f t="shared" si="12"/>
        <v>0</v>
      </c>
      <c r="AP34" s="77">
        <f t="shared" si="12"/>
        <v>0</v>
      </c>
      <c r="AQ34" s="77">
        <f t="shared" si="12"/>
        <v>0</v>
      </c>
      <c r="AR34" s="77">
        <f t="shared" si="12"/>
        <v>0</v>
      </c>
      <c r="AS34" s="77">
        <f t="shared" si="12"/>
        <v>0</v>
      </c>
      <c r="AT34" s="77">
        <f t="shared" si="12"/>
        <v>0</v>
      </c>
      <c r="AU34" s="77">
        <f t="shared" si="12"/>
        <v>0</v>
      </c>
      <c r="AV34" s="77">
        <f t="shared" si="11"/>
        <v>0</v>
      </c>
      <c r="AW34" s="77">
        <f t="shared" si="11"/>
        <v>0</v>
      </c>
      <c r="AX34" s="77">
        <f t="shared" si="11"/>
        <v>0</v>
      </c>
      <c r="AY34" s="77">
        <f t="shared" si="11"/>
        <v>0</v>
      </c>
      <c r="AZ34" s="77">
        <f t="shared" si="11"/>
        <v>0</v>
      </c>
      <c r="BA34" s="77">
        <f t="shared" si="9"/>
        <v>0</v>
      </c>
      <c r="BB34" s="77">
        <f t="shared" si="9"/>
        <v>0</v>
      </c>
      <c r="BC34" s="77">
        <f t="shared" si="9"/>
        <v>0</v>
      </c>
      <c r="BD34" s="77">
        <f t="shared" si="9"/>
        <v>0</v>
      </c>
      <c r="BE34" s="77">
        <f t="shared" si="9"/>
        <v>0</v>
      </c>
    </row>
    <row r="35" spans="3:57">
      <c r="C35" s="77">
        <f t="shared" si="2"/>
        <v>120561002.08091202</v>
      </c>
      <c r="D35">
        <v>2037</v>
      </c>
      <c r="E35" s="77">
        <f t="shared" si="10"/>
        <v>0</v>
      </c>
      <c r="F35" s="77">
        <f t="shared" si="10"/>
        <v>0</v>
      </c>
      <c r="G35" s="77">
        <f t="shared" si="10"/>
        <v>0</v>
      </c>
      <c r="H35" s="77">
        <f t="shared" si="10"/>
        <v>0</v>
      </c>
      <c r="I35" s="77">
        <f t="shared" si="10"/>
        <v>0</v>
      </c>
      <c r="J35" s="77">
        <f t="shared" si="10"/>
        <v>0</v>
      </c>
      <c r="K35" s="77">
        <f t="shared" si="10"/>
        <v>0</v>
      </c>
      <c r="L35" s="77">
        <f t="shared" si="10"/>
        <v>0</v>
      </c>
      <c r="M35" s="77">
        <f t="shared" si="10"/>
        <v>0</v>
      </c>
      <c r="N35" s="77">
        <f t="shared" si="10"/>
        <v>253502.71043344159</v>
      </c>
      <c r="O35" s="77">
        <f t="shared" si="10"/>
        <v>325838.08749155619</v>
      </c>
      <c r="P35" s="77">
        <f t="shared" si="10"/>
        <v>315328.37624733732</v>
      </c>
      <c r="Q35" s="77">
        <f t="shared" si="10"/>
        <v>279508.47487967502</v>
      </c>
      <c r="R35" s="77">
        <f t="shared" si="10"/>
        <v>604353.76934047788</v>
      </c>
      <c r="S35" s="77">
        <f t="shared" si="10"/>
        <v>292153.42335795442</v>
      </c>
      <c r="T35" s="77">
        <f t="shared" si="10"/>
        <v>0</v>
      </c>
      <c r="U35" s="77">
        <f t="shared" si="8"/>
        <v>0</v>
      </c>
      <c r="V35" s="77">
        <f t="shared" si="8"/>
        <v>0</v>
      </c>
      <c r="W35" s="77">
        <f t="shared" si="8"/>
        <v>0</v>
      </c>
      <c r="X35" s="77">
        <f t="shared" si="8"/>
        <v>0</v>
      </c>
      <c r="Y35" s="77">
        <f t="shared" si="8"/>
        <v>0</v>
      </c>
      <c r="Z35" s="77">
        <f t="shared" si="8"/>
        <v>0</v>
      </c>
      <c r="AA35" s="77">
        <f t="shared" si="8"/>
        <v>0</v>
      </c>
      <c r="AB35" s="77">
        <f t="shared" si="8"/>
        <v>0</v>
      </c>
      <c r="AC35" s="77">
        <f t="shared" si="8"/>
        <v>0</v>
      </c>
      <c r="AD35" s="77">
        <f t="shared" si="8"/>
        <v>0</v>
      </c>
      <c r="AE35" s="77">
        <f t="shared" si="8"/>
        <v>0</v>
      </c>
      <c r="AF35" s="77">
        <f t="shared" si="12"/>
        <v>0</v>
      </c>
      <c r="AG35" s="77">
        <f t="shared" si="12"/>
        <v>0</v>
      </c>
      <c r="AH35" s="77">
        <f t="shared" si="12"/>
        <v>0</v>
      </c>
      <c r="AI35" s="77">
        <f t="shared" si="12"/>
        <v>0</v>
      </c>
      <c r="AJ35" s="77">
        <f t="shared" si="12"/>
        <v>0</v>
      </c>
      <c r="AK35" s="77">
        <f t="shared" si="12"/>
        <v>0</v>
      </c>
      <c r="AL35" s="77">
        <f t="shared" si="12"/>
        <v>0</v>
      </c>
      <c r="AM35" s="77">
        <f t="shared" si="12"/>
        <v>0</v>
      </c>
      <c r="AN35" s="77">
        <f t="shared" si="12"/>
        <v>0</v>
      </c>
      <c r="AO35" s="77">
        <f t="shared" si="12"/>
        <v>0</v>
      </c>
      <c r="AP35" s="77">
        <f t="shared" si="12"/>
        <v>0</v>
      </c>
      <c r="AQ35" s="77">
        <f t="shared" si="12"/>
        <v>0</v>
      </c>
      <c r="AR35" s="77">
        <f t="shared" si="12"/>
        <v>0</v>
      </c>
      <c r="AS35" s="77">
        <f t="shared" si="12"/>
        <v>0</v>
      </c>
      <c r="AT35" s="77">
        <f t="shared" si="12"/>
        <v>0</v>
      </c>
      <c r="AU35" s="77">
        <f t="shared" si="12"/>
        <v>0</v>
      </c>
      <c r="AV35" s="77">
        <f t="shared" si="11"/>
        <v>0</v>
      </c>
      <c r="AW35" s="77">
        <f t="shared" si="11"/>
        <v>0</v>
      </c>
      <c r="AX35" s="77">
        <f t="shared" si="11"/>
        <v>0</v>
      </c>
      <c r="AY35" s="77">
        <f t="shared" si="11"/>
        <v>0</v>
      </c>
      <c r="AZ35" s="77">
        <f t="shared" si="11"/>
        <v>0</v>
      </c>
      <c r="BA35" s="77">
        <f t="shared" si="9"/>
        <v>0</v>
      </c>
      <c r="BB35" s="77">
        <f t="shared" si="9"/>
        <v>0</v>
      </c>
      <c r="BC35" s="77">
        <f t="shared" si="9"/>
        <v>0</v>
      </c>
      <c r="BD35" s="77">
        <f t="shared" si="9"/>
        <v>0</v>
      </c>
      <c r="BE35" s="77">
        <f t="shared" si="9"/>
        <v>0</v>
      </c>
    </row>
    <row r="36" spans="3:57">
      <c r="C36" s="77">
        <f t="shared" si="2"/>
        <v>122631686.92266247</v>
      </c>
      <c r="D36">
        <v>2038</v>
      </c>
      <c r="E36" s="77">
        <f t="shared" si="10"/>
        <v>0</v>
      </c>
      <c r="F36" s="77">
        <f t="shared" si="10"/>
        <v>0</v>
      </c>
      <c r="G36" s="77">
        <f t="shared" si="10"/>
        <v>0</v>
      </c>
      <c r="H36" s="77">
        <f t="shared" si="10"/>
        <v>0</v>
      </c>
      <c r="I36" s="77">
        <f t="shared" si="10"/>
        <v>0</v>
      </c>
      <c r="J36" s="77">
        <f t="shared" si="10"/>
        <v>0</v>
      </c>
      <c r="K36" s="77">
        <f t="shared" si="10"/>
        <v>0</v>
      </c>
      <c r="L36" s="77">
        <f t="shared" si="10"/>
        <v>0</v>
      </c>
      <c r="M36" s="77">
        <f t="shared" si="10"/>
        <v>0</v>
      </c>
      <c r="N36" s="77">
        <f t="shared" si="10"/>
        <v>253502.71043344159</v>
      </c>
      <c r="O36" s="77">
        <f t="shared" si="10"/>
        <v>325838.08749155619</v>
      </c>
      <c r="P36" s="77">
        <f t="shared" si="10"/>
        <v>315328.37624733732</v>
      </c>
      <c r="Q36" s="77">
        <f t="shared" si="10"/>
        <v>279508.47487967502</v>
      </c>
      <c r="R36" s="77">
        <f t="shared" si="10"/>
        <v>604353.76934047788</v>
      </c>
      <c r="S36" s="77">
        <f t="shared" si="10"/>
        <v>292153.42335795442</v>
      </c>
      <c r="T36" s="77">
        <f t="shared" si="10"/>
        <v>0</v>
      </c>
      <c r="U36" s="77">
        <f t="shared" si="8"/>
        <v>0</v>
      </c>
      <c r="V36" s="77">
        <f t="shared" si="8"/>
        <v>0</v>
      </c>
      <c r="W36" s="77">
        <f t="shared" si="8"/>
        <v>0</v>
      </c>
      <c r="X36" s="77">
        <f t="shared" si="8"/>
        <v>0</v>
      </c>
      <c r="Y36" s="77">
        <f t="shared" si="8"/>
        <v>0</v>
      </c>
      <c r="Z36" s="77">
        <f t="shared" si="8"/>
        <v>0</v>
      </c>
      <c r="AA36" s="77">
        <f t="shared" si="8"/>
        <v>0</v>
      </c>
      <c r="AB36" s="77">
        <f t="shared" si="8"/>
        <v>0</v>
      </c>
      <c r="AC36" s="77">
        <f t="shared" si="8"/>
        <v>0</v>
      </c>
      <c r="AD36" s="77">
        <f t="shared" si="8"/>
        <v>0</v>
      </c>
      <c r="AE36" s="77">
        <f t="shared" si="8"/>
        <v>0</v>
      </c>
      <c r="AF36" s="77">
        <f t="shared" si="12"/>
        <v>0</v>
      </c>
      <c r="AG36" s="77">
        <f t="shared" si="12"/>
        <v>0</v>
      </c>
      <c r="AH36" s="77">
        <f t="shared" si="12"/>
        <v>0</v>
      </c>
      <c r="AI36" s="77">
        <f t="shared" si="12"/>
        <v>0</v>
      </c>
      <c r="AJ36" s="77">
        <f t="shared" si="12"/>
        <v>0</v>
      </c>
      <c r="AK36" s="77">
        <f t="shared" si="12"/>
        <v>0</v>
      </c>
      <c r="AL36" s="77">
        <f t="shared" si="12"/>
        <v>0</v>
      </c>
      <c r="AM36" s="77">
        <f t="shared" si="12"/>
        <v>0</v>
      </c>
      <c r="AN36" s="77">
        <f t="shared" si="12"/>
        <v>0</v>
      </c>
      <c r="AO36" s="77">
        <f t="shared" si="12"/>
        <v>0</v>
      </c>
      <c r="AP36" s="77">
        <f t="shared" si="12"/>
        <v>0</v>
      </c>
      <c r="AQ36" s="77">
        <f t="shared" si="12"/>
        <v>0</v>
      </c>
      <c r="AR36" s="77">
        <f t="shared" si="12"/>
        <v>0</v>
      </c>
      <c r="AS36" s="77">
        <f t="shared" si="12"/>
        <v>0</v>
      </c>
      <c r="AT36" s="77">
        <f t="shared" si="12"/>
        <v>0</v>
      </c>
      <c r="AU36" s="77">
        <f t="shared" si="12"/>
        <v>0</v>
      </c>
      <c r="AV36" s="77">
        <f t="shared" si="11"/>
        <v>0</v>
      </c>
      <c r="AW36" s="77">
        <f t="shared" si="11"/>
        <v>0</v>
      </c>
      <c r="AX36" s="77">
        <f t="shared" si="11"/>
        <v>0</v>
      </c>
      <c r="AY36" s="77">
        <f t="shared" si="11"/>
        <v>0</v>
      </c>
      <c r="AZ36" s="77">
        <f t="shared" si="11"/>
        <v>0</v>
      </c>
      <c r="BA36" s="77">
        <f t="shared" si="9"/>
        <v>0</v>
      </c>
      <c r="BB36" s="77">
        <f t="shared" si="9"/>
        <v>0</v>
      </c>
      <c r="BC36" s="77">
        <f t="shared" si="9"/>
        <v>0</v>
      </c>
      <c r="BD36" s="77">
        <f t="shared" si="9"/>
        <v>0</v>
      </c>
      <c r="BE36" s="77">
        <f t="shared" si="9"/>
        <v>0</v>
      </c>
    </row>
    <row r="37" spans="3:57">
      <c r="C37" s="77">
        <f t="shared" si="2"/>
        <v>124448869.05397947</v>
      </c>
      <c r="D37">
        <v>2039</v>
      </c>
      <c r="E37" s="77">
        <f t="shared" si="10"/>
        <v>0</v>
      </c>
      <c r="F37" s="77">
        <f t="shared" si="10"/>
        <v>0</v>
      </c>
      <c r="G37" s="77">
        <f t="shared" si="10"/>
        <v>0</v>
      </c>
      <c r="H37" s="77">
        <f t="shared" si="10"/>
        <v>0</v>
      </c>
      <c r="I37" s="77">
        <f t="shared" si="10"/>
        <v>0</v>
      </c>
      <c r="J37" s="77">
        <f t="shared" si="10"/>
        <v>0</v>
      </c>
      <c r="K37" s="77">
        <f t="shared" si="10"/>
        <v>0</v>
      </c>
      <c r="L37" s="77">
        <f t="shared" si="10"/>
        <v>0</v>
      </c>
      <c r="M37" s="77">
        <f t="shared" si="10"/>
        <v>0</v>
      </c>
      <c r="N37" s="77">
        <f t="shared" si="10"/>
        <v>0</v>
      </c>
      <c r="O37" s="77">
        <f t="shared" si="10"/>
        <v>325838.08749155619</v>
      </c>
      <c r="P37" s="77">
        <f t="shared" si="10"/>
        <v>315328.37624733732</v>
      </c>
      <c r="Q37" s="77">
        <f t="shared" si="10"/>
        <v>279508.47487967502</v>
      </c>
      <c r="R37" s="77">
        <f t="shared" si="10"/>
        <v>604353.76934047788</v>
      </c>
      <c r="S37" s="77">
        <f t="shared" si="10"/>
        <v>292153.42335795442</v>
      </c>
      <c r="T37" s="77">
        <f t="shared" si="10"/>
        <v>0</v>
      </c>
      <c r="U37" s="77">
        <f t="shared" si="8"/>
        <v>0</v>
      </c>
      <c r="V37" s="77">
        <f t="shared" si="8"/>
        <v>0</v>
      </c>
      <c r="W37" s="77">
        <f t="shared" si="8"/>
        <v>0</v>
      </c>
      <c r="X37" s="77">
        <f t="shared" si="8"/>
        <v>0</v>
      </c>
      <c r="Y37" s="77">
        <f t="shared" si="8"/>
        <v>0</v>
      </c>
      <c r="Z37" s="77">
        <f t="shared" si="8"/>
        <v>0</v>
      </c>
      <c r="AA37" s="77">
        <f t="shared" si="8"/>
        <v>0</v>
      </c>
      <c r="AB37" s="77">
        <f t="shared" si="8"/>
        <v>0</v>
      </c>
      <c r="AC37" s="77">
        <f t="shared" si="8"/>
        <v>0</v>
      </c>
      <c r="AD37" s="77">
        <f t="shared" si="8"/>
        <v>0</v>
      </c>
      <c r="AE37" s="77">
        <f t="shared" si="8"/>
        <v>0</v>
      </c>
      <c r="AF37" s="77">
        <f t="shared" si="12"/>
        <v>0</v>
      </c>
      <c r="AG37" s="77">
        <f t="shared" si="12"/>
        <v>0</v>
      </c>
      <c r="AH37" s="77">
        <f t="shared" si="12"/>
        <v>0</v>
      </c>
      <c r="AI37" s="77">
        <f t="shared" si="12"/>
        <v>0</v>
      </c>
      <c r="AJ37" s="77">
        <f t="shared" si="12"/>
        <v>0</v>
      </c>
      <c r="AK37" s="77">
        <f t="shared" si="12"/>
        <v>0</v>
      </c>
      <c r="AL37" s="77">
        <f t="shared" si="12"/>
        <v>0</v>
      </c>
      <c r="AM37" s="77">
        <f t="shared" si="12"/>
        <v>0</v>
      </c>
      <c r="AN37" s="77">
        <f t="shared" si="12"/>
        <v>0</v>
      </c>
      <c r="AO37" s="77">
        <f t="shared" si="12"/>
        <v>0</v>
      </c>
      <c r="AP37" s="77">
        <f t="shared" si="12"/>
        <v>0</v>
      </c>
      <c r="AQ37" s="77">
        <f t="shared" si="12"/>
        <v>0</v>
      </c>
      <c r="AR37" s="77">
        <f t="shared" si="12"/>
        <v>0</v>
      </c>
      <c r="AS37" s="77">
        <f t="shared" si="12"/>
        <v>0</v>
      </c>
      <c r="AT37" s="77">
        <f t="shared" si="12"/>
        <v>0</v>
      </c>
      <c r="AU37" s="77">
        <f t="shared" si="12"/>
        <v>0</v>
      </c>
      <c r="AV37" s="77">
        <f t="shared" si="11"/>
        <v>0</v>
      </c>
      <c r="AW37" s="77">
        <f t="shared" si="11"/>
        <v>0</v>
      </c>
      <c r="AX37" s="77">
        <f t="shared" si="11"/>
        <v>0</v>
      </c>
      <c r="AY37" s="77">
        <f t="shared" si="11"/>
        <v>0</v>
      </c>
      <c r="AZ37" s="77">
        <f t="shared" si="11"/>
        <v>0</v>
      </c>
      <c r="BA37" s="77">
        <f t="shared" si="9"/>
        <v>0</v>
      </c>
      <c r="BB37" s="77">
        <f t="shared" si="9"/>
        <v>0</v>
      </c>
      <c r="BC37" s="77">
        <f t="shared" si="9"/>
        <v>0</v>
      </c>
      <c r="BD37" s="77">
        <f t="shared" si="9"/>
        <v>0</v>
      </c>
      <c r="BE37" s="77">
        <f t="shared" si="9"/>
        <v>0</v>
      </c>
    </row>
    <row r="38" spans="3:57">
      <c r="C38" s="77">
        <f t="shared" si="2"/>
        <v>125335859.32846443</v>
      </c>
      <c r="D38">
        <v>2040</v>
      </c>
      <c r="E38" s="77">
        <f t="shared" si="10"/>
        <v>0</v>
      </c>
      <c r="F38" s="77">
        <f t="shared" si="10"/>
        <v>0</v>
      </c>
      <c r="G38" s="77">
        <f t="shared" si="10"/>
        <v>0</v>
      </c>
      <c r="H38" s="77">
        <f t="shared" si="10"/>
        <v>0</v>
      </c>
      <c r="I38" s="77">
        <f t="shared" si="10"/>
        <v>0</v>
      </c>
      <c r="J38" s="77">
        <f t="shared" si="10"/>
        <v>0</v>
      </c>
      <c r="K38" s="77">
        <f t="shared" si="10"/>
        <v>0</v>
      </c>
      <c r="L38" s="77">
        <f t="shared" si="10"/>
        <v>0</v>
      </c>
      <c r="M38" s="77">
        <f t="shared" si="10"/>
        <v>0</v>
      </c>
      <c r="N38" s="77">
        <f t="shared" si="10"/>
        <v>0</v>
      </c>
      <c r="O38" s="77">
        <f t="shared" si="10"/>
        <v>0</v>
      </c>
      <c r="P38" s="77">
        <f t="shared" si="10"/>
        <v>315328.37624733732</v>
      </c>
      <c r="Q38" s="77">
        <f t="shared" si="10"/>
        <v>279508.47487967502</v>
      </c>
      <c r="R38" s="77">
        <f t="shared" si="10"/>
        <v>0</v>
      </c>
      <c r="S38" s="77">
        <f t="shared" si="10"/>
        <v>292153.42335795442</v>
      </c>
      <c r="T38" s="77">
        <f t="shared" si="10"/>
        <v>0</v>
      </c>
      <c r="U38" s="77">
        <f t="shared" si="8"/>
        <v>0</v>
      </c>
      <c r="V38" s="77">
        <f t="shared" si="8"/>
        <v>0</v>
      </c>
      <c r="W38" s="77">
        <f t="shared" si="8"/>
        <v>0</v>
      </c>
      <c r="X38" s="77">
        <f t="shared" si="8"/>
        <v>0</v>
      </c>
      <c r="Y38" s="77">
        <f t="shared" si="8"/>
        <v>0</v>
      </c>
      <c r="Z38" s="77">
        <f t="shared" si="8"/>
        <v>0</v>
      </c>
      <c r="AA38" s="77">
        <f t="shared" si="8"/>
        <v>0</v>
      </c>
      <c r="AB38" s="77">
        <f t="shared" si="8"/>
        <v>0</v>
      </c>
      <c r="AC38" s="77">
        <f t="shared" si="8"/>
        <v>0</v>
      </c>
      <c r="AD38" s="77">
        <f t="shared" si="8"/>
        <v>0</v>
      </c>
      <c r="AE38" s="77">
        <f t="shared" si="8"/>
        <v>0</v>
      </c>
      <c r="AF38" s="77">
        <f t="shared" si="12"/>
        <v>0</v>
      </c>
      <c r="AG38" s="77">
        <f t="shared" si="12"/>
        <v>0</v>
      </c>
      <c r="AH38" s="77">
        <f t="shared" si="12"/>
        <v>0</v>
      </c>
      <c r="AI38" s="77">
        <f t="shared" si="12"/>
        <v>0</v>
      </c>
      <c r="AJ38" s="77">
        <f t="shared" si="12"/>
        <v>0</v>
      </c>
      <c r="AK38" s="77">
        <f t="shared" si="12"/>
        <v>0</v>
      </c>
      <c r="AL38" s="77">
        <f t="shared" si="12"/>
        <v>0</v>
      </c>
      <c r="AM38" s="77">
        <f t="shared" si="12"/>
        <v>0</v>
      </c>
      <c r="AN38" s="77">
        <f t="shared" si="12"/>
        <v>0</v>
      </c>
      <c r="AO38" s="77">
        <f t="shared" si="12"/>
        <v>0</v>
      </c>
      <c r="AP38" s="77">
        <f t="shared" si="12"/>
        <v>0</v>
      </c>
      <c r="AQ38" s="77">
        <f t="shared" si="12"/>
        <v>0</v>
      </c>
      <c r="AR38" s="77">
        <f t="shared" si="12"/>
        <v>0</v>
      </c>
      <c r="AS38" s="77">
        <f t="shared" si="12"/>
        <v>0</v>
      </c>
      <c r="AT38" s="77">
        <f t="shared" si="12"/>
        <v>0</v>
      </c>
      <c r="AU38" s="77">
        <f t="shared" si="12"/>
        <v>0</v>
      </c>
      <c r="AV38" s="77">
        <f t="shared" si="11"/>
        <v>0</v>
      </c>
      <c r="AW38" s="77">
        <f t="shared" si="11"/>
        <v>0</v>
      </c>
      <c r="AX38" s="77">
        <f t="shared" si="11"/>
        <v>0</v>
      </c>
      <c r="AY38" s="77">
        <f t="shared" si="11"/>
        <v>0</v>
      </c>
      <c r="AZ38" s="77">
        <f t="shared" si="11"/>
        <v>0</v>
      </c>
      <c r="BA38" s="77">
        <f t="shared" si="9"/>
        <v>0</v>
      </c>
      <c r="BB38" s="77">
        <f t="shared" si="9"/>
        <v>0</v>
      </c>
      <c r="BC38" s="77">
        <f t="shared" si="9"/>
        <v>0</v>
      </c>
      <c r="BD38" s="77">
        <f t="shared" si="9"/>
        <v>0</v>
      </c>
      <c r="BE38" s="77">
        <f t="shared" si="9"/>
        <v>0</v>
      </c>
    </row>
    <row r="39" spans="3:57">
      <c r="C39" s="77">
        <f t="shared" si="2"/>
        <v>125628012.75182238</v>
      </c>
      <c r="D39">
        <v>2041</v>
      </c>
      <c r="E39" s="77">
        <f t="shared" si="10"/>
        <v>0</v>
      </c>
      <c r="F39" s="77">
        <f t="shared" si="10"/>
        <v>0</v>
      </c>
      <c r="G39" s="77">
        <f t="shared" si="10"/>
        <v>0</v>
      </c>
      <c r="H39" s="77">
        <f t="shared" si="10"/>
        <v>0</v>
      </c>
      <c r="I39" s="77">
        <f t="shared" si="10"/>
        <v>0</v>
      </c>
      <c r="J39" s="77">
        <f t="shared" si="10"/>
        <v>0</v>
      </c>
      <c r="K39" s="77">
        <f t="shared" si="10"/>
        <v>0</v>
      </c>
      <c r="L39" s="77">
        <f t="shared" si="10"/>
        <v>0</v>
      </c>
      <c r="M39" s="77">
        <f t="shared" si="10"/>
        <v>0</v>
      </c>
      <c r="N39" s="77">
        <f t="shared" si="10"/>
        <v>0</v>
      </c>
      <c r="O39" s="77">
        <f t="shared" si="10"/>
        <v>0</v>
      </c>
      <c r="P39" s="77">
        <f t="shared" si="10"/>
        <v>0</v>
      </c>
      <c r="Q39" s="77">
        <f t="shared" si="10"/>
        <v>0</v>
      </c>
      <c r="R39" s="77">
        <f t="shared" si="10"/>
        <v>0</v>
      </c>
      <c r="S39" s="77">
        <f t="shared" si="10"/>
        <v>292153.42335795442</v>
      </c>
      <c r="T39" s="77">
        <f t="shared" si="10"/>
        <v>0</v>
      </c>
      <c r="U39" s="77">
        <f t="shared" si="8"/>
        <v>0</v>
      </c>
      <c r="V39" s="77">
        <f t="shared" si="8"/>
        <v>0</v>
      </c>
      <c r="W39" s="77">
        <f t="shared" si="8"/>
        <v>0</v>
      </c>
      <c r="X39" s="77">
        <f t="shared" si="8"/>
        <v>0</v>
      </c>
      <c r="Y39" s="77">
        <f t="shared" si="8"/>
        <v>0</v>
      </c>
      <c r="Z39" s="77">
        <f t="shared" si="8"/>
        <v>0</v>
      </c>
      <c r="AA39" s="77">
        <f t="shared" si="8"/>
        <v>0</v>
      </c>
      <c r="AB39" s="77">
        <f t="shared" si="8"/>
        <v>0</v>
      </c>
      <c r="AC39" s="77">
        <f t="shared" si="8"/>
        <v>0</v>
      </c>
      <c r="AD39" s="77">
        <f t="shared" si="8"/>
        <v>0</v>
      </c>
      <c r="AE39" s="77">
        <f t="shared" si="8"/>
        <v>0</v>
      </c>
      <c r="AF39" s="77">
        <f t="shared" si="12"/>
        <v>0</v>
      </c>
      <c r="AG39" s="77">
        <f t="shared" si="12"/>
        <v>0</v>
      </c>
      <c r="AH39" s="77">
        <f t="shared" si="12"/>
        <v>0</v>
      </c>
      <c r="AI39" s="77">
        <f t="shared" si="12"/>
        <v>0</v>
      </c>
      <c r="AJ39" s="77">
        <f t="shared" si="12"/>
        <v>0</v>
      </c>
      <c r="AK39" s="77">
        <f t="shared" si="12"/>
        <v>0</v>
      </c>
      <c r="AL39" s="77">
        <f t="shared" si="12"/>
        <v>0</v>
      </c>
      <c r="AM39" s="77">
        <f t="shared" si="12"/>
        <v>0</v>
      </c>
      <c r="AN39" s="77">
        <f t="shared" si="12"/>
        <v>0</v>
      </c>
      <c r="AO39" s="77">
        <f t="shared" si="12"/>
        <v>0</v>
      </c>
      <c r="AP39" s="77">
        <f t="shared" si="12"/>
        <v>0</v>
      </c>
      <c r="AQ39" s="77">
        <f t="shared" si="12"/>
        <v>0</v>
      </c>
      <c r="AR39" s="77">
        <f t="shared" si="12"/>
        <v>0</v>
      </c>
      <c r="AS39" s="77">
        <f t="shared" si="12"/>
        <v>0</v>
      </c>
      <c r="AT39" s="77">
        <f t="shared" si="12"/>
        <v>0</v>
      </c>
      <c r="AU39" s="77">
        <f t="shared" si="12"/>
        <v>0</v>
      </c>
      <c r="AV39" s="77">
        <f t="shared" si="11"/>
        <v>0</v>
      </c>
      <c r="AW39" s="77">
        <f t="shared" si="11"/>
        <v>0</v>
      </c>
      <c r="AX39" s="77">
        <f t="shared" si="11"/>
        <v>0</v>
      </c>
      <c r="AY39" s="77">
        <f t="shared" si="11"/>
        <v>0</v>
      </c>
      <c r="AZ39" s="77">
        <f t="shared" si="11"/>
        <v>0</v>
      </c>
      <c r="BA39" s="77">
        <f t="shared" si="9"/>
        <v>0</v>
      </c>
      <c r="BB39" s="77">
        <f t="shared" si="9"/>
        <v>0</v>
      </c>
      <c r="BC39" s="77">
        <f t="shared" si="9"/>
        <v>0</v>
      </c>
      <c r="BD39" s="77">
        <f t="shared" si="9"/>
        <v>0</v>
      </c>
      <c r="BE39" s="77">
        <f t="shared" si="9"/>
        <v>0</v>
      </c>
    </row>
    <row r="40" spans="3:57">
      <c r="C40" s="77">
        <f t="shared" si="2"/>
        <v>125920166.17518033</v>
      </c>
      <c r="D40">
        <v>2042</v>
      </c>
      <c r="E40" s="77">
        <f t="shared" si="10"/>
        <v>0</v>
      </c>
      <c r="F40" s="77">
        <f t="shared" si="10"/>
        <v>0</v>
      </c>
      <c r="G40" s="77">
        <f t="shared" si="10"/>
        <v>0</v>
      </c>
      <c r="H40" s="77">
        <f t="shared" si="10"/>
        <v>0</v>
      </c>
      <c r="I40" s="77">
        <f t="shared" si="10"/>
        <v>0</v>
      </c>
      <c r="J40" s="77">
        <f t="shared" si="10"/>
        <v>0</v>
      </c>
      <c r="K40" s="77">
        <f t="shared" si="10"/>
        <v>0</v>
      </c>
      <c r="L40" s="77">
        <f t="shared" si="10"/>
        <v>0</v>
      </c>
      <c r="M40" s="77">
        <f t="shared" si="10"/>
        <v>0</v>
      </c>
      <c r="N40" s="77">
        <f t="shared" si="10"/>
        <v>0</v>
      </c>
      <c r="O40" s="77">
        <f t="shared" si="10"/>
        <v>0</v>
      </c>
      <c r="P40" s="77">
        <f t="shared" si="10"/>
        <v>0</v>
      </c>
      <c r="Q40" s="77">
        <f t="shared" si="10"/>
        <v>0</v>
      </c>
      <c r="R40" s="77">
        <f t="shared" si="10"/>
        <v>0</v>
      </c>
      <c r="S40" s="77">
        <f t="shared" si="10"/>
        <v>292153.42335795442</v>
      </c>
      <c r="T40" s="77">
        <f t="shared" si="10"/>
        <v>0</v>
      </c>
      <c r="U40" s="77">
        <f t="shared" si="8"/>
        <v>0</v>
      </c>
      <c r="V40" s="77">
        <f t="shared" si="8"/>
        <v>0</v>
      </c>
      <c r="W40" s="77">
        <f t="shared" si="8"/>
        <v>0</v>
      </c>
      <c r="X40" s="77">
        <f t="shared" si="8"/>
        <v>0</v>
      </c>
      <c r="Y40" s="77">
        <f t="shared" si="8"/>
        <v>0</v>
      </c>
      <c r="Z40" s="77">
        <f t="shared" si="8"/>
        <v>0</v>
      </c>
      <c r="AA40" s="77">
        <f t="shared" si="8"/>
        <v>0</v>
      </c>
      <c r="AB40" s="77">
        <f t="shared" si="8"/>
        <v>0</v>
      </c>
      <c r="AC40" s="77">
        <f t="shared" si="8"/>
        <v>0</v>
      </c>
      <c r="AD40" s="77">
        <f t="shared" si="8"/>
        <v>0</v>
      </c>
      <c r="AE40" s="77">
        <f t="shared" si="8"/>
        <v>0</v>
      </c>
      <c r="AF40" s="77">
        <f t="shared" si="12"/>
        <v>0</v>
      </c>
      <c r="AG40" s="77">
        <f t="shared" si="12"/>
        <v>0</v>
      </c>
      <c r="AH40" s="77">
        <f t="shared" si="12"/>
        <v>0</v>
      </c>
      <c r="AI40" s="77">
        <f t="shared" si="12"/>
        <v>0</v>
      </c>
      <c r="AJ40" s="77">
        <f t="shared" si="12"/>
        <v>0</v>
      </c>
      <c r="AK40" s="77">
        <f t="shared" si="12"/>
        <v>0</v>
      </c>
      <c r="AL40" s="77">
        <f t="shared" si="12"/>
        <v>0</v>
      </c>
      <c r="AM40" s="77">
        <f t="shared" si="12"/>
        <v>0</v>
      </c>
      <c r="AN40" s="77">
        <f t="shared" si="12"/>
        <v>0</v>
      </c>
      <c r="AO40" s="77">
        <f t="shared" si="12"/>
        <v>0</v>
      </c>
      <c r="AP40" s="77">
        <f t="shared" si="12"/>
        <v>0</v>
      </c>
      <c r="AQ40" s="77">
        <f t="shared" si="12"/>
        <v>0</v>
      </c>
      <c r="AR40" s="77">
        <f t="shared" si="12"/>
        <v>0</v>
      </c>
      <c r="AS40" s="77">
        <f t="shared" si="12"/>
        <v>0</v>
      </c>
      <c r="AT40" s="77">
        <f t="shared" si="12"/>
        <v>0</v>
      </c>
      <c r="AU40" s="77">
        <f t="shared" si="12"/>
        <v>0</v>
      </c>
      <c r="AV40" s="77">
        <f t="shared" si="11"/>
        <v>0</v>
      </c>
      <c r="AW40" s="77">
        <f t="shared" si="11"/>
        <v>0</v>
      </c>
      <c r="AX40" s="77">
        <f t="shared" si="11"/>
        <v>0</v>
      </c>
      <c r="AY40" s="77">
        <f t="shared" si="11"/>
        <v>0</v>
      </c>
      <c r="AZ40" s="77">
        <f t="shared" si="11"/>
        <v>0</v>
      </c>
      <c r="BA40" s="77">
        <f t="shared" si="9"/>
        <v>0</v>
      </c>
      <c r="BB40" s="77">
        <f t="shared" si="9"/>
        <v>0</v>
      </c>
      <c r="BC40" s="77">
        <f t="shared" si="9"/>
        <v>0</v>
      </c>
      <c r="BD40" s="77">
        <f t="shared" si="9"/>
        <v>0</v>
      </c>
      <c r="BE40" s="77">
        <f t="shared" si="9"/>
        <v>0</v>
      </c>
    </row>
    <row r="41" spans="3:57">
      <c r="C41" s="77">
        <f t="shared" si="2"/>
        <v>126212319.59853828</v>
      </c>
      <c r="D41">
        <v>2043</v>
      </c>
      <c r="E41" s="77">
        <f t="shared" si="10"/>
        <v>0</v>
      </c>
      <c r="F41" s="77">
        <f t="shared" si="10"/>
        <v>0</v>
      </c>
      <c r="G41" s="77">
        <f t="shared" si="10"/>
        <v>0</v>
      </c>
      <c r="H41" s="77">
        <f t="shared" si="10"/>
        <v>0</v>
      </c>
      <c r="I41" s="77">
        <f t="shared" si="10"/>
        <v>0</v>
      </c>
      <c r="J41" s="77">
        <f t="shared" si="10"/>
        <v>0</v>
      </c>
      <c r="K41" s="77">
        <f t="shared" si="10"/>
        <v>0</v>
      </c>
      <c r="L41" s="77">
        <f t="shared" si="10"/>
        <v>0</v>
      </c>
      <c r="M41" s="77">
        <f t="shared" si="10"/>
        <v>0</v>
      </c>
      <c r="N41" s="77">
        <f t="shared" si="10"/>
        <v>0</v>
      </c>
      <c r="O41" s="77">
        <f t="shared" si="10"/>
        <v>0</v>
      </c>
      <c r="P41" s="77">
        <f t="shared" si="10"/>
        <v>0</v>
      </c>
      <c r="Q41" s="77">
        <f t="shared" si="10"/>
        <v>0</v>
      </c>
      <c r="R41" s="77">
        <f t="shared" si="10"/>
        <v>0</v>
      </c>
      <c r="S41" s="77">
        <f t="shared" si="10"/>
        <v>292153.42335795442</v>
      </c>
      <c r="T41" s="77">
        <f t="shared" si="10"/>
        <v>0</v>
      </c>
      <c r="U41" s="77">
        <f t="shared" si="8"/>
        <v>0</v>
      </c>
      <c r="V41" s="77">
        <f t="shared" si="8"/>
        <v>0</v>
      </c>
      <c r="W41" s="77">
        <f t="shared" si="8"/>
        <v>0</v>
      </c>
      <c r="X41" s="77">
        <f t="shared" si="8"/>
        <v>0</v>
      </c>
      <c r="Y41" s="77">
        <f t="shared" si="8"/>
        <v>0</v>
      </c>
      <c r="Z41" s="77">
        <f t="shared" si="8"/>
        <v>0</v>
      </c>
      <c r="AA41" s="77">
        <f t="shared" si="8"/>
        <v>0</v>
      </c>
      <c r="AB41" s="77">
        <f t="shared" si="8"/>
        <v>0</v>
      </c>
      <c r="AC41" s="77">
        <f t="shared" si="8"/>
        <v>0</v>
      </c>
      <c r="AD41" s="77">
        <f t="shared" si="8"/>
        <v>0</v>
      </c>
      <c r="AE41" s="77">
        <f t="shared" si="8"/>
        <v>0</v>
      </c>
      <c r="AF41" s="77">
        <f t="shared" si="12"/>
        <v>0</v>
      </c>
      <c r="AG41" s="77">
        <f t="shared" si="12"/>
        <v>0</v>
      </c>
      <c r="AH41" s="77">
        <f t="shared" si="12"/>
        <v>0</v>
      </c>
      <c r="AI41" s="77">
        <f t="shared" si="12"/>
        <v>0</v>
      </c>
      <c r="AJ41" s="77">
        <f t="shared" si="12"/>
        <v>0</v>
      </c>
      <c r="AK41" s="77">
        <f t="shared" si="12"/>
        <v>0</v>
      </c>
      <c r="AL41" s="77">
        <f t="shared" si="12"/>
        <v>0</v>
      </c>
      <c r="AM41" s="77">
        <f t="shared" si="12"/>
        <v>0</v>
      </c>
      <c r="AN41" s="77">
        <f t="shared" si="12"/>
        <v>0</v>
      </c>
      <c r="AO41" s="77">
        <f t="shared" si="12"/>
        <v>0</v>
      </c>
      <c r="AP41" s="77">
        <f t="shared" si="12"/>
        <v>0</v>
      </c>
      <c r="AQ41" s="77">
        <f t="shared" si="12"/>
        <v>0</v>
      </c>
      <c r="AR41" s="77">
        <f t="shared" si="12"/>
        <v>0</v>
      </c>
      <c r="AS41" s="77">
        <f t="shared" si="12"/>
        <v>0</v>
      </c>
      <c r="AT41" s="77">
        <f t="shared" si="12"/>
        <v>0</v>
      </c>
      <c r="AU41" s="77">
        <f t="shared" si="12"/>
        <v>0</v>
      </c>
      <c r="AV41" s="77">
        <f t="shared" si="11"/>
        <v>0</v>
      </c>
      <c r="AW41" s="77">
        <f t="shared" si="11"/>
        <v>0</v>
      </c>
      <c r="AX41" s="77">
        <f t="shared" si="11"/>
        <v>0</v>
      </c>
      <c r="AY41" s="77">
        <f t="shared" si="11"/>
        <v>0</v>
      </c>
      <c r="AZ41" s="77">
        <f t="shared" si="11"/>
        <v>0</v>
      </c>
      <c r="BA41" s="77">
        <f t="shared" si="9"/>
        <v>0</v>
      </c>
      <c r="BB41" s="77">
        <f t="shared" si="9"/>
        <v>0</v>
      </c>
      <c r="BC41" s="77">
        <f t="shared" si="9"/>
        <v>0</v>
      </c>
      <c r="BD41" s="77">
        <f t="shared" si="9"/>
        <v>0</v>
      </c>
      <c r="BE41" s="77">
        <f t="shared" si="9"/>
        <v>0</v>
      </c>
    </row>
    <row r="42" spans="3:57">
      <c r="C42" s="77">
        <f t="shared" si="2"/>
        <v>126212319.59853828</v>
      </c>
      <c r="D42">
        <v>2044</v>
      </c>
      <c r="E42" s="77">
        <f t="shared" si="10"/>
        <v>0</v>
      </c>
      <c r="F42" s="77">
        <f t="shared" si="10"/>
        <v>0</v>
      </c>
      <c r="G42" s="77">
        <f t="shared" si="10"/>
        <v>0</v>
      </c>
      <c r="H42" s="77">
        <f t="shared" si="10"/>
        <v>0</v>
      </c>
      <c r="I42" s="77">
        <f t="shared" si="10"/>
        <v>0</v>
      </c>
      <c r="J42" s="77">
        <f t="shared" si="10"/>
        <v>0</v>
      </c>
      <c r="K42" s="77">
        <f t="shared" si="10"/>
        <v>0</v>
      </c>
      <c r="L42" s="77">
        <f t="shared" si="10"/>
        <v>0</v>
      </c>
      <c r="M42" s="77">
        <f t="shared" si="10"/>
        <v>0</v>
      </c>
      <c r="N42" s="77">
        <f t="shared" si="10"/>
        <v>0</v>
      </c>
      <c r="O42" s="77">
        <f t="shared" si="10"/>
        <v>0</v>
      </c>
      <c r="P42" s="77">
        <f t="shared" si="10"/>
        <v>0</v>
      </c>
      <c r="Q42" s="77">
        <f t="shared" si="10"/>
        <v>0</v>
      </c>
      <c r="R42" s="77">
        <f t="shared" si="10"/>
        <v>0</v>
      </c>
      <c r="S42" s="77">
        <f t="shared" si="10"/>
        <v>0</v>
      </c>
      <c r="T42" s="77">
        <f t="shared" ref="T42:AI57" si="13">IF(AND($D42&lt;(T$2+T$3),$D42&gt;=T$2),VDB(T$4,0,T$3,($D42-T$2),($D42-(T$2-1))),0)</f>
        <v>0</v>
      </c>
      <c r="U42" s="77">
        <f t="shared" si="13"/>
        <v>0</v>
      </c>
      <c r="V42" s="77">
        <f t="shared" si="13"/>
        <v>0</v>
      </c>
      <c r="W42" s="77">
        <f t="shared" si="13"/>
        <v>0</v>
      </c>
      <c r="X42" s="77">
        <f t="shared" si="13"/>
        <v>0</v>
      </c>
      <c r="Y42" s="77">
        <f t="shared" si="13"/>
        <v>0</v>
      </c>
      <c r="Z42" s="77">
        <f t="shared" si="13"/>
        <v>0</v>
      </c>
      <c r="AA42" s="77">
        <f t="shared" si="13"/>
        <v>0</v>
      </c>
      <c r="AB42" s="77">
        <f t="shared" si="13"/>
        <v>0</v>
      </c>
      <c r="AC42" s="77">
        <f t="shared" si="13"/>
        <v>0</v>
      </c>
      <c r="AD42" s="77">
        <f t="shared" si="13"/>
        <v>0</v>
      </c>
      <c r="AE42" s="77">
        <f t="shared" si="13"/>
        <v>0</v>
      </c>
      <c r="AF42" s="77">
        <f t="shared" si="13"/>
        <v>0</v>
      </c>
      <c r="AG42" s="77">
        <f t="shared" si="13"/>
        <v>0</v>
      </c>
      <c r="AH42" s="77">
        <f t="shared" si="13"/>
        <v>0</v>
      </c>
      <c r="AI42" s="77">
        <f t="shared" si="13"/>
        <v>0</v>
      </c>
      <c r="AJ42" s="77">
        <f t="shared" si="12"/>
        <v>0</v>
      </c>
      <c r="AK42" s="77">
        <f t="shared" si="12"/>
        <v>0</v>
      </c>
      <c r="AL42" s="77">
        <f t="shared" si="12"/>
        <v>0</v>
      </c>
      <c r="AM42" s="77">
        <f t="shared" si="12"/>
        <v>0</v>
      </c>
      <c r="AN42" s="77">
        <f t="shared" si="12"/>
        <v>0</v>
      </c>
      <c r="AO42" s="77">
        <f t="shared" si="12"/>
        <v>0</v>
      </c>
      <c r="AP42" s="77">
        <f t="shared" si="12"/>
        <v>0</v>
      </c>
      <c r="AQ42" s="77">
        <f t="shared" si="12"/>
        <v>0</v>
      </c>
      <c r="AR42" s="77">
        <f t="shared" si="12"/>
        <v>0</v>
      </c>
      <c r="AS42" s="77">
        <f t="shared" si="12"/>
        <v>0</v>
      </c>
      <c r="AT42" s="77">
        <f t="shared" si="12"/>
        <v>0</v>
      </c>
      <c r="AU42" s="77">
        <f t="shared" si="12"/>
        <v>0</v>
      </c>
      <c r="AV42" s="77">
        <f t="shared" si="11"/>
        <v>0</v>
      </c>
      <c r="AW42" s="77">
        <f t="shared" si="11"/>
        <v>0</v>
      </c>
      <c r="AX42" s="77">
        <f t="shared" si="11"/>
        <v>0</v>
      </c>
      <c r="AY42" s="77">
        <f t="shared" si="11"/>
        <v>0</v>
      </c>
      <c r="AZ42" s="77">
        <f t="shared" si="11"/>
        <v>0</v>
      </c>
      <c r="BA42" s="77">
        <f t="shared" si="9"/>
        <v>0</v>
      </c>
      <c r="BB42" s="77">
        <f t="shared" si="9"/>
        <v>0</v>
      </c>
      <c r="BC42" s="77">
        <f t="shared" si="9"/>
        <v>0</v>
      </c>
      <c r="BD42" s="77">
        <f t="shared" si="9"/>
        <v>0</v>
      </c>
      <c r="BE42" s="77">
        <f t="shared" si="9"/>
        <v>0</v>
      </c>
    </row>
    <row r="43" spans="3:57">
      <c r="C43" s="77">
        <f t="shared" si="2"/>
        <v>126212319.59853828</v>
      </c>
      <c r="D43">
        <v>2045</v>
      </c>
      <c r="E43" s="77">
        <f t="shared" ref="E43:T58" si="14">IF(AND($D43&lt;(E$2+E$3),$D43&gt;=E$2),VDB(E$4,0,E$3,($D43-E$2),($D43-(E$2-1))),0)</f>
        <v>0</v>
      </c>
      <c r="F43" s="77">
        <f t="shared" si="14"/>
        <v>0</v>
      </c>
      <c r="G43" s="77">
        <f t="shared" si="14"/>
        <v>0</v>
      </c>
      <c r="H43" s="77">
        <f t="shared" si="14"/>
        <v>0</v>
      </c>
      <c r="I43" s="77">
        <f t="shared" si="14"/>
        <v>0</v>
      </c>
      <c r="J43" s="77">
        <f t="shared" si="14"/>
        <v>0</v>
      </c>
      <c r="K43" s="77">
        <f t="shared" si="14"/>
        <v>0</v>
      </c>
      <c r="L43" s="77">
        <f t="shared" si="14"/>
        <v>0</v>
      </c>
      <c r="M43" s="77">
        <f t="shared" si="14"/>
        <v>0</v>
      </c>
      <c r="N43" s="77">
        <f t="shared" si="14"/>
        <v>0</v>
      </c>
      <c r="O43" s="77">
        <f t="shared" si="14"/>
        <v>0</v>
      </c>
      <c r="P43" s="77">
        <f t="shared" si="14"/>
        <v>0</v>
      </c>
      <c r="Q43" s="77">
        <f t="shared" si="14"/>
        <v>0</v>
      </c>
      <c r="R43" s="77">
        <f t="shared" si="14"/>
        <v>0</v>
      </c>
      <c r="S43" s="77">
        <f t="shared" si="14"/>
        <v>0</v>
      </c>
      <c r="T43" s="77">
        <f t="shared" si="14"/>
        <v>0</v>
      </c>
      <c r="U43" s="77">
        <f t="shared" si="13"/>
        <v>0</v>
      </c>
      <c r="V43" s="77">
        <f t="shared" si="13"/>
        <v>0</v>
      </c>
      <c r="W43" s="77">
        <f t="shared" si="13"/>
        <v>0</v>
      </c>
      <c r="X43" s="77">
        <f t="shared" si="13"/>
        <v>0</v>
      </c>
      <c r="Y43" s="77">
        <f t="shared" si="13"/>
        <v>0</v>
      </c>
      <c r="Z43" s="77">
        <f t="shared" si="13"/>
        <v>0</v>
      </c>
      <c r="AA43" s="77">
        <f t="shared" si="13"/>
        <v>0</v>
      </c>
      <c r="AB43" s="77">
        <f t="shared" si="13"/>
        <v>0</v>
      </c>
      <c r="AC43" s="77">
        <f t="shared" si="13"/>
        <v>0</v>
      </c>
      <c r="AD43" s="77">
        <f t="shared" si="13"/>
        <v>0</v>
      </c>
      <c r="AE43" s="77">
        <f t="shared" si="13"/>
        <v>0</v>
      </c>
      <c r="AF43" s="77">
        <f t="shared" si="13"/>
        <v>0</v>
      </c>
      <c r="AG43" s="77">
        <f t="shared" si="13"/>
        <v>0</v>
      </c>
      <c r="AH43" s="77">
        <f t="shared" si="13"/>
        <v>0</v>
      </c>
      <c r="AI43" s="77">
        <f t="shared" si="13"/>
        <v>0</v>
      </c>
      <c r="AJ43" s="77">
        <f t="shared" si="12"/>
        <v>0</v>
      </c>
      <c r="AK43" s="77">
        <f t="shared" si="12"/>
        <v>0</v>
      </c>
      <c r="AL43" s="77">
        <f t="shared" si="12"/>
        <v>0</v>
      </c>
      <c r="AM43" s="77">
        <f t="shared" si="12"/>
        <v>0</v>
      </c>
      <c r="AN43" s="77">
        <f t="shared" si="12"/>
        <v>0</v>
      </c>
      <c r="AO43" s="77">
        <f t="shared" si="12"/>
        <v>0</v>
      </c>
      <c r="AP43" s="77">
        <f t="shared" si="12"/>
        <v>0</v>
      </c>
      <c r="AQ43" s="77">
        <f t="shared" si="12"/>
        <v>0</v>
      </c>
      <c r="AR43" s="77">
        <f t="shared" si="12"/>
        <v>0</v>
      </c>
      <c r="AS43" s="77">
        <f t="shared" si="12"/>
        <v>0</v>
      </c>
      <c r="AT43" s="77">
        <f t="shared" si="12"/>
        <v>0</v>
      </c>
      <c r="AU43" s="77">
        <f t="shared" si="12"/>
        <v>0</v>
      </c>
      <c r="AV43" s="77">
        <f t="shared" si="11"/>
        <v>0</v>
      </c>
      <c r="AW43" s="77">
        <f t="shared" si="11"/>
        <v>0</v>
      </c>
      <c r="AX43" s="77">
        <f t="shared" si="11"/>
        <v>0</v>
      </c>
      <c r="AY43" s="77">
        <f t="shared" si="11"/>
        <v>0</v>
      </c>
      <c r="AZ43" s="77">
        <f t="shared" si="11"/>
        <v>0</v>
      </c>
      <c r="BA43" s="77">
        <f t="shared" si="9"/>
        <v>0</v>
      </c>
      <c r="BB43" s="77">
        <f t="shared" si="9"/>
        <v>0</v>
      </c>
      <c r="BC43" s="77">
        <f t="shared" si="9"/>
        <v>0</v>
      </c>
      <c r="BD43" s="77">
        <f t="shared" si="9"/>
        <v>0</v>
      </c>
      <c r="BE43" s="77">
        <f t="shared" si="9"/>
        <v>0</v>
      </c>
    </row>
    <row r="44" spans="3:57">
      <c r="C44" s="77">
        <f t="shared" si="2"/>
        <v>126212319.59853828</v>
      </c>
      <c r="D44">
        <v>2046</v>
      </c>
      <c r="E44" s="77">
        <f t="shared" si="14"/>
        <v>0</v>
      </c>
      <c r="F44" s="77">
        <f t="shared" si="14"/>
        <v>0</v>
      </c>
      <c r="G44" s="77">
        <f t="shared" si="14"/>
        <v>0</v>
      </c>
      <c r="H44" s="77">
        <f t="shared" si="14"/>
        <v>0</v>
      </c>
      <c r="I44" s="77">
        <f t="shared" si="14"/>
        <v>0</v>
      </c>
      <c r="J44" s="77">
        <f t="shared" si="14"/>
        <v>0</v>
      </c>
      <c r="K44" s="77">
        <f t="shared" si="14"/>
        <v>0</v>
      </c>
      <c r="L44" s="77">
        <f t="shared" si="14"/>
        <v>0</v>
      </c>
      <c r="M44" s="77">
        <f t="shared" si="14"/>
        <v>0</v>
      </c>
      <c r="N44" s="77">
        <f t="shared" si="14"/>
        <v>0</v>
      </c>
      <c r="O44" s="77">
        <f t="shared" si="14"/>
        <v>0</v>
      </c>
      <c r="P44" s="77">
        <f t="shared" si="14"/>
        <v>0</v>
      </c>
      <c r="Q44" s="77">
        <f t="shared" si="14"/>
        <v>0</v>
      </c>
      <c r="R44" s="77">
        <f t="shared" si="14"/>
        <v>0</v>
      </c>
      <c r="S44" s="77">
        <f t="shared" si="14"/>
        <v>0</v>
      </c>
      <c r="T44" s="77">
        <f t="shared" si="14"/>
        <v>0</v>
      </c>
      <c r="U44" s="77">
        <f t="shared" si="13"/>
        <v>0</v>
      </c>
      <c r="V44" s="77">
        <f t="shared" si="13"/>
        <v>0</v>
      </c>
      <c r="W44" s="77">
        <f t="shared" si="13"/>
        <v>0</v>
      </c>
      <c r="X44" s="77">
        <f t="shared" si="13"/>
        <v>0</v>
      </c>
      <c r="Y44" s="77">
        <f t="shared" si="13"/>
        <v>0</v>
      </c>
      <c r="Z44" s="77">
        <f t="shared" si="13"/>
        <v>0</v>
      </c>
      <c r="AA44" s="77">
        <f t="shared" si="13"/>
        <v>0</v>
      </c>
      <c r="AB44" s="77">
        <f t="shared" si="13"/>
        <v>0</v>
      </c>
      <c r="AC44" s="77">
        <f t="shared" si="13"/>
        <v>0</v>
      </c>
      <c r="AD44" s="77">
        <f t="shared" si="13"/>
        <v>0</v>
      </c>
      <c r="AE44" s="77">
        <f t="shared" si="13"/>
        <v>0</v>
      </c>
      <c r="AF44" s="77">
        <f t="shared" si="13"/>
        <v>0</v>
      </c>
      <c r="AG44" s="77">
        <f t="shared" si="13"/>
        <v>0</v>
      </c>
      <c r="AH44" s="77">
        <f t="shared" si="13"/>
        <v>0</v>
      </c>
      <c r="AI44" s="77">
        <f t="shared" si="13"/>
        <v>0</v>
      </c>
      <c r="AJ44" s="77">
        <f t="shared" si="12"/>
        <v>0</v>
      </c>
      <c r="AK44" s="77">
        <f t="shared" si="12"/>
        <v>0</v>
      </c>
      <c r="AL44" s="77">
        <f t="shared" si="12"/>
        <v>0</v>
      </c>
      <c r="AM44" s="77">
        <f t="shared" si="12"/>
        <v>0</v>
      </c>
      <c r="AN44" s="77">
        <f t="shared" si="12"/>
        <v>0</v>
      </c>
      <c r="AO44" s="77">
        <f t="shared" si="12"/>
        <v>0</v>
      </c>
      <c r="AP44" s="77">
        <f t="shared" si="12"/>
        <v>0</v>
      </c>
      <c r="AQ44" s="77">
        <f t="shared" si="12"/>
        <v>0</v>
      </c>
      <c r="AR44" s="77">
        <f t="shared" si="12"/>
        <v>0</v>
      </c>
      <c r="AS44" s="77">
        <f t="shared" si="12"/>
        <v>0</v>
      </c>
      <c r="AT44" s="77">
        <f t="shared" si="12"/>
        <v>0</v>
      </c>
      <c r="AU44" s="77">
        <f t="shared" si="12"/>
        <v>0</v>
      </c>
      <c r="AV44" s="77">
        <f t="shared" si="11"/>
        <v>0</v>
      </c>
      <c r="AW44" s="77">
        <f t="shared" si="11"/>
        <v>0</v>
      </c>
      <c r="AX44" s="77">
        <f t="shared" si="11"/>
        <v>0</v>
      </c>
      <c r="AY44" s="77">
        <f t="shared" si="11"/>
        <v>0</v>
      </c>
      <c r="AZ44" s="77">
        <f t="shared" si="11"/>
        <v>0</v>
      </c>
      <c r="BA44" s="77">
        <f t="shared" si="9"/>
        <v>0</v>
      </c>
      <c r="BB44" s="77">
        <f t="shared" si="9"/>
        <v>0</v>
      </c>
      <c r="BC44" s="77">
        <f t="shared" si="9"/>
        <v>0</v>
      </c>
      <c r="BD44" s="77">
        <f t="shared" si="9"/>
        <v>0</v>
      </c>
      <c r="BE44" s="77">
        <f t="shared" si="9"/>
        <v>0</v>
      </c>
    </row>
    <row r="45" spans="3:57">
      <c r="C45" s="77">
        <f t="shared" si="2"/>
        <v>126212319.59853828</v>
      </c>
      <c r="D45">
        <v>2047</v>
      </c>
      <c r="E45" s="77">
        <f t="shared" si="14"/>
        <v>0</v>
      </c>
      <c r="F45" s="77">
        <f t="shared" si="14"/>
        <v>0</v>
      </c>
      <c r="G45" s="77">
        <f t="shared" si="14"/>
        <v>0</v>
      </c>
      <c r="H45" s="77">
        <f t="shared" si="14"/>
        <v>0</v>
      </c>
      <c r="I45" s="77">
        <f t="shared" si="14"/>
        <v>0</v>
      </c>
      <c r="J45" s="77">
        <f t="shared" si="14"/>
        <v>0</v>
      </c>
      <c r="K45" s="77">
        <f t="shared" si="14"/>
        <v>0</v>
      </c>
      <c r="L45" s="77">
        <f t="shared" si="14"/>
        <v>0</v>
      </c>
      <c r="M45" s="77">
        <f t="shared" si="14"/>
        <v>0</v>
      </c>
      <c r="N45" s="77">
        <f t="shared" si="14"/>
        <v>0</v>
      </c>
      <c r="O45" s="77">
        <f t="shared" si="14"/>
        <v>0</v>
      </c>
      <c r="P45" s="77">
        <f t="shared" si="14"/>
        <v>0</v>
      </c>
      <c r="Q45" s="77">
        <f t="shared" si="14"/>
        <v>0</v>
      </c>
      <c r="R45" s="77">
        <f t="shared" si="14"/>
        <v>0</v>
      </c>
      <c r="S45" s="77">
        <f t="shared" si="14"/>
        <v>0</v>
      </c>
      <c r="T45" s="77">
        <f t="shared" si="14"/>
        <v>0</v>
      </c>
      <c r="U45" s="77">
        <f t="shared" si="13"/>
        <v>0</v>
      </c>
      <c r="V45" s="77">
        <f t="shared" si="13"/>
        <v>0</v>
      </c>
      <c r="W45" s="77">
        <f t="shared" si="13"/>
        <v>0</v>
      </c>
      <c r="X45" s="77">
        <f t="shared" si="13"/>
        <v>0</v>
      </c>
      <c r="Y45" s="77">
        <f t="shared" si="13"/>
        <v>0</v>
      </c>
      <c r="Z45" s="77">
        <f t="shared" si="13"/>
        <v>0</v>
      </c>
      <c r="AA45" s="77">
        <f t="shared" si="13"/>
        <v>0</v>
      </c>
      <c r="AB45" s="77">
        <f t="shared" si="13"/>
        <v>0</v>
      </c>
      <c r="AC45" s="77">
        <f t="shared" si="13"/>
        <v>0</v>
      </c>
      <c r="AD45" s="77">
        <f t="shared" si="13"/>
        <v>0</v>
      </c>
      <c r="AE45" s="77">
        <f t="shared" si="13"/>
        <v>0</v>
      </c>
      <c r="AF45" s="77">
        <f t="shared" si="13"/>
        <v>0</v>
      </c>
      <c r="AG45" s="77">
        <f t="shared" si="13"/>
        <v>0</v>
      </c>
      <c r="AH45" s="77">
        <f t="shared" si="13"/>
        <v>0</v>
      </c>
      <c r="AI45" s="77">
        <f t="shared" si="13"/>
        <v>0</v>
      </c>
      <c r="AJ45" s="77">
        <f t="shared" si="12"/>
        <v>0</v>
      </c>
      <c r="AK45" s="77">
        <f t="shared" si="12"/>
        <v>0</v>
      </c>
      <c r="AL45" s="77">
        <f t="shared" si="12"/>
        <v>0</v>
      </c>
      <c r="AM45" s="77">
        <f t="shared" si="12"/>
        <v>0</v>
      </c>
      <c r="AN45" s="77">
        <f t="shared" si="12"/>
        <v>0</v>
      </c>
      <c r="AO45" s="77">
        <f t="shared" si="12"/>
        <v>0</v>
      </c>
      <c r="AP45" s="77">
        <f t="shared" si="12"/>
        <v>0</v>
      </c>
      <c r="AQ45" s="77">
        <f t="shared" si="12"/>
        <v>0</v>
      </c>
      <c r="AR45" s="77">
        <f t="shared" si="12"/>
        <v>0</v>
      </c>
      <c r="AS45" s="77">
        <f t="shared" si="12"/>
        <v>0</v>
      </c>
      <c r="AT45" s="77">
        <f t="shared" si="12"/>
        <v>0</v>
      </c>
      <c r="AU45" s="77">
        <f t="shared" ref="AU45:BE57" si="15">IF(AND($D45&lt;(AU$2+AU$3),$D45&gt;=AU$2),VDB(AU$4,0,AU$3,($D45-AU$2),($D45-(AU$2-1))),0)</f>
        <v>0</v>
      </c>
      <c r="AV45" s="77">
        <f t="shared" si="15"/>
        <v>0</v>
      </c>
      <c r="AW45" s="77">
        <f t="shared" si="15"/>
        <v>0</v>
      </c>
      <c r="AX45" s="77">
        <f t="shared" si="15"/>
        <v>0</v>
      </c>
      <c r="AY45" s="77">
        <f t="shared" si="15"/>
        <v>0</v>
      </c>
      <c r="AZ45" s="77">
        <f t="shared" si="15"/>
        <v>0</v>
      </c>
      <c r="BA45" s="77">
        <f t="shared" si="15"/>
        <v>0</v>
      </c>
      <c r="BB45" s="77">
        <f t="shared" si="15"/>
        <v>0</v>
      </c>
      <c r="BC45" s="77">
        <f t="shared" si="15"/>
        <v>0</v>
      </c>
      <c r="BD45" s="77">
        <f t="shared" si="15"/>
        <v>0</v>
      </c>
      <c r="BE45" s="77">
        <f t="shared" si="15"/>
        <v>0</v>
      </c>
    </row>
    <row r="46" spans="3:57">
      <c r="C46" s="77">
        <f t="shared" si="2"/>
        <v>126212319.59853828</v>
      </c>
      <c r="D46">
        <v>2048</v>
      </c>
      <c r="E46" s="77">
        <f t="shared" si="14"/>
        <v>0</v>
      </c>
      <c r="F46" s="77">
        <f t="shared" si="14"/>
        <v>0</v>
      </c>
      <c r="G46" s="77">
        <f t="shared" si="14"/>
        <v>0</v>
      </c>
      <c r="H46" s="77">
        <f t="shared" si="14"/>
        <v>0</v>
      </c>
      <c r="I46" s="77">
        <f t="shared" si="14"/>
        <v>0</v>
      </c>
      <c r="J46" s="77">
        <f t="shared" si="14"/>
        <v>0</v>
      </c>
      <c r="K46" s="77">
        <f t="shared" si="14"/>
        <v>0</v>
      </c>
      <c r="L46" s="77">
        <f t="shared" si="14"/>
        <v>0</v>
      </c>
      <c r="M46" s="77">
        <f t="shared" si="14"/>
        <v>0</v>
      </c>
      <c r="N46" s="77">
        <f t="shared" si="14"/>
        <v>0</v>
      </c>
      <c r="O46" s="77">
        <f t="shared" si="14"/>
        <v>0</v>
      </c>
      <c r="P46" s="77">
        <f t="shared" si="14"/>
        <v>0</v>
      </c>
      <c r="Q46" s="77">
        <f t="shared" si="14"/>
        <v>0</v>
      </c>
      <c r="R46" s="77">
        <f t="shared" si="14"/>
        <v>0</v>
      </c>
      <c r="S46" s="77">
        <f t="shared" si="14"/>
        <v>0</v>
      </c>
      <c r="T46" s="77">
        <f t="shared" si="14"/>
        <v>0</v>
      </c>
      <c r="U46" s="77">
        <f t="shared" si="13"/>
        <v>0</v>
      </c>
      <c r="V46" s="77">
        <f t="shared" si="13"/>
        <v>0</v>
      </c>
      <c r="W46" s="77">
        <f t="shared" si="13"/>
        <v>0</v>
      </c>
      <c r="X46" s="77">
        <f t="shared" si="13"/>
        <v>0</v>
      </c>
      <c r="Y46" s="77">
        <f t="shared" si="13"/>
        <v>0</v>
      </c>
      <c r="Z46" s="77">
        <f t="shared" si="13"/>
        <v>0</v>
      </c>
      <c r="AA46" s="77">
        <f t="shared" si="13"/>
        <v>0</v>
      </c>
      <c r="AB46" s="77">
        <f t="shared" si="13"/>
        <v>0</v>
      </c>
      <c r="AC46" s="77">
        <f t="shared" si="13"/>
        <v>0</v>
      </c>
      <c r="AD46" s="77">
        <f t="shared" si="13"/>
        <v>0</v>
      </c>
      <c r="AE46" s="77">
        <f t="shared" si="13"/>
        <v>0</v>
      </c>
      <c r="AF46" s="77">
        <f t="shared" si="13"/>
        <v>0</v>
      </c>
      <c r="AG46" s="77">
        <f t="shared" si="13"/>
        <v>0</v>
      </c>
      <c r="AH46" s="77">
        <f t="shared" si="13"/>
        <v>0</v>
      </c>
      <c r="AI46" s="77">
        <f t="shared" si="13"/>
        <v>0</v>
      </c>
      <c r="AJ46" s="77">
        <f t="shared" ref="AJ46:AY57" si="16">IF(AND($D46&lt;(AJ$2+AJ$3),$D46&gt;=AJ$2),VDB(AJ$4,0,AJ$3,($D46-AJ$2),($D46-(AJ$2-1))),0)</f>
        <v>0</v>
      </c>
      <c r="AK46" s="77">
        <f t="shared" si="16"/>
        <v>0</v>
      </c>
      <c r="AL46" s="77">
        <f t="shared" si="16"/>
        <v>0</v>
      </c>
      <c r="AM46" s="77">
        <f t="shared" si="16"/>
        <v>0</v>
      </c>
      <c r="AN46" s="77">
        <f t="shared" si="16"/>
        <v>0</v>
      </c>
      <c r="AO46" s="77">
        <f t="shared" si="16"/>
        <v>0</v>
      </c>
      <c r="AP46" s="77">
        <f t="shared" si="16"/>
        <v>0</v>
      </c>
      <c r="AQ46" s="77">
        <f t="shared" si="16"/>
        <v>0</v>
      </c>
      <c r="AR46" s="77">
        <f t="shared" si="16"/>
        <v>0</v>
      </c>
      <c r="AS46" s="77">
        <f t="shared" si="16"/>
        <v>0</v>
      </c>
      <c r="AT46" s="77">
        <f t="shared" si="16"/>
        <v>0</v>
      </c>
      <c r="AU46" s="77">
        <f t="shared" si="16"/>
        <v>0</v>
      </c>
      <c r="AV46" s="77">
        <f t="shared" si="16"/>
        <v>0</v>
      </c>
      <c r="AW46" s="77">
        <f t="shared" si="16"/>
        <v>0</v>
      </c>
      <c r="AX46" s="77">
        <f t="shared" si="16"/>
        <v>0</v>
      </c>
      <c r="AY46" s="77">
        <f t="shared" si="16"/>
        <v>0</v>
      </c>
      <c r="AZ46" s="77">
        <f t="shared" si="15"/>
        <v>0</v>
      </c>
      <c r="BA46" s="77">
        <f t="shared" si="15"/>
        <v>0</v>
      </c>
      <c r="BB46" s="77">
        <f t="shared" si="15"/>
        <v>0</v>
      </c>
      <c r="BC46" s="77">
        <f t="shared" si="15"/>
        <v>0</v>
      </c>
      <c r="BD46" s="77">
        <f t="shared" si="15"/>
        <v>0</v>
      </c>
      <c r="BE46" s="77">
        <f t="shared" si="15"/>
        <v>0</v>
      </c>
    </row>
    <row r="47" spans="3:57">
      <c r="C47" s="77">
        <f t="shared" si="2"/>
        <v>126212319.59853828</v>
      </c>
      <c r="D47">
        <v>2049</v>
      </c>
      <c r="E47" s="77">
        <f t="shared" si="14"/>
        <v>0</v>
      </c>
      <c r="F47" s="77">
        <f t="shared" si="14"/>
        <v>0</v>
      </c>
      <c r="G47" s="77">
        <f t="shared" si="14"/>
        <v>0</v>
      </c>
      <c r="H47" s="77">
        <f t="shared" si="14"/>
        <v>0</v>
      </c>
      <c r="I47" s="77">
        <f t="shared" si="14"/>
        <v>0</v>
      </c>
      <c r="J47" s="77">
        <f t="shared" si="14"/>
        <v>0</v>
      </c>
      <c r="K47" s="77">
        <f t="shared" si="14"/>
        <v>0</v>
      </c>
      <c r="L47" s="77">
        <f t="shared" si="14"/>
        <v>0</v>
      </c>
      <c r="M47" s="77">
        <f t="shared" si="14"/>
        <v>0</v>
      </c>
      <c r="N47" s="77">
        <f t="shared" si="14"/>
        <v>0</v>
      </c>
      <c r="O47" s="77">
        <f t="shared" si="14"/>
        <v>0</v>
      </c>
      <c r="P47" s="77">
        <f t="shared" si="14"/>
        <v>0</v>
      </c>
      <c r="Q47" s="77">
        <f t="shared" si="14"/>
        <v>0</v>
      </c>
      <c r="R47" s="77">
        <f t="shared" si="14"/>
        <v>0</v>
      </c>
      <c r="S47" s="77">
        <f t="shared" si="14"/>
        <v>0</v>
      </c>
      <c r="T47" s="77">
        <f t="shared" si="14"/>
        <v>0</v>
      </c>
      <c r="U47" s="77">
        <f t="shared" si="13"/>
        <v>0</v>
      </c>
      <c r="V47" s="77">
        <f t="shared" si="13"/>
        <v>0</v>
      </c>
      <c r="W47" s="77">
        <f t="shared" si="13"/>
        <v>0</v>
      </c>
      <c r="X47" s="77">
        <f t="shared" si="13"/>
        <v>0</v>
      </c>
      <c r="Y47" s="77">
        <f t="shared" si="13"/>
        <v>0</v>
      </c>
      <c r="Z47" s="77">
        <f t="shared" si="13"/>
        <v>0</v>
      </c>
      <c r="AA47" s="77">
        <f t="shared" si="13"/>
        <v>0</v>
      </c>
      <c r="AB47" s="77">
        <f t="shared" si="13"/>
        <v>0</v>
      </c>
      <c r="AC47" s="77">
        <f t="shared" si="13"/>
        <v>0</v>
      </c>
      <c r="AD47" s="77">
        <f t="shared" si="13"/>
        <v>0</v>
      </c>
      <c r="AE47" s="77">
        <f t="shared" si="13"/>
        <v>0</v>
      </c>
      <c r="AF47" s="77">
        <f t="shared" si="13"/>
        <v>0</v>
      </c>
      <c r="AG47" s="77">
        <f t="shared" si="13"/>
        <v>0</v>
      </c>
      <c r="AH47" s="77">
        <f t="shared" si="13"/>
        <v>0</v>
      </c>
      <c r="AI47" s="77">
        <f t="shared" si="13"/>
        <v>0</v>
      </c>
      <c r="AJ47" s="77">
        <f t="shared" si="16"/>
        <v>0</v>
      </c>
      <c r="AK47" s="77">
        <f t="shared" si="16"/>
        <v>0</v>
      </c>
      <c r="AL47" s="77">
        <f t="shared" si="16"/>
        <v>0</v>
      </c>
      <c r="AM47" s="77">
        <f t="shared" si="16"/>
        <v>0</v>
      </c>
      <c r="AN47" s="77">
        <f t="shared" si="16"/>
        <v>0</v>
      </c>
      <c r="AO47" s="77">
        <f t="shared" si="16"/>
        <v>0</v>
      </c>
      <c r="AP47" s="77">
        <f t="shared" si="16"/>
        <v>0</v>
      </c>
      <c r="AQ47" s="77">
        <f t="shared" si="16"/>
        <v>0</v>
      </c>
      <c r="AR47" s="77">
        <f t="shared" si="16"/>
        <v>0</v>
      </c>
      <c r="AS47" s="77">
        <f t="shared" si="16"/>
        <v>0</v>
      </c>
      <c r="AT47" s="77">
        <f t="shared" si="16"/>
        <v>0</v>
      </c>
      <c r="AU47" s="77">
        <f t="shared" si="16"/>
        <v>0</v>
      </c>
      <c r="AV47" s="77">
        <f t="shared" si="16"/>
        <v>0</v>
      </c>
      <c r="AW47" s="77">
        <f t="shared" si="16"/>
        <v>0</v>
      </c>
      <c r="AX47" s="77">
        <f t="shared" si="16"/>
        <v>0</v>
      </c>
      <c r="AY47" s="77">
        <f t="shared" si="16"/>
        <v>0</v>
      </c>
      <c r="AZ47" s="77">
        <f t="shared" si="15"/>
        <v>0</v>
      </c>
      <c r="BA47" s="77">
        <f t="shared" si="15"/>
        <v>0</v>
      </c>
      <c r="BB47" s="77">
        <f t="shared" si="15"/>
        <v>0</v>
      </c>
      <c r="BC47" s="77">
        <f t="shared" si="15"/>
        <v>0</v>
      </c>
      <c r="BD47" s="77">
        <f t="shared" si="15"/>
        <v>0</v>
      </c>
      <c r="BE47" s="77">
        <f t="shared" si="15"/>
        <v>0</v>
      </c>
    </row>
    <row r="48" spans="3:57">
      <c r="C48" s="77">
        <f t="shared" si="2"/>
        <v>126212319.59853828</v>
      </c>
      <c r="D48">
        <v>2050</v>
      </c>
      <c r="E48" s="77">
        <f t="shared" si="14"/>
        <v>0</v>
      </c>
      <c r="F48" s="77">
        <f t="shared" si="14"/>
        <v>0</v>
      </c>
      <c r="G48" s="77">
        <f t="shared" si="14"/>
        <v>0</v>
      </c>
      <c r="H48" s="77">
        <f t="shared" si="14"/>
        <v>0</v>
      </c>
      <c r="I48" s="77">
        <f t="shared" si="14"/>
        <v>0</v>
      </c>
      <c r="J48" s="77">
        <f t="shared" si="14"/>
        <v>0</v>
      </c>
      <c r="K48" s="77">
        <f t="shared" si="14"/>
        <v>0</v>
      </c>
      <c r="L48" s="77">
        <f t="shared" si="14"/>
        <v>0</v>
      </c>
      <c r="M48" s="77">
        <f t="shared" si="14"/>
        <v>0</v>
      </c>
      <c r="N48" s="77">
        <f t="shared" si="14"/>
        <v>0</v>
      </c>
      <c r="O48" s="77">
        <f t="shared" si="14"/>
        <v>0</v>
      </c>
      <c r="P48" s="77">
        <f t="shared" si="14"/>
        <v>0</v>
      </c>
      <c r="Q48" s="77">
        <f t="shared" si="14"/>
        <v>0</v>
      </c>
      <c r="R48" s="77">
        <f t="shared" si="14"/>
        <v>0</v>
      </c>
      <c r="S48" s="77">
        <f t="shared" si="14"/>
        <v>0</v>
      </c>
      <c r="T48" s="77">
        <f t="shared" si="14"/>
        <v>0</v>
      </c>
      <c r="U48" s="77">
        <f t="shared" si="13"/>
        <v>0</v>
      </c>
      <c r="V48" s="77">
        <f t="shared" si="13"/>
        <v>0</v>
      </c>
      <c r="W48" s="77">
        <f t="shared" si="13"/>
        <v>0</v>
      </c>
      <c r="X48" s="77">
        <f t="shared" si="13"/>
        <v>0</v>
      </c>
      <c r="Y48" s="77">
        <f t="shared" si="13"/>
        <v>0</v>
      </c>
      <c r="Z48" s="77">
        <f t="shared" si="13"/>
        <v>0</v>
      </c>
      <c r="AA48" s="77">
        <f t="shared" si="13"/>
        <v>0</v>
      </c>
      <c r="AB48" s="77">
        <f t="shared" si="13"/>
        <v>0</v>
      </c>
      <c r="AC48" s="77">
        <f t="shared" si="13"/>
        <v>0</v>
      </c>
      <c r="AD48" s="77">
        <f t="shared" si="13"/>
        <v>0</v>
      </c>
      <c r="AE48" s="77">
        <f t="shared" si="13"/>
        <v>0</v>
      </c>
      <c r="AF48" s="77">
        <f t="shared" si="13"/>
        <v>0</v>
      </c>
      <c r="AG48" s="77">
        <f t="shared" si="13"/>
        <v>0</v>
      </c>
      <c r="AH48" s="77">
        <f t="shared" si="13"/>
        <v>0</v>
      </c>
      <c r="AI48" s="77">
        <f t="shared" si="13"/>
        <v>0</v>
      </c>
      <c r="AJ48" s="77">
        <f t="shared" si="16"/>
        <v>0</v>
      </c>
      <c r="AK48" s="77">
        <f t="shared" si="16"/>
        <v>0</v>
      </c>
      <c r="AL48" s="77">
        <f t="shared" si="16"/>
        <v>0</v>
      </c>
      <c r="AM48" s="77">
        <f t="shared" si="16"/>
        <v>0</v>
      </c>
      <c r="AN48" s="77">
        <f t="shared" si="16"/>
        <v>0</v>
      </c>
      <c r="AO48" s="77">
        <f t="shared" si="16"/>
        <v>0</v>
      </c>
      <c r="AP48" s="77">
        <f t="shared" si="16"/>
        <v>0</v>
      </c>
      <c r="AQ48" s="77">
        <f t="shared" si="16"/>
        <v>0</v>
      </c>
      <c r="AR48" s="77">
        <f t="shared" si="16"/>
        <v>0</v>
      </c>
      <c r="AS48" s="77">
        <f t="shared" si="16"/>
        <v>0</v>
      </c>
      <c r="AT48" s="77">
        <f t="shared" si="16"/>
        <v>0</v>
      </c>
      <c r="AU48" s="77">
        <f t="shared" si="16"/>
        <v>0</v>
      </c>
      <c r="AV48" s="77">
        <f t="shared" si="16"/>
        <v>0</v>
      </c>
      <c r="AW48" s="77">
        <f t="shared" si="16"/>
        <v>0</v>
      </c>
      <c r="AX48" s="77">
        <f t="shared" si="16"/>
        <v>0</v>
      </c>
      <c r="AY48" s="77">
        <f t="shared" si="16"/>
        <v>0</v>
      </c>
      <c r="AZ48" s="77">
        <f t="shared" si="15"/>
        <v>0</v>
      </c>
      <c r="BA48" s="77">
        <f t="shared" si="15"/>
        <v>0</v>
      </c>
      <c r="BB48" s="77">
        <f t="shared" si="15"/>
        <v>0</v>
      </c>
      <c r="BC48" s="77">
        <f t="shared" si="15"/>
        <v>0</v>
      </c>
      <c r="BD48" s="77">
        <f t="shared" si="15"/>
        <v>0</v>
      </c>
      <c r="BE48" s="77">
        <f t="shared" si="15"/>
        <v>0</v>
      </c>
    </row>
    <row r="49" spans="3:57">
      <c r="C49" s="77">
        <f t="shared" si="2"/>
        <v>126212319.59853828</v>
      </c>
      <c r="D49">
        <v>2051</v>
      </c>
      <c r="E49" s="77">
        <f t="shared" si="14"/>
        <v>0</v>
      </c>
      <c r="F49" s="77">
        <f t="shared" si="14"/>
        <v>0</v>
      </c>
      <c r="G49" s="77">
        <f t="shared" si="14"/>
        <v>0</v>
      </c>
      <c r="H49" s="77">
        <f t="shared" si="14"/>
        <v>0</v>
      </c>
      <c r="I49" s="77">
        <f t="shared" si="14"/>
        <v>0</v>
      </c>
      <c r="J49" s="77">
        <f t="shared" si="14"/>
        <v>0</v>
      </c>
      <c r="K49" s="77">
        <f t="shared" si="14"/>
        <v>0</v>
      </c>
      <c r="L49" s="77">
        <f t="shared" si="14"/>
        <v>0</v>
      </c>
      <c r="M49" s="77">
        <f t="shared" si="14"/>
        <v>0</v>
      </c>
      <c r="N49" s="77">
        <f t="shared" si="14"/>
        <v>0</v>
      </c>
      <c r="O49" s="77">
        <f t="shared" si="14"/>
        <v>0</v>
      </c>
      <c r="P49" s="77">
        <f t="shared" si="14"/>
        <v>0</v>
      </c>
      <c r="Q49" s="77">
        <f t="shared" si="14"/>
        <v>0</v>
      </c>
      <c r="R49" s="77">
        <f t="shared" si="14"/>
        <v>0</v>
      </c>
      <c r="S49" s="77">
        <f t="shared" si="14"/>
        <v>0</v>
      </c>
      <c r="T49" s="77">
        <f t="shared" si="14"/>
        <v>0</v>
      </c>
      <c r="U49" s="77">
        <f t="shared" si="13"/>
        <v>0</v>
      </c>
      <c r="V49" s="77">
        <f t="shared" si="13"/>
        <v>0</v>
      </c>
      <c r="W49" s="77">
        <f t="shared" si="13"/>
        <v>0</v>
      </c>
      <c r="X49" s="77">
        <f t="shared" si="13"/>
        <v>0</v>
      </c>
      <c r="Y49" s="77">
        <f t="shared" si="13"/>
        <v>0</v>
      </c>
      <c r="Z49" s="77">
        <f t="shared" si="13"/>
        <v>0</v>
      </c>
      <c r="AA49" s="77">
        <f t="shared" si="13"/>
        <v>0</v>
      </c>
      <c r="AB49" s="77">
        <f t="shared" si="13"/>
        <v>0</v>
      </c>
      <c r="AC49" s="77">
        <f t="shared" si="13"/>
        <v>0</v>
      </c>
      <c r="AD49" s="77">
        <f t="shared" si="13"/>
        <v>0</v>
      </c>
      <c r="AE49" s="77">
        <f t="shared" si="13"/>
        <v>0</v>
      </c>
      <c r="AF49" s="77">
        <f t="shared" si="13"/>
        <v>0</v>
      </c>
      <c r="AG49" s="77">
        <f t="shared" si="13"/>
        <v>0</v>
      </c>
      <c r="AH49" s="77">
        <f t="shared" si="13"/>
        <v>0</v>
      </c>
      <c r="AI49" s="77">
        <f t="shared" si="13"/>
        <v>0</v>
      </c>
      <c r="AJ49" s="77">
        <f t="shared" si="16"/>
        <v>0</v>
      </c>
      <c r="AK49" s="77">
        <f t="shared" si="16"/>
        <v>0</v>
      </c>
      <c r="AL49" s="77">
        <f t="shared" si="16"/>
        <v>0</v>
      </c>
      <c r="AM49" s="77">
        <f t="shared" si="16"/>
        <v>0</v>
      </c>
      <c r="AN49" s="77">
        <f t="shared" si="16"/>
        <v>0</v>
      </c>
      <c r="AO49" s="77">
        <f t="shared" si="16"/>
        <v>0</v>
      </c>
      <c r="AP49" s="77">
        <f t="shared" si="16"/>
        <v>0</v>
      </c>
      <c r="AQ49" s="77">
        <f t="shared" si="16"/>
        <v>0</v>
      </c>
      <c r="AR49" s="77">
        <f t="shared" si="16"/>
        <v>0</v>
      </c>
      <c r="AS49" s="77">
        <f t="shared" si="16"/>
        <v>0</v>
      </c>
      <c r="AT49" s="77">
        <f t="shared" si="16"/>
        <v>0</v>
      </c>
      <c r="AU49" s="77">
        <f t="shared" si="16"/>
        <v>0</v>
      </c>
      <c r="AV49" s="77">
        <f t="shared" si="16"/>
        <v>0</v>
      </c>
      <c r="AW49" s="77">
        <f t="shared" si="16"/>
        <v>0</v>
      </c>
      <c r="AX49" s="77">
        <f t="shared" si="16"/>
        <v>0</v>
      </c>
      <c r="AY49" s="77">
        <f t="shared" si="16"/>
        <v>0</v>
      </c>
      <c r="AZ49" s="77">
        <f t="shared" si="15"/>
        <v>0</v>
      </c>
      <c r="BA49" s="77">
        <f t="shared" si="15"/>
        <v>0</v>
      </c>
      <c r="BB49" s="77">
        <f t="shared" si="15"/>
        <v>0</v>
      </c>
      <c r="BC49" s="77">
        <f t="shared" si="15"/>
        <v>0</v>
      </c>
      <c r="BD49" s="77">
        <f t="shared" si="15"/>
        <v>0</v>
      </c>
      <c r="BE49" s="77">
        <f t="shared" si="15"/>
        <v>0</v>
      </c>
    </row>
    <row r="50" spans="3:57">
      <c r="C50" s="77">
        <f t="shared" si="2"/>
        <v>126212319.59853828</v>
      </c>
      <c r="D50">
        <v>2052</v>
      </c>
      <c r="E50" s="77">
        <f t="shared" si="14"/>
        <v>0</v>
      </c>
      <c r="F50" s="77">
        <f t="shared" si="14"/>
        <v>0</v>
      </c>
      <c r="G50" s="77">
        <f t="shared" si="14"/>
        <v>0</v>
      </c>
      <c r="H50" s="77">
        <f t="shared" si="14"/>
        <v>0</v>
      </c>
      <c r="I50" s="77">
        <f t="shared" si="14"/>
        <v>0</v>
      </c>
      <c r="J50" s="77">
        <f t="shared" si="14"/>
        <v>0</v>
      </c>
      <c r="K50" s="77">
        <f t="shared" si="14"/>
        <v>0</v>
      </c>
      <c r="L50" s="77">
        <f t="shared" si="14"/>
        <v>0</v>
      </c>
      <c r="M50" s="77">
        <f t="shared" si="14"/>
        <v>0</v>
      </c>
      <c r="N50" s="77">
        <f t="shared" si="14"/>
        <v>0</v>
      </c>
      <c r="O50" s="77">
        <f t="shared" si="14"/>
        <v>0</v>
      </c>
      <c r="P50" s="77">
        <f t="shared" si="14"/>
        <v>0</v>
      </c>
      <c r="Q50" s="77">
        <f t="shared" si="14"/>
        <v>0</v>
      </c>
      <c r="R50" s="77">
        <f t="shared" si="14"/>
        <v>0</v>
      </c>
      <c r="S50" s="77">
        <f t="shared" si="14"/>
        <v>0</v>
      </c>
      <c r="T50" s="77">
        <f t="shared" si="14"/>
        <v>0</v>
      </c>
      <c r="U50" s="77">
        <f t="shared" si="13"/>
        <v>0</v>
      </c>
      <c r="V50" s="77">
        <f t="shared" si="13"/>
        <v>0</v>
      </c>
      <c r="W50" s="77">
        <f t="shared" si="13"/>
        <v>0</v>
      </c>
      <c r="X50" s="77">
        <f t="shared" si="13"/>
        <v>0</v>
      </c>
      <c r="Y50" s="77">
        <f t="shared" si="13"/>
        <v>0</v>
      </c>
      <c r="Z50" s="77">
        <f t="shared" si="13"/>
        <v>0</v>
      </c>
      <c r="AA50" s="77">
        <f t="shared" si="13"/>
        <v>0</v>
      </c>
      <c r="AB50" s="77">
        <f t="shared" si="13"/>
        <v>0</v>
      </c>
      <c r="AC50" s="77">
        <f t="shared" si="13"/>
        <v>0</v>
      </c>
      <c r="AD50" s="77">
        <f t="shared" si="13"/>
        <v>0</v>
      </c>
      <c r="AE50" s="77">
        <f t="shared" si="13"/>
        <v>0</v>
      </c>
      <c r="AF50" s="77">
        <f t="shared" si="13"/>
        <v>0</v>
      </c>
      <c r="AG50" s="77">
        <f t="shared" si="13"/>
        <v>0</v>
      </c>
      <c r="AH50" s="77">
        <f t="shared" si="13"/>
        <v>0</v>
      </c>
      <c r="AI50" s="77">
        <f t="shared" si="13"/>
        <v>0</v>
      </c>
      <c r="AJ50" s="77">
        <f t="shared" si="16"/>
        <v>0</v>
      </c>
      <c r="AK50" s="77">
        <f t="shared" si="16"/>
        <v>0</v>
      </c>
      <c r="AL50" s="77">
        <f t="shared" si="16"/>
        <v>0</v>
      </c>
      <c r="AM50" s="77">
        <f t="shared" si="16"/>
        <v>0</v>
      </c>
      <c r="AN50" s="77">
        <f t="shared" si="16"/>
        <v>0</v>
      </c>
      <c r="AO50" s="77">
        <f t="shared" si="16"/>
        <v>0</v>
      </c>
      <c r="AP50" s="77">
        <f t="shared" si="16"/>
        <v>0</v>
      </c>
      <c r="AQ50" s="77">
        <f t="shared" si="16"/>
        <v>0</v>
      </c>
      <c r="AR50" s="77">
        <f t="shared" si="16"/>
        <v>0</v>
      </c>
      <c r="AS50" s="77">
        <f t="shared" si="16"/>
        <v>0</v>
      </c>
      <c r="AT50" s="77">
        <f t="shared" si="16"/>
        <v>0</v>
      </c>
      <c r="AU50" s="77">
        <f t="shared" si="16"/>
        <v>0</v>
      </c>
      <c r="AV50" s="77">
        <f t="shared" si="16"/>
        <v>0</v>
      </c>
      <c r="AW50" s="77">
        <f t="shared" si="16"/>
        <v>0</v>
      </c>
      <c r="AX50" s="77">
        <f t="shared" si="16"/>
        <v>0</v>
      </c>
      <c r="AY50" s="77">
        <f t="shared" si="16"/>
        <v>0</v>
      </c>
      <c r="AZ50" s="77">
        <f t="shared" si="15"/>
        <v>0</v>
      </c>
      <c r="BA50" s="77">
        <f t="shared" si="15"/>
        <v>0</v>
      </c>
      <c r="BB50" s="77">
        <f t="shared" si="15"/>
        <v>0</v>
      </c>
      <c r="BC50" s="77">
        <f t="shared" si="15"/>
        <v>0</v>
      </c>
      <c r="BD50" s="77">
        <f t="shared" si="15"/>
        <v>0</v>
      </c>
      <c r="BE50" s="77">
        <f t="shared" si="15"/>
        <v>0</v>
      </c>
    </row>
    <row r="51" spans="3:57">
      <c r="C51" s="77">
        <f t="shared" si="2"/>
        <v>126212319.59853828</v>
      </c>
      <c r="D51">
        <v>2053</v>
      </c>
      <c r="E51" s="77">
        <f t="shared" si="14"/>
        <v>0</v>
      </c>
      <c r="F51" s="77">
        <f t="shared" si="14"/>
        <v>0</v>
      </c>
      <c r="G51" s="77">
        <f t="shared" si="14"/>
        <v>0</v>
      </c>
      <c r="H51" s="77">
        <f t="shared" si="14"/>
        <v>0</v>
      </c>
      <c r="I51" s="77">
        <f t="shared" si="14"/>
        <v>0</v>
      </c>
      <c r="J51" s="77">
        <f t="shared" si="14"/>
        <v>0</v>
      </c>
      <c r="K51" s="77">
        <f t="shared" si="14"/>
        <v>0</v>
      </c>
      <c r="L51" s="77">
        <f t="shared" si="14"/>
        <v>0</v>
      </c>
      <c r="M51" s="77">
        <f t="shared" si="14"/>
        <v>0</v>
      </c>
      <c r="N51" s="77">
        <f t="shared" si="14"/>
        <v>0</v>
      </c>
      <c r="O51" s="77">
        <f t="shared" si="14"/>
        <v>0</v>
      </c>
      <c r="P51" s="77">
        <f t="shared" si="14"/>
        <v>0</v>
      </c>
      <c r="Q51" s="77">
        <f t="shared" si="14"/>
        <v>0</v>
      </c>
      <c r="R51" s="77">
        <f t="shared" si="14"/>
        <v>0</v>
      </c>
      <c r="S51" s="77">
        <f t="shared" si="14"/>
        <v>0</v>
      </c>
      <c r="T51" s="77">
        <f t="shared" si="14"/>
        <v>0</v>
      </c>
      <c r="U51" s="77">
        <f t="shared" si="13"/>
        <v>0</v>
      </c>
      <c r="V51" s="77">
        <f t="shared" si="13"/>
        <v>0</v>
      </c>
      <c r="W51" s="77">
        <f t="shared" si="13"/>
        <v>0</v>
      </c>
      <c r="X51" s="77">
        <f t="shared" si="13"/>
        <v>0</v>
      </c>
      <c r="Y51" s="77">
        <f t="shared" si="13"/>
        <v>0</v>
      </c>
      <c r="Z51" s="77">
        <f t="shared" si="13"/>
        <v>0</v>
      </c>
      <c r="AA51" s="77">
        <f t="shared" si="13"/>
        <v>0</v>
      </c>
      <c r="AB51" s="77">
        <f t="shared" si="13"/>
        <v>0</v>
      </c>
      <c r="AC51" s="77">
        <f t="shared" si="13"/>
        <v>0</v>
      </c>
      <c r="AD51" s="77">
        <f t="shared" si="13"/>
        <v>0</v>
      </c>
      <c r="AE51" s="77">
        <f t="shared" si="13"/>
        <v>0</v>
      </c>
      <c r="AF51" s="77">
        <f t="shared" si="13"/>
        <v>0</v>
      </c>
      <c r="AG51" s="77">
        <f t="shared" si="13"/>
        <v>0</v>
      </c>
      <c r="AH51" s="77">
        <f t="shared" si="13"/>
        <v>0</v>
      </c>
      <c r="AI51" s="77">
        <f t="shared" si="13"/>
        <v>0</v>
      </c>
      <c r="AJ51" s="77">
        <f t="shared" si="16"/>
        <v>0</v>
      </c>
      <c r="AK51" s="77">
        <f t="shared" si="16"/>
        <v>0</v>
      </c>
      <c r="AL51" s="77">
        <f t="shared" si="16"/>
        <v>0</v>
      </c>
      <c r="AM51" s="77">
        <f t="shared" si="16"/>
        <v>0</v>
      </c>
      <c r="AN51" s="77">
        <f t="shared" si="16"/>
        <v>0</v>
      </c>
      <c r="AO51" s="77">
        <f t="shared" si="16"/>
        <v>0</v>
      </c>
      <c r="AP51" s="77">
        <f t="shared" si="16"/>
        <v>0</v>
      </c>
      <c r="AQ51" s="77">
        <f t="shared" si="16"/>
        <v>0</v>
      </c>
      <c r="AR51" s="77">
        <f t="shared" si="16"/>
        <v>0</v>
      </c>
      <c r="AS51" s="77">
        <f t="shared" si="16"/>
        <v>0</v>
      </c>
      <c r="AT51" s="77">
        <f t="shared" si="16"/>
        <v>0</v>
      </c>
      <c r="AU51" s="77">
        <f t="shared" si="16"/>
        <v>0</v>
      </c>
      <c r="AV51" s="77">
        <f t="shared" si="16"/>
        <v>0</v>
      </c>
      <c r="AW51" s="77">
        <f t="shared" si="16"/>
        <v>0</v>
      </c>
      <c r="AX51" s="77">
        <f t="shared" si="16"/>
        <v>0</v>
      </c>
      <c r="AY51" s="77">
        <f t="shared" si="16"/>
        <v>0</v>
      </c>
      <c r="AZ51" s="77">
        <f t="shared" si="15"/>
        <v>0</v>
      </c>
      <c r="BA51" s="77">
        <f t="shared" si="15"/>
        <v>0</v>
      </c>
      <c r="BB51" s="77">
        <f t="shared" si="15"/>
        <v>0</v>
      </c>
      <c r="BC51" s="77">
        <f t="shared" si="15"/>
        <v>0</v>
      </c>
      <c r="BD51" s="77">
        <f t="shared" si="15"/>
        <v>0</v>
      </c>
      <c r="BE51" s="77">
        <f t="shared" si="15"/>
        <v>0</v>
      </c>
    </row>
    <row r="52" spans="3:57">
      <c r="C52" s="77">
        <f t="shared" si="2"/>
        <v>126212319.59853828</v>
      </c>
      <c r="D52">
        <v>2054</v>
      </c>
      <c r="E52" s="77">
        <f t="shared" si="14"/>
        <v>0</v>
      </c>
      <c r="F52" s="77">
        <f t="shared" si="14"/>
        <v>0</v>
      </c>
      <c r="G52" s="77">
        <f t="shared" si="14"/>
        <v>0</v>
      </c>
      <c r="H52" s="77">
        <f t="shared" si="14"/>
        <v>0</v>
      </c>
      <c r="I52" s="77">
        <f t="shared" si="14"/>
        <v>0</v>
      </c>
      <c r="J52" s="77">
        <f t="shared" si="14"/>
        <v>0</v>
      </c>
      <c r="K52" s="77">
        <f t="shared" si="14"/>
        <v>0</v>
      </c>
      <c r="L52" s="77">
        <f t="shared" si="14"/>
        <v>0</v>
      </c>
      <c r="M52" s="77">
        <f t="shared" si="14"/>
        <v>0</v>
      </c>
      <c r="N52" s="77">
        <f t="shared" si="14"/>
        <v>0</v>
      </c>
      <c r="O52" s="77">
        <f t="shared" si="14"/>
        <v>0</v>
      </c>
      <c r="P52" s="77">
        <f t="shared" si="14"/>
        <v>0</v>
      </c>
      <c r="Q52" s="77">
        <f t="shared" si="14"/>
        <v>0</v>
      </c>
      <c r="R52" s="77">
        <f t="shared" si="14"/>
        <v>0</v>
      </c>
      <c r="S52" s="77">
        <f t="shared" si="14"/>
        <v>0</v>
      </c>
      <c r="T52" s="77">
        <f t="shared" si="14"/>
        <v>0</v>
      </c>
      <c r="U52" s="77">
        <f t="shared" si="13"/>
        <v>0</v>
      </c>
      <c r="V52" s="77">
        <f t="shared" si="13"/>
        <v>0</v>
      </c>
      <c r="W52" s="77">
        <f t="shared" si="13"/>
        <v>0</v>
      </c>
      <c r="X52" s="77">
        <f t="shared" si="13"/>
        <v>0</v>
      </c>
      <c r="Y52" s="77">
        <f t="shared" si="13"/>
        <v>0</v>
      </c>
      <c r="Z52" s="77">
        <f t="shared" si="13"/>
        <v>0</v>
      </c>
      <c r="AA52" s="77">
        <f t="shared" si="13"/>
        <v>0</v>
      </c>
      <c r="AB52" s="77">
        <f t="shared" si="13"/>
        <v>0</v>
      </c>
      <c r="AC52" s="77">
        <f t="shared" si="13"/>
        <v>0</v>
      </c>
      <c r="AD52" s="77">
        <f t="shared" si="13"/>
        <v>0</v>
      </c>
      <c r="AE52" s="77">
        <f t="shared" si="13"/>
        <v>0</v>
      </c>
      <c r="AF52" s="77">
        <f t="shared" si="13"/>
        <v>0</v>
      </c>
      <c r="AG52" s="77">
        <f t="shared" si="13"/>
        <v>0</v>
      </c>
      <c r="AH52" s="77">
        <f t="shared" si="13"/>
        <v>0</v>
      </c>
      <c r="AI52" s="77">
        <f t="shared" si="13"/>
        <v>0</v>
      </c>
      <c r="AJ52" s="77">
        <f t="shared" si="16"/>
        <v>0</v>
      </c>
      <c r="AK52" s="77">
        <f t="shared" si="16"/>
        <v>0</v>
      </c>
      <c r="AL52" s="77">
        <f t="shared" si="16"/>
        <v>0</v>
      </c>
      <c r="AM52" s="77">
        <f t="shared" si="16"/>
        <v>0</v>
      </c>
      <c r="AN52" s="77">
        <f t="shared" si="16"/>
        <v>0</v>
      </c>
      <c r="AO52" s="77">
        <f t="shared" si="16"/>
        <v>0</v>
      </c>
      <c r="AP52" s="77">
        <f t="shared" si="16"/>
        <v>0</v>
      </c>
      <c r="AQ52" s="77">
        <f t="shared" si="16"/>
        <v>0</v>
      </c>
      <c r="AR52" s="77">
        <f t="shared" si="16"/>
        <v>0</v>
      </c>
      <c r="AS52" s="77">
        <f t="shared" si="16"/>
        <v>0</v>
      </c>
      <c r="AT52" s="77">
        <f t="shared" si="16"/>
        <v>0</v>
      </c>
      <c r="AU52" s="77">
        <f t="shared" si="16"/>
        <v>0</v>
      </c>
      <c r="AV52" s="77">
        <f t="shared" si="16"/>
        <v>0</v>
      </c>
      <c r="AW52" s="77">
        <f t="shared" si="16"/>
        <v>0</v>
      </c>
      <c r="AX52" s="77">
        <f t="shared" si="16"/>
        <v>0</v>
      </c>
      <c r="AY52" s="77">
        <f t="shared" si="16"/>
        <v>0</v>
      </c>
      <c r="AZ52" s="77">
        <f t="shared" si="15"/>
        <v>0</v>
      </c>
      <c r="BA52" s="77">
        <f t="shared" si="15"/>
        <v>0</v>
      </c>
      <c r="BB52" s="77">
        <f t="shared" si="15"/>
        <v>0</v>
      </c>
      <c r="BC52" s="77">
        <f t="shared" si="15"/>
        <v>0</v>
      </c>
      <c r="BD52" s="77">
        <f t="shared" si="15"/>
        <v>0</v>
      </c>
      <c r="BE52" s="77">
        <f t="shared" si="15"/>
        <v>0</v>
      </c>
    </row>
    <row r="53" spans="3:57">
      <c r="C53" s="77">
        <f t="shared" si="2"/>
        <v>126212319.59853828</v>
      </c>
      <c r="D53">
        <v>2055</v>
      </c>
      <c r="E53" s="77">
        <f t="shared" si="14"/>
        <v>0</v>
      </c>
      <c r="F53" s="77">
        <f t="shared" si="14"/>
        <v>0</v>
      </c>
      <c r="G53" s="77">
        <f t="shared" si="14"/>
        <v>0</v>
      </c>
      <c r="H53" s="77">
        <f t="shared" si="14"/>
        <v>0</v>
      </c>
      <c r="I53" s="77">
        <f t="shared" si="14"/>
        <v>0</v>
      </c>
      <c r="J53" s="77">
        <f t="shared" si="14"/>
        <v>0</v>
      </c>
      <c r="K53" s="77">
        <f t="shared" si="14"/>
        <v>0</v>
      </c>
      <c r="L53" s="77">
        <f t="shared" si="14"/>
        <v>0</v>
      </c>
      <c r="M53" s="77">
        <f t="shared" si="14"/>
        <v>0</v>
      </c>
      <c r="N53" s="77">
        <f t="shared" si="14"/>
        <v>0</v>
      </c>
      <c r="O53" s="77">
        <f t="shared" si="14"/>
        <v>0</v>
      </c>
      <c r="P53" s="77">
        <f t="shared" si="14"/>
        <v>0</v>
      </c>
      <c r="Q53" s="77">
        <f t="shared" si="14"/>
        <v>0</v>
      </c>
      <c r="R53" s="77">
        <f t="shared" si="14"/>
        <v>0</v>
      </c>
      <c r="S53" s="77">
        <f t="shared" si="14"/>
        <v>0</v>
      </c>
      <c r="T53" s="77">
        <f t="shared" si="14"/>
        <v>0</v>
      </c>
      <c r="U53" s="77">
        <f t="shared" si="13"/>
        <v>0</v>
      </c>
      <c r="V53" s="77">
        <f t="shared" si="13"/>
        <v>0</v>
      </c>
      <c r="W53" s="77">
        <f t="shared" si="13"/>
        <v>0</v>
      </c>
      <c r="X53" s="77">
        <f t="shared" si="13"/>
        <v>0</v>
      </c>
      <c r="Y53" s="77">
        <f t="shared" si="13"/>
        <v>0</v>
      </c>
      <c r="Z53" s="77">
        <f t="shared" si="13"/>
        <v>0</v>
      </c>
      <c r="AA53" s="77">
        <f t="shared" si="13"/>
        <v>0</v>
      </c>
      <c r="AB53" s="77">
        <f t="shared" si="13"/>
        <v>0</v>
      </c>
      <c r="AC53" s="77">
        <f t="shared" si="13"/>
        <v>0</v>
      </c>
      <c r="AD53" s="77">
        <f t="shared" si="13"/>
        <v>0</v>
      </c>
      <c r="AE53" s="77">
        <f t="shared" si="13"/>
        <v>0</v>
      </c>
      <c r="AF53" s="77">
        <f t="shared" si="13"/>
        <v>0</v>
      </c>
      <c r="AG53" s="77">
        <f t="shared" si="13"/>
        <v>0</v>
      </c>
      <c r="AH53" s="77">
        <f t="shared" si="13"/>
        <v>0</v>
      </c>
      <c r="AI53" s="77">
        <f t="shared" si="13"/>
        <v>0</v>
      </c>
      <c r="AJ53" s="77">
        <f t="shared" si="16"/>
        <v>0</v>
      </c>
      <c r="AK53" s="77">
        <f t="shared" si="16"/>
        <v>0</v>
      </c>
      <c r="AL53" s="77">
        <f t="shared" si="16"/>
        <v>0</v>
      </c>
      <c r="AM53" s="77">
        <f t="shared" si="16"/>
        <v>0</v>
      </c>
      <c r="AN53" s="77">
        <f t="shared" si="16"/>
        <v>0</v>
      </c>
      <c r="AO53" s="77">
        <f t="shared" si="16"/>
        <v>0</v>
      </c>
      <c r="AP53" s="77">
        <f t="shared" si="16"/>
        <v>0</v>
      </c>
      <c r="AQ53" s="77">
        <f t="shared" si="16"/>
        <v>0</v>
      </c>
      <c r="AR53" s="77">
        <f t="shared" si="16"/>
        <v>0</v>
      </c>
      <c r="AS53" s="77">
        <f t="shared" si="16"/>
        <v>0</v>
      </c>
      <c r="AT53" s="77">
        <f t="shared" si="16"/>
        <v>0</v>
      </c>
      <c r="AU53" s="77">
        <f t="shared" si="16"/>
        <v>0</v>
      </c>
      <c r="AV53" s="77">
        <f t="shared" si="16"/>
        <v>0</v>
      </c>
      <c r="AW53" s="77">
        <f t="shared" si="16"/>
        <v>0</v>
      </c>
      <c r="AX53" s="77">
        <f t="shared" si="16"/>
        <v>0</v>
      </c>
      <c r="AY53" s="77">
        <f t="shared" si="16"/>
        <v>0</v>
      </c>
      <c r="AZ53" s="77">
        <f t="shared" si="15"/>
        <v>0</v>
      </c>
      <c r="BA53" s="77">
        <f t="shared" si="15"/>
        <v>0</v>
      </c>
      <c r="BB53" s="77">
        <f t="shared" si="15"/>
        <v>0</v>
      </c>
      <c r="BC53" s="77">
        <f t="shared" si="15"/>
        <v>0</v>
      </c>
      <c r="BD53" s="77">
        <f t="shared" si="15"/>
        <v>0</v>
      </c>
      <c r="BE53" s="77">
        <f t="shared" si="15"/>
        <v>0</v>
      </c>
    </row>
    <row r="54" spans="3:57">
      <c r="C54" s="77">
        <f t="shared" si="2"/>
        <v>126212319.59853828</v>
      </c>
      <c r="D54">
        <v>2056</v>
      </c>
      <c r="E54" s="77">
        <f t="shared" si="14"/>
        <v>0</v>
      </c>
      <c r="F54" s="77">
        <f t="shared" si="14"/>
        <v>0</v>
      </c>
      <c r="G54" s="77">
        <f t="shared" si="14"/>
        <v>0</v>
      </c>
      <c r="H54" s="77">
        <f t="shared" si="14"/>
        <v>0</v>
      </c>
      <c r="I54" s="77">
        <f t="shared" si="14"/>
        <v>0</v>
      </c>
      <c r="J54" s="77">
        <f t="shared" si="14"/>
        <v>0</v>
      </c>
      <c r="K54" s="77">
        <f t="shared" si="14"/>
        <v>0</v>
      </c>
      <c r="L54" s="77">
        <f t="shared" si="14"/>
        <v>0</v>
      </c>
      <c r="M54" s="77">
        <f t="shared" si="14"/>
        <v>0</v>
      </c>
      <c r="N54" s="77">
        <f t="shared" si="14"/>
        <v>0</v>
      </c>
      <c r="O54" s="77">
        <f t="shared" si="14"/>
        <v>0</v>
      </c>
      <c r="P54" s="77">
        <f t="shared" si="14"/>
        <v>0</v>
      </c>
      <c r="Q54" s="77">
        <f t="shared" si="14"/>
        <v>0</v>
      </c>
      <c r="R54" s="77">
        <f t="shared" si="14"/>
        <v>0</v>
      </c>
      <c r="S54" s="77">
        <f t="shared" si="14"/>
        <v>0</v>
      </c>
      <c r="T54" s="77">
        <f t="shared" si="14"/>
        <v>0</v>
      </c>
      <c r="U54" s="77">
        <f t="shared" si="13"/>
        <v>0</v>
      </c>
      <c r="V54" s="77">
        <f t="shared" si="13"/>
        <v>0</v>
      </c>
      <c r="W54" s="77">
        <f t="shared" si="13"/>
        <v>0</v>
      </c>
      <c r="X54" s="77">
        <f t="shared" si="13"/>
        <v>0</v>
      </c>
      <c r="Y54" s="77">
        <f t="shared" si="13"/>
        <v>0</v>
      </c>
      <c r="Z54" s="77">
        <f t="shared" si="13"/>
        <v>0</v>
      </c>
      <c r="AA54" s="77">
        <f t="shared" si="13"/>
        <v>0</v>
      </c>
      <c r="AB54" s="77">
        <f t="shared" si="13"/>
        <v>0</v>
      </c>
      <c r="AC54" s="77">
        <f t="shared" si="13"/>
        <v>0</v>
      </c>
      <c r="AD54" s="77">
        <f t="shared" si="13"/>
        <v>0</v>
      </c>
      <c r="AE54" s="77">
        <f t="shared" si="13"/>
        <v>0</v>
      </c>
      <c r="AF54" s="77">
        <f t="shared" si="13"/>
        <v>0</v>
      </c>
      <c r="AG54" s="77">
        <f t="shared" si="13"/>
        <v>0</v>
      </c>
      <c r="AH54" s="77">
        <f t="shared" si="13"/>
        <v>0</v>
      </c>
      <c r="AI54" s="77">
        <f t="shared" si="13"/>
        <v>0</v>
      </c>
      <c r="AJ54" s="77">
        <f t="shared" si="16"/>
        <v>0</v>
      </c>
      <c r="AK54" s="77">
        <f t="shared" si="16"/>
        <v>0</v>
      </c>
      <c r="AL54" s="77">
        <f t="shared" si="16"/>
        <v>0</v>
      </c>
      <c r="AM54" s="77">
        <f t="shared" si="16"/>
        <v>0</v>
      </c>
      <c r="AN54" s="77">
        <f t="shared" si="16"/>
        <v>0</v>
      </c>
      <c r="AO54" s="77">
        <f t="shared" si="16"/>
        <v>0</v>
      </c>
      <c r="AP54" s="77">
        <f t="shared" si="16"/>
        <v>0</v>
      </c>
      <c r="AQ54" s="77">
        <f t="shared" si="16"/>
        <v>0</v>
      </c>
      <c r="AR54" s="77">
        <f t="shared" si="16"/>
        <v>0</v>
      </c>
      <c r="AS54" s="77">
        <f t="shared" si="16"/>
        <v>0</v>
      </c>
      <c r="AT54" s="77">
        <f t="shared" si="16"/>
        <v>0</v>
      </c>
      <c r="AU54" s="77">
        <f t="shared" si="16"/>
        <v>0</v>
      </c>
      <c r="AV54" s="77">
        <f t="shared" si="16"/>
        <v>0</v>
      </c>
      <c r="AW54" s="77">
        <f t="shared" si="16"/>
        <v>0</v>
      </c>
      <c r="AX54" s="77">
        <f t="shared" si="16"/>
        <v>0</v>
      </c>
      <c r="AY54" s="77">
        <f t="shared" si="16"/>
        <v>0</v>
      </c>
      <c r="AZ54" s="77">
        <f t="shared" si="15"/>
        <v>0</v>
      </c>
      <c r="BA54" s="77">
        <f t="shared" si="15"/>
        <v>0</v>
      </c>
      <c r="BB54" s="77">
        <f t="shared" si="15"/>
        <v>0</v>
      </c>
      <c r="BC54" s="77">
        <f t="shared" si="15"/>
        <v>0</v>
      </c>
      <c r="BD54" s="77">
        <f t="shared" si="15"/>
        <v>0</v>
      </c>
      <c r="BE54" s="77">
        <f t="shared" si="15"/>
        <v>0</v>
      </c>
    </row>
    <row r="55" spans="3:57">
      <c r="C55" s="77">
        <f t="shared" si="2"/>
        <v>126212319.59853828</v>
      </c>
      <c r="D55">
        <v>2057</v>
      </c>
      <c r="E55" s="77">
        <f t="shared" si="14"/>
        <v>0</v>
      </c>
      <c r="F55" s="77">
        <f t="shared" si="14"/>
        <v>0</v>
      </c>
      <c r="G55" s="77">
        <f t="shared" si="14"/>
        <v>0</v>
      </c>
      <c r="H55" s="77">
        <f t="shared" si="14"/>
        <v>0</v>
      </c>
      <c r="I55" s="77">
        <f t="shared" si="14"/>
        <v>0</v>
      </c>
      <c r="J55" s="77">
        <f t="shared" si="14"/>
        <v>0</v>
      </c>
      <c r="K55" s="77">
        <f t="shared" si="14"/>
        <v>0</v>
      </c>
      <c r="L55" s="77">
        <f t="shared" si="14"/>
        <v>0</v>
      </c>
      <c r="M55" s="77">
        <f t="shared" si="14"/>
        <v>0</v>
      </c>
      <c r="N55" s="77">
        <f t="shared" si="14"/>
        <v>0</v>
      </c>
      <c r="O55" s="77">
        <f t="shared" si="14"/>
        <v>0</v>
      </c>
      <c r="P55" s="77">
        <f t="shared" si="14"/>
        <v>0</v>
      </c>
      <c r="Q55" s="77">
        <f t="shared" si="14"/>
        <v>0</v>
      </c>
      <c r="R55" s="77">
        <f t="shared" si="14"/>
        <v>0</v>
      </c>
      <c r="S55" s="77">
        <f t="shared" si="14"/>
        <v>0</v>
      </c>
      <c r="T55" s="77">
        <f t="shared" si="14"/>
        <v>0</v>
      </c>
      <c r="U55" s="77">
        <f t="shared" si="13"/>
        <v>0</v>
      </c>
      <c r="V55" s="77">
        <f t="shared" si="13"/>
        <v>0</v>
      </c>
      <c r="W55" s="77">
        <f t="shared" si="13"/>
        <v>0</v>
      </c>
      <c r="X55" s="77">
        <f t="shared" si="13"/>
        <v>0</v>
      </c>
      <c r="Y55" s="77">
        <f t="shared" si="13"/>
        <v>0</v>
      </c>
      <c r="Z55" s="77">
        <f t="shared" si="13"/>
        <v>0</v>
      </c>
      <c r="AA55" s="77">
        <f t="shared" si="13"/>
        <v>0</v>
      </c>
      <c r="AB55" s="77">
        <f t="shared" si="13"/>
        <v>0</v>
      </c>
      <c r="AC55" s="77">
        <f t="shared" si="13"/>
        <v>0</v>
      </c>
      <c r="AD55" s="77">
        <f t="shared" si="13"/>
        <v>0</v>
      </c>
      <c r="AE55" s="77">
        <f t="shared" si="13"/>
        <v>0</v>
      </c>
      <c r="AF55" s="77">
        <f t="shared" si="13"/>
        <v>0</v>
      </c>
      <c r="AG55" s="77">
        <f t="shared" si="13"/>
        <v>0</v>
      </c>
      <c r="AH55" s="77">
        <f t="shared" si="13"/>
        <v>0</v>
      </c>
      <c r="AI55" s="77">
        <f t="shared" si="13"/>
        <v>0</v>
      </c>
      <c r="AJ55" s="77">
        <f t="shared" si="16"/>
        <v>0</v>
      </c>
      <c r="AK55" s="77">
        <f t="shared" si="16"/>
        <v>0</v>
      </c>
      <c r="AL55" s="77">
        <f t="shared" si="16"/>
        <v>0</v>
      </c>
      <c r="AM55" s="77">
        <f t="shared" si="16"/>
        <v>0</v>
      </c>
      <c r="AN55" s="77">
        <f t="shared" si="16"/>
        <v>0</v>
      </c>
      <c r="AO55" s="77">
        <f t="shared" si="16"/>
        <v>0</v>
      </c>
      <c r="AP55" s="77">
        <f t="shared" si="16"/>
        <v>0</v>
      </c>
      <c r="AQ55" s="77">
        <f t="shared" si="16"/>
        <v>0</v>
      </c>
      <c r="AR55" s="77">
        <f t="shared" si="16"/>
        <v>0</v>
      </c>
      <c r="AS55" s="77">
        <f t="shared" si="16"/>
        <v>0</v>
      </c>
      <c r="AT55" s="77">
        <f t="shared" si="16"/>
        <v>0</v>
      </c>
      <c r="AU55" s="77">
        <f t="shared" si="16"/>
        <v>0</v>
      </c>
      <c r="AV55" s="77">
        <f t="shared" si="16"/>
        <v>0</v>
      </c>
      <c r="AW55" s="77">
        <f t="shared" si="16"/>
        <v>0</v>
      </c>
      <c r="AX55" s="77">
        <f t="shared" si="16"/>
        <v>0</v>
      </c>
      <c r="AY55" s="77">
        <f t="shared" si="16"/>
        <v>0</v>
      </c>
      <c r="AZ55" s="77">
        <f t="shared" si="15"/>
        <v>0</v>
      </c>
      <c r="BA55" s="77">
        <f t="shared" si="15"/>
        <v>0</v>
      </c>
      <c r="BB55" s="77">
        <f t="shared" si="15"/>
        <v>0</v>
      </c>
      <c r="BC55" s="77">
        <f t="shared" si="15"/>
        <v>0</v>
      </c>
      <c r="BD55" s="77">
        <f t="shared" si="15"/>
        <v>0</v>
      </c>
      <c r="BE55" s="77">
        <f t="shared" si="15"/>
        <v>0</v>
      </c>
    </row>
    <row r="56" spans="3:57">
      <c r="C56" s="77">
        <f t="shared" si="2"/>
        <v>126212319.59853828</v>
      </c>
      <c r="D56">
        <v>2058</v>
      </c>
      <c r="E56" s="77">
        <f t="shared" si="14"/>
        <v>0</v>
      </c>
      <c r="F56" s="77">
        <f t="shared" si="14"/>
        <v>0</v>
      </c>
      <c r="G56" s="77">
        <f t="shared" si="14"/>
        <v>0</v>
      </c>
      <c r="H56" s="77">
        <f t="shared" si="14"/>
        <v>0</v>
      </c>
      <c r="I56" s="77">
        <f t="shared" si="14"/>
        <v>0</v>
      </c>
      <c r="J56" s="77">
        <f t="shared" si="14"/>
        <v>0</v>
      </c>
      <c r="K56" s="77">
        <f t="shared" si="14"/>
        <v>0</v>
      </c>
      <c r="L56" s="77">
        <f t="shared" si="14"/>
        <v>0</v>
      </c>
      <c r="M56" s="77">
        <f t="shared" si="14"/>
        <v>0</v>
      </c>
      <c r="N56" s="77">
        <f t="shared" si="14"/>
        <v>0</v>
      </c>
      <c r="O56" s="77">
        <f t="shared" si="14"/>
        <v>0</v>
      </c>
      <c r="P56" s="77">
        <f t="shared" si="14"/>
        <v>0</v>
      </c>
      <c r="Q56" s="77">
        <f t="shared" si="14"/>
        <v>0</v>
      </c>
      <c r="R56" s="77">
        <f t="shared" si="14"/>
        <v>0</v>
      </c>
      <c r="S56" s="77">
        <f t="shared" si="14"/>
        <v>0</v>
      </c>
      <c r="T56" s="77">
        <f t="shared" si="14"/>
        <v>0</v>
      </c>
      <c r="U56" s="77">
        <f t="shared" si="13"/>
        <v>0</v>
      </c>
      <c r="V56" s="77">
        <f t="shared" si="13"/>
        <v>0</v>
      </c>
      <c r="W56" s="77">
        <f t="shared" si="13"/>
        <v>0</v>
      </c>
      <c r="X56" s="77">
        <f t="shared" si="13"/>
        <v>0</v>
      </c>
      <c r="Y56" s="77">
        <f t="shared" si="13"/>
        <v>0</v>
      </c>
      <c r="Z56" s="77">
        <f t="shared" si="13"/>
        <v>0</v>
      </c>
      <c r="AA56" s="77">
        <f t="shared" si="13"/>
        <v>0</v>
      </c>
      <c r="AB56" s="77">
        <f t="shared" si="13"/>
        <v>0</v>
      </c>
      <c r="AC56" s="77">
        <f t="shared" si="13"/>
        <v>0</v>
      </c>
      <c r="AD56" s="77">
        <f t="shared" si="13"/>
        <v>0</v>
      </c>
      <c r="AE56" s="77">
        <f t="shared" si="13"/>
        <v>0</v>
      </c>
      <c r="AF56" s="77">
        <f t="shared" si="13"/>
        <v>0</v>
      </c>
      <c r="AG56" s="77">
        <f t="shared" si="13"/>
        <v>0</v>
      </c>
      <c r="AH56" s="77">
        <f t="shared" si="13"/>
        <v>0</v>
      </c>
      <c r="AI56" s="77">
        <f t="shared" si="13"/>
        <v>0</v>
      </c>
      <c r="AJ56" s="77">
        <f t="shared" si="16"/>
        <v>0</v>
      </c>
      <c r="AK56" s="77">
        <f t="shared" si="16"/>
        <v>0</v>
      </c>
      <c r="AL56" s="77">
        <f t="shared" si="16"/>
        <v>0</v>
      </c>
      <c r="AM56" s="77">
        <f t="shared" si="16"/>
        <v>0</v>
      </c>
      <c r="AN56" s="77">
        <f t="shared" si="16"/>
        <v>0</v>
      </c>
      <c r="AO56" s="77">
        <f t="shared" si="16"/>
        <v>0</v>
      </c>
      <c r="AP56" s="77">
        <f t="shared" si="16"/>
        <v>0</v>
      </c>
      <c r="AQ56" s="77">
        <f t="shared" si="16"/>
        <v>0</v>
      </c>
      <c r="AR56" s="77">
        <f t="shared" si="16"/>
        <v>0</v>
      </c>
      <c r="AS56" s="77">
        <f t="shared" si="16"/>
        <v>0</v>
      </c>
      <c r="AT56" s="77">
        <f t="shared" si="16"/>
        <v>0</v>
      </c>
      <c r="AU56" s="77">
        <f t="shared" si="16"/>
        <v>0</v>
      </c>
      <c r="AV56" s="77">
        <f t="shared" si="16"/>
        <v>0</v>
      </c>
      <c r="AW56" s="77">
        <f t="shared" si="16"/>
        <v>0</v>
      </c>
      <c r="AX56" s="77">
        <f t="shared" si="16"/>
        <v>0</v>
      </c>
      <c r="AY56" s="77">
        <f t="shared" si="16"/>
        <v>0</v>
      </c>
      <c r="AZ56" s="77">
        <f t="shared" si="15"/>
        <v>0</v>
      </c>
      <c r="BA56" s="77">
        <f t="shared" si="15"/>
        <v>0</v>
      </c>
      <c r="BB56" s="77">
        <f t="shared" si="15"/>
        <v>0</v>
      </c>
      <c r="BC56" s="77">
        <f t="shared" si="15"/>
        <v>0</v>
      </c>
      <c r="BD56" s="77">
        <f t="shared" si="15"/>
        <v>0</v>
      </c>
      <c r="BE56" s="77">
        <f t="shared" si="15"/>
        <v>0</v>
      </c>
    </row>
    <row r="57" spans="3:57">
      <c r="C57" s="77">
        <f t="shared" si="2"/>
        <v>126212319.59853828</v>
      </c>
      <c r="D57">
        <v>2059</v>
      </c>
      <c r="E57" s="77">
        <f t="shared" si="14"/>
        <v>0</v>
      </c>
      <c r="F57" s="77">
        <f t="shared" si="14"/>
        <v>0</v>
      </c>
      <c r="G57" s="77">
        <f t="shared" si="14"/>
        <v>0</v>
      </c>
      <c r="H57" s="77">
        <f t="shared" si="14"/>
        <v>0</v>
      </c>
      <c r="I57" s="77">
        <f t="shared" si="14"/>
        <v>0</v>
      </c>
      <c r="J57" s="77">
        <f t="shared" si="14"/>
        <v>0</v>
      </c>
      <c r="K57" s="77">
        <f t="shared" si="14"/>
        <v>0</v>
      </c>
      <c r="L57" s="77">
        <f t="shared" si="14"/>
        <v>0</v>
      </c>
      <c r="M57" s="77">
        <f t="shared" si="14"/>
        <v>0</v>
      </c>
      <c r="N57" s="77">
        <f t="shared" si="14"/>
        <v>0</v>
      </c>
      <c r="O57" s="77">
        <f t="shared" si="14"/>
        <v>0</v>
      </c>
      <c r="P57" s="77">
        <f t="shared" si="14"/>
        <v>0</v>
      </c>
      <c r="Q57" s="77">
        <f t="shared" si="14"/>
        <v>0</v>
      </c>
      <c r="R57" s="77">
        <f t="shared" si="14"/>
        <v>0</v>
      </c>
      <c r="S57" s="77">
        <f t="shared" si="14"/>
        <v>0</v>
      </c>
      <c r="T57" s="77">
        <f t="shared" si="14"/>
        <v>0</v>
      </c>
      <c r="U57" s="77">
        <f t="shared" si="13"/>
        <v>0</v>
      </c>
      <c r="V57" s="77">
        <f t="shared" si="13"/>
        <v>0</v>
      </c>
      <c r="W57" s="77">
        <f t="shared" si="13"/>
        <v>0</v>
      </c>
      <c r="X57" s="77">
        <f t="shared" si="13"/>
        <v>0</v>
      </c>
      <c r="Y57" s="77">
        <f t="shared" si="13"/>
        <v>0</v>
      </c>
      <c r="Z57" s="77">
        <f t="shared" si="13"/>
        <v>0</v>
      </c>
      <c r="AA57" s="77">
        <f t="shared" si="13"/>
        <v>0</v>
      </c>
      <c r="AB57" s="77">
        <f t="shared" si="13"/>
        <v>0</v>
      </c>
      <c r="AC57" s="77">
        <f t="shared" si="13"/>
        <v>0</v>
      </c>
      <c r="AD57" s="77">
        <f t="shared" si="13"/>
        <v>0</v>
      </c>
      <c r="AE57" s="77">
        <f t="shared" si="13"/>
        <v>0</v>
      </c>
      <c r="AF57" s="77">
        <f t="shared" si="13"/>
        <v>0</v>
      </c>
      <c r="AG57" s="77">
        <f t="shared" si="13"/>
        <v>0</v>
      </c>
      <c r="AH57" s="77">
        <f t="shared" si="13"/>
        <v>0</v>
      </c>
      <c r="AI57" s="77">
        <f t="shared" si="13"/>
        <v>0</v>
      </c>
      <c r="AJ57" s="77">
        <f t="shared" si="16"/>
        <v>0</v>
      </c>
      <c r="AK57" s="77">
        <f t="shared" si="16"/>
        <v>0</v>
      </c>
      <c r="AL57" s="77">
        <f t="shared" si="16"/>
        <v>0</v>
      </c>
      <c r="AM57" s="77">
        <f t="shared" si="16"/>
        <v>0</v>
      </c>
      <c r="AN57" s="77">
        <f t="shared" si="16"/>
        <v>0</v>
      </c>
      <c r="AO57" s="77">
        <f t="shared" si="16"/>
        <v>0</v>
      </c>
      <c r="AP57" s="77">
        <f t="shared" si="16"/>
        <v>0</v>
      </c>
      <c r="AQ57" s="77">
        <f t="shared" si="16"/>
        <v>0</v>
      </c>
      <c r="AR57" s="77">
        <f t="shared" si="16"/>
        <v>0</v>
      </c>
      <c r="AS57" s="77">
        <f t="shared" si="16"/>
        <v>0</v>
      </c>
      <c r="AT57" s="77">
        <f t="shared" si="16"/>
        <v>0</v>
      </c>
      <c r="AU57" s="77">
        <f t="shared" si="16"/>
        <v>0</v>
      </c>
      <c r="AV57" s="77">
        <f t="shared" si="16"/>
        <v>0</v>
      </c>
      <c r="AW57" s="77">
        <f t="shared" si="16"/>
        <v>0</v>
      </c>
      <c r="AX57" s="77">
        <f t="shared" si="16"/>
        <v>0</v>
      </c>
      <c r="AY57" s="77">
        <f t="shared" si="16"/>
        <v>0</v>
      </c>
      <c r="AZ57" s="77">
        <f t="shared" si="15"/>
        <v>0</v>
      </c>
      <c r="BA57" s="77">
        <f t="shared" si="15"/>
        <v>0</v>
      </c>
      <c r="BB57" s="77">
        <f t="shared" si="15"/>
        <v>0</v>
      </c>
      <c r="BC57" s="77">
        <f t="shared" si="15"/>
        <v>0</v>
      </c>
      <c r="BD57" s="77">
        <f t="shared" si="15"/>
        <v>0</v>
      </c>
      <c r="BE57" s="77">
        <f t="shared" si="15"/>
        <v>0</v>
      </c>
    </row>
    <row r="58" spans="3:57">
      <c r="C58" s="77">
        <f t="shared" si="2"/>
        <v>126212319.59853828</v>
      </c>
      <c r="D58">
        <v>2060</v>
      </c>
      <c r="E58" s="77">
        <f t="shared" si="14"/>
        <v>0</v>
      </c>
      <c r="F58" s="77">
        <f t="shared" si="14"/>
        <v>0</v>
      </c>
      <c r="G58" s="77">
        <f t="shared" si="14"/>
        <v>0</v>
      </c>
      <c r="H58" s="77">
        <f t="shared" si="14"/>
        <v>0</v>
      </c>
      <c r="I58" s="77">
        <f t="shared" si="14"/>
        <v>0</v>
      </c>
      <c r="J58" s="77">
        <f t="shared" si="14"/>
        <v>0</v>
      </c>
      <c r="K58" s="77">
        <f t="shared" si="14"/>
        <v>0</v>
      </c>
      <c r="L58" s="77">
        <f t="shared" si="14"/>
        <v>0</v>
      </c>
      <c r="M58" s="77">
        <f t="shared" si="14"/>
        <v>0</v>
      </c>
      <c r="N58" s="77">
        <f t="shared" si="14"/>
        <v>0</v>
      </c>
      <c r="O58" s="77">
        <f t="shared" si="14"/>
        <v>0</v>
      </c>
      <c r="P58" s="77">
        <f t="shared" si="14"/>
        <v>0</v>
      </c>
      <c r="Q58" s="77">
        <f t="shared" si="14"/>
        <v>0</v>
      </c>
      <c r="R58" s="77">
        <f t="shared" si="14"/>
        <v>0</v>
      </c>
      <c r="S58" s="77">
        <f t="shared" si="14"/>
        <v>0</v>
      </c>
      <c r="T58" s="77">
        <f t="shared" ref="T58:BE58" si="17">IF(AND($D58&lt;(T$2+T$3),$D58&gt;=T$2),VDB(T$4,0,T$3,($D58-T$2),($D58-(T$2-1))),0)</f>
        <v>0</v>
      </c>
      <c r="U58" s="77">
        <f t="shared" si="17"/>
        <v>0</v>
      </c>
      <c r="V58" s="77">
        <f t="shared" si="17"/>
        <v>0</v>
      </c>
      <c r="W58" s="77">
        <f t="shared" si="17"/>
        <v>0</v>
      </c>
      <c r="X58" s="77">
        <f t="shared" si="17"/>
        <v>0</v>
      </c>
      <c r="Y58" s="77">
        <f t="shared" si="17"/>
        <v>0</v>
      </c>
      <c r="Z58" s="77">
        <f t="shared" si="17"/>
        <v>0</v>
      </c>
      <c r="AA58" s="77">
        <f t="shared" si="17"/>
        <v>0</v>
      </c>
      <c r="AB58" s="77">
        <f t="shared" si="17"/>
        <v>0</v>
      </c>
      <c r="AC58" s="77">
        <f t="shared" si="17"/>
        <v>0</v>
      </c>
      <c r="AD58" s="77">
        <f t="shared" si="17"/>
        <v>0</v>
      </c>
      <c r="AE58" s="77">
        <f t="shared" si="17"/>
        <v>0</v>
      </c>
      <c r="AF58" s="77">
        <f t="shared" si="17"/>
        <v>0</v>
      </c>
      <c r="AG58" s="77">
        <f t="shared" si="17"/>
        <v>0</v>
      </c>
      <c r="AH58" s="77">
        <f t="shared" si="17"/>
        <v>0</v>
      </c>
      <c r="AI58" s="77">
        <f t="shared" si="17"/>
        <v>0</v>
      </c>
      <c r="AJ58" s="77">
        <f t="shared" si="17"/>
        <v>0</v>
      </c>
      <c r="AK58" s="77">
        <f t="shared" si="17"/>
        <v>0</v>
      </c>
      <c r="AL58" s="77">
        <f t="shared" si="17"/>
        <v>0</v>
      </c>
      <c r="AM58" s="77">
        <f t="shared" si="17"/>
        <v>0</v>
      </c>
      <c r="AN58" s="77">
        <f t="shared" si="17"/>
        <v>0</v>
      </c>
      <c r="AO58" s="77">
        <f t="shared" si="17"/>
        <v>0</v>
      </c>
      <c r="AP58" s="77">
        <f t="shared" si="17"/>
        <v>0</v>
      </c>
      <c r="AQ58" s="77">
        <f t="shared" si="17"/>
        <v>0</v>
      </c>
      <c r="AR58" s="77">
        <f t="shared" si="17"/>
        <v>0</v>
      </c>
      <c r="AS58" s="77">
        <f t="shared" si="17"/>
        <v>0</v>
      </c>
      <c r="AT58" s="77">
        <f t="shared" si="17"/>
        <v>0</v>
      </c>
      <c r="AU58" s="77">
        <f t="shared" si="17"/>
        <v>0</v>
      </c>
      <c r="AV58" s="77">
        <f t="shared" si="17"/>
        <v>0</v>
      </c>
      <c r="AW58" s="77">
        <f t="shared" si="17"/>
        <v>0</v>
      </c>
      <c r="AX58" s="77">
        <f t="shared" si="17"/>
        <v>0</v>
      </c>
      <c r="AY58" s="77">
        <f t="shared" si="17"/>
        <v>0</v>
      </c>
      <c r="AZ58" s="77">
        <f t="shared" si="17"/>
        <v>0</v>
      </c>
      <c r="BA58" s="77">
        <f t="shared" si="17"/>
        <v>0</v>
      </c>
      <c r="BB58" s="77">
        <f t="shared" si="17"/>
        <v>0</v>
      </c>
      <c r="BC58" s="77">
        <f t="shared" si="17"/>
        <v>0</v>
      </c>
      <c r="BD58" s="77">
        <f t="shared" si="17"/>
        <v>0</v>
      </c>
      <c r="BE58" s="77">
        <f t="shared" si="17"/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5D76-7720-4420-A596-59EEBC753D8C}">
  <dimension ref="A2:Q64"/>
  <sheetViews>
    <sheetView tabSelected="1" workbookViewId="0">
      <selection activeCell="A4" sqref="A4"/>
    </sheetView>
  </sheetViews>
  <sheetFormatPr defaultRowHeight="14.45"/>
  <cols>
    <col min="1" max="1" width="24.28515625" bestFit="1" customWidth="1"/>
    <col min="2" max="2" width="10.28515625" customWidth="1"/>
    <col min="3" max="3" width="16" bestFit="1" customWidth="1"/>
    <col min="4" max="4" width="15.42578125" bestFit="1" customWidth="1"/>
    <col min="5" max="9" width="10.28515625" customWidth="1"/>
    <col min="10" max="10" width="14.28515625" bestFit="1" customWidth="1"/>
    <col min="11" max="11" width="10.28515625" customWidth="1"/>
    <col min="12" max="12" width="12.5703125" customWidth="1"/>
    <col min="13" max="13" width="12" customWidth="1"/>
    <col min="14" max="16" width="10.28515625" customWidth="1"/>
    <col min="17" max="17" width="38.42578125" bestFit="1" customWidth="1"/>
  </cols>
  <sheetData>
    <row r="2" spans="1:17">
      <c r="B2" s="15">
        <v>2008</v>
      </c>
      <c r="C2" s="15">
        <v>2009</v>
      </c>
      <c r="D2" s="15">
        <v>2010</v>
      </c>
      <c r="E2" s="15">
        <v>2011</v>
      </c>
      <c r="F2" s="15">
        <v>2012</v>
      </c>
      <c r="G2" s="15">
        <v>2013</v>
      </c>
      <c r="H2" s="15">
        <v>2014</v>
      </c>
      <c r="I2" s="15">
        <v>2015</v>
      </c>
      <c r="J2" s="15">
        <v>2016</v>
      </c>
      <c r="K2" s="15">
        <v>2017</v>
      </c>
      <c r="L2" s="15">
        <v>2018</v>
      </c>
      <c r="M2" s="15">
        <v>2019</v>
      </c>
      <c r="N2" s="15">
        <v>2020</v>
      </c>
      <c r="O2" s="15">
        <v>2021</v>
      </c>
      <c r="P2" s="15">
        <v>2022</v>
      </c>
      <c r="Q2" t="s">
        <v>54</v>
      </c>
    </row>
    <row r="3" spans="1:17">
      <c r="A3" t="s">
        <v>55</v>
      </c>
      <c r="B3" s="2">
        <v>13985</v>
      </c>
      <c r="C3" s="4">
        <v>14733</v>
      </c>
      <c r="D3" s="4">
        <v>30809</v>
      </c>
      <c r="E3" s="4">
        <v>24130</v>
      </c>
      <c r="F3" s="4">
        <v>21824</v>
      </c>
      <c r="G3" s="4">
        <v>14960</v>
      </c>
      <c r="H3" s="4">
        <v>7338</v>
      </c>
      <c r="I3" s="4">
        <v>11724</v>
      </c>
      <c r="J3" s="4">
        <v>11743</v>
      </c>
      <c r="K3" s="4">
        <v>5564</v>
      </c>
      <c r="L3" s="4">
        <v>5181</v>
      </c>
      <c r="M3" s="31">
        <v>13416</v>
      </c>
      <c r="N3" s="31">
        <v>9213</v>
      </c>
      <c r="O3" s="46">
        <v>8076</v>
      </c>
      <c r="P3" s="46">
        <f>'Historical Annual'!C37</f>
        <v>7254.19</v>
      </c>
    </row>
    <row r="4" spans="1:17">
      <c r="A4" t="s">
        <v>56</v>
      </c>
      <c r="B4" s="4">
        <v>191837</v>
      </c>
      <c r="C4" s="4">
        <v>275604</v>
      </c>
      <c r="D4" s="4">
        <v>227017</v>
      </c>
      <c r="E4" s="4">
        <v>467657</v>
      </c>
      <c r="F4" s="4">
        <v>359003</v>
      </c>
      <c r="G4" s="4">
        <v>288079</v>
      </c>
      <c r="H4" s="4">
        <v>465176</v>
      </c>
      <c r="I4" s="4">
        <v>637930</v>
      </c>
      <c r="J4" s="4">
        <v>222194</v>
      </c>
      <c r="K4" s="4">
        <v>260176</v>
      </c>
      <c r="L4" s="4">
        <v>345999</v>
      </c>
      <c r="M4" s="31">
        <v>384176</v>
      </c>
      <c r="N4" s="31">
        <v>266945</v>
      </c>
      <c r="O4" s="46">
        <v>798874</v>
      </c>
      <c r="P4" s="46">
        <f>'Historical Annual'!I17</f>
        <v>289919.12</v>
      </c>
    </row>
    <row r="5" spans="1:17">
      <c r="A5" t="s">
        <v>0</v>
      </c>
      <c r="B5" s="4">
        <v>248658</v>
      </c>
      <c r="C5" s="4">
        <v>273833</v>
      </c>
      <c r="D5" s="4">
        <v>216999</v>
      </c>
      <c r="E5" s="4">
        <v>219596</v>
      </c>
      <c r="F5" s="4">
        <v>179330</v>
      </c>
      <c r="G5" s="4">
        <v>183352</v>
      </c>
      <c r="H5" s="4">
        <v>176439</v>
      </c>
      <c r="I5" s="4">
        <v>181847</v>
      </c>
      <c r="J5" s="4">
        <v>171620</v>
      </c>
      <c r="K5" s="4">
        <v>297216</v>
      </c>
      <c r="L5" s="4">
        <v>420639</v>
      </c>
      <c r="M5" s="31">
        <v>363364</v>
      </c>
      <c r="N5" s="4">
        <v>383018</v>
      </c>
      <c r="O5" s="46">
        <v>436553</v>
      </c>
      <c r="P5" s="46">
        <f>'Historical Annual'!C17</f>
        <v>330767.88</v>
      </c>
    </row>
    <row r="6" spans="1:17">
      <c r="A6" t="s">
        <v>57</v>
      </c>
      <c r="B6" s="32">
        <f>SUM(B3:B5)</f>
        <v>454480</v>
      </c>
      <c r="C6" s="32">
        <f t="shared" ref="C6:N6" si="0">SUM(C3:C5)</f>
        <v>564170</v>
      </c>
      <c r="D6" s="32">
        <f t="shared" si="0"/>
        <v>474825</v>
      </c>
      <c r="E6" s="32">
        <f t="shared" si="0"/>
        <v>711383</v>
      </c>
      <c r="F6" s="32">
        <f t="shared" si="0"/>
        <v>560157</v>
      </c>
      <c r="G6" s="32">
        <f t="shared" si="0"/>
        <v>486391</v>
      </c>
      <c r="H6" s="32">
        <f t="shared" si="0"/>
        <v>648953</v>
      </c>
      <c r="I6" s="32">
        <f t="shared" si="0"/>
        <v>831501</v>
      </c>
      <c r="J6" s="32">
        <f t="shared" si="0"/>
        <v>405557</v>
      </c>
      <c r="K6" s="32">
        <f t="shared" si="0"/>
        <v>562956</v>
      </c>
      <c r="L6" s="32">
        <f t="shared" si="0"/>
        <v>771819</v>
      </c>
      <c r="M6" s="32">
        <f t="shared" si="0"/>
        <v>760956</v>
      </c>
      <c r="N6" s="32">
        <f t="shared" si="0"/>
        <v>659176</v>
      </c>
      <c r="O6" s="32">
        <f>SUM(O3:O5)</f>
        <v>1243503</v>
      </c>
      <c r="P6" s="32">
        <f>SUM(P3:P5)</f>
        <v>627941.18999999994</v>
      </c>
      <c r="Q6" s="32">
        <f>SUM(B6:O6)</f>
        <v>9135827</v>
      </c>
    </row>
    <row r="7" spans="1:17">
      <c r="B7" s="32">
        <f>B6*B8</f>
        <v>6362720</v>
      </c>
      <c r="C7" s="32">
        <f t="shared" ref="C7:N7" si="1">C6*C8</f>
        <v>7334210</v>
      </c>
      <c r="D7" s="32">
        <f t="shared" si="1"/>
        <v>5697900</v>
      </c>
      <c r="E7" s="32">
        <f t="shared" si="1"/>
        <v>7825213</v>
      </c>
      <c r="F7" s="32">
        <f t="shared" si="1"/>
        <v>5601570</v>
      </c>
      <c r="G7" s="32">
        <f t="shared" si="1"/>
        <v>4377519</v>
      </c>
      <c r="H7" s="32">
        <f t="shared" si="1"/>
        <v>5191624</v>
      </c>
      <c r="I7" s="32">
        <f t="shared" si="1"/>
        <v>5820507</v>
      </c>
      <c r="J7" s="32">
        <f t="shared" si="1"/>
        <v>2433342</v>
      </c>
      <c r="K7" s="32">
        <f t="shared" si="1"/>
        <v>2814780</v>
      </c>
      <c r="L7" s="32">
        <f t="shared" si="1"/>
        <v>3087276</v>
      </c>
      <c r="M7" s="32">
        <f t="shared" si="1"/>
        <v>2282868</v>
      </c>
      <c r="N7" s="32">
        <f t="shared" si="1"/>
        <v>1318352</v>
      </c>
      <c r="O7" s="32">
        <f>O6*O8</f>
        <v>1243503</v>
      </c>
      <c r="P7" s="32"/>
      <c r="Q7" s="32">
        <f>SUM(B7:O7)</f>
        <v>61391384</v>
      </c>
    </row>
    <row r="8" spans="1:17">
      <c r="B8" s="48">
        <v>14</v>
      </c>
      <c r="C8" s="48">
        <v>13</v>
      </c>
      <c r="D8" s="48">
        <v>12</v>
      </c>
      <c r="E8" s="48">
        <v>11</v>
      </c>
      <c r="F8" s="48">
        <v>10</v>
      </c>
      <c r="G8" s="48">
        <v>9</v>
      </c>
      <c r="H8" s="48">
        <v>8</v>
      </c>
      <c r="I8" s="48">
        <v>7</v>
      </c>
      <c r="J8" s="48">
        <v>6</v>
      </c>
      <c r="K8" s="48">
        <v>5</v>
      </c>
      <c r="L8" s="48">
        <v>4</v>
      </c>
      <c r="M8" s="31">
        <v>3</v>
      </c>
      <c r="N8" s="48">
        <v>2</v>
      </c>
      <c r="O8" s="47">
        <v>1</v>
      </c>
      <c r="P8" s="47"/>
    </row>
    <row r="52" spans="3:12">
      <c r="I52" t="s">
        <v>58</v>
      </c>
    </row>
    <row r="53" spans="3:12">
      <c r="I53" t="s">
        <v>2</v>
      </c>
      <c r="J53" t="s">
        <v>6</v>
      </c>
      <c r="K53" t="s">
        <v>59</v>
      </c>
      <c r="L53" t="s">
        <v>60</v>
      </c>
    </row>
    <row r="54" spans="3:12">
      <c r="C54" s="51"/>
      <c r="D54" s="51"/>
      <c r="I54">
        <v>2012</v>
      </c>
      <c r="J54" s="51">
        <v>2729784.85</v>
      </c>
      <c r="L54" s="52">
        <f t="shared" ref="L54:L63" si="2">J54/365</f>
        <v>7478.8626027397258</v>
      </c>
    </row>
    <row r="55" spans="3:12">
      <c r="C55" s="51"/>
      <c r="D55" s="51"/>
      <c r="I55">
        <v>2013</v>
      </c>
      <c r="J55" s="51">
        <v>2403234.73</v>
      </c>
      <c r="K55" s="53">
        <f t="shared" ref="K55:K63" si="3">(J55-J54)/J54</f>
        <v>-0.11962485614937753</v>
      </c>
      <c r="L55" s="52">
        <f t="shared" si="2"/>
        <v>6584.2047397260276</v>
      </c>
    </row>
    <row r="56" spans="3:12">
      <c r="C56" s="51"/>
      <c r="D56" s="51"/>
      <c r="I56">
        <v>2014</v>
      </c>
      <c r="J56" s="51">
        <v>2248080.0699999998</v>
      </c>
      <c r="K56" s="53">
        <f t="shared" si="3"/>
        <v>-6.4560759739020646E-2</v>
      </c>
      <c r="L56" s="52">
        <f t="shared" si="2"/>
        <v>6159.1234794520542</v>
      </c>
    </row>
    <row r="57" spans="3:12">
      <c r="I57">
        <v>2015</v>
      </c>
      <c r="J57" s="51">
        <v>2624641.46</v>
      </c>
      <c r="K57" s="53">
        <f t="shared" si="3"/>
        <v>0.16750354892830849</v>
      </c>
      <c r="L57" s="52">
        <f t="shared" si="2"/>
        <v>7190.7985205479454</v>
      </c>
    </row>
    <row r="58" spans="3:12">
      <c r="I58">
        <v>2016</v>
      </c>
      <c r="J58" s="51">
        <v>2771331</v>
      </c>
      <c r="K58" s="53">
        <f t="shared" si="3"/>
        <v>5.5889363265640118E-2</v>
      </c>
      <c r="L58" s="52">
        <f t="shared" si="2"/>
        <v>7592.6876712328767</v>
      </c>
    </row>
    <row r="59" spans="3:12">
      <c r="I59">
        <v>2017</v>
      </c>
      <c r="J59" s="51">
        <v>3754466</v>
      </c>
      <c r="K59" s="53">
        <f t="shared" si="3"/>
        <v>0.35475192245170278</v>
      </c>
      <c r="L59" s="52">
        <f t="shared" si="2"/>
        <v>10286.208219178083</v>
      </c>
    </row>
    <row r="60" spans="3:12">
      <c r="I60">
        <v>2018</v>
      </c>
      <c r="J60" s="51">
        <v>5918086</v>
      </c>
      <c r="K60" s="53">
        <f t="shared" si="3"/>
        <v>0.5762790234350238</v>
      </c>
      <c r="L60" s="52">
        <f t="shared" si="2"/>
        <v>16213.934246575342</v>
      </c>
    </row>
    <row r="61" spans="3:12">
      <c r="I61">
        <v>2019</v>
      </c>
      <c r="J61" s="51">
        <v>6581097</v>
      </c>
      <c r="K61" s="53">
        <f t="shared" si="3"/>
        <v>0.11203132228899682</v>
      </c>
      <c r="L61" s="52">
        <f t="shared" si="2"/>
        <v>18030.402739726029</v>
      </c>
    </row>
    <row r="62" spans="3:12">
      <c r="I62">
        <v>2020</v>
      </c>
      <c r="J62" s="51">
        <v>6033215</v>
      </c>
      <c r="K62" s="53">
        <f t="shared" si="3"/>
        <v>-8.3250862280255106E-2</v>
      </c>
      <c r="L62" s="52">
        <f t="shared" si="2"/>
        <v>16529.35616438356</v>
      </c>
    </row>
    <row r="63" spans="3:12" ht="15" thickBot="1">
      <c r="I63" s="54">
        <v>2021</v>
      </c>
      <c r="J63" s="55">
        <v>7921469.2300000004</v>
      </c>
      <c r="K63" s="56">
        <f t="shared" si="3"/>
        <v>0.3129764528530809</v>
      </c>
      <c r="L63" s="52">
        <f t="shared" si="2"/>
        <v>21702.655424657536</v>
      </c>
    </row>
    <row r="64" spans="3:12" ht="15" thickTop="1">
      <c r="I64" t="s">
        <v>61</v>
      </c>
      <c r="J64" s="52">
        <f>SUM(J54:J63)</f>
        <v>42985405.340000004</v>
      </c>
      <c r="K64" s="53">
        <f>(J63-J54)/J54</f>
        <v>1.9018657752459871</v>
      </c>
    </row>
  </sheetData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91F6DC3-7EE2-4F3C-9C89-98337BF3EB3F}"/>
</file>

<file path=customXml/itemProps2.xml><?xml version="1.0" encoding="utf-8"?>
<ds:datastoreItem xmlns:ds="http://schemas.openxmlformats.org/officeDocument/2006/customXml" ds:itemID="{E6EDC643-7C69-4F04-B523-A2A38DB1884E}"/>
</file>

<file path=customXml/itemProps3.xml><?xml version="1.0" encoding="utf-8"?>
<ds:datastoreItem xmlns:ds="http://schemas.openxmlformats.org/officeDocument/2006/customXml" ds:itemID="{C95A7D0E-619D-480C-B6DC-C7B5B36F63C2}"/>
</file>

<file path=customXml/itemProps4.xml><?xml version="1.0" encoding="utf-8"?>
<ds:datastoreItem xmlns:ds="http://schemas.openxmlformats.org/officeDocument/2006/customXml" ds:itemID="{1469CD2D-06F4-4F90-891B-89A2444A46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Cowlishaw, Monica</dc:creator>
  <cp:keywords/>
  <dc:description/>
  <cp:lastModifiedBy>scarson@perkinscoie.com</cp:lastModifiedBy>
  <cp:revision/>
  <dcterms:created xsi:type="dcterms:W3CDTF">2019-05-17T18:47:41Z</dcterms:created>
  <dcterms:modified xsi:type="dcterms:W3CDTF">2024-03-10T22:25:19Z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_docset_NoMedatataSyncRequired">
    <vt:lpwstr>False</vt:lpwstr>
  </property>
</Properties>
</file>