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ER\_2021\Washington\Washington - LIRF\Workpapers\PUBLIC\"/>
    </mc:Choice>
  </mc:AlternateContent>
  <xr:revisionPtr revIDLastSave="0" documentId="13_ncr:1_{EBE0C3A6-923B-4344-9029-100C417A4429}" xr6:coauthVersionLast="45" xr6:coauthVersionMax="45" xr10:uidLastSave="{00000000-0000-0000-0000-000000000000}"/>
  <bookViews>
    <workbookView xWindow="30045" yWindow="1140" windowWidth="25500" windowHeight="14445" tabRatio="849" activeTab="2" xr2:uid="{00000000-000D-0000-FFFF-FFFF00000000}"/>
  </bookViews>
  <sheets>
    <sheet name="Results" sheetId="4" r:id="rId1"/>
    <sheet name="Price Change" sheetId="16" r:id="rId2"/>
    <sheet name="Adjustments" sheetId="17" r:id="rId3"/>
    <sheet name="Variables" sheetId="3" r:id="rId4"/>
  </sheets>
  <externalReferences>
    <externalReference r:id="rId5"/>
    <externalReference r:id="rId6"/>
    <externalReference r:id="rId7"/>
    <externalReference r:id="rId8"/>
  </externalReferences>
  <definedNames>
    <definedName name="Cost_Debt">Variables!$D$8</definedName>
    <definedName name="Cost_equity">Variables!$D$10</definedName>
    <definedName name="Cost_pref">Variables!$D$9</definedName>
    <definedName name="gross_up_factor">Variables!$D$34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_xlnm.Print_Area" localSheetId="2">Adjustments!$A$1:$F$85</definedName>
    <definedName name="_xlnm.Print_Area" localSheetId="1">'Price Change'!$A$1:$F$21</definedName>
    <definedName name="_xlnm.Print_Titles" localSheetId="2">Adjustments!$A:$A</definedName>
    <definedName name="Unadj_Op_revenue">Results!$B$37</definedName>
    <definedName name="Unadj_rate_base">Results!$B$64</definedName>
    <definedName name="Unadj_ROE">Results!$B$67</definedName>
    <definedName name="uncollectible_perc">Variables!$D$20</definedName>
    <definedName name="WA_rev_tax_perc">Variables!$D$22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7" l="1"/>
  <c r="F57" i="17"/>
  <c r="D76" i="17"/>
  <c r="D57" i="17"/>
  <c r="D55" i="17"/>
  <c r="D41" i="17"/>
  <c r="D33" i="17"/>
  <c r="D28" i="17"/>
  <c r="C77" i="17" l="1"/>
  <c r="C76" i="17"/>
  <c r="C57" i="17"/>
  <c r="C55" i="17"/>
  <c r="C41" i="17"/>
  <c r="C33" i="17"/>
  <c r="C28" i="17"/>
  <c r="B2" i="3" l="1"/>
  <c r="A2" i="17"/>
  <c r="A2" i="16"/>
  <c r="B84" i="17" l="1"/>
  <c r="B80" i="17"/>
  <c r="B77" i="17"/>
  <c r="B74" i="17"/>
  <c r="B73" i="17"/>
  <c r="B62" i="17"/>
  <c r="B61" i="17"/>
  <c r="B60" i="17"/>
  <c r="B59" i="17"/>
  <c r="B58" i="17"/>
  <c r="B56" i="17"/>
  <c r="B51" i="17"/>
  <c r="B50" i="17"/>
  <c r="B49" i="17"/>
  <c r="B48" i="17"/>
  <c r="B47" i="17"/>
  <c r="B46" i="17"/>
  <c r="B45" i="17"/>
  <c r="B44" i="17"/>
  <c r="B43" i="17"/>
  <c r="B42" i="17"/>
  <c r="B35" i="17"/>
  <c r="B34" i="17"/>
  <c r="B32" i="17"/>
  <c r="B30" i="17"/>
  <c r="B29" i="17"/>
  <c r="B26" i="17"/>
  <c r="B25" i="17"/>
  <c r="B24" i="17"/>
  <c r="B23" i="17"/>
  <c r="B22" i="17"/>
  <c r="B21" i="17"/>
  <c r="B20" i="17"/>
  <c r="B19" i="17"/>
  <c r="B18" i="17"/>
  <c r="B17" i="17"/>
  <c r="B13" i="17"/>
  <c r="B12" i="17"/>
  <c r="B11" i="17"/>
  <c r="B10" i="17"/>
  <c r="E14" i="17"/>
  <c r="F14" i="17"/>
  <c r="E27" i="17"/>
  <c r="F27" i="17"/>
  <c r="F72" i="17" s="1"/>
  <c r="F78" i="17" s="1"/>
  <c r="F81" i="17" s="1"/>
  <c r="F83" i="17" s="1"/>
  <c r="F85" i="17" s="1"/>
  <c r="F31" i="17" s="1"/>
  <c r="E52" i="17"/>
  <c r="F52" i="17"/>
  <c r="E63" i="17"/>
  <c r="E65" i="17" l="1"/>
  <c r="E14" i="16" s="1"/>
  <c r="E72" i="17"/>
  <c r="I30" i="4" l="1"/>
  <c r="D83" i="4" l="1"/>
  <c r="D76" i="4"/>
  <c r="F76" i="4" s="1"/>
  <c r="D73" i="4"/>
  <c r="F73" i="4" s="1"/>
  <c r="D63" i="17"/>
  <c r="D60" i="4"/>
  <c r="F60" i="4" s="1"/>
  <c r="D59" i="4"/>
  <c r="F59" i="4" s="1"/>
  <c r="D58" i="4"/>
  <c r="F58" i="4" s="1"/>
  <c r="D57" i="4"/>
  <c r="F57" i="4" s="1"/>
  <c r="D55" i="4"/>
  <c r="F55" i="4" s="1"/>
  <c r="D52" i="17"/>
  <c r="D50" i="4"/>
  <c r="F50" i="4" s="1"/>
  <c r="D49" i="4"/>
  <c r="F49" i="4" s="1"/>
  <c r="D48" i="4"/>
  <c r="F48" i="4" s="1"/>
  <c r="D47" i="4"/>
  <c r="F47" i="4" s="1"/>
  <c r="D46" i="4"/>
  <c r="F46" i="4" s="1"/>
  <c r="D45" i="4"/>
  <c r="F45" i="4" s="1"/>
  <c r="D44" i="4"/>
  <c r="F44" i="4" s="1"/>
  <c r="D43" i="4"/>
  <c r="F43" i="4" s="1"/>
  <c r="D42" i="4"/>
  <c r="F42" i="4" s="1"/>
  <c r="D41" i="4"/>
  <c r="F41" i="4" s="1"/>
  <c r="D34" i="4"/>
  <c r="F34" i="4" s="1"/>
  <c r="D33" i="4"/>
  <c r="F33" i="4" s="1"/>
  <c r="D29" i="4"/>
  <c r="F29" i="4" s="1"/>
  <c r="D28" i="4"/>
  <c r="F28" i="4" s="1"/>
  <c r="D27" i="17"/>
  <c r="C27" i="17"/>
  <c r="B27" i="17" s="1"/>
  <c r="D24" i="4"/>
  <c r="F24" i="4" s="1"/>
  <c r="D17" i="4"/>
  <c r="F17" i="4" s="1"/>
  <c r="D14" i="17"/>
  <c r="C14" i="17"/>
  <c r="B14" i="17" s="1"/>
  <c r="D12" i="4"/>
  <c r="F12" i="4" s="1"/>
  <c r="D11" i="4"/>
  <c r="F11" i="4" s="1"/>
  <c r="D10" i="4"/>
  <c r="F10" i="4" s="1"/>
  <c r="D9" i="4"/>
  <c r="F9" i="4" s="1"/>
  <c r="D72" i="17" l="1"/>
  <c r="D65" i="17"/>
  <c r="E13" i="16" s="1"/>
  <c r="D78" i="17" l="1"/>
  <c r="A13" i="16"/>
  <c r="A14" i="16" s="1"/>
  <c r="A15" i="16" s="1"/>
  <c r="A16" i="16" s="1"/>
  <c r="A17" i="16" s="1"/>
  <c r="A18" i="16" s="1"/>
  <c r="A19" i="16" s="1"/>
  <c r="A20" i="16" s="1"/>
  <c r="A21" i="16" s="1"/>
  <c r="D81" i="17" l="1"/>
  <c r="D83" i="17" l="1"/>
  <c r="D85" i="17" l="1"/>
  <c r="D31" i="17" l="1"/>
  <c r="D36" i="17" l="1"/>
  <c r="D38" i="17" l="1"/>
  <c r="D13" i="16" s="1"/>
  <c r="J31" i="4" l="1"/>
  <c r="H62" i="4"/>
  <c r="H51" i="4"/>
  <c r="J61" i="4"/>
  <c r="H31" i="4"/>
  <c r="H64" i="4" l="1"/>
  <c r="F31" i="4" l="1"/>
  <c r="D31" i="4"/>
  <c r="D13" i="4" l="1"/>
  <c r="E10" i="3" l="1"/>
  <c r="E9" i="3"/>
  <c r="E8" i="3"/>
  <c r="E11" i="3" l="1"/>
  <c r="D26" i="3" l="1"/>
  <c r="D30" i="3" s="1"/>
  <c r="D32" i="3" l="1"/>
  <c r="D34" i="3" s="1"/>
  <c r="F13" i="16" l="1"/>
  <c r="D69" i="17"/>
  <c r="D21" i="4" l="1"/>
  <c r="F21" i="4" s="1"/>
  <c r="D25" i="4"/>
  <c r="F25" i="4" s="1"/>
  <c r="D22" i="4"/>
  <c r="F22" i="4" s="1"/>
  <c r="D23" i="4"/>
  <c r="F23" i="4" s="1"/>
  <c r="B62" i="4"/>
  <c r="B51" i="4"/>
  <c r="B13" i="4"/>
  <c r="B26" i="4"/>
  <c r="D18" i="4" l="1"/>
  <c r="F18" i="4" s="1"/>
  <c r="D19" i="4"/>
  <c r="F19" i="4" s="1"/>
  <c r="D20" i="4"/>
  <c r="F20" i="4" s="1"/>
  <c r="B64" i="4"/>
  <c r="B35" i="4"/>
  <c r="D16" i="4" l="1"/>
  <c r="F16" i="4" s="1"/>
  <c r="J57" i="4"/>
  <c r="J11" i="4"/>
  <c r="J60" i="4"/>
  <c r="J24" i="4"/>
  <c r="B37" i="4"/>
  <c r="J55" i="4"/>
  <c r="J73" i="4"/>
  <c r="J46" i="4"/>
  <c r="J76" i="4"/>
  <c r="J42" i="4"/>
  <c r="J28" i="4"/>
  <c r="J43" i="4"/>
  <c r="J17" i="4"/>
  <c r="J45" i="4"/>
  <c r="B77" i="4"/>
  <c r="J50" i="4"/>
  <c r="J49" i="4"/>
  <c r="J59" i="4"/>
  <c r="J33" i="4"/>
  <c r="J58" i="4"/>
  <c r="J44" i="4"/>
  <c r="J41" i="4"/>
  <c r="F13" i="4"/>
  <c r="J12" i="4"/>
  <c r="J48" i="4"/>
  <c r="J47" i="4"/>
  <c r="J10" i="4"/>
  <c r="D26" i="4" l="1"/>
  <c r="B66" i="4"/>
  <c r="B67" i="4" s="1"/>
  <c r="B68" i="4"/>
  <c r="B80" i="4"/>
  <c r="B82" i="4" s="1"/>
  <c r="F9" i="16" l="1"/>
  <c r="D68" i="17"/>
  <c r="J16" i="4" l="1"/>
  <c r="J20" i="4"/>
  <c r="J23" i="4"/>
  <c r="J25" i="4"/>
  <c r="F26" i="4" l="1"/>
  <c r="J19" i="4"/>
  <c r="J21" i="4"/>
  <c r="J18" i="4"/>
  <c r="J34" i="4" l="1"/>
  <c r="B83" i="4" l="1"/>
  <c r="F83" i="4" l="1"/>
  <c r="J83" i="4"/>
  <c r="B28" i="17" l="1"/>
  <c r="D27" i="4" s="1"/>
  <c r="C72" i="17"/>
  <c r="B55" i="17" l="1"/>
  <c r="D54" i="4" s="1"/>
  <c r="B72" i="17"/>
  <c r="F27" i="4"/>
  <c r="D71" i="4"/>
  <c r="B76" i="17"/>
  <c r="D75" i="4" s="1"/>
  <c r="F75" i="4" s="1"/>
  <c r="J75" i="4" s="1"/>
  <c r="C78" i="17" l="1"/>
  <c r="J27" i="4"/>
  <c r="F71" i="4"/>
  <c r="F54" i="4"/>
  <c r="C63" i="17" l="1"/>
  <c r="J54" i="4"/>
  <c r="C81" i="17"/>
  <c r="B41" i="17"/>
  <c r="D40" i="4" s="1"/>
  <c r="C52" i="17"/>
  <c r="B52" i="17" l="1"/>
  <c r="C65" i="17"/>
  <c r="F40" i="4"/>
  <c r="D51" i="4"/>
  <c r="C83" i="17"/>
  <c r="J40" i="4" l="1"/>
  <c r="J51" i="4" s="1"/>
  <c r="F51" i="4"/>
  <c r="E12" i="16"/>
  <c r="C85" i="17"/>
  <c r="C31" i="17" l="1"/>
  <c r="C36" i="17" l="1"/>
  <c r="C38" i="17" l="1"/>
  <c r="D12" i="16" l="1"/>
  <c r="C68" i="17"/>
  <c r="C69" i="17"/>
  <c r="F12" i="16" l="1"/>
  <c r="F63" i="17" l="1"/>
  <c r="B57" i="17"/>
  <c r="D56" i="4" s="1"/>
  <c r="F36" i="17"/>
  <c r="F38" i="17" s="1"/>
  <c r="B33" i="17"/>
  <c r="D32" i="4" s="1"/>
  <c r="F32" i="4" s="1"/>
  <c r="J32" i="4" s="1"/>
  <c r="F56" i="4" l="1"/>
  <c r="D62" i="4"/>
  <c r="D64" i="4" s="1"/>
  <c r="F65" i="17"/>
  <c r="F68" i="17" s="1"/>
  <c r="B63" i="17"/>
  <c r="D15" i="16"/>
  <c r="E15" i="16" l="1"/>
  <c r="E16" i="16" s="1"/>
  <c r="B65" i="17"/>
  <c r="F69" i="17"/>
  <c r="F62" i="4"/>
  <c r="F64" i="4" s="1"/>
  <c r="J56" i="4"/>
  <c r="J62" i="4" s="1"/>
  <c r="J64" i="4" s="1"/>
  <c r="F15" i="16" l="1"/>
  <c r="E75" i="17" l="1"/>
  <c r="B75" i="17" l="1"/>
  <c r="D74" i="4" s="1"/>
  <c r="E78" i="17"/>
  <c r="E81" i="17" l="1"/>
  <c r="B78" i="17"/>
  <c r="F74" i="4"/>
  <c r="D77" i="4"/>
  <c r="D80" i="4" s="1"/>
  <c r="D82" i="4" s="1"/>
  <c r="D84" i="4" s="1"/>
  <c r="D30" i="4" s="1"/>
  <c r="D35" i="4" s="1"/>
  <c r="D37" i="4" s="1"/>
  <c r="D68" i="4" s="1"/>
  <c r="F77" i="4" l="1"/>
  <c r="F80" i="4" s="1"/>
  <c r="F82" i="4" s="1"/>
  <c r="F84" i="4" s="1"/>
  <c r="F30" i="4" s="1"/>
  <c r="F35" i="4" s="1"/>
  <c r="F37" i="4" s="1"/>
  <c r="J74" i="4"/>
  <c r="B81" i="17"/>
  <c r="E83" i="17"/>
  <c r="E85" i="17" l="1"/>
  <c r="B83" i="17"/>
  <c r="F68" i="4"/>
  <c r="H9" i="4"/>
  <c r="F66" i="4"/>
  <c r="H22" i="4" l="1"/>
  <c r="H29" i="4"/>
  <c r="J29" i="4" s="1"/>
  <c r="H13" i="4"/>
  <c r="J9" i="4"/>
  <c r="J13" i="4" s="1"/>
  <c r="F67" i="4"/>
  <c r="D67" i="4" s="1"/>
  <c r="D66" i="4"/>
  <c r="B85" i="17"/>
  <c r="E31" i="17"/>
  <c r="E36" i="17" l="1"/>
  <c r="B31" i="17"/>
  <c r="H26" i="4"/>
  <c r="H71" i="4" s="1"/>
  <c r="H77" i="4" s="1"/>
  <c r="H80" i="4" s="1"/>
  <c r="H82" i="4" s="1"/>
  <c r="H84" i="4" s="1"/>
  <c r="H30" i="4" s="1"/>
  <c r="H35" i="4" s="1"/>
  <c r="H37" i="4" s="1"/>
  <c r="J22" i="4"/>
  <c r="J26" i="4" s="1"/>
  <c r="J71" i="4" s="1"/>
  <c r="J77" i="4" s="1"/>
  <c r="J80" i="4" s="1"/>
  <c r="J82" i="4" s="1"/>
  <c r="J84" i="4" s="1"/>
  <c r="J30" i="4" s="1"/>
  <c r="J35" i="4" s="1"/>
  <c r="J37" i="4" s="1"/>
  <c r="J66" i="4" s="1"/>
  <c r="J67" i="4" l="1"/>
  <c r="H67" i="4" s="1"/>
  <c r="H66" i="4"/>
  <c r="E38" i="17"/>
  <c r="B36" i="17"/>
  <c r="D14" i="16" l="1"/>
  <c r="E69" i="17"/>
  <c r="B69" i="17" s="1"/>
  <c r="E68" i="17"/>
  <c r="B38" i="17"/>
  <c r="B68" i="17" s="1"/>
  <c r="F14" i="16" l="1"/>
  <c r="F16" i="16" s="1"/>
  <c r="D16" i="16"/>
</calcChain>
</file>

<file path=xl/sharedStrings.xml><?xml version="1.0" encoding="utf-8"?>
<sst xmlns="http://schemas.openxmlformats.org/spreadsheetml/2006/main" count="204" uniqueCount="131">
  <si>
    <t xml:space="preserve">Capital Structure </t>
  </si>
  <si>
    <t>Embedded Cost</t>
  </si>
  <si>
    <t>Weighted Cost</t>
  </si>
  <si>
    <t>DEBT%</t>
  </si>
  <si>
    <t>PREFERRED %</t>
  </si>
  <si>
    <t>COMMON %</t>
  </si>
  <si>
    <t>PacifiCorp</t>
  </si>
  <si>
    <t>Estimated Price Change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</si>
  <si>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</si>
  <si>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</si>
  <si>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</si>
  <si>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</si>
  <si>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</si>
  <si>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</si>
  <si>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</si>
  <si>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</si>
  <si>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</si>
  <si>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</si>
  <si>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</si>
  <si>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</si>
  <si>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</si>
  <si>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</si>
  <si>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</si>
  <si>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</si>
  <si>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</si>
  <si>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</si>
  <si>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</si>
  <si>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</si>
  <si>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</si>
  <si>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</si>
  <si>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</si>
  <si>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</si>
  <si>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</si>
  <si>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</si>
  <si>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</si>
  <si>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</si>
  <si>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</si>
  <si>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</si>
  <si>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</si>
  <si>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</si>
  <si>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</si>
  <si>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</si>
  <si>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</si>
  <si>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</si>
  <si>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</si>
  <si>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</si>
  <si>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</si>
  <si>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</si>
  <si>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</si>
  <si>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</si>
  <si>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</si>
  <si>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</si>
  <si>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</si>
  <si>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</si>
  <si>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</si>
  <si>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</si>
  <si>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</si>
  <si>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</si>
  <si>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</si>
  <si>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</si>
  <si>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</si>
  <si>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</si>
  <si>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</si>
  <si>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</si>
  <si>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</si>
  <si>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</si>
  <si>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</si>
  <si>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</si>
  <si>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</si>
  <si>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</si>
  <si>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</si>
  <si>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Total Normalized Results</t>
  </si>
  <si>
    <t>(1)</t>
  </si>
  <si>
    <t>(2)</t>
  </si>
  <si>
    <t>(3)</t>
  </si>
  <si>
    <t>(4)</t>
  </si>
  <si>
    <t>(5)</t>
  </si>
  <si>
    <t>(1) + (2)</t>
  </si>
  <si>
    <t>(3) + (4)</t>
  </si>
  <si>
    <t>Federal Income Taxes Before Credits</t>
  </si>
  <si>
    <t>Energy Tax Credits</t>
  </si>
  <si>
    <t>Federal Income Taxes</t>
  </si>
  <si>
    <t>Price Change</t>
  </si>
  <si>
    <t>Results with Price Change</t>
  </si>
  <si>
    <t>WUTC Regulatory Fee</t>
  </si>
  <si>
    <t>Operating Deductions</t>
  </si>
  <si>
    <t>Uncollectable Accounts</t>
  </si>
  <si>
    <t>Taxes Other - Resource Supplier</t>
  </si>
  <si>
    <t>Taxes Other - Gross Receipts</t>
  </si>
  <si>
    <t>Sub-Total</t>
  </si>
  <si>
    <t>Net Operating Income</t>
  </si>
  <si>
    <t>Net to Gross Bump-up Factor</t>
  </si>
  <si>
    <t>State Taxes</t>
  </si>
  <si>
    <t>Capital Structure and Cost</t>
  </si>
  <si>
    <t>Estimated Return on Equity Impact</t>
  </si>
  <si>
    <t>NOI</t>
  </si>
  <si>
    <t>Rate Base</t>
  </si>
  <si>
    <t>Rev. Req.</t>
  </si>
  <si>
    <t xml:space="preserve">Notes: </t>
  </si>
  <si>
    <t>Total Adjusted Results</t>
  </si>
  <si>
    <t>Adj. No.</t>
  </si>
  <si>
    <t>Line No.</t>
  </si>
  <si>
    <t>A</t>
  </si>
  <si>
    <t>B</t>
  </si>
  <si>
    <t>Pro Forma Adjustments</t>
  </si>
  <si>
    <t>WUTC Public Utility Tax</t>
  </si>
  <si>
    <t>Total Pro Forma Adjustments</t>
  </si>
  <si>
    <t>Federal Income Tax @ 21.00%</t>
  </si>
  <si>
    <t>(From UE-191024 Settlement JAM/RAM - Results Tab)</t>
  </si>
  <si>
    <t>1</t>
  </si>
  <si>
    <t>2</t>
  </si>
  <si>
    <t>WIJAM Transmission Transition Adj</t>
  </si>
  <si>
    <t>Interest True Up</t>
  </si>
  <si>
    <t>Remove Deferred State Tax Expense &amp; Balance</t>
  </si>
  <si>
    <t>3</t>
  </si>
  <si>
    <t>4</t>
  </si>
  <si>
    <t>Removed Deferred State Tax Expense &amp; Balance</t>
  </si>
  <si>
    <t>Summary of Pro Forma Adjustments</t>
  </si>
  <si>
    <t>Revenue Requirement Adjustment Summary</t>
  </si>
  <si>
    <t>C</t>
  </si>
  <si>
    <t>D</t>
  </si>
  <si>
    <t>E</t>
  </si>
  <si>
    <t>(1) The revenue requirement column is calculated using the Company's approved return on rate base of 7.17% and the NOI</t>
  </si>
  <si>
    <t>Wind &amp; Transmission Capital True-Up</t>
  </si>
  <si>
    <t>Interest 
True-Up</t>
  </si>
  <si>
    <t>Variables - Washington General Rate Case UE-191024</t>
  </si>
  <si>
    <t>Results of Operations</t>
  </si>
  <si>
    <t>Washington Limited-Issue Rate Filing</t>
  </si>
  <si>
    <t>The table below presents the Company's pro forma ratemaking adjustments and their impact on net operating income (NOI), rate base, and the Washington revenue requirement.</t>
  </si>
  <si>
    <t>Settlement Amount 2021 GRC UE-191024</t>
  </si>
  <si>
    <t>conversion factor of 75.315%. The development of these percentages can be found on Page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</si>
</sst>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65">
    <xf numFmtId="0" fontId="0" fillId="0" borderId="0" xfId="0"/>
    <xf numFmtId="164" fontId="4" fillId="0" borderId="0" xfId="1" applyNumberFormat="1" applyFont="1" applyAlignment="1">
      <alignment horizontal="left"/>
    </xf>
    <xf numFmtId="164" fontId="2" fillId="0" borderId="0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Fill="1" applyBorder="1" applyProtection="1">
      <protection locked="0"/>
    </xf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165" fontId="2" fillId="0" borderId="9" xfId="2" applyNumberFormat="1" applyFont="1" applyFill="1" applyBorder="1" applyAlignment="1">
      <alignment vertical="center"/>
    </xf>
    <xf numFmtId="165" fontId="2" fillId="0" borderId="10" xfId="2" applyNumberFormat="1" applyFont="1" applyFill="1" applyBorder="1" applyAlignment="1">
      <alignment vertical="center"/>
    </xf>
    <xf numFmtId="165" fontId="2" fillId="0" borderId="22" xfId="2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165" fontId="2" fillId="0" borderId="0" xfId="2" applyNumberFormat="1" applyFont="1" applyBorder="1" applyAlignment="1">
      <alignment vertical="center"/>
    </xf>
    <xf numFmtId="164" fontId="4" fillId="0" borderId="0" xfId="1" quotePrefix="1" applyNumberFormat="1" applyFont="1" applyBorder="1" applyAlignment="1">
      <alignment horizontal="left" vertical="center"/>
    </xf>
    <xf numFmtId="10" fontId="2" fillId="0" borderId="0" xfId="2" applyNumberFormat="1" applyFont="1" applyBorder="1" applyAlignment="1">
      <alignment vertical="center"/>
    </xf>
    <xf numFmtId="0" fontId="4" fillId="0" borderId="0" xfId="0" applyFont="1"/>
    <xf numFmtId="0" fontId="4" fillId="0" borderId="2" xfId="0" applyFont="1" applyBorder="1"/>
    <xf numFmtId="164" fontId="2" fillId="0" borderId="9" xfId="1" applyNumberFormat="1" applyFont="1" applyFill="1" applyBorder="1" applyProtection="1">
      <protection locked="0"/>
    </xf>
    <xf numFmtId="164" fontId="2" fillId="0" borderId="9" xfId="1" quotePrefix="1" applyNumberFormat="1" applyFont="1" applyFill="1" applyBorder="1" applyAlignment="1" applyProtection="1">
      <alignment horizontal="left"/>
      <protection locked="0"/>
    </xf>
    <xf numFmtId="164" fontId="2" fillId="0" borderId="9" xfId="1" applyNumberFormat="1" applyFont="1" applyFill="1" applyBorder="1" applyAlignment="1" applyProtection="1">
      <alignment horizontal="left"/>
      <protection locked="0"/>
    </xf>
    <xf numFmtId="164" fontId="2" fillId="0" borderId="11" xfId="1" applyNumberFormat="1" applyFont="1" applyFill="1" applyBorder="1" applyProtection="1">
      <protection locked="0"/>
    </xf>
    <xf numFmtId="164" fontId="2" fillId="0" borderId="13" xfId="1" applyNumberFormat="1" applyFont="1" applyFill="1" applyBorder="1" applyAlignment="1" applyProtection="1">
      <alignment horizontal="left"/>
      <protection locked="0"/>
    </xf>
    <xf numFmtId="164" fontId="2" fillId="0" borderId="15" xfId="1" applyNumberFormat="1" applyFont="1" applyFill="1" applyBorder="1" applyAlignment="1"/>
    <xf numFmtId="164" fontId="2" fillId="0" borderId="11" xfId="1" quotePrefix="1" applyNumberFormat="1" applyFont="1" applyFill="1" applyBorder="1" applyAlignment="1" applyProtection="1">
      <alignment horizontal="left"/>
      <protection locked="0"/>
    </xf>
    <xf numFmtId="164" fontId="2" fillId="0" borderId="15" xfId="1" applyNumberFormat="1" applyFont="1" applyFill="1" applyBorder="1" applyAlignment="1">
      <alignment vertical="center"/>
    </xf>
    <xf numFmtId="164" fontId="2" fillId="0" borderId="9" xfId="0" applyNumberFormat="1" applyFont="1" applyFill="1" applyBorder="1"/>
    <xf numFmtId="164" fontId="2" fillId="0" borderId="9" xfId="1" applyNumberFormat="1" applyFont="1" applyFill="1" applyBorder="1"/>
    <xf numFmtId="165" fontId="2" fillId="0" borderId="0" xfId="2" applyNumberFormat="1" applyFont="1"/>
    <xf numFmtId="165" fontId="2" fillId="0" borderId="2" xfId="2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quotePrefix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2" xfId="0" applyFont="1" applyBorder="1"/>
    <xf numFmtId="165" fontId="2" fillId="0" borderId="0" xfId="2" quotePrefix="1" applyNumberFormat="1" applyFont="1"/>
    <xf numFmtId="10" fontId="2" fillId="0" borderId="0" xfId="2" applyNumberFormat="1" applyFont="1"/>
    <xf numFmtId="165" fontId="2" fillId="0" borderId="3" xfId="2" quotePrefix="1" applyNumberFormat="1" applyFont="1" applyBorder="1"/>
    <xf numFmtId="165" fontId="2" fillId="0" borderId="0" xfId="2" quotePrefix="1" applyNumberFormat="1" applyFont="1" applyBorder="1"/>
    <xf numFmtId="0" fontId="2" fillId="0" borderId="0" xfId="0" quotePrefix="1" applyFont="1" applyAlignment="1">
      <alignment horizontal="left"/>
    </xf>
    <xf numFmtId="164" fontId="2" fillId="0" borderId="10" xfId="1" quotePrefix="1" applyNumberFormat="1" applyFont="1" applyFill="1" applyBorder="1" applyAlignment="1" applyProtection="1">
      <alignment horizontal="center"/>
      <protection locked="0"/>
    </xf>
    <xf numFmtId="164" fontId="2" fillId="0" borderId="22" xfId="1" quotePrefix="1" applyNumberFormat="1" applyFont="1" applyFill="1" applyBorder="1" applyAlignment="1" applyProtection="1">
      <alignment horizontal="center"/>
      <protection locked="0"/>
    </xf>
    <xf numFmtId="164" fontId="2" fillId="0" borderId="9" xfId="1" quotePrefix="1" applyNumberFormat="1" applyFont="1" applyFill="1" applyBorder="1" applyAlignment="1" applyProtection="1">
      <alignment horizontal="center"/>
      <protection locked="0"/>
    </xf>
    <xf numFmtId="164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0" xfId="1" applyNumberFormat="1" applyFont="1" applyFill="1" applyBorder="1" applyProtection="1">
      <protection locked="0"/>
    </xf>
    <xf numFmtId="164" fontId="2" fillId="0" borderId="22" xfId="1" applyNumberFormat="1" applyFont="1" applyFill="1" applyBorder="1" applyProtection="1">
      <protection locked="0"/>
    </xf>
    <xf numFmtId="164" fontId="2" fillId="0" borderId="10" xfId="1" quotePrefix="1" applyNumberFormat="1" applyFont="1" applyFill="1" applyBorder="1" applyAlignment="1" applyProtection="1">
      <alignment horizontal="left"/>
      <protection locked="0"/>
    </xf>
    <xf numFmtId="164" fontId="2" fillId="0" borderId="10" xfId="1" applyNumberFormat="1" applyFont="1" applyFill="1" applyBorder="1" applyAlignment="1" applyProtection="1">
      <alignment horizontal="left"/>
      <protection locked="0"/>
    </xf>
    <xf numFmtId="164" fontId="2" fillId="0" borderId="12" xfId="1" applyNumberFormat="1" applyFont="1" applyFill="1" applyBorder="1" applyProtection="1">
      <protection locked="0"/>
    </xf>
    <xf numFmtId="164" fontId="2" fillId="0" borderId="10" xfId="1" applyNumberFormat="1" applyFont="1" applyFill="1" applyBorder="1"/>
    <xf numFmtId="164" fontId="2" fillId="0" borderId="14" xfId="1" applyNumberFormat="1" applyFont="1" applyFill="1" applyBorder="1" applyAlignment="1" applyProtection="1">
      <alignment horizontal="left"/>
      <protection locked="0"/>
    </xf>
    <xf numFmtId="164" fontId="2" fillId="0" borderId="22" xfId="1" quotePrefix="1" applyNumberFormat="1" applyFont="1" applyFill="1" applyBorder="1" applyAlignment="1" applyProtection="1">
      <alignment horizontal="left"/>
      <protection locked="0"/>
    </xf>
    <xf numFmtId="164" fontId="2" fillId="0" borderId="16" xfId="1" applyNumberFormat="1" applyFont="1" applyFill="1" applyBorder="1" applyAlignment="1"/>
    <xf numFmtId="164" fontId="2" fillId="0" borderId="12" xfId="1" quotePrefix="1" applyNumberFormat="1" applyFont="1" applyFill="1" applyBorder="1" applyAlignment="1" applyProtection="1">
      <alignment horizontal="left"/>
      <protection locked="0"/>
    </xf>
    <xf numFmtId="164" fontId="2" fillId="0" borderId="14" xfId="1" quotePrefix="1" applyNumberFormat="1" applyFont="1" applyFill="1" applyBorder="1" applyAlignment="1" applyProtection="1">
      <alignment horizontal="left"/>
      <protection locked="0"/>
    </xf>
    <xf numFmtId="164" fontId="2" fillId="0" borderId="18" xfId="1" applyNumberFormat="1" applyFont="1" applyFill="1" applyBorder="1" applyProtection="1">
      <protection locked="0"/>
    </xf>
    <xf numFmtId="164" fontId="2" fillId="0" borderId="17" xfId="1" applyNumberFormat="1" applyFont="1" applyFill="1" applyBorder="1" applyProtection="1">
      <protection locked="0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/>
    <xf numFmtId="164" fontId="4" fillId="0" borderId="0" xfId="1" applyNumberFormat="1" applyFont="1" applyFill="1" applyAlignment="1">
      <alignment vertical="center"/>
    </xf>
    <xf numFmtId="164" fontId="2" fillId="0" borderId="22" xfId="1" applyNumberFormat="1" applyFont="1" applyFill="1" applyBorder="1" applyAlignment="1" applyProtection="1">
      <alignment horizontal="center"/>
      <protection locked="0"/>
    </xf>
    <xf numFmtId="164" fontId="2" fillId="0" borderId="23" xfId="1" applyNumberFormat="1" applyFont="1" applyFill="1" applyBorder="1" applyProtection="1">
      <protection locked="0"/>
    </xf>
    <xf numFmtId="164" fontId="2" fillId="0" borderId="25" xfId="1" applyNumberFormat="1" applyFont="1" applyFill="1" applyBorder="1" applyProtection="1">
      <protection locked="0"/>
    </xf>
    <xf numFmtId="164" fontId="2" fillId="0" borderId="24" xfId="1" applyNumberFormat="1" applyFont="1" applyFill="1" applyBorder="1" applyAlignment="1"/>
    <xf numFmtId="164" fontId="2" fillId="0" borderId="23" xfId="1" quotePrefix="1" applyNumberFormat="1" applyFont="1" applyFill="1" applyBorder="1" applyAlignment="1" applyProtection="1">
      <alignment horizontal="left"/>
      <protection locked="0"/>
    </xf>
    <xf numFmtId="164" fontId="2" fillId="0" borderId="24" xfId="1" applyNumberFormat="1" applyFont="1" applyFill="1" applyBorder="1" applyAlignment="1">
      <alignment vertical="center"/>
    </xf>
    <xf numFmtId="164" fontId="2" fillId="0" borderId="16" xfId="1" applyNumberFormat="1" applyFont="1" applyFill="1" applyBorder="1" applyAlignment="1">
      <alignment vertical="center"/>
    </xf>
    <xf numFmtId="164" fontId="2" fillId="0" borderId="22" xfId="0" applyNumberFormat="1" applyFont="1" applyFill="1" applyBorder="1"/>
    <xf numFmtId="164" fontId="2" fillId="0" borderId="10" xfId="0" applyNumberFormat="1" applyFont="1" applyFill="1" applyBorder="1"/>
    <xf numFmtId="164" fontId="2" fillId="0" borderId="25" xfId="1" applyNumberFormat="1" applyFont="1" applyFill="1" applyBorder="1" applyAlignment="1">
      <alignment vertical="center"/>
    </xf>
    <xf numFmtId="164" fontId="2" fillId="0" borderId="22" xfId="1" applyNumberFormat="1" applyFont="1" applyFill="1" applyBorder="1"/>
    <xf numFmtId="164" fontId="2" fillId="0" borderId="26" xfId="1" applyNumberFormat="1" applyFont="1" applyFill="1" applyBorder="1"/>
    <xf numFmtId="0" fontId="2" fillId="0" borderId="0" xfId="0" applyFont="1" applyFill="1" applyBorder="1"/>
    <xf numFmtId="164" fontId="4" fillId="0" borderId="0" xfId="1" quotePrefix="1" applyNumberFormat="1" applyFont="1" applyFill="1" applyBorder="1" applyAlignment="1">
      <alignment horizontal="left" vertical="center"/>
    </xf>
    <xf numFmtId="164" fontId="2" fillId="0" borderId="9" xfId="1" applyNumberFormat="1" applyFont="1" applyFill="1" applyBorder="1" applyAlignment="1">
      <alignment vertical="center"/>
    </xf>
    <xf numFmtId="164" fontId="2" fillId="0" borderId="10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5" fontId="2" fillId="0" borderId="6" xfId="2" applyNumberFormat="1" applyFont="1" applyFill="1" applyBorder="1"/>
    <xf numFmtId="165" fontId="2" fillId="0" borderId="2" xfId="2" applyNumberFormat="1" applyFont="1" applyFill="1" applyBorder="1"/>
    <xf numFmtId="165" fontId="2" fillId="0" borderId="0" xfId="2" applyNumberFormat="1" applyFont="1" applyFill="1"/>
    <xf numFmtId="164" fontId="2" fillId="0" borderId="2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vertical="center"/>
    </xf>
    <xf numFmtId="10" fontId="2" fillId="0" borderId="5" xfId="2" applyNumberFormat="1" applyFont="1" applyBorder="1"/>
    <xf numFmtId="10" fontId="2" fillId="0" borderId="6" xfId="2" applyNumberFormat="1" applyFont="1" applyBorder="1"/>
    <xf numFmtId="10" fontId="2" fillId="0" borderId="7" xfId="0" applyNumberFormat="1" applyFont="1" applyBorder="1"/>
    <xf numFmtId="164" fontId="4" fillId="0" borderId="27" xfId="1" applyNumberFormat="1" applyFont="1" applyFill="1" applyBorder="1" applyAlignment="1">
      <alignment horizontal="center"/>
    </xf>
    <xf numFmtId="164" fontId="4" fillId="0" borderId="19" xfId="1" applyNumberFormat="1" applyFont="1" applyFill="1" applyBorder="1" applyAlignment="1"/>
    <xf numFmtId="0" fontId="2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quotePrefix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0" xfId="1" quotePrefix="1" applyNumberFormat="1" applyFont="1" applyFill="1" applyBorder="1" applyAlignment="1" applyProtection="1">
      <alignment horizontal="left"/>
      <protection locked="0"/>
    </xf>
    <xf numFmtId="165" fontId="2" fillId="0" borderId="0" xfId="2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164" fontId="4" fillId="0" borderId="20" xfId="1" applyNumberFormat="1" applyFont="1" applyFill="1" applyBorder="1" applyAlignment="1"/>
    <xf numFmtId="164" fontId="2" fillId="0" borderId="1" xfId="1" applyNumberFormat="1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/>
    <xf numFmtId="164" fontId="2" fillId="0" borderId="1" xfId="1" quotePrefix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>
      <alignment vertical="center"/>
    </xf>
    <xf numFmtId="164" fontId="2" fillId="0" borderId="2" xfId="1" quotePrefix="1" applyNumberFormat="1" applyFont="1" applyFill="1" applyBorder="1" applyAlignment="1" applyProtection="1">
      <alignment horizontal="left"/>
      <protection locked="0"/>
    </xf>
    <xf numFmtId="164" fontId="2" fillId="0" borderId="28" xfId="1" applyNumberFormat="1" applyFont="1" applyFill="1" applyBorder="1" applyProtection="1">
      <protection locked="0"/>
    </xf>
    <xf numFmtId="164" fontId="4" fillId="0" borderId="20" xfId="1" applyNumberFormat="1" applyFont="1" applyFill="1" applyBorder="1"/>
    <xf numFmtId="164" fontId="4" fillId="0" borderId="21" xfId="1" applyNumberFormat="1" applyFont="1" applyFill="1" applyBorder="1"/>
    <xf numFmtId="0" fontId="2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164" fontId="7" fillId="0" borderId="0" xfId="1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164" fontId="4" fillId="0" borderId="1" xfId="0" applyNumberFormat="1" applyFont="1" applyBorder="1"/>
    <xf numFmtId="164" fontId="4" fillId="0" borderId="1" xfId="0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0" fontId="2" fillId="2" borderId="0" xfId="0" applyFont="1" applyFill="1"/>
    <xf numFmtId="0" fontId="7" fillId="2" borderId="0" xfId="0" applyFont="1" applyFill="1"/>
    <xf numFmtId="0" fontId="2" fillId="0" borderId="0" xfId="0" applyFont="1" applyFill="1" applyAlignment="1">
      <alignment horizontal="right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top"/>
    </xf>
    <xf numFmtId="164" fontId="8" fillId="0" borderId="9" xfId="1" quotePrefix="1" applyNumberFormat="1" applyFont="1" applyFill="1" applyBorder="1" applyAlignment="1" applyProtection="1">
      <alignment horizontal="left"/>
      <protection locked="0"/>
    </xf>
    <xf numFmtId="164" fontId="8" fillId="0" borderId="13" xfId="1" quotePrefix="1" applyNumberFormat="1" applyFont="1" applyFill="1" applyBorder="1" applyAlignment="1" applyProtection="1">
      <alignment horizontal="left"/>
      <protection locked="0"/>
    </xf>
    <xf numFmtId="164" fontId="8" fillId="0" borderId="9" xfId="1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7" fillId="0" borderId="0" xfId="1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8" fillId="0" borderId="10" xfId="0" applyNumberFormat="1" applyFont="1" applyFill="1" applyBorder="1"/>
    <xf numFmtId="0" fontId="2" fillId="0" borderId="0" xfId="0" applyFont="1" applyFill="1" applyAlignment="1">
      <alignment horizontal="left" vertical="top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Percent" xfId="2" builtinId="5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J_1%20-%20Wind%20&amp;%20Transmission%20Capital%20True-Up_REDA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DJ_2%20-%20WIJAM%20Transmission%20Transition%20Adj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DJ_4%20-%20Remove%20Def%20State%20Tax%20Exp%20&amp;%20B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DJ_3%20-%20Interest%20True-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ADJ_1"/>
      <sheetName val="Page ADJ_1.1"/>
      <sheetName val="Page ADJ_1.2"/>
      <sheetName val="Page ADJ_1.3"/>
      <sheetName val="Page ADJ_1.4R"/>
    </sheetNames>
    <sheetDataSet>
      <sheetData sheetId="0">
        <row r="9">
          <cell r="I9">
            <v>-1312273.158481881</v>
          </cell>
        </row>
        <row r="10">
          <cell r="I10">
            <v>-15691.764600087747</v>
          </cell>
        </row>
        <row r="11">
          <cell r="I11">
            <v>-2672403.4017592766</v>
          </cell>
        </row>
        <row r="14">
          <cell r="I14">
            <v>-63462.559197819835</v>
          </cell>
        </row>
        <row r="15">
          <cell r="I15">
            <v>-758.86604356320345</v>
          </cell>
        </row>
        <row r="16">
          <cell r="I16">
            <v>-45783.81339535788</v>
          </cell>
        </row>
        <row r="19">
          <cell r="I19">
            <v>803059.40824978286</v>
          </cell>
        </row>
        <row r="20">
          <cell r="I20">
            <v>15691.764600087747</v>
          </cell>
        </row>
        <row r="21">
          <cell r="I21">
            <v>-53187.789862516947</v>
          </cell>
        </row>
        <row r="25">
          <cell r="I25">
            <v>-491934.9808539743</v>
          </cell>
        </row>
        <row r="26">
          <cell r="I26">
            <v>-3941040.1813138328</v>
          </cell>
        </row>
        <row r="27">
          <cell r="I27">
            <v>-7245.9707554445467</v>
          </cell>
        </row>
        <row r="28">
          <cell r="I28">
            <v>-848017.78673812351</v>
          </cell>
        </row>
        <row r="29">
          <cell r="I29">
            <v>7239134.8676564507</v>
          </cell>
        </row>
        <row r="31">
          <cell r="I31">
            <v>-758.86604356320345</v>
          </cell>
        </row>
        <row r="32">
          <cell r="I32">
            <v>186.60727790391874</v>
          </cell>
        </row>
        <row r="33">
          <cell r="I33">
            <v>-186.60727790391874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ADJ_2"/>
      <sheetName val="Page ADJ_2.1"/>
      <sheetName val="Page ADJ_2.2"/>
    </sheetNames>
    <sheetDataSet>
      <sheetData sheetId="0">
        <row r="13">
          <cell r="I13">
            <v>-10569908.507270671</v>
          </cell>
        </row>
        <row r="18">
          <cell r="I18">
            <v>2967857.2767987223</v>
          </cell>
        </row>
        <row r="23">
          <cell r="I23">
            <v>-178830.40223213524</v>
          </cell>
        </row>
        <row r="28">
          <cell r="I28">
            <v>-1211.6178689428841</v>
          </cell>
        </row>
        <row r="35">
          <cell r="I35">
            <v>1440403.1989577662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1">
          <cell r="I41">
            <v>68058.261217660445</v>
          </cell>
        </row>
        <row r="42">
          <cell r="I42">
            <v>-16733.112982775518</v>
          </cell>
        </row>
        <row r="43">
          <cell r="I43">
            <v>16733.112982775518</v>
          </cell>
        </row>
        <row r="45">
          <cell r="I45">
            <v>-246888.66344979568</v>
          </cell>
        </row>
        <row r="46">
          <cell r="I46">
            <v>60701.496270463591</v>
          </cell>
        </row>
        <row r="47">
          <cell r="I47">
            <v>-60701.496270463591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ADJ_4"/>
      <sheetName val="Page ADJ_4.1"/>
    </sheetNames>
    <sheetDataSet>
      <sheetData sheetId="0">
        <row r="10">
          <cell r="I10">
            <v>118322</v>
          </cell>
        </row>
        <row r="12">
          <cell r="I12">
            <v>-1259697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ADJ_3"/>
      <sheetName val="Page ADJ_3.1"/>
    </sheetNames>
    <sheetDataSet>
      <sheetData sheetId="0">
        <row r="10">
          <cell r="I10">
            <v>-86673.662954948843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147"/>
  <sheetViews>
    <sheetView view="pageBreakPreview" topLeftCell="A4" zoomScale="85" zoomScaleNormal="100" zoomScaleSheetLayoutView="85" workbookViewId="0">
      <selection activeCell="D42" sqref="D42"/>
    </sheetView>
  </sheetViews>
  <sheetFormatPr defaultRowHeight="12.75" x14ac:dyDescent="0.2"/>
  <cols>
    <col min="1" max="1" width="40" style="18" customWidth="1"/>
    <col min="2" max="2" width="15.7109375" style="18" customWidth="1"/>
    <col min="3" max="3" width="0.7109375" style="18" customWidth="1"/>
    <col min="4" max="4" width="15.7109375" style="18" customWidth="1"/>
    <col min="5" max="5" width="0.7109375" style="18" customWidth="1"/>
    <col min="6" max="6" width="15.7109375" style="18" customWidth="1"/>
    <col min="7" max="7" width="0.7109375" style="18" customWidth="1"/>
    <col min="8" max="8" width="15.7109375" style="18" customWidth="1"/>
    <col min="9" max="9" width="0.7109375" style="18" customWidth="1"/>
    <col min="10" max="10" width="15.85546875" style="18" customWidth="1"/>
    <col min="11" max="16384" width="9.140625" style="18"/>
  </cols>
  <sheetData>
    <row r="1" spans="1:10" x14ac:dyDescent="0.2">
      <c r="A1" s="4" t="s">
        <v>6</v>
      </c>
    </row>
    <row r="2" spans="1:10" x14ac:dyDescent="0.2">
      <c r="A2" s="1" t="s">
        <v>127</v>
      </c>
    </row>
    <row r="3" spans="1:10" x14ac:dyDescent="0.2">
      <c r="A3" s="1" t="s">
        <v>126</v>
      </c>
    </row>
    <row r="4" spans="1:10" x14ac:dyDescent="0.2">
      <c r="A4" s="1"/>
    </row>
    <row r="5" spans="1:10" x14ac:dyDescent="0.2">
      <c r="A5" s="1"/>
      <c r="B5" s="38" t="s">
        <v>72</v>
      </c>
      <c r="C5" s="39"/>
      <c r="D5" s="38" t="s">
        <v>73</v>
      </c>
      <c r="E5" s="39"/>
      <c r="F5" s="38" t="s">
        <v>74</v>
      </c>
      <c r="G5" s="39"/>
      <c r="H5" s="38" t="s">
        <v>75</v>
      </c>
      <c r="I5" s="39"/>
      <c r="J5" s="38" t="s">
        <v>76</v>
      </c>
    </row>
    <row r="6" spans="1:10" x14ac:dyDescent="0.2">
      <c r="A6" s="1"/>
      <c r="B6" s="126" t="s">
        <v>108</v>
      </c>
      <c r="D6" s="45"/>
      <c r="F6" s="46" t="s">
        <v>77</v>
      </c>
      <c r="H6" s="46"/>
      <c r="J6" s="46" t="s">
        <v>78</v>
      </c>
    </row>
    <row r="7" spans="1:10" ht="43.5" customHeight="1" x14ac:dyDescent="0.2">
      <c r="A7" s="19"/>
      <c r="B7" s="37" t="s">
        <v>83</v>
      </c>
      <c r="C7" s="37"/>
      <c r="D7" s="100" t="s">
        <v>104</v>
      </c>
      <c r="E7" s="37"/>
      <c r="F7" s="37" t="s">
        <v>71</v>
      </c>
      <c r="G7" s="37"/>
      <c r="H7" s="37" t="s">
        <v>82</v>
      </c>
      <c r="I7" s="37"/>
      <c r="J7" s="37" t="s">
        <v>83</v>
      </c>
    </row>
    <row r="8" spans="1:10" x14ac:dyDescent="0.2">
      <c r="A8" s="10" t="s">
        <v>9</v>
      </c>
      <c r="B8" s="8"/>
      <c r="D8" s="8"/>
      <c r="F8" s="8"/>
      <c r="H8" s="8"/>
      <c r="J8" s="8"/>
    </row>
    <row r="9" spans="1:10" x14ac:dyDescent="0.2">
      <c r="A9" s="10" t="s">
        <v>10</v>
      </c>
      <c r="B9" s="12">
        <v>366359248.40368605</v>
      </c>
      <c r="D9" s="8">
        <f>Adjustments!B10</f>
        <v>0</v>
      </c>
      <c r="F9" s="8">
        <f>B9+D9</f>
        <v>366359248.40368605</v>
      </c>
      <c r="H9" s="8">
        <f>-(F37-(F64*Overall_ROR))/gross_up_factor</f>
        <v>-616596.92460877448</v>
      </c>
      <c r="J9" s="8">
        <f>F9+H9</f>
        <v>365742651.47907728</v>
      </c>
    </row>
    <row r="10" spans="1:10" x14ac:dyDescent="0.2">
      <c r="A10" s="10" t="s">
        <v>11</v>
      </c>
      <c r="B10" s="12">
        <v>0</v>
      </c>
      <c r="D10" s="8">
        <f>Adjustments!B11</f>
        <v>0</v>
      </c>
      <c r="F10" s="8">
        <f>B10+D10</f>
        <v>0</v>
      </c>
      <c r="H10" s="8"/>
      <c r="J10" s="8">
        <f t="shared" ref="J10:J12" si="0">F10+H10</f>
        <v>0</v>
      </c>
    </row>
    <row r="11" spans="1:10" x14ac:dyDescent="0.2">
      <c r="A11" s="10" t="s">
        <v>12</v>
      </c>
      <c r="B11" s="12">
        <v>2218213.8014192116</v>
      </c>
      <c r="D11" s="8">
        <f>Adjustments!B12</f>
        <v>0</v>
      </c>
      <c r="F11" s="8">
        <f>B11+D11</f>
        <v>2218213.8014192116</v>
      </c>
      <c r="H11" s="8"/>
      <c r="J11" s="8">
        <f t="shared" si="0"/>
        <v>2218213.8014192116</v>
      </c>
    </row>
    <row r="12" spans="1:10" x14ac:dyDescent="0.2">
      <c r="A12" s="10" t="s">
        <v>13</v>
      </c>
      <c r="B12" s="12">
        <v>13849210.275009101</v>
      </c>
      <c r="D12" s="8">
        <f>Adjustments!B13</f>
        <v>0</v>
      </c>
      <c r="F12" s="8">
        <f>B12+D12</f>
        <v>13849210.275009101</v>
      </c>
      <c r="H12" s="8"/>
      <c r="J12" s="8">
        <f t="shared" si="0"/>
        <v>13849210.275009101</v>
      </c>
    </row>
    <row r="13" spans="1:10" ht="13.5" thickBot="1" x14ac:dyDescent="0.25">
      <c r="A13" s="10" t="s">
        <v>14</v>
      </c>
      <c r="B13" s="9">
        <f>SUM(B9:B12)</f>
        <v>382426672.48011434</v>
      </c>
      <c r="D13" s="9">
        <f>SUM(D9:D12)</f>
        <v>0</v>
      </c>
      <c r="F13" s="9">
        <f>SUM(F9:F12)</f>
        <v>382426672.48011434</v>
      </c>
      <c r="H13" s="9">
        <f>SUM(H9:H12)</f>
        <v>-616596.92460877448</v>
      </c>
      <c r="J13" s="9">
        <f>SUM(J9:J12)</f>
        <v>381810075.55550557</v>
      </c>
    </row>
    <row r="14" spans="1:10" ht="13.5" thickTop="1" x14ac:dyDescent="0.2">
      <c r="A14" s="10"/>
      <c r="B14" s="8"/>
      <c r="D14" s="8"/>
      <c r="F14" s="8"/>
      <c r="H14" s="8"/>
      <c r="J14" s="8"/>
    </row>
    <row r="15" spans="1:10" x14ac:dyDescent="0.2">
      <c r="A15" s="10" t="s">
        <v>15</v>
      </c>
      <c r="B15" s="8"/>
      <c r="D15" s="8"/>
      <c r="F15" s="8"/>
      <c r="H15" s="8"/>
      <c r="J15" s="8"/>
    </row>
    <row r="16" spans="1:10" x14ac:dyDescent="0.2">
      <c r="A16" s="10" t="s">
        <v>16</v>
      </c>
      <c r="B16" s="12">
        <v>68669129.345882222</v>
      </c>
      <c r="D16" s="8">
        <f>Adjustments!B17</f>
        <v>0</v>
      </c>
      <c r="F16" s="8">
        <f t="shared" ref="F16:F25" si="1">B16+D16</f>
        <v>68669129.345882222</v>
      </c>
      <c r="H16" s="8"/>
      <c r="J16" s="8">
        <f t="shared" ref="J16:J25" si="2">F16+H16</f>
        <v>68669129.345882222</v>
      </c>
    </row>
    <row r="17" spans="1:10" x14ac:dyDescent="0.2">
      <c r="A17" s="10" t="s">
        <v>17</v>
      </c>
      <c r="B17" s="12">
        <v>0</v>
      </c>
      <c r="D17" s="8">
        <f>Adjustments!B18</f>
        <v>0</v>
      </c>
      <c r="F17" s="8">
        <f t="shared" si="1"/>
        <v>0</v>
      </c>
      <c r="H17" s="8"/>
      <c r="J17" s="8">
        <f t="shared" si="2"/>
        <v>0</v>
      </c>
    </row>
    <row r="18" spans="1:10" x14ac:dyDescent="0.2">
      <c r="A18" s="10" t="s">
        <v>18</v>
      </c>
      <c r="B18" s="12">
        <v>3407007.9200268453</v>
      </c>
      <c r="D18" s="8">
        <f>Adjustments!B19</f>
        <v>0</v>
      </c>
      <c r="F18" s="8">
        <f t="shared" si="1"/>
        <v>3407007.9200268453</v>
      </c>
      <c r="H18" s="8"/>
      <c r="J18" s="8">
        <f t="shared" si="2"/>
        <v>3407007.9200268453</v>
      </c>
    </row>
    <row r="19" spans="1:10" x14ac:dyDescent="0.2">
      <c r="A19" s="10" t="s">
        <v>19</v>
      </c>
      <c r="B19" s="12">
        <v>52058272.880133539</v>
      </c>
      <c r="D19" s="8">
        <f>Adjustments!B20</f>
        <v>0</v>
      </c>
      <c r="F19" s="8">
        <f t="shared" si="1"/>
        <v>52058272.880133539</v>
      </c>
      <c r="H19" s="8"/>
      <c r="J19" s="8">
        <f t="shared" si="2"/>
        <v>52058272.880133539</v>
      </c>
    </row>
    <row r="20" spans="1:10" x14ac:dyDescent="0.2">
      <c r="A20" s="10" t="s">
        <v>20</v>
      </c>
      <c r="B20" s="12">
        <v>16427542.398784848</v>
      </c>
      <c r="D20" s="8">
        <f>Adjustments!B21</f>
        <v>0</v>
      </c>
      <c r="F20" s="8">
        <f t="shared" si="1"/>
        <v>16427542.398784848</v>
      </c>
      <c r="H20" s="8"/>
      <c r="J20" s="8">
        <f t="shared" si="2"/>
        <v>16427542.398784848</v>
      </c>
    </row>
    <row r="21" spans="1:10" x14ac:dyDescent="0.2">
      <c r="A21" s="10" t="s">
        <v>21</v>
      </c>
      <c r="B21" s="12">
        <v>12374940.184378542</v>
      </c>
      <c r="D21" s="8">
        <f>Adjustments!B22</f>
        <v>0</v>
      </c>
      <c r="F21" s="8">
        <f t="shared" si="1"/>
        <v>12374940.184378542</v>
      </c>
      <c r="H21" s="8"/>
      <c r="J21" s="8">
        <f t="shared" si="2"/>
        <v>12374940.184378542</v>
      </c>
    </row>
    <row r="22" spans="1:10" x14ac:dyDescent="0.2">
      <c r="A22" s="10" t="s">
        <v>22</v>
      </c>
      <c r="B22" s="12">
        <v>7101912.873423445</v>
      </c>
      <c r="D22" s="8">
        <f>Adjustments!B23</f>
        <v>0</v>
      </c>
      <c r="F22" s="8">
        <f t="shared" si="1"/>
        <v>7101912.873423445</v>
      </c>
      <c r="H22" s="8">
        <f>H9*uncollectible_perc</f>
        <v>-3171.5177173912953</v>
      </c>
      <c r="J22" s="8">
        <f t="shared" si="2"/>
        <v>7098741.3557060538</v>
      </c>
    </row>
    <row r="23" spans="1:10" x14ac:dyDescent="0.2">
      <c r="A23" s="10" t="s">
        <v>23</v>
      </c>
      <c r="B23" s="12">
        <v>1037713.8594706436</v>
      </c>
      <c r="D23" s="8">
        <f>Adjustments!B24</f>
        <v>0</v>
      </c>
      <c r="F23" s="8">
        <f t="shared" si="1"/>
        <v>1037713.8594706436</v>
      </c>
      <c r="H23" s="8"/>
      <c r="J23" s="8">
        <f t="shared" si="2"/>
        <v>1037713.8594706436</v>
      </c>
    </row>
    <row r="24" spans="1:10" x14ac:dyDescent="0.2">
      <c r="A24" s="10" t="s">
        <v>24</v>
      </c>
      <c r="B24" s="12">
        <v>0</v>
      </c>
      <c r="D24" s="8">
        <f>Adjustments!B25</f>
        <v>0</v>
      </c>
      <c r="F24" s="8">
        <f t="shared" si="1"/>
        <v>0</v>
      </c>
      <c r="H24" s="8"/>
      <c r="J24" s="8">
        <f t="shared" si="2"/>
        <v>0</v>
      </c>
    </row>
    <row r="25" spans="1:10" x14ac:dyDescent="0.2">
      <c r="A25" s="10" t="s">
        <v>25</v>
      </c>
      <c r="B25" s="12">
        <v>6531279.6868191902</v>
      </c>
      <c r="D25" s="8">
        <f>Adjustments!B26</f>
        <v>0</v>
      </c>
      <c r="F25" s="8">
        <f t="shared" si="1"/>
        <v>6531279.6868191902</v>
      </c>
      <c r="H25" s="8"/>
      <c r="J25" s="8">
        <f t="shared" si="2"/>
        <v>6531279.6868191902</v>
      </c>
    </row>
    <row r="26" spans="1:10" x14ac:dyDescent="0.2">
      <c r="A26" s="10" t="s">
        <v>26</v>
      </c>
      <c r="B26" s="6">
        <f>SUM(B16:B25)</f>
        <v>167607799.14891928</v>
      </c>
      <c r="D26" s="6">
        <f>SUM(D16:D25)</f>
        <v>0</v>
      </c>
      <c r="F26" s="6">
        <f>SUM(F16:F25)</f>
        <v>167607799.14891928</v>
      </c>
      <c r="H26" s="6">
        <f>SUM(H16:H25)</f>
        <v>-3171.5177173912953</v>
      </c>
      <c r="J26" s="6">
        <f>SUM(J16:J25)</f>
        <v>167604627.63120189</v>
      </c>
    </row>
    <row r="27" spans="1:10" x14ac:dyDescent="0.2">
      <c r="A27" s="10" t="s">
        <v>27</v>
      </c>
      <c r="B27" s="12">
        <v>117309607.36845624</v>
      </c>
      <c r="D27" s="8">
        <f>Adjustments!B28</f>
        <v>-288835.64086887613</v>
      </c>
      <c r="F27" s="8">
        <f>B27+D27</f>
        <v>117020771.72758737</v>
      </c>
      <c r="H27" s="8"/>
      <c r="J27" s="8">
        <f t="shared" ref="J27:J34" si="3">F27+H27</f>
        <v>117020771.72758737</v>
      </c>
    </row>
    <row r="28" spans="1:10" x14ac:dyDescent="0.2">
      <c r="A28" s="10" t="s">
        <v>28</v>
      </c>
      <c r="B28" s="12">
        <v>7134745.3027785588</v>
      </c>
      <c r="D28" s="12">
        <f>Adjustments!B29</f>
        <v>0</v>
      </c>
      <c r="F28" s="8">
        <f>B28+D28</f>
        <v>7134745.3027785588</v>
      </c>
      <c r="H28" s="8"/>
      <c r="J28" s="8">
        <f t="shared" si="3"/>
        <v>7134745.3027785588</v>
      </c>
    </row>
    <row r="29" spans="1:10" x14ac:dyDescent="0.2">
      <c r="A29" s="10" t="s">
        <v>29</v>
      </c>
      <c r="B29" s="12">
        <v>24625697.053818107</v>
      </c>
      <c r="D29" s="12">
        <f>Adjustments!B30</f>
        <v>0</v>
      </c>
      <c r="F29" s="8">
        <f>B29+D29</f>
        <v>24625697.053818107</v>
      </c>
      <c r="H29" s="8">
        <f>H9*(WUTC_reg_fee_perc+WA_rev_tax_perc)</f>
        <v>-25588.772371264142</v>
      </c>
      <c r="J29" s="8">
        <f t="shared" si="3"/>
        <v>24600108.281446844</v>
      </c>
    </row>
    <row r="30" spans="1:10" x14ac:dyDescent="0.2">
      <c r="A30" s="10" t="s">
        <v>30</v>
      </c>
      <c r="B30" s="12">
        <v>3670093.6939849933</v>
      </c>
      <c r="D30" s="12">
        <f>D84</f>
        <v>765455.2995616768</v>
      </c>
      <c r="F30" s="12">
        <f>F84</f>
        <v>4435548.9935466573</v>
      </c>
      <c r="H30" s="12">
        <f>H84</f>
        <v>-123445.69324922499</v>
      </c>
      <c r="I30" s="12">
        <f>I84</f>
        <v>0</v>
      </c>
      <c r="J30" s="12">
        <f>J84</f>
        <v>4312103.3002974316</v>
      </c>
    </row>
    <row r="31" spans="1:10" x14ac:dyDescent="0.2">
      <c r="A31" s="10" t="s">
        <v>31</v>
      </c>
      <c r="B31" s="12">
        <v>0</v>
      </c>
      <c r="D31" s="12">
        <f>D79</f>
        <v>0</v>
      </c>
      <c r="F31" s="8">
        <f>F79</f>
        <v>0</v>
      </c>
      <c r="H31" s="8">
        <f>H79</f>
        <v>0</v>
      </c>
      <c r="J31" s="8">
        <f>J79</f>
        <v>0</v>
      </c>
    </row>
    <row r="32" spans="1:10" x14ac:dyDescent="0.2">
      <c r="A32" s="10" t="s">
        <v>32</v>
      </c>
      <c r="B32" s="12">
        <v>-15901789.281915484</v>
      </c>
      <c r="D32" s="12">
        <f>Adjustments!B33</f>
        <v>-692786.76692797593</v>
      </c>
      <c r="F32" s="8">
        <f>B32+D32</f>
        <v>-16594576.04884346</v>
      </c>
      <c r="H32" s="8"/>
      <c r="J32" s="8">
        <f t="shared" si="3"/>
        <v>-16594576.04884346</v>
      </c>
    </row>
    <row r="33" spans="1:10" x14ac:dyDescent="0.2">
      <c r="A33" s="10" t="s">
        <v>33</v>
      </c>
      <c r="B33" s="12">
        <v>0</v>
      </c>
      <c r="D33" s="12">
        <f>Adjustments!B34</f>
        <v>0</v>
      </c>
      <c r="F33" s="8">
        <f>B33+D33</f>
        <v>0</v>
      </c>
      <c r="H33" s="8"/>
      <c r="J33" s="8">
        <f t="shared" si="3"/>
        <v>0</v>
      </c>
    </row>
    <row r="34" spans="1:10" x14ac:dyDescent="0.2">
      <c r="A34" s="10" t="s">
        <v>34</v>
      </c>
      <c r="B34" s="12">
        <v>65435.101564292796</v>
      </c>
      <c r="D34" s="8">
        <f>Adjustments!B35</f>
        <v>0</v>
      </c>
      <c r="F34" s="8">
        <f>B34+D34</f>
        <v>65435.101564292796</v>
      </c>
      <c r="H34" s="8"/>
      <c r="J34" s="8">
        <f t="shared" si="3"/>
        <v>65435.101564292796</v>
      </c>
    </row>
    <row r="35" spans="1:10" x14ac:dyDescent="0.2">
      <c r="A35" s="10" t="s">
        <v>35</v>
      </c>
      <c r="B35" s="6">
        <f>SUM(B26:B34)</f>
        <v>304511588.38760597</v>
      </c>
      <c r="D35" s="6">
        <f>SUM(D26:D34)</f>
        <v>-216167.10823517526</v>
      </c>
      <c r="F35" s="6">
        <f>SUM(F26:F34)</f>
        <v>304295421.27937084</v>
      </c>
      <c r="H35" s="6">
        <f>SUM(H26:H34)</f>
        <v>-152205.98333788043</v>
      </c>
      <c r="J35" s="6">
        <f>SUM(J26:J34)</f>
        <v>304143215.29603291</v>
      </c>
    </row>
    <row r="36" spans="1:10" x14ac:dyDescent="0.2">
      <c r="A36" s="10"/>
      <c r="B36" s="8"/>
      <c r="D36" s="8"/>
      <c r="F36" s="8"/>
      <c r="H36" s="8"/>
      <c r="J36" s="8"/>
    </row>
    <row r="37" spans="1:10" ht="13.5" thickBot="1" x14ac:dyDescent="0.25">
      <c r="A37" s="10" t="s">
        <v>36</v>
      </c>
      <c r="B37" s="9">
        <f>B13-B35</f>
        <v>77915084.092508376</v>
      </c>
      <c r="D37" s="9">
        <f>D13-D35</f>
        <v>216167.10823517526</v>
      </c>
      <c r="F37" s="99">
        <f>F13-F35</f>
        <v>78131251.200743496</v>
      </c>
      <c r="H37" s="9">
        <f>H13-H35</f>
        <v>-464390.94127089402</v>
      </c>
      <c r="J37" s="9">
        <f>J13-J35</f>
        <v>77666860.259472668</v>
      </c>
    </row>
    <row r="38" spans="1:10" ht="13.5" thickTop="1" x14ac:dyDescent="0.2">
      <c r="A38" s="10"/>
      <c r="B38" s="8"/>
      <c r="D38" s="8"/>
      <c r="F38" s="8"/>
      <c r="H38" s="8"/>
      <c r="J38" s="8"/>
    </row>
    <row r="39" spans="1:10" x14ac:dyDescent="0.2">
      <c r="A39" s="10" t="s">
        <v>37</v>
      </c>
      <c r="B39" s="8"/>
      <c r="D39" s="8"/>
      <c r="F39" s="8"/>
      <c r="H39" s="8"/>
      <c r="J39" s="8"/>
    </row>
    <row r="40" spans="1:10" x14ac:dyDescent="0.2">
      <c r="A40" s="10" t="s">
        <v>38</v>
      </c>
      <c r="B40" s="12">
        <v>2182560253.960989</v>
      </c>
      <c r="D40" s="8">
        <f>Adjustments!B41</f>
        <v>-14570276.832111917</v>
      </c>
      <c r="F40" s="8">
        <f t="shared" ref="F40:F50" si="4">B40+D40</f>
        <v>2167989977.1288772</v>
      </c>
      <c r="H40" s="8"/>
      <c r="J40" s="8">
        <f t="shared" ref="J40:J50" si="5">F40+H40</f>
        <v>2167989977.1288772</v>
      </c>
    </row>
    <row r="41" spans="1:10" x14ac:dyDescent="0.2">
      <c r="A41" s="10" t="s">
        <v>39</v>
      </c>
      <c r="B41" s="12">
        <v>34942.962564657755</v>
      </c>
      <c r="D41" s="8">
        <f>Adjustments!B42</f>
        <v>0</v>
      </c>
      <c r="F41" s="8">
        <f t="shared" si="4"/>
        <v>34942.962564657755</v>
      </c>
      <c r="H41" s="8"/>
      <c r="J41" s="8">
        <f t="shared" si="5"/>
        <v>34942.962564657755</v>
      </c>
    </row>
    <row r="42" spans="1:10" x14ac:dyDescent="0.2">
      <c r="A42" s="10" t="s">
        <v>40</v>
      </c>
      <c r="B42" s="12">
        <v>430572.05631386954</v>
      </c>
      <c r="D42" s="8">
        <f>Adjustments!B43</f>
        <v>0</v>
      </c>
      <c r="F42" s="8">
        <f t="shared" si="4"/>
        <v>430572.05631386954</v>
      </c>
      <c r="H42" s="8"/>
      <c r="J42" s="8">
        <f t="shared" si="5"/>
        <v>430572.05631386954</v>
      </c>
    </row>
    <row r="43" spans="1:10" x14ac:dyDescent="0.2">
      <c r="A43" s="10" t="s">
        <v>41</v>
      </c>
      <c r="B43" s="12">
        <v>0</v>
      </c>
      <c r="D43" s="8">
        <f>Adjustments!B44</f>
        <v>0</v>
      </c>
      <c r="F43" s="8">
        <f t="shared" si="4"/>
        <v>0</v>
      </c>
      <c r="H43" s="8"/>
      <c r="J43" s="8">
        <f t="shared" si="5"/>
        <v>0</v>
      </c>
    </row>
    <row r="44" spans="1:10" x14ac:dyDescent="0.2">
      <c r="A44" s="10" t="s">
        <v>42</v>
      </c>
      <c r="B44" s="12">
        <v>0</v>
      </c>
      <c r="D44" s="8">
        <f>Adjustments!B45</f>
        <v>0</v>
      </c>
      <c r="F44" s="8">
        <f t="shared" si="4"/>
        <v>0</v>
      </c>
      <c r="H44" s="8"/>
      <c r="J44" s="8">
        <f t="shared" si="5"/>
        <v>0</v>
      </c>
    </row>
    <row r="45" spans="1:10" x14ac:dyDescent="0.2">
      <c r="A45" s="10" t="s">
        <v>43</v>
      </c>
      <c r="B45" s="12">
        <v>0</v>
      </c>
      <c r="D45" s="8">
        <f>Adjustments!B46</f>
        <v>0</v>
      </c>
      <c r="F45" s="8">
        <f t="shared" si="4"/>
        <v>0</v>
      </c>
      <c r="H45" s="8"/>
      <c r="J45" s="8">
        <f t="shared" si="5"/>
        <v>0</v>
      </c>
    </row>
    <row r="46" spans="1:10" x14ac:dyDescent="0.2">
      <c r="A46" s="10" t="s">
        <v>44</v>
      </c>
      <c r="B46" s="12">
        <v>0</v>
      </c>
      <c r="D46" s="8">
        <f>Adjustments!B47</f>
        <v>0</v>
      </c>
      <c r="F46" s="8">
        <f t="shared" si="4"/>
        <v>0</v>
      </c>
      <c r="H46" s="8"/>
      <c r="J46" s="8">
        <f t="shared" si="5"/>
        <v>0</v>
      </c>
    </row>
    <row r="47" spans="1:10" x14ac:dyDescent="0.2">
      <c r="A47" s="10" t="s">
        <v>45</v>
      </c>
      <c r="B47" s="12">
        <v>1.1001713573932648E-4</v>
      </c>
      <c r="D47" s="8">
        <f>Adjustments!B48</f>
        <v>0</v>
      </c>
      <c r="F47" s="8">
        <f t="shared" si="4"/>
        <v>1.1001713573932648E-4</v>
      </c>
      <c r="H47" s="8"/>
      <c r="J47" s="8">
        <f t="shared" si="5"/>
        <v>1.1001713573932648E-4</v>
      </c>
    </row>
    <row r="48" spans="1:10" x14ac:dyDescent="0.2">
      <c r="A48" s="10" t="s">
        <v>46</v>
      </c>
      <c r="B48" s="12">
        <v>23459504.952025533</v>
      </c>
      <c r="D48" s="8">
        <f>Adjustments!B49</f>
        <v>0</v>
      </c>
      <c r="F48" s="8">
        <f t="shared" si="4"/>
        <v>23459504.952025533</v>
      </c>
      <c r="H48" s="8"/>
      <c r="J48" s="8">
        <f t="shared" si="5"/>
        <v>23459504.952025533</v>
      </c>
    </row>
    <row r="49" spans="1:10" x14ac:dyDescent="0.2">
      <c r="A49" s="10" t="s">
        <v>47</v>
      </c>
      <c r="B49" s="12">
        <v>5092.6441051398033</v>
      </c>
      <c r="D49" s="8">
        <f>Adjustments!B50</f>
        <v>0</v>
      </c>
      <c r="F49" s="8">
        <f t="shared" si="4"/>
        <v>5092.6441051398033</v>
      </c>
      <c r="H49" s="8"/>
      <c r="J49" s="8">
        <f t="shared" si="5"/>
        <v>5092.6441051398033</v>
      </c>
    </row>
    <row r="50" spans="1:10" x14ac:dyDescent="0.2">
      <c r="A50" s="10" t="s">
        <v>48</v>
      </c>
      <c r="B50" s="12">
        <v>0</v>
      </c>
      <c r="D50" s="8">
        <f>Adjustments!B51</f>
        <v>0</v>
      </c>
      <c r="F50" s="8">
        <f t="shared" si="4"/>
        <v>0</v>
      </c>
      <c r="H50" s="8"/>
      <c r="J50" s="8">
        <f t="shared" si="5"/>
        <v>0</v>
      </c>
    </row>
    <row r="51" spans="1:10" ht="13.5" thickBot="1" x14ac:dyDescent="0.25">
      <c r="A51" s="10" t="s">
        <v>49</v>
      </c>
      <c r="B51" s="9">
        <f>SUM(B40:B50)</f>
        <v>2206490366.576108</v>
      </c>
      <c r="D51" s="9">
        <f>SUM(D40:D50)</f>
        <v>-14570276.832111917</v>
      </c>
      <c r="F51" s="9">
        <f>SUM(F40:F50)</f>
        <v>2191920089.7439961</v>
      </c>
      <c r="H51" s="9">
        <f>SUM(H40:H50)</f>
        <v>0</v>
      </c>
      <c r="J51" s="9">
        <f>SUM(J40:J50)</f>
        <v>2191920089.7439961</v>
      </c>
    </row>
    <row r="52" spans="1:10" ht="13.5" thickTop="1" x14ac:dyDescent="0.2">
      <c r="A52" s="10"/>
      <c r="B52" s="8"/>
      <c r="D52" s="8"/>
      <c r="F52" s="8"/>
      <c r="H52" s="8"/>
      <c r="J52" s="8"/>
    </row>
    <row r="53" spans="1:10" x14ac:dyDescent="0.2">
      <c r="A53" s="10" t="s">
        <v>50</v>
      </c>
      <c r="B53" s="8"/>
      <c r="D53" s="8"/>
      <c r="F53" s="8"/>
      <c r="H53" s="8"/>
      <c r="J53" s="8"/>
    </row>
    <row r="54" spans="1:10" x14ac:dyDescent="0.2">
      <c r="A54" s="10" t="s">
        <v>51</v>
      </c>
      <c r="B54" s="12">
        <v>-764511699.83147621</v>
      </c>
      <c r="D54" s="8">
        <f>Adjustments!B55</f>
        <v>3732209.0419171331</v>
      </c>
      <c r="F54" s="8">
        <f t="shared" ref="F54:F60" si="6">B54+D54</f>
        <v>-760779490.78955913</v>
      </c>
      <c r="H54" s="8"/>
      <c r="J54" s="8">
        <f t="shared" ref="J54:J61" si="7">F54+H54</f>
        <v>-760779490.78955913</v>
      </c>
    </row>
    <row r="55" spans="1:10" x14ac:dyDescent="0.2">
      <c r="A55" s="10" t="s">
        <v>52</v>
      </c>
      <c r="B55" s="12">
        <v>-61873796.613600463</v>
      </c>
      <c r="D55" s="8">
        <f>Adjustments!B56</f>
        <v>0</v>
      </c>
      <c r="F55" s="8">
        <f t="shared" si="6"/>
        <v>-61873796.613600463</v>
      </c>
      <c r="H55" s="8"/>
      <c r="J55" s="8">
        <f t="shared" si="7"/>
        <v>-61873796.613600463</v>
      </c>
    </row>
    <row r="56" spans="1:10" x14ac:dyDescent="0.2">
      <c r="A56" s="10" t="s">
        <v>53</v>
      </c>
      <c r="B56" s="12">
        <v>-236009448.53391173</v>
      </c>
      <c r="D56" s="8">
        <f>Adjustments!B57</f>
        <v>7375686.0760486256</v>
      </c>
      <c r="F56" s="8">
        <f t="shared" si="6"/>
        <v>-228633762.45786312</v>
      </c>
      <c r="H56" s="8"/>
      <c r="J56" s="8">
        <f t="shared" si="7"/>
        <v>-228633762.45786312</v>
      </c>
    </row>
    <row r="57" spans="1:10" x14ac:dyDescent="0.2">
      <c r="A57" s="10" t="s">
        <v>54</v>
      </c>
      <c r="B57" s="12">
        <v>-19597.460327859608</v>
      </c>
      <c r="D57" s="8">
        <f>Adjustments!B58</f>
        <v>0</v>
      </c>
      <c r="F57" s="8">
        <f t="shared" si="6"/>
        <v>-19597.460327859608</v>
      </c>
      <c r="H57" s="8"/>
      <c r="J57" s="8">
        <f t="shared" si="7"/>
        <v>-19597.460327859608</v>
      </c>
    </row>
    <row r="58" spans="1:10" x14ac:dyDescent="0.2">
      <c r="A58" s="10" t="s">
        <v>55</v>
      </c>
      <c r="B58" s="12">
        <v>-2479813.3255259153</v>
      </c>
      <c r="D58" s="8">
        <f>Adjustments!B59</f>
        <v>0</v>
      </c>
      <c r="F58" s="8">
        <f t="shared" si="6"/>
        <v>-2479813.3255259153</v>
      </c>
      <c r="H58" s="8"/>
      <c r="J58" s="8">
        <f t="shared" si="7"/>
        <v>-2479813.3255259153</v>
      </c>
    </row>
    <row r="59" spans="1:10" x14ac:dyDescent="0.2">
      <c r="A59" s="10" t="s">
        <v>56</v>
      </c>
      <c r="B59" s="12">
        <v>-2829106.1541666668</v>
      </c>
      <c r="D59" s="8">
        <f>Adjustments!B60</f>
        <v>0</v>
      </c>
      <c r="F59" s="8">
        <f t="shared" si="6"/>
        <v>-2829106.1541666668</v>
      </c>
      <c r="H59" s="8"/>
      <c r="J59" s="8">
        <f t="shared" si="7"/>
        <v>-2829106.1541666668</v>
      </c>
    </row>
    <row r="60" spans="1:10" x14ac:dyDescent="0.2">
      <c r="A60" s="10" t="s">
        <v>57</v>
      </c>
      <c r="B60" s="12">
        <v>-51955666.231506482</v>
      </c>
      <c r="D60" s="8">
        <f>Adjustments!B61</f>
        <v>0</v>
      </c>
      <c r="F60" s="8">
        <f t="shared" si="6"/>
        <v>-51955666.231506482</v>
      </c>
      <c r="H60" s="8"/>
      <c r="J60" s="8">
        <f t="shared" si="7"/>
        <v>-51955666.231506482</v>
      </c>
    </row>
    <row r="61" spans="1:10" x14ac:dyDescent="0.2">
      <c r="A61" s="10"/>
      <c r="B61" s="8"/>
      <c r="D61" s="8"/>
      <c r="F61" s="8"/>
      <c r="H61" s="8"/>
      <c r="J61" s="8">
        <f t="shared" si="7"/>
        <v>0</v>
      </c>
    </row>
    <row r="62" spans="1:10" ht="13.5" thickBot="1" x14ac:dyDescent="0.25">
      <c r="A62" s="10" t="s">
        <v>58</v>
      </c>
      <c r="B62" s="9">
        <f>SUM(B54:B60)</f>
        <v>-1119679128.1505153</v>
      </c>
      <c r="D62" s="9">
        <f>SUM(D54:D60)</f>
        <v>11107895.117965758</v>
      </c>
      <c r="F62" s="9">
        <f>SUM(F54:F60)</f>
        <v>-1108571233.0325496</v>
      </c>
      <c r="H62" s="9">
        <f>SUM(H54:H60)</f>
        <v>0</v>
      </c>
      <c r="J62" s="9">
        <f>SUM(J54:J60)</f>
        <v>-1108571233.0325496</v>
      </c>
    </row>
    <row r="63" spans="1:10" ht="13.5" thickTop="1" x14ac:dyDescent="0.2">
      <c r="A63" s="10"/>
      <c r="B63" s="8"/>
      <c r="D63" s="8"/>
      <c r="F63" s="8"/>
      <c r="H63" s="8"/>
      <c r="J63" s="8"/>
    </row>
    <row r="64" spans="1:10" ht="13.5" thickBot="1" x14ac:dyDescent="0.25">
      <c r="A64" s="10" t="s">
        <v>59</v>
      </c>
      <c r="B64" s="9">
        <f>B51+B62</f>
        <v>1086811238.4255927</v>
      </c>
      <c r="D64" s="9">
        <f>D51+D62</f>
        <v>-3462381.7141461596</v>
      </c>
      <c r="F64" s="99">
        <f>F51+F62</f>
        <v>1083348856.7114465</v>
      </c>
      <c r="H64" s="9">
        <f>H51+H62</f>
        <v>0</v>
      </c>
      <c r="J64" s="9">
        <f>J51+J62</f>
        <v>1083348856.7114465</v>
      </c>
    </row>
    <row r="65" spans="1:10" ht="13.5" thickTop="1" x14ac:dyDescent="0.2">
      <c r="A65" s="10"/>
      <c r="B65" s="8"/>
      <c r="D65" s="8"/>
      <c r="F65" s="8"/>
      <c r="H65" s="8"/>
      <c r="J65" s="8"/>
    </row>
    <row r="66" spans="1:10" x14ac:dyDescent="0.2">
      <c r="A66" s="10" t="s">
        <v>8</v>
      </c>
      <c r="B66" s="22">
        <f>B37/B64</f>
        <v>7.1691459692098822E-2</v>
      </c>
      <c r="D66" s="22">
        <f>F66-B66</f>
        <v>4.286618335880843E-4</v>
      </c>
      <c r="F66" s="22">
        <f>F37/F64</f>
        <v>7.2120121525686906E-2</v>
      </c>
      <c r="H66" s="22">
        <f>J66-F66</f>
        <v>-4.2866241875262612E-4</v>
      </c>
      <c r="J66" s="22">
        <f>J37/J64</f>
        <v>7.169145910693428E-2</v>
      </c>
    </row>
    <row r="67" spans="1:10" x14ac:dyDescent="0.2">
      <c r="A67" s="10" t="s">
        <v>60</v>
      </c>
      <c r="B67" s="22">
        <f>(B66-Weighted_cost_debt-Weighted_cost_pref)/Percent_common</f>
        <v>9.499999937291001E-2</v>
      </c>
      <c r="D67" s="22">
        <f>F67-B67</f>
        <v>8.7303835761320947E-4</v>
      </c>
      <c r="F67" s="22">
        <f>(F66-Weighted_cost_debt-Weighted_cost_pref)/Percent_common</f>
        <v>9.587303773052322E-2</v>
      </c>
      <c r="H67" s="22">
        <f>J67-F67</f>
        <v>-8.7303773052321842E-4</v>
      </c>
      <c r="J67" s="22">
        <f>ROUND((J66-Weighted_cost_debt-Weighted_cost_pref)/Percent_common,3)</f>
        <v>9.5000000000000001E-2</v>
      </c>
    </row>
    <row r="68" spans="1:10" x14ac:dyDescent="0.2">
      <c r="A68" s="13" t="s">
        <v>7</v>
      </c>
      <c r="B68" s="12">
        <f>-(B37-(B64*Overall_ROR))/gross_up_factor</f>
        <v>0.44430785307978871</v>
      </c>
      <c r="C68" s="107"/>
      <c r="D68" s="12">
        <f>-(D37-(D64*Overall_ROR))/gross_up_factor</f>
        <v>-616597.36891670455</v>
      </c>
      <c r="E68" s="107"/>
      <c r="F68" s="12">
        <f>-(F37-(F64*Overall_ROR))/gross_up_factor</f>
        <v>-616596.92460877448</v>
      </c>
      <c r="G68" s="107"/>
      <c r="H68" s="12"/>
      <c r="I68" s="107"/>
      <c r="J68" s="12"/>
    </row>
    <row r="69" spans="1:10" x14ac:dyDescent="0.2">
      <c r="A69" s="10"/>
      <c r="B69" s="20"/>
      <c r="D69" s="20"/>
      <c r="F69" s="20"/>
      <c r="H69" s="20"/>
      <c r="J69" s="20"/>
    </row>
    <row r="70" spans="1:10" x14ac:dyDescent="0.2">
      <c r="A70" s="10" t="s">
        <v>61</v>
      </c>
      <c r="B70" s="8"/>
      <c r="D70" s="8"/>
      <c r="F70" s="8"/>
      <c r="H70" s="8"/>
      <c r="J70" s="8"/>
    </row>
    <row r="71" spans="1:10" x14ac:dyDescent="0.2">
      <c r="A71" s="10" t="s">
        <v>62</v>
      </c>
      <c r="B71" s="12">
        <v>65683388.504577897</v>
      </c>
      <c r="D71" s="8">
        <f t="shared" ref="D71:J71" si="8">D13-D26-D27-D28-D29-D34</f>
        <v>288835.64086887613</v>
      </c>
      <c r="F71" s="8">
        <f>F13-F26-F27-F28-F29-F34</f>
        <v>65972224.145446725</v>
      </c>
      <c r="H71" s="8">
        <f t="shared" si="8"/>
        <v>-587836.63452011906</v>
      </c>
      <c r="J71" s="8">
        <f t="shared" si="8"/>
        <v>65384387.510926612</v>
      </c>
    </row>
    <row r="72" spans="1:10" x14ac:dyDescent="0.2">
      <c r="A72" s="10" t="s">
        <v>63</v>
      </c>
      <c r="B72" s="12">
        <v>0</v>
      </c>
      <c r="D72" s="8"/>
      <c r="F72" s="8"/>
      <c r="H72" s="8"/>
      <c r="J72" s="8"/>
    </row>
    <row r="73" spans="1:10" x14ac:dyDescent="0.2">
      <c r="A73" s="10" t="s">
        <v>64</v>
      </c>
      <c r="B73" s="12">
        <v>-3016519.6037139692</v>
      </c>
      <c r="D73" s="8">
        <f>Adjustments!B74</f>
        <v>0</v>
      </c>
      <c r="F73" s="8">
        <f>B73+D73</f>
        <v>-3016519.6037139692</v>
      </c>
      <c r="H73" s="8"/>
      <c r="J73" s="8">
        <f t="shared" ref="J73:J76" si="9">F73+H73</f>
        <v>-3016519.6037139692</v>
      </c>
    </row>
    <row r="74" spans="1:10" x14ac:dyDescent="0.2">
      <c r="A74" s="10" t="s">
        <v>65</v>
      </c>
      <c r="B74" s="12">
        <v>27206102.259058326</v>
      </c>
      <c r="D74" s="8">
        <f>Adjustments!B75</f>
        <v>-86673.662954948843</v>
      </c>
      <c r="F74" s="8">
        <f>B74+D74</f>
        <v>27119428.596103378</v>
      </c>
      <c r="H74" s="8"/>
      <c r="J74" s="8">
        <f t="shared" si="9"/>
        <v>27119428.596103378</v>
      </c>
    </row>
    <row r="75" spans="1:10" x14ac:dyDescent="0.2">
      <c r="A75" s="10" t="s">
        <v>66</v>
      </c>
      <c r="B75" s="12">
        <v>159781242.06404316</v>
      </c>
      <c r="C75" s="19"/>
      <c r="D75" s="8">
        <f>Adjustments!B76</f>
        <v>-671524.24912967277</v>
      </c>
      <c r="F75" s="8">
        <f>B75+D75</f>
        <v>159109717.81491348</v>
      </c>
      <c r="H75" s="8"/>
      <c r="J75" s="8">
        <f t="shared" si="9"/>
        <v>159109717.81491348</v>
      </c>
    </row>
    <row r="76" spans="1:10" x14ac:dyDescent="0.2">
      <c r="A76" s="10" t="s">
        <v>67</v>
      </c>
      <c r="B76" s="98">
        <v>111825407.85880338</v>
      </c>
      <c r="C76" s="19"/>
      <c r="D76" s="7">
        <f>Adjustments!B77</f>
        <v>-3941040.1813138328</v>
      </c>
      <c r="F76" s="7">
        <f>B76+D76</f>
        <v>107884367.67748955</v>
      </c>
      <c r="H76" s="7"/>
      <c r="J76" s="7">
        <f t="shared" si="9"/>
        <v>107884367.67748955</v>
      </c>
    </row>
    <row r="77" spans="1:10" x14ac:dyDescent="0.2">
      <c r="A77" s="10" t="s">
        <v>68</v>
      </c>
      <c r="B77" s="8">
        <f t="shared" ref="B77:J77" si="10">B71-B73-B74+B75-B76</f>
        <v>89449640.054473326</v>
      </c>
      <c r="C77" s="19"/>
      <c r="D77" s="8">
        <f t="shared" si="10"/>
        <v>3645025.2360079847</v>
      </c>
      <c r="F77" s="8">
        <f t="shared" si="10"/>
        <v>93094665.29048124</v>
      </c>
      <c r="H77" s="8">
        <f t="shared" si="10"/>
        <v>-587836.63452011906</v>
      </c>
      <c r="J77" s="8">
        <f t="shared" si="10"/>
        <v>92506828.655961126</v>
      </c>
    </row>
    <row r="78" spans="1:10" x14ac:dyDescent="0.2">
      <c r="A78" s="10"/>
      <c r="B78" s="8"/>
      <c r="C78" s="19"/>
      <c r="D78" s="8"/>
      <c r="F78" s="8"/>
      <c r="H78" s="8"/>
      <c r="J78" s="8"/>
    </row>
    <row r="79" spans="1:10" x14ac:dyDescent="0.2">
      <c r="A79" s="10" t="s">
        <v>69</v>
      </c>
      <c r="B79" s="8">
        <v>0</v>
      </c>
      <c r="C79" s="19"/>
      <c r="D79" s="8">
        <v>0</v>
      </c>
      <c r="F79" s="8">
        <v>0</v>
      </c>
      <c r="H79" s="8">
        <v>0</v>
      </c>
      <c r="J79" s="8">
        <v>0</v>
      </c>
    </row>
    <row r="80" spans="1:10" x14ac:dyDescent="0.2">
      <c r="A80" s="10" t="s">
        <v>70</v>
      </c>
      <c r="B80" s="8">
        <f>B77-B79</f>
        <v>89449640.054473326</v>
      </c>
      <c r="C80" s="19"/>
      <c r="D80" s="8">
        <f>D77-D79</f>
        <v>3645025.2360079847</v>
      </c>
      <c r="F80" s="8">
        <f>F77-F79</f>
        <v>93094665.29048124</v>
      </c>
      <c r="H80" s="8">
        <f>H77-H79</f>
        <v>-587836.63452011906</v>
      </c>
      <c r="J80" s="8">
        <f>J77-J79</f>
        <v>92506828.655961126</v>
      </c>
    </row>
    <row r="81" spans="1:10" x14ac:dyDescent="0.2">
      <c r="A81" s="10"/>
      <c r="B81" s="8"/>
      <c r="C81" s="19"/>
      <c r="D81" s="8"/>
      <c r="F81" s="8"/>
      <c r="H81" s="8"/>
      <c r="J81" s="8"/>
    </row>
    <row r="82" spans="1:10" x14ac:dyDescent="0.2">
      <c r="A82" s="10" t="s">
        <v>79</v>
      </c>
      <c r="B82" s="8">
        <f>B80*0.21</f>
        <v>18784424.411439396</v>
      </c>
      <c r="C82" s="19"/>
      <c r="D82" s="8">
        <f>D80*0.21</f>
        <v>765455.2995616768</v>
      </c>
      <c r="F82" s="8">
        <f>F80*0.21</f>
        <v>19549879.711001061</v>
      </c>
      <c r="H82" s="8">
        <f>H80*0.21</f>
        <v>-123445.69324922499</v>
      </c>
      <c r="J82" s="8">
        <f>J80*0.21</f>
        <v>19426434.017751835</v>
      </c>
    </row>
    <row r="83" spans="1:10" x14ac:dyDescent="0.2">
      <c r="A83" s="10" t="s">
        <v>80</v>
      </c>
      <c r="B83" s="8">
        <f>B84-B82</f>
        <v>-15114330.717454404</v>
      </c>
      <c r="C83" s="19"/>
      <c r="D83" s="8">
        <f>Adjustments!B84</f>
        <v>0</v>
      </c>
      <c r="F83" s="8">
        <f>B83+D83</f>
        <v>-15114330.717454404</v>
      </c>
      <c r="H83" s="8"/>
      <c r="J83" s="8">
        <f t="shared" ref="J83" si="11">F83+H83</f>
        <v>-15114330.717454404</v>
      </c>
    </row>
    <row r="84" spans="1:10" x14ac:dyDescent="0.2">
      <c r="A84" s="10" t="s">
        <v>81</v>
      </c>
      <c r="B84" s="12">
        <v>3670093.6939849933</v>
      </c>
      <c r="C84" s="19"/>
      <c r="D84" s="8">
        <f>D82+D83</f>
        <v>765455.2995616768</v>
      </c>
      <c r="F84" s="8">
        <f>F82+F83</f>
        <v>4435548.9935466573</v>
      </c>
      <c r="H84" s="8">
        <f>H82+H83</f>
        <v>-123445.69324922499</v>
      </c>
      <c r="J84" s="8">
        <f>J82+J83</f>
        <v>4312103.3002974316</v>
      </c>
    </row>
    <row r="85" spans="1:10" x14ac:dyDescent="0.2">
      <c r="A85" s="10"/>
      <c r="B85" s="8"/>
      <c r="D85" s="8"/>
      <c r="F85" s="8"/>
      <c r="H85" s="8"/>
      <c r="J85" s="8"/>
    </row>
    <row r="86" spans="1:10" x14ac:dyDescent="0.2">
      <c r="A86" s="10"/>
      <c r="B86" s="8"/>
      <c r="C86" s="19"/>
      <c r="D86" s="8"/>
      <c r="F86" s="8"/>
      <c r="H86" s="8"/>
      <c r="J86" s="8"/>
    </row>
    <row r="87" spans="1:10" x14ac:dyDescent="0.2">
      <c r="A87" s="10"/>
      <c r="B87" s="8"/>
      <c r="C87" s="19"/>
      <c r="D87" s="8"/>
      <c r="F87" s="8"/>
      <c r="H87" s="8"/>
      <c r="J87" s="8"/>
    </row>
    <row r="88" spans="1:10" x14ac:dyDescent="0.2">
      <c r="A88" s="10"/>
      <c r="B88" s="8"/>
      <c r="C88" s="19"/>
      <c r="D88" s="8"/>
      <c r="F88" s="8"/>
      <c r="H88" s="8"/>
      <c r="J88" s="8"/>
    </row>
    <row r="89" spans="1:10" x14ac:dyDescent="0.2">
      <c r="A89" s="10"/>
      <c r="B89" s="8"/>
      <c r="C89" s="19"/>
      <c r="D89" s="8"/>
      <c r="F89" s="8"/>
      <c r="H89" s="8"/>
      <c r="J89" s="8"/>
    </row>
    <row r="90" spans="1:10" x14ac:dyDescent="0.2">
      <c r="A90" s="21"/>
      <c r="B90" s="8"/>
      <c r="C90" s="19"/>
      <c r="D90" s="8"/>
      <c r="F90" s="8"/>
      <c r="H90" s="8"/>
      <c r="J90" s="8"/>
    </row>
    <row r="91" spans="1:10" x14ac:dyDescent="0.2">
      <c r="A91" s="19"/>
      <c r="B91" s="5"/>
      <c r="D91" s="5"/>
      <c r="F91" s="5"/>
      <c r="H91" s="5"/>
      <c r="J91" s="5"/>
    </row>
    <row r="92" spans="1:10" x14ac:dyDescent="0.2">
      <c r="A92" s="19"/>
    </row>
    <row r="93" spans="1:10" x14ac:dyDescent="0.2">
      <c r="A93" s="19"/>
    </row>
    <row r="94" spans="1:10" x14ac:dyDescent="0.2">
      <c r="A94" s="19"/>
    </row>
    <row r="95" spans="1:10" x14ac:dyDescent="0.2">
      <c r="A95" s="19"/>
    </row>
    <row r="96" spans="1:10" x14ac:dyDescent="0.2">
      <c r="A96" s="19"/>
    </row>
    <row r="97" spans="1:1" x14ac:dyDescent="0.2">
      <c r="A97" s="19"/>
    </row>
    <row r="98" spans="1:1" x14ac:dyDescent="0.2">
      <c r="A98" s="19"/>
    </row>
    <row r="99" spans="1:1" x14ac:dyDescent="0.2">
      <c r="A99" s="19"/>
    </row>
    <row r="100" spans="1:1" x14ac:dyDescent="0.2">
      <c r="A100" s="19"/>
    </row>
    <row r="101" spans="1:1" x14ac:dyDescent="0.2">
      <c r="A101" s="19"/>
    </row>
    <row r="102" spans="1:1" x14ac:dyDescent="0.2">
      <c r="A102" s="19"/>
    </row>
    <row r="103" spans="1:1" x14ac:dyDescent="0.2">
      <c r="A103" s="19"/>
    </row>
    <row r="104" spans="1:1" x14ac:dyDescent="0.2">
      <c r="A104" s="19"/>
    </row>
    <row r="105" spans="1:1" x14ac:dyDescent="0.2">
      <c r="A105" s="19"/>
    </row>
    <row r="106" spans="1:1" x14ac:dyDescent="0.2">
      <c r="A106" s="19"/>
    </row>
    <row r="107" spans="1:1" x14ac:dyDescent="0.2">
      <c r="A107" s="19"/>
    </row>
    <row r="108" spans="1:1" x14ac:dyDescent="0.2">
      <c r="A108" s="19"/>
    </row>
    <row r="109" spans="1:1" x14ac:dyDescent="0.2">
      <c r="A109" s="19"/>
    </row>
    <row r="110" spans="1:1" x14ac:dyDescent="0.2">
      <c r="A110" s="19"/>
    </row>
    <row r="111" spans="1:1" x14ac:dyDescent="0.2">
      <c r="A111" s="19"/>
    </row>
    <row r="112" spans="1:1" x14ac:dyDescent="0.2">
      <c r="A112" s="19"/>
    </row>
    <row r="113" spans="1:1" x14ac:dyDescent="0.2">
      <c r="A113" s="19"/>
    </row>
    <row r="114" spans="1:1" x14ac:dyDescent="0.2">
      <c r="A114" s="19"/>
    </row>
    <row r="115" spans="1:1" x14ac:dyDescent="0.2">
      <c r="A115" s="19"/>
    </row>
    <row r="116" spans="1:1" x14ac:dyDescent="0.2">
      <c r="A116" s="19"/>
    </row>
    <row r="117" spans="1:1" x14ac:dyDescent="0.2">
      <c r="A117" s="19"/>
    </row>
    <row r="118" spans="1:1" x14ac:dyDescent="0.2">
      <c r="A118" s="19"/>
    </row>
    <row r="119" spans="1:1" x14ac:dyDescent="0.2">
      <c r="A119" s="19"/>
    </row>
    <row r="120" spans="1:1" x14ac:dyDescent="0.2">
      <c r="A120" s="19"/>
    </row>
    <row r="121" spans="1:1" x14ac:dyDescent="0.2">
      <c r="A121" s="19"/>
    </row>
    <row r="122" spans="1:1" x14ac:dyDescent="0.2">
      <c r="A122" s="19"/>
    </row>
    <row r="123" spans="1:1" x14ac:dyDescent="0.2">
      <c r="A123" s="19"/>
    </row>
    <row r="124" spans="1:1" x14ac:dyDescent="0.2">
      <c r="A124" s="19"/>
    </row>
    <row r="125" spans="1:1" x14ac:dyDescent="0.2">
      <c r="A125" s="19"/>
    </row>
    <row r="126" spans="1:1" x14ac:dyDescent="0.2">
      <c r="A126" s="19"/>
    </row>
    <row r="127" spans="1:1" x14ac:dyDescent="0.2">
      <c r="A127" s="19"/>
    </row>
    <row r="128" spans="1:1" x14ac:dyDescent="0.2">
      <c r="A128" s="19"/>
    </row>
    <row r="129" spans="1:1" x14ac:dyDescent="0.2">
      <c r="A129" s="19"/>
    </row>
    <row r="130" spans="1:1" x14ac:dyDescent="0.2">
      <c r="A130" s="19"/>
    </row>
    <row r="131" spans="1:1" x14ac:dyDescent="0.2">
      <c r="A131" s="19"/>
    </row>
    <row r="132" spans="1:1" x14ac:dyDescent="0.2">
      <c r="A132" s="19"/>
    </row>
    <row r="133" spans="1:1" x14ac:dyDescent="0.2">
      <c r="A133" s="19"/>
    </row>
    <row r="134" spans="1:1" x14ac:dyDescent="0.2">
      <c r="A134" s="19"/>
    </row>
    <row r="135" spans="1:1" x14ac:dyDescent="0.2">
      <c r="A135" s="19"/>
    </row>
    <row r="136" spans="1:1" x14ac:dyDescent="0.2">
      <c r="A136" s="19"/>
    </row>
    <row r="137" spans="1:1" x14ac:dyDescent="0.2">
      <c r="A137" s="19"/>
    </row>
    <row r="138" spans="1:1" x14ac:dyDescent="0.2">
      <c r="A138" s="19"/>
    </row>
    <row r="139" spans="1:1" x14ac:dyDescent="0.2">
      <c r="A139" s="19"/>
    </row>
    <row r="140" spans="1:1" x14ac:dyDescent="0.2">
      <c r="A140" s="19"/>
    </row>
    <row r="141" spans="1:1" x14ac:dyDescent="0.2">
      <c r="A141" s="19"/>
    </row>
    <row r="142" spans="1:1" x14ac:dyDescent="0.2">
      <c r="A142" s="19"/>
    </row>
    <row r="143" spans="1:1" x14ac:dyDescent="0.2">
      <c r="A143" s="19"/>
    </row>
    <row r="144" spans="1:1" x14ac:dyDescent="0.2">
      <c r="A144" s="19"/>
    </row>
    <row r="145" spans="1:1" x14ac:dyDescent="0.2">
      <c r="A145" s="19"/>
    </row>
    <row r="146" spans="1:1" x14ac:dyDescent="0.2">
      <c r="A146" s="19"/>
    </row>
    <row r="147" spans="1:1" x14ac:dyDescent="0.2">
      <c r="A147" s="19"/>
    </row>
  </sheetData>
  <phoneticPr fontId="3" type="noConversion"/>
  <pageMargins left="0.5" right="0.5" top="0.5" bottom="0.5" header="0.5" footer="0.5"/>
  <pageSetup scale="64" orientation="portrait" r:id="rId1"/>
  <headerFooter alignWithMargins="0">
    <oddHeader>&amp;RPage 1.1</oddHeader>
  </headerFooter>
  <customProperties>
    <customPr name="_pios_id" r:id="rId2"/>
  </customProperties>
  <ignoredErrors>
    <ignoredError sqref="B5:J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28"/>
  <sheetViews>
    <sheetView view="pageBreakPreview" zoomScale="80" zoomScaleNormal="100" zoomScaleSheetLayoutView="80" workbookViewId="0">
      <selection activeCell="C13" sqref="C13"/>
    </sheetView>
  </sheetViews>
  <sheetFormatPr defaultRowHeight="12.75" x14ac:dyDescent="0.2"/>
  <cols>
    <col min="1" max="1" width="5.7109375" style="107" customWidth="1"/>
    <col min="2" max="2" width="7.140625" style="92" customWidth="1"/>
    <col min="3" max="3" width="49.85546875" style="107" customWidth="1"/>
    <col min="4" max="6" width="16.140625" style="107" customWidth="1"/>
    <col min="7" max="7" width="1.85546875" style="107" customWidth="1"/>
    <col min="8" max="8" width="20.5703125" style="132" customWidth="1"/>
    <col min="9" max="9" width="9.5703125" style="107" bestFit="1" customWidth="1"/>
    <col min="10" max="16384" width="9.140625" style="107"/>
  </cols>
  <sheetData>
    <row r="1" spans="1:9" x14ac:dyDescent="0.2">
      <c r="A1" s="162" t="s">
        <v>6</v>
      </c>
    </row>
    <row r="2" spans="1:9" x14ac:dyDescent="0.2">
      <c r="A2" s="162" t="str">
        <f>Results!A2</f>
        <v>Washington Limited-Issue Rate Filing</v>
      </c>
    </row>
    <row r="3" spans="1:9" x14ac:dyDescent="0.2">
      <c r="A3" s="128" t="s">
        <v>118</v>
      </c>
      <c r="C3" s="129"/>
      <c r="D3" s="129"/>
      <c r="E3" s="129"/>
      <c r="F3" s="129"/>
      <c r="G3" s="129"/>
      <c r="H3" s="130"/>
    </row>
    <row r="4" spans="1:9" ht="6" customHeight="1" x14ac:dyDescent="0.2">
      <c r="A4" s="131"/>
    </row>
    <row r="5" spans="1:9" ht="12.75" customHeight="1" x14ac:dyDescent="0.2">
      <c r="A5" s="164" t="s">
        <v>128</v>
      </c>
      <c r="B5" s="164"/>
      <c r="C5" s="164"/>
      <c r="D5" s="164"/>
      <c r="E5" s="164"/>
      <c r="F5" s="164"/>
      <c r="G5" s="152"/>
      <c r="H5" s="152"/>
    </row>
    <row r="6" spans="1:9" ht="12.75" customHeight="1" x14ac:dyDescent="0.2">
      <c r="A6" s="164"/>
      <c r="B6" s="164"/>
      <c r="C6" s="164"/>
      <c r="D6" s="164"/>
      <c r="E6" s="164"/>
      <c r="F6" s="164"/>
      <c r="G6" s="152"/>
      <c r="H6" s="152"/>
    </row>
    <row r="7" spans="1:9" x14ac:dyDescent="0.2">
      <c r="B7" s="133" t="s">
        <v>102</v>
      </c>
      <c r="C7" s="133" t="s">
        <v>103</v>
      </c>
      <c r="D7" s="133" t="s">
        <v>119</v>
      </c>
      <c r="E7" s="133" t="s">
        <v>120</v>
      </c>
      <c r="F7" s="133" t="s">
        <v>121</v>
      </c>
      <c r="G7" s="157"/>
      <c r="H7" s="157"/>
    </row>
    <row r="8" spans="1:9" x14ac:dyDescent="0.2">
      <c r="D8" s="134" t="s">
        <v>95</v>
      </c>
      <c r="E8" s="135" t="s">
        <v>96</v>
      </c>
      <c r="F8" s="134" t="s">
        <v>97</v>
      </c>
      <c r="G8" s="158"/>
      <c r="H8" s="157"/>
    </row>
    <row r="9" spans="1:9" x14ac:dyDescent="0.2">
      <c r="C9" s="136" t="s">
        <v>129</v>
      </c>
      <c r="D9" s="74">
        <v>78075703.28017056</v>
      </c>
      <c r="E9" s="74">
        <v>1086811238.4255927</v>
      </c>
      <c r="F9" s="74">
        <f>-(D9-(E9*Overall_ROR))/gross_up_factor</f>
        <v>-213262.76708720002</v>
      </c>
      <c r="G9" s="3"/>
      <c r="H9" s="2"/>
    </row>
    <row r="10" spans="1:9" x14ac:dyDescent="0.2">
      <c r="C10" s="136"/>
      <c r="D10" s="74"/>
      <c r="E10" s="74"/>
      <c r="F10" s="74"/>
      <c r="G10" s="3"/>
      <c r="H10" s="159"/>
    </row>
    <row r="11" spans="1:9" s="140" customFormat="1" ht="24.75" customHeight="1" x14ac:dyDescent="0.2">
      <c r="A11" s="138" t="s">
        <v>101</v>
      </c>
      <c r="B11" s="138" t="s">
        <v>100</v>
      </c>
      <c r="C11" s="138"/>
      <c r="D11" s="138"/>
      <c r="E11" s="138"/>
      <c r="F11" s="139"/>
      <c r="G11" s="160"/>
      <c r="H11" s="161"/>
    </row>
    <row r="12" spans="1:9" x14ac:dyDescent="0.2">
      <c r="A12" s="92">
        <v>1</v>
      </c>
      <c r="B12" s="141">
        <v>1</v>
      </c>
      <c r="C12" s="107" t="s">
        <v>123</v>
      </c>
      <c r="D12" s="14">
        <f>Adjustments!C38</f>
        <v>217828.55851126742</v>
      </c>
      <c r="E12" s="14">
        <f>Adjustments!C65</f>
        <v>4004143.3185246559</v>
      </c>
      <c r="F12" s="14">
        <f>-(D12-(E12*Overall_ROR))/gross_up_factor</f>
        <v>91926.338767855283</v>
      </c>
      <c r="G12" s="2"/>
      <c r="H12" s="2"/>
      <c r="I12" s="142"/>
    </row>
    <row r="13" spans="1:9" x14ac:dyDescent="0.2">
      <c r="A13" s="92">
        <f>A12+1</f>
        <v>2</v>
      </c>
      <c r="B13" s="141">
        <v>2</v>
      </c>
      <c r="C13" s="107" t="s">
        <v>111</v>
      </c>
      <c r="D13" s="14">
        <f>Adjustments!D38</f>
        <v>134862.01894444716</v>
      </c>
      <c r="E13" s="14">
        <f>Adjustments!D65</f>
        <v>-6206828.0326708136</v>
      </c>
      <c r="F13" s="14">
        <f>-(D13-(E13*Overall_ROR))/gross_up_factor</f>
        <v>-769884.59480255644</v>
      </c>
      <c r="G13" s="2"/>
      <c r="H13" s="2"/>
    </row>
    <row r="14" spans="1:9" x14ac:dyDescent="0.2">
      <c r="A14" s="92">
        <f t="shared" ref="A14:A21" si="0">A13+1</f>
        <v>3</v>
      </c>
      <c r="B14" s="141">
        <v>3</v>
      </c>
      <c r="C14" s="107" t="s">
        <v>112</v>
      </c>
      <c r="D14" s="14">
        <f>Adjustments!E38</f>
        <v>-18201.469220539257</v>
      </c>
      <c r="E14" s="14">
        <f>Adjustments!E65</f>
        <v>0</v>
      </c>
      <c r="F14" s="14">
        <f>-(D14-(E14*Overall_ROR))/gross_up_factor</f>
        <v>24167.123707812862</v>
      </c>
      <c r="G14" s="2"/>
      <c r="H14" s="2"/>
    </row>
    <row r="15" spans="1:9" x14ac:dyDescent="0.2">
      <c r="A15" s="92">
        <f t="shared" si="0"/>
        <v>4</v>
      </c>
      <c r="B15" s="141">
        <v>4</v>
      </c>
      <c r="C15" s="107" t="s">
        <v>113</v>
      </c>
      <c r="D15" s="14">
        <f>Adjustments!F38</f>
        <v>-118322</v>
      </c>
      <c r="E15" s="14">
        <f>Adjustments!F65</f>
        <v>-1259697</v>
      </c>
      <c r="F15" s="14">
        <f>-(D15-(E15*Overall_ROR))/gross_up_factor</f>
        <v>37193.763410183899</v>
      </c>
      <c r="G15" s="2"/>
      <c r="H15" s="2"/>
    </row>
    <row r="16" spans="1:9" s="18" customFormat="1" x14ac:dyDescent="0.2">
      <c r="A16" s="92">
        <f t="shared" si="0"/>
        <v>5</v>
      </c>
      <c r="C16" s="143" t="s">
        <v>99</v>
      </c>
      <c r="D16" s="144">
        <f>SUM(D12:D15)</f>
        <v>216167.10823517531</v>
      </c>
      <c r="E16" s="144">
        <f t="shared" ref="E16" si="1">SUM(E12:E15)</f>
        <v>-3462381.7141461577</v>
      </c>
      <c r="F16" s="144">
        <f>ROUNDDOWN(SUM(F12:F15),0)</f>
        <v>-616597</v>
      </c>
      <c r="G16" s="145"/>
      <c r="H16" s="127"/>
    </row>
    <row r="17" spans="1:8" x14ac:dyDescent="0.2">
      <c r="A17" s="92">
        <f t="shared" si="0"/>
        <v>6</v>
      </c>
      <c r="C17" s="146"/>
      <c r="D17" s="3"/>
      <c r="E17" s="3"/>
      <c r="F17" s="3"/>
      <c r="G17" s="3"/>
      <c r="H17" s="159"/>
    </row>
    <row r="18" spans="1:8" x14ac:dyDescent="0.2">
      <c r="A18" s="92">
        <f t="shared" si="0"/>
        <v>7</v>
      </c>
      <c r="C18" s="146"/>
      <c r="D18" s="3"/>
      <c r="E18" s="3"/>
      <c r="F18" s="3"/>
      <c r="G18" s="3"/>
      <c r="H18" s="137"/>
    </row>
    <row r="19" spans="1:8" x14ac:dyDescent="0.2">
      <c r="A19" s="92">
        <f t="shared" si="0"/>
        <v>8</v>
      </c>
      <c r="B19" s="151" t="s">
        <v>98</v>
      </c>
    </row>
    <row r="20" spans="1:8" x14ac:dyDescent="0.2">
      <c r="A20" s="92">
        <f t="shared" si="0"/>
        <v>9</v>
      </c>
      <c r="B20" s="151" t="s">
        <v>122</v>
      </c>
    </row>
    <row r="21" spans="1:8" x14ac:dyDescent="0.2">
      <c r="A21" s="92">
        <f t="shared" si="0"/>
        <v>10</v>
      </c>
      <c r="B21" s="151" t="s">
        <v>130</v>
      </c>
      <c r="G21" s="147"/>
      <c r="H21" s="148"/>
    </row>
    <row r="22" spans="1:8" x14ac:dyDescent="0.2">
      <c r="A22" s="92"/>
      <c r="B22" s="153"/>
    </row>
    <row r="23" spans="1:8" x14ac:dyDescent="0.2">
      <c r="E23" s="149"/>
      <c r="F23" s="150"/>
    </row>
    <row r="24" spans="1:8" x14ac:dyDescent="0.2">
      <c r="E24" s="149"/>
      <c r="F24" s="150"/>
    </row>
    <row r="26" spans="1:8" x14ac:dyDescent="0.2">
      <c r="F26" s="14"/>
    </row>
    <row r="27" spans="1:8" x14ac:dyDescent="0.2">
      <c r="F27" s="14"/>
    </row>
    <row r="28" spans="1:8" x14ac:dyDescent="0.2">
      <c r="F28" s="150"/>
    </row>
  </sheetData>
  <mergeCells count="1">
    <mergeCell ref="A5:F6"/>
  </mergeCells>
  <pageMargins left="1" right="0.5" top="0.75" bottom="0.75" header="0.3" footer="0.3"/>
  <pageSetup orientation="landscape" r:id="rId1"/>
  <headerFooter>
    <oddFooter>&amp;CPage 1.2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91"/>
  <sheetViews>
    <sheetView tabSelected="1" view="pageBreakPreview" zoomScale="85" zoomScaleNormal="80" zoomScaleSheetLayoutView="85" workbookViewId="0">
      <pane xSplit="2" ySplit="7" topLeftCell="C47" activePane="bottomRight" state="frozen"/>
      <selection pane="topRight" activeCell="C1" sqref="C1"/>
      <selection pane="bottomLeft" activeCell="A10" sqref="A10"/>
      <selection pane="bottomRight" activeCell="J51" sqref="J51"/>
    </sheetView>
  </sheetViews>
  <sheetFormatPr defaultRowHeight="12.75" outlineLevelRow="1" x14ac:dyDescent="0.2"/>
  <cols>
    <col min="1" max="1" width="36.28515625" style="2" customWidth="1"/>
    <col min="2" max="2" width="20" style="14" customWidth="1"/>
    <col min="3" max="3" width="17.28515625" style="14" bestFit="1" customWidth="1"/>
    <col min="4" max="4" width="17.28515625" style="2" bestFit="1" customWidth="1"/>
    <col min="5" max="6" width="17.42578125" style="14" customWidth="1"/>
    <col min="7" max="7" width="9.140625" style="14"/>
    <col min="8" max="8" width="10.28515625" style="14" customWidth="1"/>
    <col min="9" max="16384" width="9.140625" style="14"/>
  </cols>
  <sheetData>
    <row r="1" spans="1:6" x14ac:dyDescent="0.2">
      <c r="A1" s="3" t="s">
        <v>6</v>
      </c>
    </row>
    <row r="2" spans="1:6" s="2" customFormat="1" x14ac:dyDescent="0.2">
      <c r="A2" s="71" t="str">
        <f>Results!A2</f>
        <v>Washington Limited-Issue Rate Filing</v>
      </c>
    </row>
    <row r="3" spans="1:6" s="2" customFormat="1" x14ac:dyDescent="0.2">
      <c r="A3" s="72" t="s">
        <v>117</v>
      </c>
    </row>
    <row r="4" spans="1:6" s="3" customFormat="1" ht="13.5" thickBot="1" x14ac:dyDescent="0.25">
      <c r="A4" s="73"/>
    </row>
    <row r="5" spans="1:6" s="74" customFormat="1" ht="13.5" thickBot="1" x14ac:dyDescent="0.25">
      <c r="A5" s="3"/>
      <c r="B5" s="105"/>
      <c r="C5" s="106"/>
      <c r="D5" s="116"/>
      <c r="E5" s="124"/>
      <c r="F5" s="125"/>
    </row>
    <row r="6" spans="1:6" x14ac:dyDescent="0.2">
      <c r="B6" s="55"/>
      <c r="C6" s="56" t="s">
        <v>109</v>
      </c>
      <c r="D6" s="110" t="s">
        <v>110</v>
      </c>
      <c r="E6" s="110" t="s">
        <v>114</v>
      </c>
      <c r="F6" s="54" t="s">
        <v>115</v>
      </c>
    </row>
    <row r="7" spans="1:6" s="75" customFormat="1" ht="51" x14ac:dyDescent="0.2">
      <c r="A7" s="13"/>
      <c r="B7" s="57" t="s">
        <v>106</v>
      </c>
      <c r="C7" s="108" t="s">
        <v>123</v>
      </c>
      <c r="D7" s="111" t="s">
        <v>111</v>
      </c>
      <c r="E7" s="111" t="s">
        <v>124</v>
      </c>
      <c r="F7" s="109" t="s">
        <v>116</v>
      </c>
    </row>
    <row r="8" spans="1:6" x14ac:dyDescent="0.2">
      <c r="B8" s="76"/>
      <c r="C8" s="34"/>
      <c r="E8" s="2"/>
      <c r="F8" s="63"/>
    </row>
    <row r="9" spans="1:6" outlineLevel="1" x14ac:dyDescent="0.2">
      <c r="A9" s="13" t="s">
        <v>9</v>
      </c>
      <c r="B9" s="59"/>
      <c r="C9" s="25"/>
      <c r="D9" s="11"/>
      <c r="E9" s="11"/>
      <c r="F9" s="58"/>
    </row>
    <row r="10" spans="1:6" outlineLevel="1" x14ac:dyDescent="0.2">
      <c r="A10" s="13" t="s">
        <v>10</v>
      </c>
      <c r="B10" s="65">
        <f>SUM(C10:F10)</f>
        <v>0</v>
      </c>
      <c r="C10" s="27"/>
      <c r="D10" s="112"/>
      <c r="E10" s="112"/>
      <c r="F10" s="61"/>
    </row>
    <row r="11" spans="1:6" outlineLevel="1" x14ac:dyDescent="0.2">
      <c r="A11" s="13" t="s">
        <v>11</v>
      </c>
      <c r="B11" s="65">
        <f t="shared" ref="B11:B14" si="0">SUM(C11:F11)</f>
        <v>0</v>
      </c>
      <c r="C11" s="27"/>
      <c r="D11" s="112"/>
      <c r="E11" s="112"/>
      <c r="F11" s="61"/>
    </row>
    <row r="12" spans="1:6" outlineLevel="1" x14ac:dyDescent="0.2">
      <c r="A12" s="13" t="s">
        <v>12</v>
      </c>
      <c r="B12" s="65">
        <f t="shared" si="0"/>
        <v>0</v>
      </c>
      <c r="C12" s="27"/>
      <c r="D12" s="112"/>
      <c r="E12" s="112"/>
      <c r="F12" s="61"/>
    </row>
    <row r="13" spans="1:6" outlineLevel="1" x14ac:dyDescent="0.2">
      <c r="A13" s="13" t="s">
        <v>13</v>
      </c>
      <c r="B13" s="65">
        <f t="shared" si="0"/>
        <v>0</v>
      </c>
      <c r="C13" s="27"/>
      <c r="D13" s="112"/>
      <c r="E13" s="112"/>
      <c r="F13" s="61"/>
    </row>
    <row r="14" spans="1:6" outlineLevel="1" x14ac:dyDescent="0.2">
      <c r="A14" s="13" t="s">
        <v>14</v>
      </c>
      <c r="B14" s="77">
        <f t="shared" si="0"/>
        <v>0</v>
      </c>
      <c r="C14" s="28">
        <f>SUM(C10:C13)</f>
        <v>0</v>
      </c>
      <c r="D14" s="117">
        <f t="shared" ref="D14:F14" si="1">SUM(D10:D13)</f>
        <v>0</v>
      </c>
      <c r="E14" s="117">
        <f t="shared" si="1"/>
        <v>0</v>
      </c>
      <c r="F14" s="62">
        <f t="shared" si="1"/>
        <v>0</v>
      </c>
    </row>
    <row r="15" spans="1:6" outlineLevel="1" x14ac:dyDescent="0.2">
      <c r="A15" s="13"/>
      <c r="B15" s="59"/>
      <c r="C15" s="25"/>
      <c r="D15" s="11"/>
      <c r="E15" s="11"/>
      <c r="F15" s="58"/>
    </row>
    <row r="16" spans="1:6" outlineLevel="1" x14ac:dyDescent="0.2">
      <c r="A16" s="13" t="s">
        <v>15</v>
      </c>
      <c r="B16" s="59"/>
      <c r="C16" s="25"/>
      <c r="D16" s="11"/>
      <c r="E16" s="11"/>
      <c r="F16" s="58"/>
    </row>
    <row r="17" spans="1:6" outlineLevel="1" x14ac:dyDescent="0.2">
      <c r="A17" s="13" t="s">
        <v>16</v>
      </c>
      <c r="B17" s="65">
        <f t="shared" ref="B17:B36" si="2">SUM(C17:F17)</f>
        <v>0</v>
      </c>
      <c r="C17" s="27"/>
      <c r="D17" s="112"/>
      <c r="E17" s="112"/>
      <c r="F17" s="61"/>
    </row>
    <row r="18" spans="1:6" outlineLevel="1" x14ac:dyDescent="0.2">
      <c r="A18" s="13" t="s">
        <v>17</v>
      </c>
      <c r="B18" s="65">
        <f t="shared" si="2"/>
        <v>0</v>
      </c>
      <c r="C18" s="27"/>
      <c r="D18" s="112"/>
      <c r="E18" s="112"/>
      <c r="F18" s="61"/>
    </row>
    <row r="19" spans="1:6" outlineLevel="1" x14ac:dyDescent="0.2">
      <c r="A19" s="13" t="s">
        <v>18</v>
      </c>
      <c r="B19" s="65">
        <f t="shared" si="2"/>
        <v>0</v>
      </c>
      <c r="C19" s="27"/>
      <c r="D19" s="112"/>
      <c r="E19" s="112"/>
      <c r="F19" s="61"/>
    </row>
    <row r="20" spans="1:6" outlineLevel="1" x14ac:dyDescent="0.2">
      <c r="A20" s="13" t="s">
        <v>19</v>
      </c>
      <c r="B20" s="65">
        <f t="shared" si="2"/>
        <v>0</v>
      </c>
      <c r="C20" s="27"/>
      <c r="D20" s="112"/>
      <c r="E20" s="112"/>
      <c r="F20" s="61"/>
    </row>
    <row r="21" spans="1:6" outlineLevel="1" x14ac:dyDescent="0.2">
      <c r="A21" s="13" t="s">
        <v>20</v>
      </c>
      <c r="B21" s="65">
        <f t="shared" si="2"/>
        <v>0</v>
      </c>
      <c r="C21" s="27"/>
      <c r="D21" s="112"/>
      <c r="E21" s="112"/>
      <c r="F21" s="61"/>
    </row>
    <row r="22" spans="1:6" outlineLevel="1" x14ac:dyDescent="0.2">
      <c r="A22" s="13" t="s">
        <v>21</v>
      </c>
      <c r="B22" s="65">
        <f t="shared" si="2"/>
        <v>0</v>
      </c>
      <c r="C22" s="27"/>
      <c r="D22" s="112"/>
      <c r="E22" s="112"/>
      <c r="F22" s="61"/>
    </row>
    <row r="23" spans="1:6" outlineLevel="1" x14ac:dyDescent="0.2">
      <c r="A23" s="13" t="s">
        <v>22</v>
      </c>
      <c r="B23" s="65">
        <f t="shared" si="2"/>
        <v>0</v>
      </c>
      <c r="C23" s="27"/>
      <c r="D23" s="112"/>
      <c r="E23" s="112"/>
      <c r="F23" s="61"/>
    </row>
    <row r="24" spans="1:6" outlineLevel="1" x14ac:dyDescent="0.2">
      <c r="A24" s="13" t="s">
        <v>23</v>
      </c>
      <c r="B24" s="65">
        <f t="shared" si="2"/>
        <v>0</v>
      </c>
      <c r="C24" s="27"/>
      <c r="D24" s="112"/>
      <c r="E24" s="112"/>
      <c r="F24" s="61"/>
    </row>
    <row r="25" spans="1:6" outlineLevel="1" x14ac:dyDescent="0.2">
      <c r="A25" s="13" t="s">
        <v>24</v>
      </c>
      <c r="B25" s="65">
        <f t="shared" si="2"/>
        <v>0</v>
      </c>
      <c r="C25" s="27"/>
      <c r="D25" s="112"/>
      <c r="E25" s="112"/>
      <c r="F25" s="61"/>
    </row>
    <row r="26" spans="1:6" outlineLevel="1" x14ac:dyDescent="0.2">
      <c r="A26" s="13" t="s">
        <v>25</v>
      </c>
      <c r="B26" s="65">
        <f t="shared" si="2"/>
        <v>0</v>
      </c>
      <c r="C26" s="29"/>
      <c r="D26" s="118"/>
      <c r="E26" s="118"/>
      <c r="F26" s="64"/>
    </row>
    <row r="27" spans="1:6" outlineLevel="1" x14ac:dyDescent="0.2">
      <c r="A27" s="13" t="s">
        <v>26</v>
      </c>
      <c r="B27" s="78">
        <f t="shared" si="2"/>
        <v>0</v>
      </c>
      <c r="C27" s="25">
        <f>SUM(C17:C26)</f>
        <v>0</v>
      </c>
      <c r="D27" s="11">
        <f t="shared" ref="D27:F27" si="3">SUM(D17:D26)</f>
        <v>0</v>
      </c>
      <c r="E27" s="11">
        <f t="shared" si="3"/>
        <v>0</v>
      </c>
      <c r="F27" s="58">
        <f t="shared" si="3"/>
        <v>0</v>
      </c>
    </row>
    <row r="28" spans="1:6" x14ac:dyDescent="0.2">
      <c r="A28" s="13" t="s">
        <v>27</v>
      </c>
      <c r="B28" s="65">
        <f t="shared" si="2"/>
        <v>-288835.64086887613</v>
      </c>
      <c r="C28" s="27">
        <f>SUM('[1]Lead Sheet ADJ_1'!$I$14:$I$16)</f>
        <v>-110005.23863674092</v>
      </c>
      <c r="D28" s="112">
        <f>'[2]Lead Sheet ADJ_2'!$I$23</f>
        <v>-178830.40223213524</v>
      </c>
      <c r="E28" s="112"/>
      <c r="F28" s="61"/>
    </row>
    <row r="29" spans="1:6" x14ac:dyDescent="0.2">
      <c r="A29" s="13" t="s">
        <v>28</v>
      </c>
      <c r="B29" s="65">
        <f t="shared" si="2"/>
        <v>0</v>
      </c>
      <c r="C29" s="27"/>
      <c r="D29" s="112"/>
      <c r="E29" s="112"/>
      <c r="F29" s="61"/>
    </row>
    <row r="30" spans="1:6" x14ac:dyDescent="0.2">
      <c r="A30" s="13" t="s">
        <v>29</v>
      </c>
      <c r="B30" s="65">
        <f t="shared" si="2"/>
        <v>0</v>
      </c>
      <c r="C30" s="27"/>
      <c r="D30" s="112"/>
      <c r="E30" s="112"/>
      <c r="F30" s="61"/>
    </row>
    <row r="31" spans="1:6" x14ac:dyDescent="0.2">
      <c r="A31" s="13" t="s">
        <v>30</v>
      </c>
      <c r="B31" s="65">
        <f t="shared" si="2"/>
        <v>765455.2995616768</v>
      </c>
      <c r="C31" s="27">
        <f t="shared" ref="C31:D31" si="4">C85</f>
        <v>747253.8303411376</v>
      </c>
      <c r="D31" s="112">
        <f t="shared" si="4"/>
        <v>0</v>
      </c>
      <c r="E31" s="112">
        <f t="shared" ref="E31:F31" si="5">E85</f>
        <v>18201.469220539257</v>
      </c>
      <c r="F31" s="61">
        <f t="shared" si="5"/>
        <v>0</v>
      </c>
    </row>
    <row r="32" spans="1:6" x14ac:dyDescent="0.2">
      <c r="A32" s="13" t="s">
        <v>31</v>
      </c>
      <c r="B32" s="65">
        <f t="shared" si="2"/>
        <v>0</v>
      </c>
      <c r="C32" s="26">
        <v>0</v>
      </c>
      <c r="D32" s="113">
        <v>0</v>
      </c>
      <c r="E32" s="113">
        <v>0</v>
      </c>
      <c r="F32" s="60">
        <v>0</v>
      </c>
    </row>
    <row r="33" spans="1:6" x14ac:dyDescent="0.2">
      <c r="A33" s="13" t="s">
        <v>32</v>
      </c>
      <c r="B33" s="65">
        <f t="shared" si="2"/>
        <v>-692786.76692797593</v>
      </c>
      <c r="C33" s="156">
        <f>SUM('[1]Lead Sheet ADJ_1'!$I$27:$I$28,'[1]Lead Sheet ADJ_1'!$I$32)</f>
        <v>-855077.15021566406</v>
      </c>
      <c r="D33" s="112">
        <f>'[2]Lead Sheet ADJ_2'!$I$38+'[2]Lead Sheet ADJ_2'!$I$42+'[2]Lead Sheet ADJ_2'!$I$46</f>
        <v>43968.383287688077</v>
      </c>
      <c r="E33" s="112"/>
      <c r="F33" s="61">
        <f>'[3]Lead Sheet ADJ_4'!$I$10</f>
        <v>118322</v>
      </c>
    </row>
    <row r="34" spans="1:6" x14ac:dyDescent="0.2">
      <c r="A34" s="13" t="s">
        <v>33</v>
      </c>
      <c r="B34" s="65">
        <f t="shared" si="2"/>
        <v>0</v>
      </c>
      <c r="C34" s="27"/>
      <c r="D34" s="112"/>
      <c r="E34" s="112"/>
      <c r="F34" s="61"/>
    </row>
    <row r="35" spans="1:6" x14ac:dyDescent="0.2">
      <c r="A35" s="13" t="s">
        <v>34</v>
      </c>
      <c r="B35" s="65">
        <f t="shared" si="2"/>
        <v>0</v>
      </c>
      <c r="C35" s="27"/>
      <c r="D35" s="112"/>
      <c r="E35" s="112"/>
      <c r="F35" s="61"/>
    </row>
    <row r="36" spans="1:6" x14ac:dyDescent="0.2">
      <c r="A36" s="13" t="s">
        <v>35</v>
      </c>
      <c r="B36" s="77">
        <f t="shared" si="2"/>
        <v>-216167.10823517531</v>
      </c>
      <c r="C36" s="28">
        <f>SUM(C27:C35)</f>
        <v>-217828.55851126742</v>
      </c>
      <c r="D36" s="117">
        <f t="shared" ref="D36:F36" si="6">SUM(D27:D35)</f>
        <v>-134862.01894444716</v>
      </c>
      <c r="E36" s="117">
        <f t="shared" si="6"/>
        <v>18201.469220539257</v>
      </c>
      <c r="F36" s="62">
        <f t="shared" si="6"/>
        <v>118322</v>
      </c>
    </row>
    <row r="37" spans="1:6" x14ac:dyDescent="0.2">
      <c r="A37" s="13"/>
      <c r="B37" s="59"/>
      <c r="C37" s="25"/>
      <c r="D37" s="11"/>
      <c r="E37" s="11"/>
      <c r="F37" s="58"/>
    </row>
    <row r="38" spans="1:6" ht="13.5" thickBot="1" x14ac:dyDescent="0.25">
      <c r="A38" s="13" t="s">
        <v>36</v>
      </c>
      <c r="B38" s="79">
        <f t="shared" ref="B38" si="7">SUM(C38:F38)</f>
        <v>216167.10823517531</v>
      </c>
      <c r="C38" s="30">
        <f t="shared" ref="C38:D38" si="8">C14-C36</f>
        <v>217828.55851126742</v>
      </c>
      <c r="D38" s="119">
        <f t="shared" si="8"/>
        <v>134862.01894444716</v>
      </c>
      <c r="E38" s="119">
        <f t="shared" ref="E38:F38" si="9">E14-E36</f>
        <v>-18201.469220539257</v>
      </c>
      <c r="F38" s="66">
        <f t="shared" si="9"/>
        <v>-118322</v>
      </c>
    </row>
    <row r="39" spans="1:6" ht="13.5" thickTop="1" x14ac:dyDescent="0.2">
      <c r="A39" s="13"/>
      <c r="B39" s="59"/>
      <c r="C39" s="25"/>
      <c r="D39" s="11"/>
      <c r="E39" s="11"/>
      <c r="F39" s="58"/>
    </row>
    <row r="40" spans="1:6" x14ac:dyDescent="0.2">
      <c r="A40" s="13" t="s">
        <v>37</v>
      </c>
      <c r="B40" s="59"/>
      <c r="C40" s="25"/>
      <c r="D40" s="11"/>
      <c r="E40" s="11"/>
      <c r="F40" s="58"/>
    </row>
    <row r="41" spans="1:6" x14ac:dyDescent="0.2">
      <c r="A41" s="13" t="s">
        <v>38</v>
      </c>
      <c r="B41" s="65">
        <f t="shared" ref="B41:B52" si="10">SUM(C41:F41)</f>
        <v>-14570276.832111917</v>
      </c>
      <c r="C41" s="27">
        <f>SUM('[1]Lead Sheet ADJ_1'!$I$9:$I$11)</f>
        <v>-4000368.3248412451</v>
      </c>
      <c r="D41" s="112">
        <f>'[2]Lead Sheet ADJ_2'!$I$13</f>
        <v>-10569908.507270671</v>
      </c>
      <c r="E41" s="112"/>
      <c r="F41" s="61"/>
    </row>
    <row r="42" spans="1:6" outlineLevel="1" x14ac:dyDescent="0.2">
      <c r="A42" s="13" t="s">
        <v>39</v>
      </c>
      <c r="B42" s="65">
        <f t="shared" si="10"/>
        <v>0</v>
      </c>
      <c r="C42" s="27"/>
      <c r="D42" s="112"/>
      <c r="E42" s="112"/>
      <c r="F42" s="61"/>
    </row>
    <row r="43" spans="1:6" outlineLevel="1" x14ac:dyDescent="0.2">
      <c r="A43" s="13" t="s">
        <v>40</v>
      </c>
      <c r="B43" s="65">
        <f t="shared" si="10"/>
        <v>0</v>
      </c>
      <c r="C43" s="27"/>
      <c r="D43" s="112"/>
      <c r="E43" s="112"/>
      <c r="F43" s="61"/>
    </row>
    <row r="44" spans="1:6" outlineLevel="1" x14ac:dyDescent="0.2">
      <c r="A44" s="13" t="s">
        <v>41</v>
      </c>
      <c r="B44" s="65">
        <f t="shared" si="10"/>
        <v>0</v>
      </c>
      <c r="C44" s="27"/>
      <c r="D44" s="112"/>
      <c r="E44" s="112"/>
      <c r="F44" s="61"/>
    </row>
    <row r="45" spans="1:6" outlineLevel="1" x14ac:dyDescent="0.2">
      <c r="A45" s="13" t="s">
        <v>42</v>
      </c>
      <c r="B45" s="65">
        <f t="shared" si="10"/>
        <v>0</v>
      </c>
      <c r="C45" s="27"/>
      <c r="D45" s="112"/>
      <c r="E45" s="112"/>
      <c r="F45" s="61"/>
    </row>
    <row r="46" spans="1:6" outlineLevel="1" x14ac:dyDescent="0.2">
      <c r="A46" s="13" t="s">
        <v>43</v>
      </c>
      <c r="B46" s="65">
        <f t="shared" si="10"/>
        <v>0</v>
      </c>
      <c r="C46" s="27"/>
      <c r="D46" s="112"/>
      <c r="E46" s="112"/>
      <c r="F46" s="61"/>
    </row>
    <row r="47" spans="1:6" outlineLevel="1" x14ac:dyDescent="0.2">
      <c r="A47" s="13" t="s">
        <v>44</v>
      </c>
      <c r="B47" s="65">
        <f t="shared" si="10"/>
        <v>0</v>
      </c>
      <c r="C47" s="27"/>
      <c r="D47" s="112"/>
      <c r="E47" s="112"/>
      <c r="F47" s="61"/>
    </row>
    <row r="48" spans="1:6" outlineLevel="1" x14ac:dyDescent="0.2">
      <c r="A48" s="13" t="s">
        <v>45</v>
      </c>
      <c r="B48" s="65">
        <f t="shared" si="10"/>
        <v>0</v>
      </c>
      <c r="C48" s="27"/>
      <c r="D48" s="112"/>
      <c r="E48" s="112"/>
      <c r="F48" s="61"/>
    </row>
    <row r="49" spans="1:6" outlineLevel="1" x14ac:dyDescent="0.2">
      <c r="A49" s="13" t="s">
        <v>46</v>
      </c>
      <c r="B49" s="65">
        <f t="shared" si="10"/>
        <v>0</v>
      </c>
      <c r="C49" s="27"/>
      <c r="D49" s="112"/>
      <c r="E49" s="112"/>
      <c r="F49" s="61"/>
    </row>
    <row r="50" spans="1:6" outlineLevel="1" x14ac:dyDescent="0.2">
      <c r="A50" s="13" t="s">
        <v>47</v>
      </c>
      <c r="B50" s="65">
        <f t="shared" si="10"/>
        <v>0</v>
      </c>
      <c r="C50" s="27"/>
      <c r="D50" s="112"/>
      <c r="E50" s="112"/>
      <c r="F50" s="61"/>
    </row>
    <row r="51" spans="1:6" outlineLevel="1" x14ac:dyDescent="0.2">
      <c r="A51" s="13" t="s">
        <v>48</v>
      </c>
      <c r="B51" s="65">
        <f t="shared" si="10"/>
        <v>0</v>
      </c>
      <c r="C51" s="27"/>
      <c r="D51" s="112"/>
      <c r="E51" s="112"/>
      <c r="F51" s="61"/>
    </row>
    <row r="52" spans="1:6" x14ac:dyDescent="0.2">
      <c r="A52" s="13" t="s">
        <v>49</v>
      </c>
      <c r="B52" s="80">
        <f t="shared" si="10"/>
        <v>-14570276.832111917</v>
      </c>
      <c r="C52" s="31">
        <f>SUM(C41:C51)</f>
        <v>-4000368.3248412451</v>
      </c>
      <c r="D52" s="120">
        <f t="shared" ref="D52:F52" si="11">SUM(D41:D51)</f>
        <v>-10569908.507270671</v>
      </c>
      <c r="E52" s="120">
        <f t="shared" si="11"/>
        <v>0</v>
      </c>
      <c r="F52" s="67">
        <f t="shared" si="11"/>
        <v>0</v>
      </c>
    </row>
    <row r="53" spans="1:6" x14ac:dyDescent="0.2">
      <c r="A53" s="13"/>
      <c r="B53" s="59"/>
      <c r="C53" s="25"/>
      <c r="D53" s="11"/>
      <c r="E53" s="11"/>
      <c r="F53" s="58"/>
    </row>
    <row r="54" spans="1:6" x14ac:dyDescent="0.2">
      <c r="A54" s="13" t="s">
        <v>50</v>
      </c>
      <c r="B54" s="59"/>
      <c r="C54" s="25"/>
      <c r="D54" s="11"/>
      <c r="E54" s="11"/>
      <c r="F54" s="58"/>
    </row>
    <row r="55" spans="1:6" x14ac:dyDescent="0.2">
      <c r="A55" s="13" t="s">
        <v>51</v>
      </c>
      <c r="B55" s="65">
        <f t="shared" ref="B55:B63" si="12">SUM(C55:F55)</f>
        <v>3732209.0419171331</v>
      </c>
      <c r="C55" s="27">
        <f>SUM('[1]Lead Sheet ADJ_1'!$I$19:$I$21)</f>
        <v>765563.38298735372</v>
      </c>
      <c r="D55" s="112">
        <f>'[2]Lead Sheet ADJ_2'!$I$18+'[2]Lead Sheet ADJ_2'!$I$28</f>
        <v>2966645.6589297797</v>
      </c>
      <c r="E55" s="112"/>
      <c r="F55" s="61"/>
    </row>
    <row r="56" spans="1:6" x14ac:dyDescent="0.2">
      <c r="A56" s="13" t="s">
        <v>52</v>
      </c>
      <c r="B56" s="65">
        <f t="shared" si="12"/>
        <v>0</v>
      </c>
      <c r="C56" s="27"/>
      <c r="D56" s="112"/>
      <c r="E56" s="112"/>
      <c r="F56" s="61"/>
    </row>
    <row r="57" spans="1:6" x14ac:dyDescent="0.2">
      <c r="A57" s="13" t="s">
        <v>53</v>
      </c>
      <c r="B57" s="65">
        <f t="shared" si="12"/>
        <v>7375686.0760486256</v>
      </c>
      <c r="C57" s="156">
        <f>SUM('[1]Lead Sheet ADJ_1'!$I$29,'[1]Lead Sheet ADJ_1'!$I$33)</f>
        <v>7238948.260378547</v>
      </c>
      <c r="D57" s="112">
        <f>'[2]Lead Sheet ADJ_2'!$I$35+'[2]Lead Sheet ADJ_2'!$I$39+'[2]Lead Sheet ADJ_2'!$I$43+'[2]Lead Sheet ADJ_2'!$I$47</f>
        <v>1396434.8156700782</v>
      </c>
      <c r="E57" s="112"/>
      <c r="F57" s="61">
        <f>'[3]Lead Sheet ADJ_4'!$I$12</f>
        <v>-1259697</v>
      </c>
    </row>
    <row r="58" spans="1:6" outlineLevel="1" x14ac:dyDescent="0.2">
      <c r="A58" s="13" t="s">
        <v>54</v>
      </c>
      <c r="B58" s="65">
        <f t="shared" si="12"/>
        <v>0</v>
      </c>
      <c r="C58" s="27"/>
      <c r="D58" s="112"/>
      <c r="E58" s="112"/>
      <c r="F58" s="61"/>
    </row>
    <row r="59" spans="1:6" outlineLevel="1" x14ac:dyDescent="0.2">
      <c r="A59" s="13" t="s">
        <v>55</v>
      </c>
      <c r="B59" s="65">
        <f t="shared" si="12"/>
        <v>0</v>
      </c>
      <c r="C59" s="27"/>
      <c r="D59" s="112"/>
      <c r="E59" s="112"/>
      <c r="F59" s="61"/>
    </row>
    <row r="60" spans="1:6" outlineLevel="1" x14ac:dyDescent="0.2">
      <c r="A60" s="13" t="s">
        <v>56</v>
      </c>
      <c r="B60" s="65">
        <f t="shared" si="12"/>
        <v>0</v>
      </c>
      <c r="C60" s="27"/>
      <c r="D60" s="112"/>
      <c r="E60" s="112"/>
      <c r="F60" s="61"/>
    </row>
    <row r="61" spans="1:6" outlineLevel="1" x14ac:dyDescent="0.2">
      <c r="A61" s="13" t="s">
        <v>57</v>
      </c>
      <c r="B61" s="65">
        <f t="shared" si="12"/>
        <v>0</v>
      </c>
      <c r="C61" s="27"/>
      <c r="D61" s="112"/>
      <c r="E61" s="112"/>
      <c r="F61" s="61"/>
    </row>
    <row r="62" spans="1:6" outlineLevel="1" x14ac:dyDescent="0.2">
      <c r="A62" s="13"/>
      <c r="B62" s="59">
        <f t="shared" si="12"/>
        <v>0</v>
      </c>
      <c r="C62" s="25"/>
      <c r="D62" s="11"/>
      <c r="E62" s="11"/>
      <c r="F62" s="58"/>
    </row>
    <row r="63" spans="1:6" x14ac:dyDescent="0.2">
      <c r="A63" s="13" t="s">
        <v>58</v>
      </c>
      <c r="B63" s="77">
        <f t="shared" si="12"/>
        <v>11107895.117965758</v>
      </c>
      <c r="C63" s="28">
        <f t="shared" ref="C63:D63" si="13">SUM(C55:C62)</f>
        <v>8004511.643365901</v>
      </c>
      <c r="D63" s="117">
        <f t="shared" si="13"/>
        <v>4363080.4745998578</v>
      </c>
      <c r="E63" s="117">
        <f t="shared" ref="E63:F63" si="14">SUM(E55:E62)</f>
        <v>0</v>
      </c>
      <c r="F63" s="62">
        <f t="shared" si="14"/>
        <v>-1259697</v>
      </c>
    </row>
    <row r="64" spans="1:6" x14ac:dyDescent="0.2">
      <c r="A64" s="13"/>
      <c r="B64" s="59"/>
      <c r="C64" s="25"/>
      <c r="D64" s="11"/>
      <c r="E64" s="11"/>
      <c r="F64" s="58"/>
    </row>
    <row r="65" spans="1:6" ht="13.5" thickBot="1" x14ac:dyDescent="0.25">
      <c r="A65" s="13" t="s">
        <v>59</v>
      </c>
      <c r="B65" s="81">
        <f t="shared" ref="B65" si="15">SUM(C65:F65)</f>
        <v>-3462381.7141461577</v>
      </c>
      <c r="C65" s="32">
        <f t="shared" ref="C65:D65" si="16">C52+C63</f>
        <v>4004143.3185246559</v>
      </c>
      <c r="D65" s="121">
        <f t="shared" si="16"/>
        <v>-6206828.0326708136</v>
      </c>
      <c r="E65" s="121">
        <f t="shared" ref="E65:F65" si="17">E52+E63</f>
        <v>0</v>
      </c>
      <c r="F65" s="82">
        <f t="shared" si="17"/>
        <v>-1259697</v>
      </c>
    </row>
    <row r="66" spans="1:6" ht="13.5" thickTop="1" x14ac:dyDescent="0.2">
      <c r="A66" s="13"/>
      <c r="B66" s="59"/>
      <c r="C66" s="25"/>
      <c r="D66" s="11"/>
      <c r="E66" s="11"/>
      <c r="F66" s="58"/>
    </row>
    <row r="67" spans="1:6" x14ac:dyDescent="0.2">
      <c r="A67" s="13"/>
      <c r="B67" s="59"/>
      <c r="C67" s="25"/>
      <c r="D67" s="11"/>
      <c r="E67" s="11"/>
      <c r="F67" s="58"/>
    </row>
    <row r="68" spans="1:6" s="97" customFormat="1" x14ac:dyDescent="0.2">
      <c r="A68" s="101" t="s">
        <v>94</v>
      </c>
      <c r="B68" s="17">
        <f t="shared" ref="B68:D68" si="18">(((B38+Unadj_Op_revenue)/(B65+Unadj_rate_base))-Weighted_cost_debt-Weighted_cost_pref)/Percent_common-Unadj_ROE</f>
        <v>8.7303835761332049E-4</v>
      </c>
      <c r="C68" s="15">
        <f t="shared" si="18"/>
        <v>-1.2926730381750129E-4</v>
      </c>
      <c r="D68" s="114">
        <f t="shared" si="18"/>
        <v>1.0928457828620342E-3</v>
      </c>
      <c r="E68" s="114">
        <f t="shared" ref="E68:F68" si="19">(((E38+Unadj_Op_revenue)/(E65+Unadj_rate_base))-Weighted_cost_debt-Weighted_cost_pref)/Percent_common-Unadj_ROE</f>
        <v>-3.4109144962629623E-5</v>
      </c>
      <c r="F68" s="16">
        <f t="shared" si="19"/>
        <v>-5.2555681271687638E-5</v>
      </c>
    </row>
    <row r="69" spans="1:6" x14ac:dyDescent="0.2">
      <c r="A69" s="13" t="s">
        <v>7</v>
      </c>
      <c r="B69" s="83">
        <f t="shared" ref="B69" si="20">SUM(C69:F69)</f>
        <v>-616597.36891670432</v>
      </c>
      <c r="C69" s="33">
        <f t="shared" ref="C69:D69" si="21">-(C38-(C65*Overall_ROR))/gross_up_factor</f>
        <v>91926.338767855283</v>
      </c>
      <c r="D69" s="115">
        <f t="shared" si="21"/>
        <v>-769884.59480255644</v>
      </c>
      <c r="E69" s="115">
        <f t="shared" ref="E69:F69" si="22">-(E38-(E65*Overall_ROR))/gross_up_factor</f>
        <v>24167.123707812862</v>
      </c>
      <c r="F69" s="163">
        <f t="shared" si="22"/>
        <v>37193.763410183899</v>
      </c>
    </row>
    <row r="70" spans="1:6" x14ac:dyDescent="0.2">
      <c r="A70" s="13"/>
      <c r="B70" s="17"/>
      <c r="C70" s="90"/>
      <c r="D70" s="114"/>
      <c r="E70" s="114"/>
      <c r="F70" s="16"/>
    </row>
    <row r="71" spans="1:6" x14ac:dyDescent="0.2">
      <c r="A71" s="13" t="s">
        <v>61</v>
      </c>
      <c r="B71" s="59"/>
      <c r="C71" s="25"/>
      <c r="D71" s="11"/>
      <c r="E71" s="11"/>
      <c r="F71" s="58"/>
    </row>
    <row r="72" spans="1:6" x14ac:dyDescent="0.2">
      <c r="A72" s="13" t="s">
        <v>62</v>
      </c>
      <c r="B72" s="83">
        <f t="shared" ref="B72:B78" si="23">SUM(C72:F72)</f>
        <v>288835.64086887613</v>
      </c>
      <c r="C72" s="33">
        <f t="shared" ref="C72:D72" si="24">C14-C27-C28-C29-C30-C35</f>
        <v>110005.23863674092</v>
      </c>
      <c r="D72" s="115">
        <f t="shared" si="24"/>
        <v>178830.40223213524</v>
      </c>
      <c r="E72" s="115">
        <f t="shared" ref="E72:F72" si="25">E14-E27-E28-E29-E30-E35</f>
        <v>0</v>
      </c>
      <c r="F72" s="84">
        <f t="shared" si="25"/>
        <v>0</v>
      </c>
    </row>
    <row r="73" spans="1:6" x14ac:dyDescent="0.2">
      <c r="A73" s="13" t="s">
        <v>63</v>
      </c>
      <c r="B73" s="83">
        <f t="shared" si="23"/>
        <v>0</v>
      </c>
      <c r="C73" s="25"/>
      <c r="D73" s="11"/>
      <c r="E73" s="11"/>
      <c r="F73" s="58"/>
    </row>
    <row r="74" spans="1:6" x14ac:dyDescent="0.2">
      <c r="A74" s="13" t="s">
        <v>64</v>
      </c>
      <c r="B74" s="83">
        <f t="shared" si="23"/>
        <v>0</v>
      </c>
      <c r="C74" s="26"/>
      <c r="D74" s="113"/>
      <c r="E74" s="113"/>
      <c r="F74" s="60"/>
    </row>
    <row r="75" spans="1:6" x14ac:dyDescent="0.2">
      <c r="A75" s="13" t="s">
        <v>65</v>
      </c>
      <c r="B75" s="83">
        <f t="shared" si="23"/>
        <v>-86673.662954948843</v>
      </c>
      <c r="C75" s="26"/>
      <c r="D75" s="113"/>
      <c r="E75" s="113">
        <f>'[4]Lead Sheet ADJ_3'!$I$10</f>
        <v>-86673.662954948843</v>
      </c>
      <c r="F75" s="60"/>
    </row>
    <row r="76" spans="1:6" x14ac:dyDescent="0.2">
      <c r="A76" s="13" t="s">
        <v>66</v>
      </c>
      <c r="B76" s="83">
        <f t="shared" si="23"/>
        <v>-671524.24912967277</v>
      </c>
      <c r="C76" s="154">
        <f>'[1]Lead Sheet ADJ_1'!$I$25+'[1]Lead Sheet ADJ_1'!$I$31</f>
        <v>-492693.84689753747</v>
      </c>
      <c r="D76" s="113">
        <f>'[2]Lead Sheet ADJ_2'!$I$37+'[2]Lead Sheet ADJ_2'!$I$41+'[2]Lead Sheet ADJ_2'!$I$45</f>
        <v>-178830.40223213524</v>
      </c>
      <c r="E76" s="113"/>
      <c r="F76" s="60"/>
    </row>
    <row r="77" spans="1:6" x14ac:dyDescent="0.2">
      <c r="A77" s="13" t="s">
        <v>67</v>
      </c>
      <c r="B77" s="83">
        <f t="shared" si="23"/>
        <v>-3941040.1813138328</v>
      </c>
      <c r="C77" s="155">
        <f>'[1]Lead Sheet ADJ_1'!$I$26</f>
        <v>-3941040.1813138328</v>
      </c>
      <c r="D77" s="122"/>
      <c r="E77" s="122"/>
      <c r="F77" s="68"/>
    </row>
    <row r="78" spans="1:6" x14ac:dyDescent="0.2">
      <c r="A78" s="13" t="s">
        <v>68</v>
      </c>
      <c r="B78" s="85">
        <f t="shared" si="23"/>
        <v>3645025.2360079852</v>
      </c>
      <c r="C78" s="90">
        <f t="shared" ref="C78:D78" si="26">C72-C74-C75+C76-C77</f>
        <v>3558351.5730530364</v>
      </c>
      <c r="D78" s="12">
        <f t="shared" si="26"/>
        <v>0</v>
      </c>
      <c r="E78" s="12">
        <f t="shared" ref="E78:F78" si="27">E72-E74-E75+E76-E77</f>
        <v>86673.662954948843</v>
      </c>
      <c r="F78" s="91">
        <f t="shared" si="27"/>
        <v>0</v>
      </c>
    </row>
    <row r="79" spans="1:6" x14ac:dyDescent="0.2">
      <c r="A79" s="13"/>
      <c r="B79" s="59"/>
      <c r="C79" s="25"/>
      <c r="D79" s="11"/>
      <c r="E79" s="11"/>
      <c r="F79" s="58"/>
    </row>
    <row r="80" spans="1:6" x14ac:dyDescent="0.2">
      <c r="A80" s="13" t="s">
        <v>69</v>
      </c>
      <c r="B80" s="86">
        <f t="shared" ref="B80:B81" si="28">SUM(C80:F80)</f>
        <v>0</v>
      </c>
      <c r="C80" s="25">
        <v>0</v>
      </c>
      <c r="D80" s="11">
        <v>0</v>
      </c>
      <c r="E80" s="11">
        <v>0</v>
      </c>
      <c r="F80" s="58">
        <v>0</v>
      </c>
    </row>
    <row r="81" spans="1:6" x14ac:dyDescent="0.2">
      <c r="A81" s="13" t="s">
        <v>70</v>
      </c>
      <c r="B81" s="86">
        <f t="shared" si="28"/>
        <v>3645025.2360079852</v>
      </c>
      <c r="C81" s="25">
        <f>C78-C80</f>
        <v>3558351.5730530364</v>
      </c>
      <c r="D81" s="11">
        <f t="shared" ref="D81:F81" si="29">D78-D80</f>
        <v>0</v>
      </c>
      <c r="E81" s="11">
        <f t="shared" si="29"/>
        <v>86673.662954948843</v>
      </c>
      <c r="F81" s="58">
        <f t="shared" si="29"/>
        <v>0</v>
      </c>
    </row>
    <row r="82" spans="1:6" x14ac:dyDescent="0.2">
      <c r="A82" s="13"/>
      <c r="B82" s="86"/>
      <c r="C82" s="25"/>
      <c r="D82" s="11"/>
      <c r="E82" s="11"/>
      <c r="F82" s="58"/>
    </row>
    <row r="83" spans="1:6" x14ac:dyDescent="0.2">
      <c r="A83" s="13" t="s">
        <v>79</v>
      </c>
      <c r="B83" s="86">
        <f t="shared" ref="B83:B85" si="30">SUM(C83:F83)</f>
        <v>765455.2995616768</v>
      </c>
      <c r="C83" s="25">
        <f>C81*0.21</f>
        <v>747253.8303411376</v>
      </c>
      <c r="D83" s="11">
        <f>D81*0.21</f>
        <v>0</v>
      </c>
      <c r="E83" s="11">
        <f t="shared" ref="E83:F83" si="31">E81*0.21</f>
        <v>18201.469220539257</v>
      </c>
      <c r="F83" s="58">
        <f t="shared" si="31"/>
        <v>0</v>
      </c>
    </row>
    <row r="84" spans="1:6" x14ac:dyDescent="0.2">
      <c r="A84" s="13" t="s">
        <v>80</v>
      </c>
      <c r="B84" s="86">
        <f t="shared" si="30"/>
        <v>0</v>
      </c>
      <c r="C84" s="25"/>
      <c r="D84" s="11"/>
      <c r="E84" s="11"/>
      <c r="F84" s="58"/>
    </row>
    <row r="85" spans="1:6" s="2" customFormat="1" ht="13.5" thickBot="1" x14ac:dyDescent="0.25">
      <c r="A85" s="13" t="s">
        <v>81</v>
      </c>
      <c r="B85" s="87">
        <f t="shared" si="30"/>
        <v>765455.2995616768</v>
      </c>
      <c r="C85" s="70">
        <f>C83+C84</f>
        <v>747253.8303411376</v>
      </c>
      <c r="D85" s="123">
        <f t="shared" ref="D85:F85" si="32">D83+D84</f>
        <v>0</v>
      </c>
      <c r="E85" s="123">
        <f t="shared" si="32"/>
        <v>18201.469220539257</v>
      </c>
      <c r="F85" s="69">
        <f t="shared" si="32"/>
        <v>0</v>
      </c>
    </row>
    <row r="86" spans="1:6" s="2" customFormat="1" x14ac:dyDescent="0.2">
      <c r="A86" s="13"/>
      <c r="B86" s="12"/>
      <c r="C86" s="12"/>
      <c r="D86" s="12"/>
    </row>
    <row r="87" spans="1:6" s="2" customFormat="1" x14ac:dyDescent="0.2">
      <c r="A87" s="13"/>
      <c r="B87" s="13"/>
      <c r="C87" s="13"/>
      <c r="D87" s="13"/>
    </row>
    <row r="88" spans="1:6" s="2" customFormat="1" x14ac:dyDescent="0.2">
      <c r="A88" s="88"/>
      <c r="B88" s="11"/>
      <c r="C88" s="11"/>
      <c r="D88" s="11"/>
    </row>
    <row r="89" spans="1:6" s="2" customFormat="1" x14ac:dyDescent="0.2">
      <c r="A89" s="13"/>
      <c r="B89" s="11"/>
      <c r="C89" s="11"/>
      <c r="D89" s="11"/>
    </row>
    <row r="90" spans="1:6" s="2" customFormat="1" x14ac:dyDescent="0.2">
      <c r="A90" s="13"/>
    </row>
    <row r="91" spans="1:6" s="2" customFormat="1" x14ac:dyDescent="0.2">
      <c r="A91" s="89"/>
    </row>
  </sheetData>
  <pageMargins left="1" right="0.5" top="0.75" bottom="0.5" header="0.3" footer="0.5"/>
  <pageSetup scale="61" firstPageNumber="25" fitToWidth="0" orientation="portrait" useFirstPageNumber="1" r:id="rId1"/>
  <headerFooter alignWithMargins="0">
    <oddHeader>&amp;RPage 1.3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B1:F35"/>
  <sheetViews>
    <sheetView view="pageBreakPreview" zoomScaleNormal="100" zoomScaleSheetLayoutView="100" workbookViewId="0"/>
  </sheetViews>
  <sheetFormatPr defaultRowHeight="12.75" x14ac:dyDescent="0.2"/>
  <cols>
    <col min="1" max="1" width="3.85546875" style="18" customWidth="1"/>
    <col min="2" max="4" width="15.7109375" style="18" customWidth="1"/>
    <col min="5" max="5" width="13.42578125" style="18" bestFit="1" customWidth="1"/>
    <col min="6" max="16384" width="9.140625" style="18"/>
  </cols>
  <sheetData>
    <row r="1" spans="2:5" x14ac:dyDescent="0.2">
      <c r="B1" s="23" t="s">
        <v>6</v>
      </c>
    </row>
    <row r="2" spans="2:5" x14ac:dyDescent="0.2">
      <c r="B2" s="23" t="str">
        <f>Results!A2</f>
        <v>Washington Limited-Issue Rate Filing</v>
      </c>
    </row>
    <row r="3" spans="2:5" x14ac:dyDescent="0.2">
      <c r="B3" s="23" t="s">
        <v>125</v>
      </c>
    </row>
    <row r="6" spans="2:5" x14ac:dyDescent="0.2">
      <c r="B6" s="40" t="s">
        <v>93</v>
      </c>
      <c r="C6" s="45"/>
      <c r="D6" s="45"/>
      <c r="E6" s="45"/>
    </row>
    <row r="7" spans="2:5" s="47" customFormat="1" x14ac:dyDescent="0.2">
      <c r="B7" s="41"/>
      <c r="C7" s="41" t="s">
        <v>0</v>
      </c>
      <c r="D7" s="42" t="s">
        <v>1</v>
      </c>
      <c r="E7" s="41" t="s">
        <v>2</v>
      </c>
    </row>
    <row r="8" spans="2:5" x14ac:dyDescent="0.2">
      <c r="B8" s="43" t="s">
        <v>3</v>
      </c>
      <c r="C8" s="93">
        <v>0.50880000000000003</v>
      </c>
      <c r="D8" s="94">
        <v>4.9200000000000001E-2</v>
      </c>
      <c r="E8" s="102">
        <f>C8*D8</f>
        <v>2.5032960000000003E-2</v>
      </c>
    </row>
    <row r="9" spans="2:5" x14ac:dyDescent="0.2">
      <c r="B9" s="43" t="s">
        <v>4</v>
      </c>
      <c r="C9" s="93">
        <v>2.0000000000000001E-4</v>
      </c>
      <c r="D9" s="94">
        <v>6.7500000000000004E-2</v>
      </c>
      <c r="E9" s="102">
        <f>C9*D9</f>
        <v>1.3500000000000001E-5</v>
      </c>
    </row>
    <row r="10" spans="2:5" x14ac:dyDescent="0.2">
      <c r="B10" s="44" t="s">
        <v>5</v>
      </c>
      <c r="C10" s="95">
        <v>0.49099999999999999</v>
      </c>
      <c r="D10" s="96">
        <v>9.5000000000000001E-2</v>
      </c>
      <c r="E10" s="103">
        <f>C10*D10</f>
        <v>4.6644999999999999E-2</v>
      </c>
    </row>
    <row r="11" spans="2:5" x14ac:dyDescent="0.2">
      <c r="E11" s="104">
        <f>SUM(E8:E10)</f>
        <v>7.1691459999999999E-2</v>
      </c>
    </row>
    <row r="16" spans="2:5" x14ac:dyDescent="0.2">
      <c r="B16" s="24" t="s">
        <v>91</v>
      </c>
      <c r="C16" s="48"/>
    </row>
    <row r="17" spans="2:6" x14ac:dyDescent="0.2">
      <c r="B17" s="18" t="s">
        <v>62</v>
      </c>
      <c r="D17" s="35">
        <v>1</v>
      </c>
    </row>
    <row r="18" spans="2:6" x14ac:dyDescent="0.2">
      <c r="D18" s="35"/>
    </row>
    <row r="19" spans="2:6" x14ac:dyDescent="0.2">
      <c r="B19" s="18" t="s">
        <v>85</v>
      </c>
      <c r="D19" s="35"/>
    </row>
    <row r="20" spans="2:6" x14ac:dyDescent="0.2">
      <c r="B20" s="18" t="s">
        <v>86</v>
      </c>
      <c r="D20" s="97">
        <v>5.1435834186224598E-3</v>
      </c>
      <c r="F20" s="53"/>
    </row>
    <row r="21" spans="2:6" x14ac:dyDescent="0.2">
      <c r="B21" s="18" t="s">
        <v>84</v>
      </c>
      <c r="D21" s="97">
        <v>2E-3</v>
      </c>
    </row>
    <row r="22" spans="2:6" x14ac:dyDescent="0.2">
      <c r="B22" s="18" t="s">
        <v>105</v>
      </c>
      <c r="D22" s="97">
        <v>3.95E-2</v>
      </c>
    </row>
    <row r="23" spans="2:6" x14ac:dyDescent="0.2">
      <c r="B23" s="18" t="s">
        <v>87</v>
      </c>
      <c r="D23" s="97">
        <v>0</v>
      </c>
    </row>
    <row r="24" spans="2:6" x14ac:dyDescent="0.2">
      <c r="B24" s="18" t="s">
        <v>88</v>
      </c>
      <c r="D24" s="96">
        <v>0</v>
      </c>
    </row>
    <row r="25" spans="2:6" x14ac:dyDescent="0.2">
      <c r="D25" s="35"/>
    </row>
    <row r="26" spans="2:6" x14ac:dyDescent="0.2">
      <c r="B26" s="18" t="s">
        <v>89</v>
      </c>
      <c r="D26" s="49">
        <f>D17-SUM(D19:D24)</f>
        <v>0.95335641658137749</v>
      </c>
    </row>
    <row r="27" spans="2:6" x14ac:dyDescent="0.2">
      <c r="D27" s="35"/>
    </row>
    <row r="28" spans="2:6" x14ac:dyDescent="0.2">
      <c r="B28" s="18" t="s">
        <v>92</v>
      </c>
      <c r="D28" s="36">
        <v>0</v>
      </c>
    </row>
    <row r="29" spans="2:6" x14ac:dyDescent="0.2">
      <c r="D29" s="35"/>
    </row>
    <row r="30" spans="2:6" x14ac:dyDescent="0.2">
      <c r="B30" s="18" t="s">
        <v>89</v>
      </c>
      <c r="D30" s="49">
        <f>D26-D28</f>
        <v>0.95335641658137749</v>
      </c>
    </row>
    <row r="31" spans="2:6" x14ac:dyDescent="0.2">
      <c r="D31" s="35"/>
    </row>
    <row r="32" spans="2:6" x14ac:dyDescent="0.2">
      <c r="B32" s="18" t="s">
        <v>107</v>
      </c>
      <c r="D32" s="36">
        <f>D30*0.21</f>
        <v>0.20020484748208928</v>
      </c>
    </row>
    <row r="33" spans="2:4" x14ac:dyDescent="0.2">
      <c r="D33" s="50"/>
    </row>
    <row r="34" spans="2:4" ht="13.5" thickBot="1" x14ac:dyDescent="0.25">
      <c r="B34" s="18" t="s">
        <v>90</v>
      </c>
      <c r="D34" s="51">
        <f>ROUND(D30-D32,5)</f>
        <v>0.75314999999999999</v>
      </c>
    </row>
    <row r="35" spans="2:4" ht="13.5" thickTop="1" x14ac:dyDescent="0.2">
      <c r="D35" s="52"/>
    </row>
  </sheetData>
  <phoneticPr fontId="3" type="noConversion"/>
  <pageMargins left="0.75" right="0.75" top="1" bottom="1" header="0.5" footer="0.5"/>
  <pageSetup orientation="portrait" r:id="rId1"/>
  <headerFooter alignWithMargins="0">
    <oddHeader>&amp;RPage 1.4</oddHead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D0C74DD-B91D-457A-B27C-E317F87867D7}"/>
</file>

<file path=customXml/itemProps2.xml><?xml version="1.0" encoding="utf-8"?>
<ds:datastoreItem xmlns:ds="http://schemas.openxmlformats.org/officeDocument/2006/customXml" ds:itemID="{34E73FC8-0D32-41FA-A09B-5A52C5AB9264}"/>
</file>

<file path=customXml/itemProps3.xml><?xml version="1.0" encoding="utf-8"?>
<ds:datastoreItem xmlns:ds="http://schemas.openxmlformats.org/officeDocument/2006/customXml" ds:itemID="{A882D8C4-F2DB-4049-B305-1BEC81EFD28C}"/>
</file>

<file path=customXml/itemProps4.xml><?xml version="1.0" encoding="utf-8"?>
<ds:datastoreItem xmlns:ds="http://schemas.openxmlformats.org/officeDocument/2006/customXml" ds:itemID="{5027F283-FB5F-412B-830D-1F7D4FCD05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Results</vt:lpstr>
      <vt:lpstr>Price Change</vt:lpstr>
      <vt:lpstr>Adjustments</vt:lpstr>
      <vt:lpstr>Variables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Adjustments!Print_Area</vt:lpstr>
      <vt:lpstr>'Price Change'!Print_Area</vt:lpstr>
      <vt:lpstr>Adjustments!Print_Titles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Cheung, Sherona</cp:lastModifiedBy>
  <cp:lastPrinted>2021-06-23T21:59:36Z</cp:lastPrinted>
  <dcterms:created xsi:type="dcterms:W3CDTF">2009-02-17T19:17:29Z</dcterms:created>
  <dcterms:modified xsi:type="dcterms:W3CDTF">2021-06-25T21:41:39Z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