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drawings/drawing2.xml" ContentType="application/vnd.openxmlformats-officedocument.drawing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730"/>
  <workbookPr/>
  <mc:AlternateContent xmlns:mc="http://schemas.openxmlformats.org/markup-compatibility/2006">
    <mc:Choice Requires="x15">
      <x15ac:absPath xmlns:x15ac="http://schemas.microsoft.com/office/spreadsheetml/2010/11/ac" url="D:\Utility\Current Cases\Proxy Group\"/>
    </mc:Choice>
  </mc:AlternateContent>
  <xr:revisionPtr revIDLastSave="0" documentId="8_{0DF2DAEB-8C14-493A-B343-1362A69C41A4}" xr6:coauthVersionLast="36" xr6:coauthVersionMax="36" xr10:uidLastSave="{00000000-0000-0000-0000-000000000000}"/>
  <bookViews>
    <workbookView xWindow="0" yWindow="0" windowWidth="18378" windowHeight="11160" xr2:uid="{00000000-000D-0000-FFFF-FFFF00000000}"/>
  </bookViews>
  <sheets>
    <sheet name="Percentages - 2018" sheetId="2" r:id="rId1"/>
    <sheet name="10-K Reports - 2018" sheetId="4" r:id="rId2"/>
    <sheet name="Percentages - 2017" sheetId="3" r:id="rId3"/>
    <sheet name="10-K Reports" sheetId="1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C9" i="2" l="1"/>
  <c r="D9" i="2"/>
  <c r="C60" i="4"/>
  <c r="B60" i="4"/>
  <c r="C32" i="2" l="1"/>
  <c r="D32" i="2"/>
  <c r="C495" i="4"/>
  <c r="B495" i="4"/>
  <c r="C31" i="2"/>
  <c r="D31" i="2"/>
  <c r="C475" i="4"/>
  <c r="B475" i="4"/>
  <c r="C30" i="2"/>
  <c r="D30" i="2"/>
  <c r="C451" i="4"/>
  <c r="B451" i="4"/>
  <c r="D29" i="2"/>
  <c r="C432" i="4"/>
  <c r="B432" i="4"/>
  <c r="C29" i="2" s="1"/>
  <c r="C28" i="2"/>
  <c r="D28" i="2"/>
  <c r="C27" i="2"/>
  <c r="D27" i="2"/>
  <c r="C25" i="2"/>
  <c r="D25" i="2"/>
  <c r="B376" i="4"/>
  <c r="D43" i="2"/>
  <c r="B346" i="4"/>
  <c r="C43" i="2" s="1"/>
  <c r="C24" i="2"/>
  <c r="D24" i="2"/>
  <c r="D23" i="2"/>
  <c r="C316" i="4"/>
  <c r="B316" i="4"/>
  <c r="C23" i="2" s="1"/>
  <c r="D22" i="2"/>
  <c r="B299" i="4"/>
  <c r="C22" i="2" s="1"/>
  <c r="C288" i="4"/>
  <c r="D21" i="2" s="1"/>
  <c r="B288" i="4"/>
  <c r="C21" i="2" s="1"/>
  <c r="D20" i="2"/>
  <c r="B273" i="4"/>
  <c r="C20" i="2" s="1"/>
  <c r="D19" i="2"/>
  <c r="B258" i="4"/>
  <c r="C19" i="2" s="1"/>
  <c r="C18" i="2"/>
  <c r="B243" i="4"/>
  <c r="D16" i="2"/>
  <c r="C16" i="2"/>
  <c r="B214" i="4"/>
  <c r="B213" i="4"/>
  <c r="D17" i="2"/>
  <c r="C17" i="2"/>
  <c r="B229" i="4"/>
  <c r="B228" i="4"/>
  <c r="D15" i="2"/>
  <c r="C15" i="2"/>
  <c r="B199" i="4"/>
  <c r="B198" i="4"/>
  <c r="D12" i="2"/>
  <c r="C12" i="2"/>
  <c r="B154" i="4"/>
  <c r="B153" i="4"/>
  <c r="D39" i="2"/>
  <c r="C39" i="2"/>
  <c r="B139" i="4"/>
  <c r="B138" i="4"/>
  <c r="B122" i="1"/>
  <c r="B121" i="1"/>
  <c r="D38" i="2"/>
  <c r="C38" i="2"/>
  <c r="B124" i="4"/>
  <c r="B123" i="4"/>
  <c r="D11" i="2"/>
  <c r="C11" i="2"/>
  <c r="B109" i="4"/>
  <c r="B108" i="4"/>
  <c r="D10" i="2"/>
  <c r="C10" i="2"/>
  <c r="B94" i="4"/>
  <c r="B93" i="4"/>
  <c r="D37" i="2"/>
  <c r="C37" i="2"/>
  <c r="B532" i="4"/>
  <c r="B531" i="4"/>
  <c r="D36" i="2"/>
  <c r="C36" i="2"/>
  <c r="B517" i="4"/>
  <c r="B516" i="4"/>
  <c r="D35" i="2"/>
  <c r="C35" i="2"/>
  <c r="B79" i="4"/>
  <c r="B78" i="4"/>
  <c r="C8" i="2"/>
  <c r="B46" i="4"/>
  <c r="D7" i="2"/>
  <c r="C7" i="2"/>
  <c r="C6" i="2"/>
  <c r="C5" i="2"/>
  <c r="B32" i="4"/>
  <c r="B31" i="4"/>
  <c r="B17" i="4"/>
  <c r="D6" i="2" s="1"/>
  <c r="B16" i="4"/>
  <c r="B2" i="4"/>
  <c r="B594" i="4"/>
  <c r="B593" i="4"/>
  <c r="B564" i="4"/>
  <c r="B563" i="4"/>
  <c r="B547" i="4"/>
  <c r="B546" i="4"/>
  <c r="B361" i="4"/>
  <c r="D44" i="3"/>
  <c r="C44" i="3"/>
  <c r="D43" i="3"/>
  <c r="C43" i="3"/>
  <c r="D42" i="3"/>
  <c r="C42" i="3"/>
  <c r="D41" i="3"/>
  <c r="C41" i="3"/>
  <c r="D40" i="3"/>
  <c r="C40" i="3"/>
  <c r="D39" i="3"/>
  <c r="C39" i="3"/>
  <c r="D38" i="3"/>
  <c r="C38" i="3"/>
  <c r="D37" i="3"/>
  <c r="C37" i="3"/>
  <c r="D35" i="3"/>
  <c r="C35" i="3"/>
  <c r="D34" i="3"/>
  <c r="C34" i="3"/>
  <c r="D33" i="3"/>
  <c r="C33" i="3"/>
  <c r="D32" i="3"/>
  <c r="C32" i="3"/>
  <c r="D31" i="3"/>
  <c r="C31" i="3"/>
  <c r="D30" i="3"/>
  <c r="C30" i="3"/>
  <c r="D29" i="3"/>
  <c r="C29" i="3"/>
  <c r="D28" i="3"/>
  <c r="C28" i="3"/>
  <c r="D27" i="3"/>
  <c r="C27" i="3"/>
  <c r="D26" i="3"/>
  <c r="C26" i="3"/>
  <c r="D25" i="3"/>
  <c r="C25" i="3"/>
  <c r="D24" i="3"/>
  <c r="C24" i="3"/>
  <c r="D23" i="3"/>
  <c r="C23" i="3"/>
  <c r="D22" i="3"/>
  <c r="C22" i="3"/>
  <c r="D21" i="3"/>
  <c r="C21" i="3"/>
  <c r="D20" i="3"/>
  <c r="C20" i="3"/>
  <c r="D19" i="3"/>
  <c r="C19" i="3"/>
  <c r="D18" i="3"/>
  <c r="C18" i="3"/>
  <c r="D17" i="3"/>
  <c r="C17" i="3"/>
  <c r="D16" i="3"/>
  <c r="C16" i="3"/>
  <c r="D15" i="3"/>
  <c r="C15" i="3"/>
  <c r="D14" i="3"/>
  <c r="C14" i="3"/>
  <c r="D13" i="3"/>
  <c r="C13" i="3"/>
  <c r="D12" i="3"/>
  <c r="C12" i="3"/>
  <c r="D11" i="3"/>
  <c r="C11" i="3"/>
  <c r="D10" i="3"/>
  <c r="C10" i="3"/>
  <c r="D9" i="3"/>
  <c r="C9" i="3"/>
  <c r="D8" i="3"/>
  <c r="C8" i="3"/>
  <c r="D7" i="3"/>
  <c r="C7" i="3"/>
  <c r="D6" i="3"/>
  <c r="C6" i="3"/>
  <c r="A6" i="3"/>
  <c r="A7" i="3" s="1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7" i="3" s="1"/>
  <c r="A38" i="3" s="1"/>
  <c r="A39" i="3" s="1"/>
  <c r="A40" i="3" s="1"/>
  <c r="A41" i="3" s="1"/>
  <c r="A42" i="3" s="1"/>
  <c r="A43" i="3" s="1"/>
  <c r="A44" i="3" s="1"/>
  <c r="D5" i="3"/>
  <c r="C5" i="3"/>
  <c r="D45" i="2" l="1"/>
  <c r="D42" i="2"/>
  <c r="C42" i="2"/>
  <c r="D46" i="2"/>
  <c r="C46" i="2"/>
  <c r="D26" i="2"/>
  <c r="C26" i="2"/>
  <c r="D14" i="2"/>
  <c r="C14" i="2"/>
  <c r="D13" i="2"/>
  <c r="C13" i="2"/>
  <c r="D5" i="2"/>
  <c r="B572" i="1"/>
  <c r="D47" i="2" s="1"/>
  <c r="B571" i="1"/>
  <c r="C47" i="2" s="1"/>
  <c r="B557" i="1"/>
  <c r="B556" i="1"/>
  <c r="B542" i="1"/>
  <c r="B541" i="1"/>
  <c r="C45" i="2" s="1"/>
  <c r="B496" i="1"/>
  <c r="C40" i="2" s="1"/>
  <c r="B497" i="1"/>
  <c r="D40" i="2" s="1"/>
  <c r="B482" i="1"/>
  <c r="B481" i="1"/>
  <c r="B467" i="1"/>
  <c r="B466" i="1"/>
  <c r="B452" i="1"/>
  <c r="B451" i="1"/>
  <c r="B437" i="1"/>
  <c r="B436" i="1"/>
  <c r="B422" i="1"/>
  <c r="B421" i="1"/>
  <c r="B407" i="1"/>
  <c r="B406" i="1"/>
  <c r="B332" i="1"/>
  <c r="D44" i="2" s="1"/>
  <c r="B331" i="1"/>
  <c r="C44" i="2" s="1"/>
  <c r="B316" i="1"/>
  <c r="B287" i="1"/>
  <c r="B286" i="1"/>
  <c r="B272" i="1"/>
  <c r="B271" i="1"/>
  <c r="B256" i="1"/>
  <c r="B241" i="1"/>
  <c r="B226" i="1"/>
  <c r="B212" i="1"/>
  <c r="B211" i="1"/>
  <c r="B197" i="1"/>
  <c r="B196" i="1"/>
  <c r="B182" i="1"/>
  <c r="B181" i="1"/>
  <c r="B137" i="1"/>
  <c r="B136" i="1"/>
  <c r="B107" i="1"/>
  <c r="B106" i="1"/>
  <c r="B92" i="1"/>
  <c r="B91" i="1"/>
  <c r="B77" i="1"/>
  <c r="B76" i="1"/>
  <c r="B61" i="1"/>
  <c r="B62" i="1"/>
  <c r="B46" i="1"/>
  <c r="B32" i="1"/>
  <c r="B31" i="1"/>
  <c r="B17" i="1"/>
  <c r="B16" i="1"/>
  <c r="B2" i="1"/>
  <c r="A6" i="2" l="1"/>
  <c r="A7" i="2" l="1"/>
  <c r="A8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5" i="2" l="1"/>
  <c r="A38" i="2" s="1"/>
  <c r="A39" i="2" s="1"/>
  <c r="A43" i="2" s="1"/>
  <c r="A44" i="2" s="1"/>
  <c r="A46" i="2" s="1"/>
  <c r="A36" i="2" s="1"/>
  <c r="A37" i="2" s="1"/>
  <c r="A40" i="2" s="1"/>
  <c r="A42" i="2" s="1"/>
  <c r="A45" i="2" s="1"/>
  <c r="A47" i="2" s="1"/>
  <c r="M506" i="4" l="1"/>
</calcChain>
</file>

<file path=xl/sharedStrings.xml><?xml version="1.0" encoding="utf-8"?>
<sst xmlns="http://schemas.openxmlformats.org/spreadsheetml/2006/main" count="326" uniqueCount="82">
  <si>
    <t>DUK</t>
  </si>
  <si>
    <t>NEE</t>
  </si>
  <si>
    <t>OGE</t>
  </si>
  <si>
    <t>OTTR</t>
  </si>
  <si>
    <t>PPL</t>
  </si>
  <si>
    <t>PNM</t>
  </si>
  <si>
    <t>PNW</t>
  </si>
  <si>
    <t>POR</t>
  </si>
  <si>
    <t>PEG</t>
  </si>
  <si>
    <t>SCG</t>
  </si>
  <si>
    <t>SRE</t>
  </si>
  <si>
    <t>SO</t>
  </si>
  <si>
    <t>VVC</t>
  </si>
  <si>
    <t>WEC</t>
  </si>
  <si>
    <t>XEL</t>
  </si>
  <si>
    <t>ALLETE, Inc. (NYSE-ALE)</t>
  </si>
  <si>
    <t>Alliant  Energy Corporation (NYSE-LNT)</t>
  </si>
  <si>
    <t>Ameren Corporation (NYSE-AEE)</t>
  </si>
  <si>
    <t>American Electric Power Co. (NYSE-AEP)</t>
  </si>
  <si>
    <t>Avista Corporation (NYSE-AVA)</t>
  </si>
  <si>
    <t>Black Hills Corporation (NYSE-BKH)</t>
  </si>
  <si>
    <t>CMS Energy Corporation (NYSE-CMS)</t>
  </si>
  <si>
    <t>Consolidated Edison, Inc. (NYSE-ED)</t>
  </si>
  <si>
    <t>Dominion Resources, Inc. (NYSE-D)</t>
  </si>
  <si>
    <t>DTE Energy Company (NYSE-DTE)</t>
  </si>
  <si>
    <t>Duke Energy Corporation (NYSE-DUK)</t>
  </si>
  <si>
    <t>Edison International (NYSE-EIX)</t>
  </si>
  <si>
    <t>El Paso Electric Company (NYSE-EE)</t>
  </si>
  <si>
    <t>Entergy Corporation (NYSE-ETR)</t>
  </si>
  <si>
    <t>Eversource Energy (NYSE-ES)</t>
  </si>
  <si>
    <t>FirstEnergy Corporation (NYSE-FE)</t>
  </si>
  <si>
    <t>Hawaiian Electric Inductries (NYSE-HEC)</t>
  </si>
  <si>
    <t>IDACORP, Inc. (NYSE-IDA)</t>
  </si>
  <si>
    <t>MGE Energy, Inc. (NYSE-MGEE)</t>
  </si>
  <si>
    <t>NorthWestern Corporation (NYSE-NWE)</t>
  </si>
  <si>
    <t>OGE Energy Corp. (NYSE-OGE)</t>
  </si>
  <si>
    <t>Otter Tail Corporation (NDQ-OTTR)</t>
  </si>
  <si>
    <t>PG&amp;E Corporation (NYSE-PCG)</t>
  </si>
  <si>
    <t>Pinnacle West Capital Corp. (NYSE-PNW)</t>
  </si>
  <si>
    <t>PNM Resources, Inc. (NYSE-PNM)</t>
  </si>
  <si>
    <t>Portland General Electric Company (NYSE-POR)</t>
  </si>
  <si>
    <t>PPL Corporation (NYSE-PPL)</t>
  </si>
  <si>
    <t>SCANA Corporation (NYSE-SCG)</t>
  </si>
  <si>
    <t>Southern Company (NYSE-SO)</t>
  </si>
  <si>
    <t>WEC Energy Group (NYSE-WEC)</t>
  </si>
  <si>
    <t>Xcel Energy Inc. (NYSE-XEL)</t>
  </si>
  <si>
    <t>AVA</t>
  </si>
  <si>
    <t>AEP</t>
  </si>
  <si>
    <t>BKH</t>
  </si>
  <si>
    <t>CNP</t>
  </si>
  <si>
    <t>CMS</t>
  </si>
  <si>
    <t>ED</t>
  </si>
  <si>
    <t>D</t>
  </si>
  <si>
    <t>DTE</t>
  </si>
  <si>
    <t>ETR</t>
  </si>
  <si>
    <t>EE</t>
  </si>
  <si>
    <t>ES</t>
  </si>
  <si>
    <t>EXC</t>
  </si>
  <si>
    <t/>
  </si>
  <si>
    <t>FE</t>
  </si>
  <si>
    <t>GXP</t>
  </si>
  <si>
    <t>HE</t>
  </si>
  <si>
    <t>IDA</t>
  </si>
  <si>
    <t>% Elec</t>
  </si>
  <si>
    <t>% Gas</t>
  </si>
  <si>
    <t>ALE</t>
  </si>
  <si>
    <t>LNT</t>
  </si>
  <si>
    <t>AEE</t>
  </si>
  <si>
    <t>EIX</t>
  </si>
  <si>
    <t>Exelon Corporation (NYSE-EXC)</t>
  </si>
  <si>
    <t>MGEE</t>
  </si>
  <si>
    <t>NWE</t>
  </si>
  <si>
    <t>PCG</t>
  </si>
  <si>
    <t>CenterPoint Energy, Inc. (NYSE-CNP)</t>
  </si>
  <si>
    <t>Great Plains Energy, Inc. (NYSE-GXP)</t>
  </si>
  <si>
    <t>NextEra Energy, Inc. (NYSE-NEE)</t>
  </si>
  <si>
    <t>Public Service Enterprise Group, Inc. (NYSE-PEG)</t>
  </si>
  <si>
    <t>Sempra Energy (NYSE-SRE)</t>
  </si>
  <si>
    <t>Vectren Corporation (NYSE-VVC)</t>
  </si>
  <si>
    <t>Evergy, Inc. (NYSE-EVRG)</t>
  </si>
  <si>
    <t>AGR</t>
  </si>
  <si>
    <t>AVANGRID, Inc. (NYSE-AGR)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</si>
</sst>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&quot;$&quot;#,##0;[Red]\(&quot;$&quot;##,#00\)"/>
    <numFmt numFmtId="165" formatCode="#,##0;[Red]\(#,##0\)"/>
    <numFmt numFmtId="166" formatCode="0.0%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indexed="8"/>
      <name val="Times New Roman"/>
      <family val="1"/>
    </font>
    <font>
      <b/>
      <sz val="12"/>
      <color theme="1"/>
      <name val="Times New Roman"/>
      <family val="1"/>
    </font>
    <font>
      <sz val="9"/>
      <color indexed="0"/>
      <name val="Courier New"/>
      <family val="3"/>
    </font>
    <font>
      <b/>
      <sz val="9"/>
      <color indexed="0"/>
      <name val="Courier New"/>
      <family val="3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62">
    <xf numFmtId="0" fontId="0" fillId="0" borderId="0" xfId="0"/>
    <xf numFmtId="9" fontId="3" fillId="0" borderId="0" xfId="1" applyFont="1"/>
    <xf numFmtId="0" fontId="0" fillId="0" borderId="0" xfId="0" applyFill="1"/>
    <xf numFmtId="0" fontId="0" fillId="0" borderId="0" xfId="0"/>
    <xf numFmtId="0" fontId="4" fillId="0" borderId="0" xfId="0" applyFont="1" applyFill="1" applyAlignment="1" applyProtection="1">
      <alignment horizontal="right"/>
    </xf>
    <xf numFmtId="165" fontId="4" fillId="0" borderId="0" xfId="0" applyNumberFormat="1" applyFont="1" applyFill="1" applyAlignment="1" applyProtection="1">
      <alignment horizontal="right"/>
    </xf>
    <xf numFmtId="0" fontId="4" fillId="0" borderId="0" xfId="0" applyFont="1" applyFill="1" applyAlignment="1" applyProtection="1"/>
    <xf numFmtId="0" fontId="5" fillId="0" borderId="0" xfId="0" applyFont="1" applyFill="1" applyAlignment="1" applyProtection="1"/>
    <xf numFmtId="2" fontId="4" fillId="0" borderId="0" xfId="0" applyNumberFormat="1" applyFont="1" applyFill="1" applyAlignment="1" applyProtection="1">
      <alignment horizontal="right"/>
    </xf>
    <xf numFmtId="164" fontId="4" fillId="0" borderId="0" xfId="0" applyNumberFormat="1" applyFont="1" applyFill="1" applyAlignment="1" applyProtection="1">
      <alignment horizontal="right"/>
    </xf>
    <xf numFmtId="10" fontId="0" fillId="0" borderId="0" xfId="1" applyNumberFormat="1" applyFont="1"/>
    <xf numFmtId="0" fontId="0" fillId="0" borderId="0" xfId="0"/>
    <xf numFmtId="0" fontId="0" fillId="0" borderId="0" xfId="0"/>
    <xf numFmtId="9" fontId="3" fillId="0" borderId="1" xfId="1" applyFont="1" applyBorder="1"/>
    <xf numFmtId="9" fontId="3" fillId="0" borderId="1" xfId="1" applyFont="1" applyFill="1" applyBorder="1"/>
    <xf numFmtId="0" fontId="2" fillId="0" borderId="2" xfId="0" applyFont="1" applyFill="1" applyBorder="1" applyAlignment="1">
      <alignment horizontal="left"/>
    </xf>
    <xf numFmtId="9" fontId="3" fillId="0" borderId="3" xfId="1" applyFont="1" applyBorder="1"/>
    <xf numFmtId="9" fontId="3" fillId="0" borderId="4" xfId="1" applyFont="1" applyBorder="1"/>
    <xf numFmtId="0" fontId="2" fillId="0" borderId="5" xfId="0" applyFont="1" applyFill="1" applyBorder="1" applyAlignment="1">
      <alignment horizontal="left"/>
    </xf>
    <xf numFmtId="9" fontId="3" fillId="0" borderId="6" xfId="1" applyFont="1" applyFill="1" applyBorder="1"/>
    <xf numFmtId="9" fontId="3" fillId="0" borderId="6" xfId="1" applyFont="1" applyBorder="1"/>
    <xf numFmtId="0" fontId="3" fillId="0" borderId="5" xfId="0" applyFont="1" applyFill="1" applyBorder="1" applyAlignment="1">
      <alignment horizontal="left"/>
    </xf>
    <xf numFmtId="0" fontId="2" fillId="0" borderId="5" xfId="0" applyFont="1" applyBorder="1" applyAlignment="1">
      <alignment horizontal="left"/>
    </xf>
    <xf numFmtId="0" fontId="2" fillId="0" borderId="7" xfId="0" applyFont="1" applyFill="1" applyBorder="1" applyAlignment="1">
      <alignment horizontal="left"/>
    </xf>
    <xf numFmtId="9" fontId="3" fillId="0" borderId="8" xfId="1" applyFont="1" applyBorder="1"/>
    <xf numFmtId="9" fontId="3" fillId="0" borderId="9" xfId="1" applyFont="1" applyBorder="1"/>
    <xf numFmtId="0" fontId="6" fillId="0" borderId="0" xfId="0" applyFont="1"/>
    <xf numFmtId="0" fontId="2" fillId="0" borderId="10" xfId="0" applyFont="1" applyFill="1" applyBorder="1" applyAlignment="1">
      <alignment horizontal="left"/>
    </xf>
    <xf numFmtId="9" fontId="3" fillId="0" borderId="11" xfId="1" applyFont="1" applyBorder="1"/>
    <xf numFmtId="9" fontId="3" fillId="0" borderId="12" xfId="1" applyFont="1" applyBorder="1"/>
    <xf numFmtId="0" fontId="6" fillId="3" borderId="0" xfId="0" applyFont="1" applyFill="1"/>
    <xf numFmtId="0" fontId="6" fillId="2" borderId="0" xfId="0" applyFont="1" applyFill="1"/>
    <xf numFmtId="9" fontId="3" fillId="0" borderId="3" xfId="1" quotePrefix="1" applyFont="1" applyBorder="1"/>
    <xf numFmtId="165" fontId="4" fillId="0" borderId="0" xfId="0" applyNumberFormat="1" applyFont="1" applyFill="1" applyAlignment="1" applyProtection="1">
      <alignment horizontal="right"/>
    </xf>
    <xf numFmtId="0" fontId="0" fillId="0" borderId="0" xfId="0"/>
    <xf numFmtId="0" fontId="4" fillId="0" borderId="0" xfId="0" applyFont="1" applyFill="1" applyAlignment="1" applyProtection="1"/>
    <xf numFmtId="2" fontId="4" fillId="0" borderId="0" xfId="0" applyNumberFormat="1" applyFont="1" applyFill="1" applyAlignment="1" applyProtection="1">
      <alignment horizontal="right"/>
    </xf>
    <xf numFmtId="164" fontId="4" fillId="0" borderId="0" xfId="0" applyNumberFormat="1" applyFont="1" applyFill="1" applyAlignment="1" applyProtection="1">
      <alignment horizontal="right"/>
    </xf>
    <xf numFmtId="0" fontId="0" fillId="0" borderId="0" xfId="0"/>
    <xf numFmtId="10" fontId="0" fillId="0" borderId="0" xfId="0" applyNumberFormat="1"/>
    <xf numFmtId="0" fontId="2" fillId="0" borderId="13" xfId="0" applyFont="1" applyFill="1" applyBorder="1" applyAlignment="1">
      <alignment horizontal="left"/>
    </xf>
    <xf numFmtId="0" fontId="6" fillId="0" borderId="0" xfId="0" applyFont="1" applyFill="1"/>
    <xf numFmtId="9" fontId="0" fillId="0" borderId="0" xfId="1" applyFont="1"/>
    <xf numFmtId="166" fontId="0" fillId="0" borderId="0" xfId="1" applyNumberFormat="1" applyFont="1"/>
    <xf numFmtId="10" fontId="0" fillId="0" borderId="0" xfId="1" applyNumberFormat="1" applyFont="1" applyFill="1"/>
    <xf numFmtId="166" fontId="0" fillId="0" borderId="0" xfId="1" applyNumberFormat="1" applyFont="1" applyFill="1"/>
    <xf numFmtId="0" fontId="0" fillId="0" borderId="0" xfId="0" applyAlignment="1">
      <alignment wrapText="1"/>
    </xf>
    <xf numFmtId="9" fontId="3" fillId="0" borderId="0" xfId="1" applyNumberFormat="1" applyFont="1"/>
    <xf numFmtId="9" fontId="3" fillId="0" borderId="3" xfId="1" quotePrefix="1" applyNumberFormat="1" applyFont="1" applyBorder="1"/>
    <xf numFmtId="9" fontId="3" fillId="0" borderId="4" xfId="1" applyNumberFormat="1" applyFont="1" applyBorder="1"/>
    <xf numFmtId="9" fontId="3" fillId="0" borderId="1" xfId="1" applyNumberFormat="1" applyFont="1" applyFill="1" applyBorder="1"/>
    <xf numFmtId="9" fontId="3" fillId="0" borderId="6" xfId="1" applyNumberFormat="1" applyFont="1" applyFill="1" applyBorder="1"/>
    <xf numFmtId="9" fontId="3" fillId="0" borderId="1" xfId="1" applyNumberFormat="1" applyFont="1" applyBorder="1"/>
    <xf numFmtId="9" fontId="3" fillId="0" borderId="6" xfId="1" applyNumberFormat="1" applyFont="1" applyBorder="1"/>
    <xf numFmtId="9" fontId="3" fillId="0" borderId="8" xfId="1" applyNumberFormat="1" applyFont="1" applyBorder="1"/>
    <xf numFmtId="9" fontId="3" fillId="0" borderId="9" xfId="1" applyNumberFormat="1" applyFont="1" applyBorder="1"/>
    <xf numFmtId="9" fontId="3" fillId="0" borderId="0" xfId="1" applyNumberFormat="1" applyFont="1" applyBorder="1"/>
    <xf numFmtId="165" fontId="4" fillId="0" borderId="0" xfId="0" applyNumberFormat="1" applyFont="1" applyFill="1" applyAlignment="1" applyProtection="1">
      <alignment horizontal="right"/>
    </xf>
    <xf numFmtId="0" fontId="0" fillId="0" borderId="0" xfId="0"/>
    <xf numFmtId="164" fontId="4" fillId="0" borderId="0" xfId="0" applyNumberFormat="1" applyFont="1" applyFill="1" applyAlignment="1" applyProtection="1">
      <alignment horizontal="right"/>
    </xf>
    <xf numFmtId="0" fontId="4" fillId="0" borderId="0" xfId="0" applyFont="1" applyFill="1" applyAlignment="1" applyProtection="1"/>
    <xf numFmtId="2" fontId="4" fillId="0" borderId="0" xfId="0" applyNumberFormat="1" applyFont="1" applyFill="1" applyAlignment="1" applyProtection="1">
      <alignment horizontal="right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0.png"/><Relationship Id="rId18" Type="http://schemas.openxmlformats.org/officeDocument/2006/relationships/image" Target="../media/image65.png"/><Relationship Id="rId26" Type="http://schemas.openxmlformats.org/officeDocument/2006/relationships/image" Target="../media/image72.png"/><Relationship Id="rId39" Type="http://schemas.openxmlformats.org/officeDocument/2006/relationships/image" Target="../media/image8.png"/><Relationship Id="rId21" Type="http://schemas.openxmlformats.org/officeDocument/2006/relationships/image" Target="../media/image67.png"/><Relationship Id="rId34" Type="http://schemas.openxmlformats.org/officeDocument/2006/relationships/image" Target="../media/image80.png"/><Relationship Id="rId42" Type="http://schemas.openxmlformats.org/officeDocument/2006/relationships/image" Target="../media/image86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63.png"/><Relationship Id="rId20" Type="http://schemas.openxmlformats.org/officeDocument/2006/relationships/image" Target="../media/image31.png"/><Relationship Id="rId29" Type="http://schemas.openxmlformats.org/officeDocument/2006/relationships/image" Target="../media/image75.png"/><Relationship Id="rId41" Type="http://schemas.openxmlformats.org/officeDocument/2006/relationships/image" Target="../media/image85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58.png"/><Relationship Id="rId24" Type="http://schemas.openxmlformats.org/officeDocument/2006/relationships/image" Target="../media/image70.png"/><Relationship Id="rId32" Type="http://schemas.openxmlformats.org/officeDocument/2006/relationships/image" Target="../media/image78.png"/><Relationship Id="rId37" Type="http://schemas.openxmlformats.org/officeDocument/2006/relationships/image" Target="../media/image83.png"/><Relationship Id="rId40" Type="http://schemas.openxmlformats.org/officeDocument/2006/relationships/image" Target="../media/image9.png"/><Relationship Id="rId5" Type="http://schemas.openxmlformats.org/officeDocument/2006/relationships/image" Target="../media/image5.png"/><Relationship Id="rId15" Type="http://schemas.openxmlformats.org/officeDocument/2006/relationships/image" Target="../media/image62.png"/><Relationship Id="rId23" Type="http://schemas.openxmlformats.org/officeDocument/2006/relationships/image" Target="../media/image69.png"/><Relationship Id="rId28" Type="http://schemas.openxmlformats.org/officeDocument/2006/relationships/image" Target="../media/image74.png"/><Relationship Id="rId36" Type="http://schemas.openxmlformats.org/officeDocument/2006/relationships/image" Target="../media/image82.png"/><Relationship Id="rId10" Type="http://schemas.openxmlformats.org/officeDocument/2006/relationships/image" Target="../media/image57.png"/><Relationship Id="rId19" Type="http://schemas.openxmlformats.org/officeDocument/2006/relationships/image" Target="../media/image66.png"/><Relationship Id="rId31" Type="http://schemas.openxmlformats.org/officeDocument/2006/relationships/image" Target="../media/image77.png"/><Relationship Id="rId44" Type="http://schemas.openxmlformats.org/officeDocument/2006/relationships/image" Target="../media/image25.png"/><Relationship Id="rId4" Type="http://schemas.openxmlformats.org/officeDocument/2006/relationships/image" Target="../media/image4.png"/><Relationship Id="rId9" Type="http://schemas.openxmlformats.org/officeDocument/2006/relationships/image" Target="../media/image56.png"/><Relationship Id="rId14" Type="http://schemas.openxmlformats.org/officeDocument/2006/relationships/image" Target="../media/image61.png"/><Relationship Id="rId22" Type="http://schemas.openxmlformats.org/officeDocument/2006/relationships/image" Target="../media/image68.png"/><Relationship Id="rId27" Type="http://schemas.openxmlformats.org/officeDocument/2006/relationships/image" Target="../media/image73.png"/><Relationship Id="rId30" Type="http://schemas.openxmlformats.org/officeDocument/2006/relationships/image" Target="../media/image76.png"/><Relationship Id="rId35" Type="http://schemas.openxmlformats.org/officeDocument/2006/relationships/image" Target="../media/image81.png"/><Relationship Id="rId43" Type="http://schemas.openxmlformats.org/officeDocument/2006/relationships/image" Target="../media/image10.png"/><Relationship Id="rId8" Type="http://schemas.openxmlformats.org/officeDocument/2006/relationships/image" Target="../media/image55.png"/><Relationship Id="rId3" Type="http://schemas.openxmlformats.org/officeDocument/2006/relationships/image" Target="../media/image3.png"/><Relationship Id="rId12" Type="http://schemas.openxmlformats.org/officeDocument/2006/relationships/image" Target="../media/image59.png"/><Relationship Id="rId17" Type="http://schemas.openxmlformats.org/officeDocument/2006/relationships/image" Target="../media/image64.png"/><Relationship Id="rId25" Type="http://schemas.openxmlformats.org/officeDocument/2006/relationships/image" Target="../media/image71.png"/><Relationship Id="rId33" Type="http://schemas.openxmlformats.org/officeDocument/2006/relationships/image" Target="../media/image79.png"/><Relationship Id="rId38" Type="http://schemas.openxmlformats.org/officeDocument/2006/relationships/image" Target="../media/image8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228600</xdr:colOff>
      <xdr:row>662</xdr:row>
      <xdr:rowOff>28575</xdr:rowOff>
    </xdr:from>
    <xdr:to>
      <xdr:col>38</xdr:col>
      <xdr:colOff>217857</xdr:colOff>
      <xdr:row>677</xdr:row>
      <xdr:rowOff>47265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4E5FCB-7EAE-4345-A6B8-40621EED9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783050" y="117071775"/>
          <a:ext cx="10230537" cy="2761890"/>
        </a:xfrm>
        <a:prstGeom prst="rect">
          <a:avLst/>
        </a:prstGeom>
      </xdr:spPr>
    </xdr:pic>
    <xdr:clientData/>
  </xdr:twoCellAnchor>
  <xdr:twoCellAnchor editAs="oneCell">
    <xdr:from>
      <xdr:col>3</xdr:col>
      <xdr:colOff>561975</xdr:colOff>
      <xdr:row>721</xdr:row>
      <xdr:rowOff>133350</xdr:rowOff>
    </xdr:from>
    <xdr:to>
      <xdr:col>19</xdr:col>
      <xdr:colOff>208170</xdr:colOff>
      <xdr:row>730</xdr:row>
      <xdr:rowOff>114088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58CAFCD-1CFD-45A1-BF05-BEF0F5EEC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156585" y="127966470"/>
          <a:ext cx="11685795" cy="1626658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722</xdr:row>
      <xdr:rowOff>0</xdr:rowOff>
    </xdr:from>
    <xdr:to>
      <xdr:col>40</xdr:col>
      <xdr:colOff>341562</xdr:colOff>
      <xdr:row>737</xdr:row>
      <xdr:rowOff>37738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52A04DB-C1CC-4D1E-9411-9488E7755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194530" y="128016000"/>
          <a:ext cx="11222922" cy="278093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732</xdr:row>
      <xdr:rowOff>0</xdr:rowOff>
    </xdr:from>
    <xdr:to>
      <xdr:col>17</xdr:col>
      <xdr:colOff>389281</xdr:colOff>
      <xdr:row>745</xdr:row>
      <xdr:rowOff>75881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5DC03F9-0C81-4D08-8760-EA3384A91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234690" y="129844800"/>
          <a:ext cx="10508641" cy="2453321"/>
        </a:xfrm>
        <a:prstGeom prst="rect">
          <a:avLst/>
        </a:prstGeom>
      </xdr:spPr>
    </xdr:pic>
    <xdr:clientData/>
  </xdr:twoCellAnchor>
  <xdr:twoCellAnchor editAs="oneCell">
    <xdr:from>
      <xdr:col>3</xdr:col>
      <xdr:colOff>495300</xdr:colOff>
      <xdr:row>690</xdr:row>
      <xdr:rowOff>39646</xdr:rowOff>
    </xdr:from>
    <xdr:to>
      <xdr:col>9</xdr:col>
      <xdr:colOff>66676</xdr:colOff>
      <xdr:row>703</xdr:row>
      <xdr:rowOff>108577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FF28EE2-D7FE-4B1A-A9A5-2ECE15F5E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089910" y="122203486"/>
          <a:ext cx="5210176" cy="2446371"/>
        </a:xfrm>
        <a:prstGeom prst="rect">
          <a:avLst/>
        </a:prstGeom>
      </xdr:spPr>
    </xdr:pic>
    <xdr:clientData/>
  </xdr:twoCellAnchor>
  <xdr:twoCellAnchor editAs="oneCell">
    <xdr:from>
      <xdr:col>3</xdr:col>
      <xdr:colOff>580429</xdr:colOff>
      <xdr:row>704</xdr:row>
      <xdr:rowOff>76200</xdr:rowOff>
    </xdr:from>
    <xdr:to>
      <xdr:col>12</xdr:col>
      <xdr:colOff>427614</xdr:colOff>
      <xdr:row>715</xdr:row>
      <xdr:rowOff>85420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9B60CB2-7249-409E-A12D-0A27BE37D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175039" y="124800360"/>
          <a:ext cx="7406225" cy="2020900"/>
        </a:xfrm>
        <a:prstGeom prst="rect">
          <a:avLst/>
        </a:prstGeom>
      </xdr:spPr>
    </xdr:pic>
    <xdr:clientData/>
  </xdr:twoCellAnchor>
  <xdr:twoCellAnchor editAs="oneCell">
    <xdr:from>
      <xdr:col>9</xdr:col>
      <xdr:colOff>523875</xdr:colOff>
      <xdr:row>692</xdr:row>
      <xdr:rowOff>179253</xdr:rowOff>
    </xdr:from>
    <xdr:to>
      <xdr:col>20</xdr:col>
      <xdr:colOff>114300</xdr:colOff>
      <xdr:row>703</xdr:row>
      <xdr:rowOff>29797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BF94391-7AFB-4858-ACCD-F58DA373A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757285" y="122708853"/>
          <a:ext cx="6631305" cy="1862224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544</xdr:row>
      <xdr:rowOff>0</xdr:rowOff>
    </xdr:from>
    <xdr:to>
      <xdr:col>9</xdr:col>
      <xdr:colOff>399338</xdr:colOff>
      <xdr:row>553</xdr:row>
      <xdr:rowOff>161690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5782782E-61E4-4426-9692-60BC19CBF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594610" y="90342720"/>
          <a:ext cx="6038138" cy="180761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561</xdr:row>
      <xdr:rowOff>0</xdr:rowOff>
    </xdr:from>
    <xdr:to>
      <xdr:col>13</xdr:col>
      <xdr:colOff>208557</xdr:colOff>
      <xdr:row>566</xdr:row>
      <xdr:rowOff>9405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80C97EAE-476E-4E20-B1AC-536569919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594610" y="98572320"/>
          <a:ext cx="8407677" cy="92380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591</xdr:row>
      <xdr:rowOff>0</xdr:rowOff>
    </xdr:from>
    <xdr:to>
      <xdr:col>9</xdr:col>
      <xdr:colOff>408862</xdr:colOff>
      <xdr:row>598</xdr:row>
      <xdr:rowOff>161738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DF24A2C4-87CD-41F4-BAC4-F485424D4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594610" y="104058720"/>
          <a:ext cx="6047662" cy="1441898"/>
        </a:xfrm>
        <a:prstGeom prst="rect">
          <a:avLst/>
        </a:prstGeom>
      </xdr:spPr>
    </xdr:pic>
    <xdr:clientData/>
  </xdr:twoCellAnchor>
  <xdr:twoCellAnchor editAs="oneCell">
    <xdr:from>
      <xdr:col>3</xdr:col>
      <xdr:colOff>198120</xdr:colOff>
      <xdr:row>0</xdr:row>
      <xdr:rowOff>11430</xdr:rowOff>
    </xdr:from>
    <xdr:to>
      <xdr:col>7</xdr:col>
      <xdr:colOff>1855470</xdr:colOff>
      <xdr:row>13</xdr:row>
      <xdr:rowOff>50965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2A27FF76-EE69-48B3-AD02-9C872850A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914650" y="11430"/>
          <a:ext cx="4217670" cy="2416975"/>
        </a:xfrm>
        <a:prstGeom prst="rect">
          <a:avLst/>
        </a:prstGeom>
      </xdr:spPr>
    </xdr:pic>
    <xdr:clientData/>
  </xdr:twoCellAnchor>
  <xdr:twoCellAnchor editAs="oneCell">
    <xdr:from>
      <xdr:col>2</xdr:col>
      <xdr:colOff>986790</xdr:colOff>
      <xdr:row>12</xdr:row>
      <xdr:rowOff>158257</xdr:rowOff>
    </xdr:from>
    <xdr:to>
      <xdr:col>12</xdr:col>
      <xdr:colOff>621659</xdr:colOff>
      <xdr:row>23</xdr:row>
      <xdr:rowOff>4991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AA8E7D36-521D-482B-9020-003A13ED3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388870" y="2352817"/>
          <a:ext cx="8180699" cy="1858414"/>
        </a:xfrm>
        <a:prstGeom prst="rect">
          <a:avLst/>
        </a:prstGeom>
      </xdr:spPr>
    </xdr:pic>
    <xdr:clientData/>
  </xdr:twoCellAnchor>
  <xdr:twoCellAnchor editAs="oneCell">
    <xdr:from>
      <xdr:col>11</xdr:col>
      <xdr:colOff>266700</xdr:colOff>
      <xdr:row>24</xdr:row>
      <xdr:rowOff>101072</xdr:rowOff>
    </xdr:from>
    <xdr:to>
      <xdr:col>26</xdr:col>
      <xdr:colOff>254007</xdr:colOff>
      <xdr:row>36</xdr:row>
      <xdr:rowOff>180224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E92B0601-10D5-4105-B96E-4F204AD5E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02190" y="4490192"/>
          <a:ext cx="9588507" cy="227371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</xdr:row>
      <xdr:rowOff>0</xdr:rowOff>
    </xdr:from>
    <xdr:to>
      <xdr:col>10</xdr:col>
      <xdr:colOff>408442</xdr:colOff>
      <xdr:row>34</xdr:row>
      <xdr:rowOff>119147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A254A217-549C-44F9-9891-C4F664FBA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716530" y="4937760"/>
          <a:ext cx="6687322" cy="1399307"/>
        </a:xfrm>
        <a:prstGeom prst="rect">
          <a:avLst/>
        </a:prstGeom>
      </xdr:spPr>
    </xdr:pic>
    <xdr:clientData/>
  </xdr:twoCellAnchor>
  <xdr:twoCellAnchor editAs="oneCell">
    <xdr:from>
      <xdr:col>2</xdr:col>
      <xdr:colOff>769620</xdr:colOff>
      <xdr:row>40</xdr:row>
      <xdr:rowOff>103195</xdr:rowOff>
    </xdr:from>
    <xdr:to>
      <xdr:col>15</xdr:col>
      <xdr:colOff>547351</xdr:colOff>
      <xdr:row>48</xdr:row>
      <xdr:rowOff>146205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829B5969-788D-458A-B201-BB4BEE40C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171700" y="7418395"/>
          <a:ext cx="10026631" cy="1506050"/>
        </a:xfrm>
        <a:prstGeom prst="rect">
          <a:avLst/>
        </a:prstGeom>
      </xdr:spPr>
    </xdr:pic>
    <xdr:clientData/>
  </xdr:twoCellAnchor>
  <xdr:twoCellAnchor editAs="oneCell">
    <xdr:from>
      <xdr:col>2</xdr:col>
      <xdr:colOff>1196340</xdr:colOff>
      <xdr:row>51</xdr:row>
      <xdr:rowOff>122514</xdr:rowOff>
    </xdr:from>
    <xdr:to>
      <xdr:col>13</xdr:col>
      <xdr:colOff>42698</xdr:colOff>
      <xdr:row>55</xdr:row>
      <xdr:rowOff>182879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E26B1658-B228-4C4D-B1E1-C0AB7091B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598420" y="9449394"/>
          <a:ext cx="8241818" cy="791885"/>
        </a:xfrm>
        <a:prstGeom prst="rect">
          <a:avLst/>
        </a:prstGeom>
      </xdr:spPr>
    </xdr:pic>
    <xdr:clientData/>
  </xdr:twoCellAnchor>
  <xdr:twoCellAnchor editAs="oneCell">
    <xdr:from>
      <xdr:col>3</xdr:col>
      <xdr:colOff>544829</xdr:colOff>
      <xdr:row>73</xdr:row>
      <xdr:rowOff>35477</xdr:rowOff>
    </xdr:from>
    <xdr:to>
      <xdr:col>11</xdr:col>
      <xdr:colOff>190026</xdr:colOff>
      <xdr:row>89</xdr:row>
      <xdr:rowOff>19050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0F4EBD50-6D55-4269-88EB-1912B9BFE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261359" y="10276757"/>
          <a:ext cx="6564157" cy="2909653"/>
        </a:xfrm>
        <a:prstGeom prst="rect">
          <a:avLst/>
        </a:prstGeom>
      </xdr:spPr>
    </xdr:pic>
    <xdr:clientData/>
  </xdr:twoCellAnchor>
  <xdr:twoCellAnchor editAs="oneCell">
    <xdr:from>
      <xdr:col>2</xdr:col>
      <xdr:colOff>601980</xdr:colOff>
      <xdr:row>509</xdr:row>
      <xdr:rowOff>37804</xdr:rowOff>
    </xdr:from>
    <xdr:to>
      <xdr:col>15</xdr:col>
      <xdr:colOff>145430</xdr:colOff>
      <xdr:row>521</xdr:row>
      <xdr:rowOff>85000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DEBCE4B1-F386-4D67-936B-D8166BB5A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004060" y="83979724"/>
          <a:ext cx="9769490" cy="2241756"/>
        </a:xfrm>
        <a:prstGeom prst="rect">
          <a:avLst/>
        </a:prstGeom>
      </xdr:spPr>
    </xdr:pic>
    <xdr:clientData/>
  </xdr:twoCellAnchor>
  <xdr:twoCellAnchor editAs="oneCell">
    <xdr:from>
      <xdr:col>2</xdr:col>
      <xdr:colOff>720090</xdr:colOff>
      <xdr:row>525</xdr:row>
      <xdr:rowOff>118299</xdr:rowOff>
    </xdr:from>
    <xdr:to>
      <xdr:col>16</xdr:col>
      <xdr:colOff>244447</xdr:colOff>
      <xdr:row>536</xdr:row>
      <xdr:rowOff>7033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60FF8BE0-C337-47B7-8AEB-143E6DF0F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122170" y="86986299"/>
          <a:ext cx="10390477" cy="1900414"/>
        </a:xfrm>
        <a:prstGeom prst="rect">
          <a:avLst/>
        </a:prstGeom>
      </xdr:spPr>
    </xdr:pic>
    <xdr:clientData/>
  </xdr:twoCellAnchor>
  <xdr:twoCellAnchor editAs="oneCell">
    <xdr:from>
      <xdr:col>2</xdr:col>
      <xdr:colOff>419100</xdr:colOff>
      <xdr:row>89</xdr:row>
      <xdr:rowOff>41627</xdr:rowOff>
    </xdr:from>
    <xdr:to>
      <xdr:col>17</xdr:col>
      <xdr:colOff>297840</xdr:colOff>
      <xdr:row>101</xdr:row>
      <xdr:rowOff>7021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316DBA35-7266-4164-B978-6AAF1CA11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821180" y="13208987"/>
          <a:ext cx="11384940" cy="2159954"/>
        </a:xfrm>
        <a:prstGeom prst="rect">
          <a:avLst/>
        </a:prstGeom>
      </xdr:spPr>
    </xdr:pic>
    <xdr:clientData/>
  </xdr:twoCellAnchor>
  <xdr:twoCellAnchor editAs="oneCell">
    <xdr:from>
      <xdr:col>2</xdr:col>
      <xdr:colOff>521970</xdr:colOff>
      <xdr:row>101</xdr:row>
      <xdr:rowOff>98442</xdr:rowOff>
    </xdr:from>
    <xdr:to>
      <xdr:col>16</xdr:col>
      <xdr:colOff>627594</xdr:colOff>
      <xdr:row>113</xdr:row>
      <xdr:rowOff>83231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EDC6ACE3-E1A3-4393-8ABE-04776B049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924050" y="15460362"/>
          <a:ext cx="10971744" cy="2179349"/>
        </a:xfrm>
        <a:prstGeom prst="rect">
          <a:avLst/>
        </a:prstGeom>
      </xdr:spPr>
    </xdr:pic>
    <xdr:clientData/>
  </xdr:twoCellAnchor>
  <xdr:twoCellAnchor editAs="oneCell">
    <xdr:from>
      <xdr:col>2</xdr:col>
      <xdr:colOff>826770</xdr:colOff>
      <xdr:row>117</xdr:row>
      <xdr:rowOff>93681</xdr:rowOff>
    </xdr:from>
    <xdr:to>
      <xdr:col>15</xdr:col>
      <xdr:colOff>459780</xdr:colOff>
      <xdr:row>123</xdr:row>
      <xdr:rowOff>91095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4421507A-7631-4C8D-A284-AD17582BF9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228850" y="18381681"/>
          <a:ext cx="9939060" cy="1094694"/>
        </a:xfrm>
        <a:prstGeom prst="rect">
          <a:avLst/>
        </a:prstGeom>
      </xdr:spPr>
    </xdr:pic>
    <xdr:clientData/>
  </xdr:twoCellAnchor>
  <xdr:twoCellAnchor editAs="oneCell">
    <xdr:from>
      <xdr:col>2</xdr:col>
      <xdr:colOff>895350</xdr:colOff>
      <xdr:row>123</xdr:row>
      <xdr:rowOff>90368</xdr:rowOff>
    </xdr:from>
    <xdr:to>
      <xdr:col>17</xdr:col>
      <xdr:colOff>187338</xdr:colOff>
      <xdr:row>128</xdr:row>
      <xdr:rowOff>169257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E822E07C-AC05-455B-8525-1F2D92746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297430" y="19475648"/>
          <a:ext cx="10946778" cy="993289"/>
        </a:xfrm>
        <a:prstGeom prst="rect">
          <a:avLst/>
        </a:prstGeom>
      </xdr:spPr>
    </xdr:pic>
    <xdr:clientData/>
  </xdr:twoCellAnchor>
  <xdr:twoCellAnchor editAs="oneCell">
    <xdr:from>
      <xdr:col>2</xdr:col>
      <xdr:colOff>461010</xdr:colOff>
      <xdr:row>142</xdr:row>
      <xdr:rowOff>105781</xdr:rowOff>
    </xdr:from>
    <xdr:to>
      <xdr:col>11</xdr:col>
      <xdr:colOff>39641</xdr:colOff>
      <xdr:row>150</xdr:row>
      <xdr:rowOff>26237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84A0E0F5-70E5-4769-834A-8A3DE55AE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863090" y="22965781"/>
          <a:ext cx="7244351" cy="1383496"/>
        </a:xfrm>
        <a:prstGeom prst="rect">
          <a:avLst/>
        </a:prstGeom>
      </xdr:spPr>
    </xdr:pic>
    <xdr:clientData/>
  </xdr:twoCellAnchor>
  <xdr:twoCellAnchor editAs="oneCell">
    <xdr:from>
      <xdr:col>2</xdr:col>
      <xdr:colOff>491490</xdr:colOff>
      <xdr:row>128</xdr:row>
      <xdr:rowOff>179070</xdr:rowOff>
    </xdr:from>
    <xdr:to>
      <xdr:col>9</xdr:col>
      <xdr:colOff>543610</xdr:colOff>
      <xdr:row>141</xdr:row>
      <xdr:rowOff>119194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F6A861F0-D7E0-4D89-909D-C42FB151F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893570" y="20478750"/>
          <a:ext cx="6437680" cy="2317564"/>
        </a:xfrm>
        <a:prstGeom prst="rect">
          <a:avLst/>
        </a:prstGeom>
      </xdr:spPr>
    </xdr:pic>
    <xdr:clientData/>
  </xdr:twoCellAnchor>
  <xdr:twoCellAnchor editAs="oneCell">
    <xdr:from>
      <xdr:col>2</xdr:col>
      <xdr:colOff>803910</xdr:colOff>
      <xdr:row>151</xdr:row>
      <xdr:rowOff>180442</xdr:rowOff>
    </xdr:from>
    <xdr:to>
      <xdr:col>14</xdr:col>
      <xdr:colOff>493040</xdr:colOff>
      <xdr:row>163</xdr:row>
      <xdr:rowOff>109975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963A8F2D-228E-4CAD-A400-E9571EA00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205990" y="24686362"/>
          <a:ext cx="9332240" cy="2124093"/>
        </a:xfrm>
        <a:prstGeom prst="rect">
          <a:avLst/>
        </a:prstGeom>
      </xdr:spPr>
    </xdr:pic>
    <xdr:clientData/>
  </xdr:twoCellAnchor>
  <xdr:twoCellAnchor editAs="oneCell">
    <xdr:from>
      <xdr:col>2</xdr:col>
      <xdr:colOff>399253</xdr:colOff>
      <xdr:row>185</xdr:row>
      <xdr:rowOff>175260</xdr:rowOff>
    </xdr:from>
    <xdr:to>
      <xdr:col>7</xdr:col>
      <xdr:colOff>1326440</xdr:colOff>
      <xdr:row>208</xdr:row>
      <xdr:rowOff>132028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E0F05416-D8E4-4B6B-A287-F89504749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801333" y="30899100"/>
          <a:ext cx="4234267" cy="4163008"/>
        </a:xfrm>
        <a:prstGeom prst="rect">
          <a:avLst/>
        </a:prstGeom>
      </xdr:spPr>
    </xdr:pic>
    <xdr:clientData/>
  </xdr:twoCellAnchor>
  <xdr:twoCellAnchor editAs="oneCell">
    <xdr:from>
      <xdr:col>2</xdr:col>
      <xdr:colOff>769621</xdr:colOff>
      <xdr:row>226</xdr:row>
      <xdr:rowOff>167668</xdr:rowOff>
    </xdr:from>
    <xdr:to>
      <xdr:col>9</xdr:col>
      <xdr:colOff>533401</xdr:colOff>
      <xdr:row>236</xdr:row>
      <xdr:rowOff>140308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2BBA18A1-7F21-4B5A-AA0A-F7C855E49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171701" y="38389588"/>
          <a:ext cx="6172200" cy="1801440"/>
        </a:xfrm>
        <a:prstGeom prst="rect">
          <a:avLst/>
        </a:prstGeom>
      </xdr:spPr>
    </xdr:pic>
    <xdr:clientData/>
  </xdr:twoCellAnchor>
  <xdr:twoCellAnchor editAs="oneCell">
    <xdr:from>
      <xdr:col>2</xdr:col>
      <xdr:colOff>468629</xdr:colOff>
      <xdr:row>209</xdr:row>
      <xdr:rowOff>63134</xdr:rowOff>
    </xdr:from>
    <xdr:to>
      <xdr:col>10</xdr:col>
      <xdr:colOff>545948</xdr:colOff>
      <xdr:row>223</xdr:row>
      <xdr:rowOff>48565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6704C07C-A701-4A2C-B2BD-281ECB39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870709" y="35176094"/>
          <a:ext cx="7102959" cy="2545751"/>
        </a:xfrm>
        <a:prstGeom prst="rect">
          <a:avLst/>
        </a:prstGeom>
      </xdr:spPr>
    </xdr:pic>
    <xdr:clientData/>
  </xdr:twoCellAnchor>
  <xdr:twoCellAnchor editAs="oneCell">
    <xdr:from>
      <xdr:col>10</xdr:col>
      <xdr:colOff>491490</xdr:colOff>
      <xdr:row>209</xdr:row>
      <xdr:rowOff>145533</xdr:rowOff>
    </xdr:from>
    <xdr:to>
      <xdr:col>16</xdr:col>
      <xdr:colOff>430574</xdr:colOff>
      <xdr:row>220</xdr:row>
      <xdr:rowOff>172351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8B033765-18F4-4F16-B552-634F7D908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486900" y="35258493"/>
          <a:ext cx="3779564" cy="2038498"/>
        </a:xfrm>
        <a:prstGeom prst="rect">
          <a:avLst/>
        </a:prstGeom>
      </xdr:spPr>
    </xdr:pic>
    <xdr:clientData/>
  </xdr:twoCellAnchor>
  <xdr:twoCellAnchor editAs="oneCell">
    <xdr:from>
      <xdr:col>11</xdr:col>
      <xdr:colOff>201930</xdr:colOff>
      <xdr:row>221</xdr:row>
      <xdr:rowOff>118181</xdr:rowOff>
    </xdr:from>
    <xdr:to>
      <xdr:col>16</xdr:col>
      <xdr:colOff>60427</xdr:colOff>
      <xdr:row>229</xdr:row>
      <xdr:rowOff>22605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807B1A40-30EE-4371-B4FF-826DFB9C5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37420" y="37425701"/>
          <a:ext cx="3058897" cy="1367464"/>
        </a:xfrm>
        <a:prstGeom prst="rect">
          <a:avLst/>
        </a:prstGeom>
      </xdr:spPr>
    </xdr:pic>
    <xdr:clientData/>
  </xdr:twoCellAnchor>
  <xdr:twoCellAnchor editAs="oneCell">
    <xdr:from>
      <xdr:col>2</xdr:col>
      <xdr:colOff>1226820</xdr:colOff>
      <xdr:row>237</xdr:row>
      <xdr:rowOff>160534</xdr:rowOff>
    </xdr:from>
    <xdr:to>
      <xdr:col>9</xdr:col>
      <xdr:colOff>234006</xdr:colOff>
      <xdr:row>247</xdr:row>
      <xdr:rowOff>144095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07E493E1-95DD-4C36-B906-63CFA0218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628900" y="40394134"/>
          <a:ext cx="5872806" cy="1812361"/>
        </a:xfrm>
        <a:prstGeom prst="rect">
          <a:avLst/>
        </a:prstGeom>
      </xdr:spPr>
    </xdr:pic>
    <xdr:clientData/>
  </xdr:twoCellAnchor>
  <xdr:twoCellAnchor editAs="oneCell">
    <xdr:from>
      <xdr:col>3</xdr:col>
      <xdr:colOff>68580</xdr:colOff>
      <xdr:row>252</xdr:row>
      <xdr:rowOff>4922</xdr:rowOff>
    </xdr:from>
    <xdr:to>
      <xdr:col>14</xdr:col>
      <xdr:colOff>83469</xdr:colOff>
      <xdr:row>260</xdr:row>
      <xdr:rowOff>51049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830AB082-DE3F-47CB-945B-31E8BB684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2217420" y="42981722"/>
          <a:ext cx="8854089" cy="1509167"/>
        </a:xfrm>
        <a:prstGeom prst="rect">
          <a:avLst/>
        </a:prstGeom>
      </xdr:spPr>
    </xdr:pic>
    <xdr:clientData/>
  </xdr:twoCellAnchor>
  <xdr:twoCellAnchor editAs="oneCell">
    <xdr:from>
      <xdr:col>3</xdr:col>
      <xdr:colOff>560070</xdr:colOff>
      <xdr:row>264</xdr:row>
      <xdr:rowOff>162234</xdr:rowOff>
    </xdr:from>
    <xdr:to>
      <xdr:col>10</xdr:col>
      <xdr:colOff>363526</xdr:colOff>
      <xdr:row>274</xdr:row>
      <xdr:rowOff>155541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473EBD3E-1EBA-4F7A-9295-3CCD5190A1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708910" y="45333594"/>
          <a:ext cx="6082336" cy="1822107"/>
        </a:xfrm>
        <a:prstGeom prst="rect">
          <a:avLst/>
        </a:prstGeom>
      </xdr:spPr>
    </xdr:pic>
    <xdr:clientData/>
  </xdr:twoCellAnchor>
  <xdr:twoCellAnchor editAs="oneCell">
    <xdr:from>
      <xdr:col>3</xdr:col>
      <xdr:colOff>464820</xdr:colOff>
      <xdr:row>283</xdr:row>
      <xdr:rowOff>45166</xdr:rowOff>
    </xdr:from>
    <xdr:to>
      <xdr:col>14</xdr:col>
      <xdr:colOff>110144</xdr:colOff>
      <xdr:row>292</xdr:row>
      <xdr:rowOff>180502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0BF9CB22-D96E-4E56-B198-0FB7E9171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613660" y="48691246"/>
          <a:ext cx="8484524" cy="1781256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299</xdr:row>
      <xdr:rowOff>112606</xdr:rowOff>
    </xdr:from>
    <xdr:to>
      <xdr:col>7</xdr:col>
      <xdr:colOff>1219658</xdr:colOff>
      <xdr:row>307</xdr:row>
      <xdr:rowOff>176789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D8C01903-40A9-4D38-A54C-2AF45CF29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38100" y="51684766"/>
          <a:ext cx="5890718" cy="1527223"/>
        </a:xfrm>
        <a:prstGeom prst="rect">
          <a:avLst/>
        </a:prstGeom>
      </xdr:spPr>
    </xdr:pic>
    <xdr:clientData/>
  </xdr:twoCellAnchor>
  <xdr:twoCellAnchor editAs="oneCell">
    <xdr:from>
      <xdr:col>4</xdr:col>
      <xdr:colOff>419100</xdr:colOff>
      <xdr:row>296</xdr:row>
      <xdr:rowOff>114622</xdr:rowOff>
    </xdr:from>
    <xdr:to>
      <xdr:col>14</xdr:col>
      <xdr:colOff>497303</xdr:colOff>
      <xdr:row>300</xdr:row>
      <xdr:rowOff>26530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204B7874-114D-4D4F-A1F7-8C5F8E745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3208020" y="51138142"/>
          <a:ext cx="8277323" cy="643428"/>
        </a:xfrm>
        <a:prstGeom prst="rect">
          <a:avLst/>
        </a:prstGeom>
      </xdr:spPr>
    </xdr:pic>
    <xdr:clientData/>
  </xdr:twoCellAnchor>
  <xdr:twoCellAnchor editAs="oneCell">
    <xdr:from>
      <xdr:col>3</xdr:col>
      <xdr:colOff>182880</xdr:colOff>
      <xdr:row>311</xdr:row>
      <xdr:rowOff>141151</xdr:rowOff>
    </xdr:from>
    <xdr:to>
      <xdr:col>14</xdr:col>
      <xdr:colOff>411146</xdr:colOff>
      <xdr:row>323</xdr:row>
      <xdr:rowOff>24251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92611D34-EB4D-4607-9CBD-A750F736E4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2331720" y="53907871"/>
          <a:ext cx="9067466" cy="2077660"/>
        </a:xfrm>
        <a:prstGeom prst="rect">
          <a:avLst/>
        </a:prstGeom>
      </xdr:spPr>
    </xdr:pic>
    <xdr:clientData/>
  </xdr:twoCellAnchor>
  <xdr:twoCellAnchor editAs="oneCell">
    <xdr:from>
      <xdr:col>3</xdr:col>
      <xdr:colOff>560070</xdr:colOff>
      <xdr:row>325</xdr:row>
      <xdr:rowOff>143966</xdr:rowOff>
    </xdr:from>
    <xdr:to>
      <xdr:col>16</xdr:col>
      <xdr:colOff>436906</xdr:colOff>
      <xdr:row>331</xdr:row>
      <xdr:rowOff>161573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2103DAF5-7E13-40CE-A006-3C619B526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708910" y="56471006"/>
          <a:ext cx="9996196" cy="1114887"/>
        </a:xfrm>
        <a:prstGeom prst="rect">
          <a:avLst/>
        </a:prstGeom>
      </xdr:spPr>
    </xdr:pic>
    <xdr:clientData/>
  </xdr:twoCellAnchor>
  <xdr:twoCellAnchor editAs="oneCell">
    <xdr:from>
      <xdr:col>2</xdr:col>
      <xdr:colOff>739141</xdr:colOff>
      <xdr:row>340</xdr:row>
      <xdr:rowOff>10519</xdr:rowOff>
    </xdr:from>
    <xdr:to>
      <xdr:col>8</xdr:col>
      <xdr:colOff>45721</xdr:colOff>
      <xdr:row>347</xdr:row>
      <xdr:rowOff>1334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F6465AF7-F1D8-49C6-9518-0FD788A9B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2141221" y="59080759"/>
          <a:ext cx="5052060" cy="1270975"/>
        </a:xfrm>
        <a:prstGeom prst="rect">
          <a:avLst/>
        </a:prstGeom>
      </xdr:spPr>
    </xdr:pic>
    <xdr:clientData/>
  </xdr:twoCellAnchor>
  <xdr:twoCellAnchor editAs="oneCell">
    <xdr:from>
      <xdr:col>8</xdr:col>
      <xdr:colOff>209367</xdr:colOff>
      <xdr:row>332</xdr:row>
      <xdr:rowOff>167640</xdr:rowOff>
    </xdr:from>
    <xdr:to>
      <xdr:col>17</xdr:col>
      <xdr:colOff>118435</xdr:colOff>
      <xdr:row>349</xdr:row>
      <xdr:rowOff>6799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2C087661-F7B6-4119-9794-D8AEF53E9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7356927" y="57774840"/>
          <a:ext cx="5669788" cy="2948119"/>
        </a:xfrm>
        <a:prstGeom prst="rect">
          <a:avLst/>
        </a:prstGeom>
      </xdr:spPr>
    </xdr:pic>
    <xdr:clientData/>
  </xdr:twoCellAnchor>
  <xdr:twoCellAnchor editAs="oneCell">
    <xdr:from>
      <xdr:col>2</xdr:col>
      <xdr:colOff>628650</xdr:colOff>
      <xdr:row>374</xdr:row>
      <xdr:rowOff>142805</xdr:rowOff>
    </xdr:from>
    <xdr:to>
      <xdr:col>15</xdr:col>
      <xdr:colOff>589449</xdr:colOff>
      <xdr:row>385</xdr:row>
      <xdr:rowOff>176561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CC3F525A-957B-4166-A56F-7AAC414CD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2030730" y="65430965"/>
          <a:ext cx="10186839" cy="2045436"/>
        </a:xfrm>
        <a:prstGeom prst="rect">
          <a:avLst/>
        </a:prstGeom>
      </xdr:spPr>
    </xdr:pic>
    <xdr:clientData/>
  </xdr:twoCellAnchor>
  <xdr:twoCellAnchor editAs="oneCell">
    <xdr:from>
      <xdr:col>3</xdr:col>
      <xdr:colOff>436849</xdr:colOff>
      <xdr:row>386</xdr:row>
      <xdr:rowOff>121853</xdr:rowOff>
    </xdr:from>
    <xdr:to>
      <xdr:col>11</xdr:col>
      <xdr:colOff>262891</xdr:colOff>
      <xdr:row>399</xdr:row>
      <xdr:rowOff>107604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838B039E-2F43-4779-B70E-D825053DA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585689" y="67604573"/>
          <a:ext cx="6745002" cy="2363191"/>
        </a:xfrm>
        <a:prstGeom prst="rect">
          <a:avLst/>
        </a:prstGeom>
      </xdr:spPr>
    </xdr:pic>
    <xdr:clientData/>
  </xdr:twoCellAnchor>
  <xdr:twoCellAnchor editAs="oneCell">
    <xdr:from>
      <xdr:col>4</xdr:col>
      <xdr:colOff>220980</xdr:colOff>
      <xdr:row>400</xdr:row>
      <xdr:rowOff>106664</xdr:rowOff>
    </xdr:from>
    <xdr:to>
      <xdr:col>11</xdr:col>
      <xdr:colOff>31123</xdr:colOff>
      <xdr:row>410</xdr:row>
      <xdr:rowOff>111439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79A8CDEB-2E1A-4519-B238-7D0030288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3009900" y="70149704"/>
          <a:ext cx="6089023" cy="1833575"/>
        </a:xfrm>
        <a:prstGeom prst="rect">
          <a:avLst/>
        </a:prstGeom>
      </xdr:spPr>
    </xdr:pic>
    <xdr:clientData/>
  </xdr:twoCellAnchor>
  <xdr:twoCellAnchor editAs="oneCell">
    <xdr:from>
      <xdr:col>3</xdr:col>
      <xdr:colOff>213358</xdr:colOff>
      <xdr:row>417</xdr:row>
      <xdr:rowOff>16872</xdr:rowOff>
    </xdr:from>
    <xdr:to>
      <xdr:col>12</xdr:col>
      <xdr:colOff>79517</xdr:colOff>
      <xdr:row>426</xdr:row>
      <xdr:rowOff>160020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28A98E93-9715-4C26-AA01-0DE4569A9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2362198" y="73168872"/>
          <a:ext cx="7425199" cy="1789068"/>
        </a:xfrm>
        <a:prstGeom prst="rect">
          <a:avLst/>
        </a:prstGeom>
      </xdr:spPr>
    </xdr:pic>
    <xdr:clientData/>
  </xdr:twoCellAnchor>
  <xdr:twoCellAnchor editAs="oneCell">
    <xdr:from>
      <xdr:col>9</xdr:col>
      <xdr:colOff>632460</xdr:colOff>
      <xdr:row>412</xdr:row>
      <xdr:rowOff>56158</xdr:rowOff>
    </xdr:from>
    <xdr:to>
      <xdr:col>17</xdr:col>
      <xdr:colOff>580930</xdr:colOff>
      <xdr:row>418</xdr:row>
      <xdr:rowOff>66237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53B93E15-B408-4DF0-BF0D-8ACB336B2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8420100" y="72293758"/>
          <a:ext cx="5069110" cy="1107359"/>
        </a:xfrm>
        <a:prstGeom prst="rect">
          <a:avLst/>
        </a:prstGeom>
      </xdr:spPr>
    </xdr:pic>
    <xdr:clientData/>
  </xdr:twoCellAnchor>
  <xdr:twoCellAnchor editAs="oneCell">
    <xdr:from>
      <xdr:col>10</xdr:col>
      <xdr:colOff>299783</xdr:colOff>
      <xdr:row>433</xdr:row>
      <xdr:rowOff>38100</xdr:rowOff>
    </xdr:from>
    <xdr:to>
      <xdr:col>17</xdr:col>
      <xdr:colOff>466652</xdr:colOff>
      <xdr:row>441</xdr:row>
      <xdr:rowOff>152400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7AC13BBA-A668-42F9-B696-4BC477ED1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8727503" y="76116180"/>
          <a:ext cx="4647429" cy="1577340"/>
        </a:xfrm>
        <a:prstGeom prst="rect">
          <a:avLst/>
        </a:prstGeom>
      </xdr:spPr>
    </xdr:pic>
    <xdr:clientData/>
  </xdr:twoCellAnchor>
  <xdr:twoCellAnchor editAs="oneCell">
    <xdr:from>
      <xdr:col>3</xdr:col>
      <xdr:colOff>68581</xdr:colOff>
      <xdr:row>430</xdr:row>
      <xdr:rowOff>19050</xdr:rowOff>
    </xdr:from>
    <xdr:to>
      <xdr:col>10</xdr:col>
      <xdr:colOff>167641</xdr:colOff>
      <xdr:row>447</xdr:row>
      <xdr:rowOff>14247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E654CE1A-25F4-4EB7-AEED-108008A79E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2217421" y="75548490"/>
          <a:ext cx="6377940" cy="3104157"/>
        </a:xfrm>
        <a:prstGeom prst="rect">
          <a:avLst/>
        </a:prstGeom>
      </xdr:spPr>
    </xdr:pic>
    <xdr:clientData/>
  </xdr:twoCellAnchor>
  <xdr:twoCellAnchor editAs="oneCell">
    <xdr:from>
      <xdr:col>12</xdr:col>
      <xdr:colOff>525780</xdr:colOff>
      <xdr:row>448</xdr:row>
      <xdr:rowOff>120276</xdr:rowOff>
    </xdr:from>
    <xdr:to>
      <xdr:col>23</xdr:col>
      <xdr:colOff>422628</xdr:colOff>
      <xdr:row>462</xdr:row>
      <xdr:rowOff>52553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334ABA52-2BA8-497D-A961-9E915B8AA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0233660" y="78941556"/>
          <a:ext cx="6937728" cy="2492597"/>
        </a:xfrm>
        <a:prstGeom prst="rect">
          <a:avLst/>
        </a:prstGeom>
      </xdr:spPr>
    </xdr:pic>
    <xdr:clientData/>
  </xdr:twoCellAnchor>
  <xdr:twoCellAnchor editAs="oneCell">
    <xdr:from>
      <xdr:col>3</xdr:col>
      <xdr:colOff>121919</xdr:colOff>
      <xdr:row>448</xdr:row>
      <xdr:rowOff>22164</xdr:rowOff>
    </xdr:from>
    <xdr:to>
      <xdr:col>13</xdr:col>
      <xdr:colOff>78548</xdr:colOff>
      <xdr:row>463</xdr:row>
      <xdr:rowOff>19050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748DDD64-CCE1-4AC4-8188-67D68BFB8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2270759" y="78843444"/>
          <a:ext cx="8155749" cy="2740086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</xdr:colOff>
      <xdr:row>463</xdr:row>
      <xdr:rowOff>157057</xdr:rowOff>
    </xdr:from>
    <xdr:to>
      <xdr:col>11</xdr:col>
      <xdr:colOff>323850</xdr:colOff>
      <xdr:row>469</xdr:row>
      <xdr:rowOff>68105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D4A652AA-D805-4064-8483-27E12E30E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2171700" y="81721537"/>
          <a:ext cx="7219950" cy="1008328"/>
        </a:xfrm>
        <a:prstGeom prst="rect">
          <a:avLst/>
        </a:prstGeom>
      </xdr:spPr>
    </xdr:pic>
    <xdr:clientData/>
  </xdr:twoCellAnchor>
  <xdr:twoCellAnchor editAs="oneCell">
    <xdr:from>
      <xdr:col>3</xdr:col>
      <xdr:colOff>53340</xdr:colOff>
      <xdr:row>469</xdr:row>
      <xdr:rowOff>23312</xdr:rowOff>
    </xdr:from>
    <xdr:to>
      <xdr:col>15</xdr:col>
      <xdr:colOff>105486</xdr:colOff>
      <xdr:row>485</xdr:row>
      <xdr:rowOff>48569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FD18C3E7-FD64-45DE-8815-94232B305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2202180" y="82685072"/>
          <a:ext cx="9531426" cy="2951337"/>
        </a:xfrm>
        <a:prstGeom prst="rect">
          <a:avLst/>
        </a:prstGeom>
      </xdr:spPr>
    </xdr:pic>
    <xdr:clientData/>
  </xdr:twoCellAnchor>
  <xdr:twoCellAnchor editAs="oneCell">
    <xdr:from>
      <xdr:col>4</xdr:col>
      <xdr:colOff>205740</xdr:colOff>
      <xdr:row>489</xdr:row>
      <xdr:rowOff>79081</xdr:rowOff>
    </xdr:from>
    <xdr:to>
      <xdr:col>13</xdr:col>
      <xdr:colOff>487324</xdr:colOff>
      <xdr:row>500</xdr:row>
      <xdr:rowOff>119423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75DCB1C2-8FC8-40AC-AAA5-7EB52FF37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2994660" y="86398441"/>
          <a:ext cx="7840624" cy="2052022"/>
        </a:xfrm>
        <a:prstGeom prst="rect">
          <a:avLst/>
        </a:prstGeom>
      </xdr:spPr>
    </xdr:pic>
    <xdr:clientData/>
  </xdr:twoCellAnchor>
  <xdr:twoCellAnchor editAs="oneCell">
    <xdr:from>
      <xdr:col>3</xdr:col>
      <xdr:colOff>194310</xdr:colOff>
      <xdr:row>57</xdr:row>
      <xdr:rowOff>73263</xdr:rowOff>
    </xdr:from>
    <xdr:to>
      <xdr:col>13</xdr:col>
      <xdr:colOff>420176</xdr:colOff>
      <xdr:row>71</xdr:row>
      <xdr:rowOff>133350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63C50F7-B214-4F05-86CE-C970E4A85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2343150" y="10497423"/>
          <a:ext cx="8424986" cy="26204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228600</xdr:colOff>
      <xdr:row>640</xdr:row>
      <xdr:rowOff>28575</xdr:rowOff>
    </xdr:from>
    <xdr:to>
      <xdr:col>38</xdr:col>
      <xdr:colOff>217857</xdr:colOff>
      <xdr:row>655</xdr:row>
      <xdr:rowOff>47265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639800" y="116995575"/>
          <a:ext cx="9742857" cy="2876190"/>
        </a:xfrm>
        <a:prstGeom prst="rect">
          <a:avLst/>
        </a:prstGeom>
      </xdr:spPr>
    </xdr:pic>
    <xdr:clientData/>
  </xdr:twoCellAnchor>
  <xdr:twoCellAnchor editAs="oneCell">
    <xdr:from>
      <xdr:col>3</xdr:col>
      <xdr:colOff>561975</xdr:colOff>
      <xdr:row>699</xdr:row>
      <xdr:rowOff>133350</xdr:rowOff>
    </xdr:from>
    <xdr:to>
      <xdr:col>19</xdr:col>
      <xdr:colOff>208170</xdr:colOff>
      <xdr:row>708</xdr:row>
      <xdr:rowOff>114088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90775" y="124720350"/>
          <a:ext cx="11038095" cy="1695238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700</xdr:row>
      <xdr:rowOff>0</xdr:rowOff>
    </xdr:from>
    <xdr:to>
      <xdr:col>40</xdr:col>
      <xdr:colOff>341562</xdr:colOff>
      <xdr:row>715</xdr:row>
      <xdr:rowOff>37738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582400" y="124777500"/>
          <a:ext cx="10704762" cy="289523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710</xdr:row>
      <xdr:rowOff>0</xdr:rowOff>
    </xdr:from>
    <xdr:to>
      <xdr:col>17</xdr:col>
      <xdr:colOff>389281</xdr:colOff>
      <xdr:row>723</xdr:row>
      <xdr:rowOff>75881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26682500"/>
          <a:ext cx="9952381" cy="25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495300</xdr:colOff>
      <xdr:row>668</xdr:row>
      <xdr:rowOff>39646</xdr:rowOff>
    </xdr:from>
    <xdr:to>
      <xdr:col>9</xdr:col>
      <xdr:colOff>66676</xdr:colOff>
      <xdr:row>681</xdr:row>
      <xdr:rowOff>108577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924175" y="127293646"/>
          <a:ext cx="4867276" cy="2545431"/>
        </a:xfrm>
        <a:prstGeom prst="rect">
          <a:avLst/>
        </a:prstGeom>
      </xdr:spPr>
    </xdr:pic>
    <xdr:clientData/>
  </xdr:twoCellAnchor>
  <xdr:twoCellAnchor editAs="oneCell">
    <xdr:from>
      <xdr:col>3</xdr:col>
      <xdr:colOff>580429</xdr:colOff>
      <xdr:row>682</xdr:row>
      <xdr:rowOff>76200</xdr:rowOff>
    </xdr:from>
    <xdr:to>
      <xdr:col>12</xdr:col>
      <xdr:colOff>427614</xdr:colOff>
      <xdr:row>693</xdr:row>
      <xdr:rowOff>85420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009304" y="129997200"/>
          <a:ext cx="6971885" cy="2104720"/>
        </a:xfrm>
        <a:prstGeom prst="rect">
          <a:avLst/>
        </a:prstGeom>
      </xdr:spPr>
    </xdr:pic>
    <xdr:clientData/>
  </xdr:twoCellAnchor>
  <xdr:twoCellAnchor editAs="oneCell">
    <xdr:from>
      <xdr:col>9</xdr:col>
      <xdr:colOff>523875</xdr:colOff>
      <xdr:row>670</xdr:row>
      <xdr:rowOff>179253</xdr:rowOff>
    </xdr:from>
    <xdr:to>
      <xdr:col>20</xdr:col>
      <xdr:colOff>114300</xdr:colOff>
      <xdr:row>681</xdr:row>
      <xdr:rowOff>29797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248650" y="127814253"/>
          <a:ext cx="6296025" cy="1946044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0</xdr:row>
      <xdr:rowOff>28575</xdr:rowOff>
    </xdr:from>
    <xdr:to>
      <xdr:col>11</xdr:col>
      <xdr:colOff>399187</xdr:colOff>
      <xdr:row>11</xdr:row>
      <xdr:rowOff>114027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438400" y="28575"/>
          <a:ext cx="6904762" cy="21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14</xdr:row>
      <xdr:rowOff>28575</xdr:rowOff>
    </xdr:from>
    <xdr:to>
      <xdr:col>11</xdr:col>
      <xdr:colOff>599188</xdr:colOff>
      <xdr:row>22</xdr:row>
      <xdr:rowOff>18861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447925" y="2695575"/>
          <a:ext cx="7095238" cy="1514286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29</xdr:row>
      <xdr:rowOff>19050</xdr:rowOff>
    </xdr:from>
    <xdr:to>
      <xdr:col>11</xdr:col>
      <xdr:colOff>94426</xdr:colOff>
      <xdr:row>34</xdr:row>
      <xdr:rowOff>104645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447925" y="5543550"/>
          <a:ext cx="6590476" cy="1038095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44</xdr:row>
      <xdr:rowOff>9525</xdr:rowOff>
    </xdr:from>
    <xdr:to>
      <xdr:col>15</xdr:col>
      <xdr:colOff>56026</xdr:colOff>
      <xdr:row>52</xdr:row>
      <xdr:rowOff>18858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447925" y="8391525"/>
          <a:ext cx="8990476" cy="1533333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58</xdr:row>
      <xdr:rowOff>186407</xdr:rowOff>
    </xdr:from>
    <xdr:to>
      <xdr:col>10</xdr:col>
      <xdr:colOff>65830</xdr:colOff>
      <xdr:row>63</xdr:row>
      <xdr:rowOff>114174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447925" y="11235407"/>
          <a:ext cx="5952280" cy="880267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63</xdr:row>
      <xdr:rowOff>139959</xdr:rowOff>
    </xdr:from>
    <xdr:to>
      <xdr:col>7</xdr:col>
      <xdr:colOff>2027981</xdr:colOff>
      <xdr:row>73</xdr:row>
      <xdr:rowOff>171082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438400" y="12141459"/>
          <a:ext cx="4456856" cy="1936123"/>
        </a:xfrm>
        <a:prstGeom prst="rect">
          <a:avLst/>
        </a:prstGeom>
      </xdr:spPr>
    </xdr:pic>
    <xdr:clientData/>
  </xdr:twoCellAnchor>
  <xdr:twoCellAnchor editAs="oneCell">
    <xdr:from>
      <xdr:col>7</xdr:col>
      <xdr:colOff>2038351</xdr:colOff>
      <xdr:row>63</xdr:row>
      <xdr:rowOff>161925</xdr:rowOff>
    </xdr:from>
    <xdr:to>
      <xdr:col>15</xdr:col>
      <xdr:colOff>85725</xdr:colOff>
      <xdr:row>73</xdr:row>
      <xdr:rowOff>138290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905626" y="12163425"/>
          <a:ext cx="4562474" cy="1881365"/>
        </a:xfrm>
        <a:prstGeom prst="rect">
          <a:avLst/>
        </a:prstGeom>
      </xdr:spPr>
    </xdr:pic>
    <xdr:clientData/>
  </xdr:twoCellAnchor>
  <xdr:twoCellAnchor editAs="oneCell">
    <xdr:from>
      <xdr:col>2</xdr:col>
      <xdr:colOff>1181100</xdr:colOff>
      <xdr:row>74</xdr:row>
      <xdr:rowOff>38100</xdr:rowOff>
    </xdr:from>
    <xdr:to>
      <xdr:col>11</xdr:col>
      <xdr:colOff>522992</xdr:colOff>
      <xdr:row>81</xdr:row>
      <xdr:rowOff>28410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400300" y="14135100"/>
          <a:ext cx="7066667" cy="132381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89</xdr:row>
      <xdr:rowOff>40917</xdr:rowOff>
    </xdr:from>
    <xdr:to>
      <xdr:col>7</xdr:col>
      <xdr:colOff>75862</xdr:colOff>
      <xdr:row>103</xdr:row>
      <xdr:rowOff>182495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466975" y="16995417"/>
          <a:ext cx="2476162" cy="2816198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104</xdr:row>
      <xdr:rowOff>0</xdr:rowOff>
    </xdr:from>
    <xdr:to>
      <xdr:col>7</xdr:col>
      <xdr:colOff>752661</xdr:colOff>
      <xdr:row>112</xdr:row>
      <xdr:rowOff>161925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457450" y="19812000"/>
          <a:ext cx="3162486" cy="168592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134</xdr:row>
      <xdr:rowOff>0</xdr:rowOff>
    </xdr:from>
    <xdr:to>
      <xdr:col>15</xdr:col>
      <xdr:colOff>103643</xdr:colOff>
      <xdr:row>141</xdr:row>
      <xdr:rowOff>66500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428875" y="25527000"/>
          <a:ext cx="9057143" cy="14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179</xdr:row>
      <xdr:rowOff>0</xdr:rowOff>
    </xdr:from>
    <xdr:to>
      <xdr:col>11</xdr:col>
      <xdr:colOff>113471</xdr:colOff>
      <xdr:row>187</xdr:row>
      <xdr:rowOff>37905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428875" y="34099500"/>
          <a:ext cx="6628571" cy="15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194</xdr:row>
      <xdr:rowOff>0</xdr:rowOff>
    </xdr:from>
    <xdr:to>
      <xdr:col>7</xdr:col>
      <xdr:colOff>1828267</xdr:colOff>
      <xdr:row>204</xdr:row>
      <xdr:rowOff>133095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428875" y="36957000"/>
          <a:ext cx="4266667" cy="203809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209</xdr:row>
      <xdr:rowOff>0</xdr:rowOff>
    </xdr:from>
    <xdr:to>
      <xdr:col>9</xdr:col>
      <xdr:colOff>437433</xdr:colOff>
      <xdr:row>219</xdr:row>
      <xdr:rowOff>9286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428875" y="39814500"/>
          <a:ext cx="5733333" cy="191428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224</xdr:row>
      <xdr:rowOff>0</xdr:rowOff>
    </xdr:from>
    <xdr:to>
      <xdr:col>11</xdr:col>
      <xdr:colOff>218233</xdr:colOff>
      <xdr:row>230</xdr:row>
      <xdr:rowOff>182713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428875" y="42672000"/>
          <a:ext cx="6733333" cy="1333333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239</xdr:row>
      <xdr:rowOff>0</xdr:rowOff>
    </xdr:from>
    <xdr:to>
      <xdr:col>9</xdr:col>
      <xdr:colOff>456481</xdr:colOff>
      <xdr:row>247</xdr:row>
      <xdr:rowOff>37905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428875" y="45529500"/>
          <a:ext cx="5752381" cy="15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254</xdr:row>
      <xdr:rowOff>0</xdr:rowOff>
    </xdr:from>
    <xdr:to>
      <xdr:col>11</xdr:col>
      <xdr:colOff>513471</xdr:colOff>
      <xdr:row>258</xdr:row>
      <xdr:rowOff>28476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428875" y="48387000"/>
          <a:ext cx="7028571" cy="79047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269</xdr:row>
      <xdr:rowOff>0</xdr:rowOff>
    </xdr:from>
    <xdr:to>
      <xdr:col>9</xdr:col>
      <xdr:colOff>513624</xdr:colOff>
      <xdr:row>276</xdr:row>
      <xdr:rowOff>28405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428875" y="51244500"/>
          <a:ext cx="5809524" cy="13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284</xdr:row>
      <xdr:rowOff>0</xdr:rowOff>
    </xdr:from>
    <xdr:to>
      <xdr:col>9</xdr:col>
      <xdr:colOff>542195</xdr:colOff>
      <xdr:row>291</xdr:row>
      <xdr:rowOff>28405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428875" y="54102000"/>
          <a:ext cx="5838095" cy="13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314</xdr:row>
      <xdr:rowOff>0</xdr:rowOff>
    </xdr:from>
    <xdr:to>
      <xdr:col>9</xdr:col>
      <xdr:colOff>456481</xdr:colOff>
      <xdr:row>321</xdr:row>
      <xdr:rowOff>18881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428875" y="59817000"/>
          <a:ext cx="5752381" cy="13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329</xdr:row>
      <xdr:rowOff>0</xdr:rowOff>
    </xdr:from>
    <xdr:to>
      <xdr:col>9</xdr:col>
      <xdr:colOff>408862</xdr:colOff>
      <xdr:row>335</xdr:row>
      <xdr:rowOff>182713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428875" y="62674500"/>
          <a:ext cx="5704762" cy="1333333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404</xdr:row>
      <xdr:rowOff>0</xdr:rowOff>
    </xdr:from>
    <xdr:to>
      <xdr:col>9</xdr:col>
      <xdr:colOff>418386</xdr:colOff>
      <xdr:row>412</xdr:row>
      <xdr:rowOff>28381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428875" y="76962000"/>
          <a:ext cx="5714286" cy="15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419</xdr:row>
      <xdr:rowOff>0</xdr:rowOff>
    </xdr:from>
    <xdr:to>
      <xdr:col>7</xdr:col>
      <xdr:colOff>2162175</xdr:colOff>
      <xdr:row>426</xdr:row>
      <xdr:rowOff>182147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428875" y="79819500"/>
          <a:ext cx="4600575" cy="152326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427</xdr:row>
      <xdr:rowOff>9525</xdr:rowOff>
    </xdr:from>
    <xdr:to>
      <xdr:col>12</xdr:col>
      <xdr:colOff>114300</xdr:colOff>
      <xdr:row>433</xdr:row>
      <xdr:rowOff>74394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428875" y="81353025"/>
          <a:ext cx="7239000" cy="1207869"/>
        </a:xfrm>
        <a:prstGeom prst="rect">
          <a:avLst/>
        </a:prstGeom>
      </xdr:spPr>
    </xdr:pic>
    <xdr:clientData/>
  </xdr:twoCellAnchor>
  <xdr:twoCellAnchor editAs="oneCell">
    <xdr:from>
      <xdr:col>3</xdr:col>
      <xdr:colOff>1</xdr:colOff>
      <xdr:row>434</xdr:row>
      <xdr:rowOff>1</xdr:rowOff>
    </xdr:from>
    <xdr:to>
      <xdr:col>7</xdr:col>
      <xdr:colOff>1933575</xdr:colOff>
      <xdr:row>445</xdr:row>
      <xdr:rowOff>27463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428876" y="82677001"/>
          <a:ext cx="4371974" cy="2122962"/>
        </a:xfrm>
        <a:prstGeom prst="rect">
          <a:avLst/>
        </a:prstGeom>
      </xdr:spPr>
    </xdr:pic>
    <xdr:clientData/>
  </xdr:twoCellAnchor>
  <xdr:twoCellAnchor editAs="oneCell">
    <xdr:from>
      <xdr:col>21</xdr:col>
      <xdr:colOff>85725</xdr:colOff>
      <xdr:row>434</xdr:row>
      <xdr:rowOff>9525</xdr:rowOff>
    </xdr:from>
    <xdr:to>
      <xdr:col>30</xdr:col>
      <xdr:colOff>323850</xdr:colOff>
      <xdr:row>448</xdr:row>
      <xdr:rowOff>95874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5125700" y="82686525"/>
          <a:ext cx="5724525" cy="2753349"/>
        </a:xfrm>
        <a:prstGeom prst="rect">
          <a:avLst/>
        </a:prstGeom>
      </xdr:spPr>
    </xdr:pic>
    <xdr:clientData/>
  </xdr:twoCellAnchor>
  <xdr:twoCellAnchor editAs="oneCell">
    <xdr:from>
      <xdr:col>11</xdr:col>
      <xdr:colOff>9526</xdr:colOff>
      <xdr:row>434</xdr:row>
      <xdr:rowOff>1</xdr:rowOff>
    </xdr:from>
    <xdr:to>
      <xdr:col>20</xdr:col>
      <xdr:colOff>409575</xdr:colOff>
      <xdr:row>448</xdr:row>
      <xdr:rowOff>121318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/>
        <a:srcRect b="31914"/>
        <a:stretch/>
      </xdr:blipFill>
      <xdr:spPr>
        <a:xfrm>
          <a:off x="8953501" y="82677001"/>
          <a:ext cx="5886449" cy="2788317"/>
        </a:xfrm>
        <a:prstGeom prst="rect">
          <a:avLst/>
        </a:prstGeom>
      </xdr:spPr>
    </xdr:pic>
    <xdr:clientData/>
  </xdr:twoCellAnchor>
  <xdr:twoCellAnchor editAs="oneCell">
    <xdr:from>
      <xdr:col>3</xdr:col>
      <xdr:colOff>1</xdr:colOff>
      <xdr:row>445</xdr:row>
      <xdr:rowOff>47625</xdr:rowOff>
    </xdr:from>
    <xdr:to>
      <xdr:col>8</xdr:col>
      <xdr:colOff>228601</xdr:colOff>
      <xdr:row>448</xdr:row>
      <xdr:rowOff>175929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8876" y="84820125"/>
          <a:ext cx="4914900" cy="699804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449</xdr:row>
      <xdr:rowOff>0</xdr:rowOff>
    </xdr:from>
    <xdr:to>
      <xdr:col>9</xdr:col>
      <xdr:colOff>380290</xdr:colOff>
      <xdr:row>456</xdr:row>
      <xdr:rowOff>182690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428875" y="85534500"/>
          <a:ext cx="5676190" cy="152381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464</xdr:row>
      <xdr:rowOff>0</xdr:rowOff>
    </xdr:from>
    <xdr:to>
      <xdr:col>13</xdr:col>
      <xdr:colOff>522843</xdr:colOff>
      <xdr:row>470</xdr:row>
      <xdr:rowOff>133190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428875" y="88392000"/>
          <a:ext cx="8257143" cy="127619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479</xdr:row>
      <xdr:rowOff>0</xdr:rowOff>
    </xdr:from>
    <xdr:to>
      <xdr:col>7</xdr:col>
      <xdr:colOff>542552</xdr:colOff>
      <xdr:row>491</xdr:row>
      <xdr:rowOff>47333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2428875" y="91249500"/>
          <a:ext cx="2980952" cy="2333333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494</xdr:row>
      <xdr:rowOff>0</xdr:rowOff>
    </xdr:from>
    <xdr:to>
      <xdr:col>9</xdr:col>
      <xdr:colOff>399338</xdr:colOff>
      <xdr:row>503</xdr:row>
      <xdr:rowOff>161690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428875" y="94107000"/>
          <a:ext cx="5695238" cy="187619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539</xdr:row>
      <xdr:rowOff>0</xdr:rowOff>
    </xdr:from>
    <xdr:to>
      <xdr:col>13</xdr:col>
      <xdr:colOff>208557</xdr:colOff>
      <xdr:row>544</xdr:row>
      <xdr:rowOff>9405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2428875" y="102679500"/>
          <a:ext cx="7942857" cy="9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1</xdr:colOff>
      <xdr:row>554</xdr:row>
      <xdr:rowOff>0</xdr:rowOff>
    </xdr:from>
    <xdr:to>
      <xdr:col>10</xdr:col>
      <xdr:colOff>38101</xdr:colOff>
      <xdr:row>568</xdr:row>
      <xdr:rowOff>145815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2428876" y="105537000"/>
          <a:ext cx="5943600" cy="2812815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76200</xdr:colOff>
      <xdr:row>554</xdr:row>
      <xdr:rowOff>0</xdr:rowOff>
    </xdr:from>
    <xdr:to>
      <xdr:col>21</xdr:col>
      <xdr:colOff>56314</xdr:colOff>
      <xdr:row>563</xdr:row>
      <xdr:rowOff>9310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8410575" y="105537000"/>
          <a:ext cx="6685714" cy="172381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569</xdr:row>
      <xdr:rowOff>0</xdr:rowOff>
    </xdr:from>
    <xdr:to>
      <xdr:col>9</xdr:col>
      <xdr:colOff>408862</xdr:colOff>
      <xdr:row>576</xdr:row>
      <xdr:rowOff>161738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428875" y="108394500"/>
          <a:ext cx="5704762" cy="1495238"/>
        </a:xfrm>
        <a:prstGeom prst="rect">
          <a:avLst/>
        </a:prstGeom>
      </xdr:spPr>
    </xdr:pic>
    <xdr:clientData/>
  </xdr:twoCellAnchor>
  <xdr:twoCellAnchor editAs="oneCell">
    <xdr:from>
      <xdr:col>2</xdr:col>
      <xdr:colOff>457200</xdr:colOff>
      <xdr:row>113</xdr:row>
      <xdr:rowOff>6249</xdr:rowOff>
    </xdr:from>
    <xdr:to>
      <xdr:col>8</xdr:col>
      <xdr:colOff>581710</xdr:colOff>
      <xdr:row>125</xdr:row>
      <xdr:rowOff>129253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E9FCA10-B0BD-4C68-A2C9-76F55AA4A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20671689"/>
          <a:ext cx="6437680" cy="231756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4:I47"/>
  <sheetViews>
    <sheetView tabSelected="1" topLeftCell="A21" workbookViewId="0">
      <selection activeCell="G23" sqref="G23"/>
    </sheetView>
  </sheetViews>
  <sheetFormatPr defaultRowHeight="15.3" x14ac:dyDescent="0.55000000000000004"/>
  <cols>
    <col min="2" max="2" width="49" customWidth="1"/>
    <col min="3" max="3" width="9.68359375" style="47" bestFit="1" customWidth="1"/>
    <col min="4" max="4" width="9.62890625" style="47" bestFit="1" customWidth="1"/>
  </cols>
  <sheetData>
    <row r="4" spans="1:9" ht="15.6" thickBot="1" x14ac:dyDescent="0.6">
      <c r="C4" s="47" t="s">
        <v>63</v>
      </c>
      <c r="D4" s="47" t="s">
        <v>64</v>
      </c>
    </row>
    <row r="5" spans="1:9" x14ac:dyDescent="0.55000000000000004">
      <c r="A5">
        <v>1</v>
      </c>
      <c r="B5" s="15" t="s">
        <v>15</v>
      </c>
      <c r="C5" s="48">
        <f>'10-K Reports - 2018'!B2</f>
        <v>0.70699319364740432</v>
      </c>
      <c r="D5" s="49">
        <f>'10-K Reports'!B3</f>
        <v>0</v>
      </c>
    </row>
    <row r="6" spans="1:9" x14ac:dyDescent="0.55000000000000004">
      <c r="A6">
        <f>A5+1</f>
        <v>2</v>
      </c>
      <c r="B6" s="18" t="s">
        <v>16</v>
      </c>
      <c r="C6" s="50">
        <f>'10-K Reports - 2018'!B16</f>
        <v>0.84886122506719486</v>
      </c>
      <c r="D6" s="51">
        <f>'10-K Reports - 2018'!B17</f>
        <v>0.12635450558777764</v>
      </c>
      <c r="F6" s="39"/>
    </row>
    <row r="7" spans="1:9" x14ac:dyDescent="0.55000000000000004">
      <c r="A7" s="34">
        <f t="shared" ref="A7:A32" si="0">A6+1</f>
        <v>3</v>
      </c>
      <c r="B7" s="18" t="s">
        <v>17</v>
      </c>
      <c r="C7" s="47">
        <f>5339/6291</f>
        <v>0.84867270704180575</v>
      </c>
      <c r="D7" s="47">
        <f>952/6291</f>
        <v>0.15132729295819425</v>
      </c>
      <c r="F7" s="39"/>
      <c r="G7" s="10"/>
      <c r="H7" s="10"/>
    </row>
    <row r="8" spans="1:9" x14ac:dyDescent="0.55000000000000004">
      <c r="A8" s="34">
        <f t="shared" si="0"/>
        <v>4</v>
      </c>
      <c r="B8" s="18" t="s">
        <v>18</v>
      </c>
      <c r="C8" s="47">
        <f>(9645.5+4653.1)/16195.7</f>
        <v>0.8828639700661286</v>
      </c>
      <c r="D8" s="47">
        <v>0</v>
      </c>
      <c r="I8" s="12"/>
    </row>
    <row r="9" spans="1:9" s="38" customFormat="1" x14ac:dyDescent="0.55000000000000004">
      <c r="B9" s="18" t="s">
        <v>81</v>
      </c>
      <c r="C9" s="47">
        <f>'10-K Reports - 2018'!B60</f>
        <v>0.56205619018215502</v>
      </c>
      <c r="D9" s="47">
        <f>'10-K Reports - 2018'!C60</f>
        <v>0.22738499536894102</v>
      </c>
    </row>
    <row r="10" spans="1:9" x14ac:dyDescent="0.55000000000000004">
      <c r="A10" s="34">
        <f>A8+1</f>
        <v>5</v>
      </c>
      <c r="B10" s="18" t="s">
        <v>21</v>
      </c>
      <c r="C10" s="47">
        <f>4561/6873</f>
        <v>0.66361123235850428</v>
      </c>
      <c r="D10" s="47">
        <f>1903/6873</f>
        <v>0.27688054706823806</v>
      </c>
      <c r="I10" s="12"/>
    </row>
    <row r="11" spans="1:9" x14ac:dyDescent="0.55000000000000004">
      <c r="A11" s="34">
        <f t="shared" si="0"/>
        <v>6</v>
      </c>
      <c r="B11" s="18" t="s">
        <v>22</v>
      </c>
      <c r="C11" s="47">
        <f>8612/12337</f>
        <v>0.69806273810488773</v>
      </c>
      <c r="D11" s="47">
        <f>2327/12337</f>
        <v>0.18861959957850369</v>
      </c>
      <c r="I11" s="12"/>
    </row>
    <row r="12" spans="1:9" x14ac:dyDescent="0.55000000000000004">
      <c r="A12" s="34">
        <f t="shared" si="0"/>
        <v>7</v>
      </c>
      <c r="B12" s="18" t="s">
        <v>25</v>
      </c>
      <c r="C12" s="47">
        <f>22097/24521</f>
        <v>0.90114595652705842</v>
      </c>
      <c r="D12" s="47">
        <f>1773/24521</f>
        <v>7.2305370906569882E-2</v>
      </c>
      <c r="I12" s="12"/>
    </row>
    <row r="13" spans="1:9" x14ac:dyDescent="0.55000000000000004">
      <c r="A13" s="34">
        <f t="shared" si="0"/>
        <v>8</v>
      </c>
      <c r="B13" s="18" t="s">
        <v>26</v>
      </c>
      <c r="C13" s="52">
        <f>'10-K Reports'!B151</f>
        <v>1</v>
      </c>
      <c r="D13" s="53">
        <f>'10-K Reports'!B152</f>
        <v>0</v>
      </c>
      <c r="I13" s="12"/>
    </row>
    <row r="14" spans="1:9" x14ac:dyDescent="0.55000000000000004">
      <c r="A14" s="34">
        <f t="shared" si="0"/>
        <v>9</v>
      </c>
      <c r="B14" s="18" t="s">
        <v>27</v>
      </c>
      <c r="C14" s="52">
        <f>'10-K Reports'!B166</f>
        <v>1</v>
      </c>
      <c r="D14" s="53">
        <f>'10-K Reports'!B167</f>
        <v>0</v>
      </c>
      <c r="I14" s="12"/>
    </row>
    <row r="15" spans="1:9" x14ac:dyDescent="0.55000000000000004">
      <c r="A15" s="34">
        <f t="shared" si="0"/>
        <v>10</v>
      </c>
      <c r="B15" s="18" t="s">
        <v>28</v>
      </c>
      <c r="C15" s="47">
        <f>9384111/11009452</f>
        <v>0.85236858292311002</v>
      </c>
      <c r="D15" s="47">
        <f>156436/11009452</f>
        <v>1.4209244928812079E-2</v>
      </c>
      <c r="I15" s="12"/>
    </row>
    <row r="16" spans="1:9" x14ac:dyDescent="0.55000000000000004">
      <c r="A16" s="34">
        <f t="shared" si="0"/>
        <v>11</v>
      </c>
      <c r="B16" s="22" t="s">
        <v>29</v>
      </c>
      <c r="C16" s="47">
        <f>(6957.2+1286.3)/(8448.2+1965.8)</f>
        <v>0.79157864413289802</v>
      </c>
      <c r="D16" s="47">
        <f>1022.2/(8448.2+1965.8)</f>
        <v>9.8156328019973121E-2</v>
      </c>
      <c r="I16" s="12"/>
    </row>
    <row r="17" spans="1:9" s="11" customFormat="1" x14ac:dyDescent="0.55000000000000004">
      <c r="A17" s="34">
        <f t="shared" si="0"/>
        <v>12</v>
      </c>
      <c r="B17" s="22" t="s">
        <v>69</v>
      </c>
      <c r="C17" s="47">
        <f>19999/35985</f>
        <v>0.55575934417118245</v>
      </c>
      <c r="D17" s="47">
        <f>1668/35985</f>
        <v>4.6352646936223429E-2</v>
      </c>
      <c r="I17" s="12"/>
    </row>
    <row r="18" spans="1:9" x14ac:dyDescent="0.55000000000000004">
      <c r="A18" s="34">
        <f t="shared" si="0"/>
        <v>13</v>
      </c>
      <c r="B18" s="18" t="s">
        <v>30</v>
      </c>
      <c r="C18" s="47">
        <f>(8937+1335)/11261</f>
        <v>0.91217476245448892</v>
      </c>
      <c r="D18" s="47">
        <v>0</v>
      </c>
      <c r="I18" s="12"/>
    </row>
    <row r="19" spans="1:9" x14ac:dyDescent="0.55000000000000004">
      <c r="A19" s="34">
        <f t="shared" si="0"/>
        <v>14</v>
      </c>
      <c r="B19" s="18" t="s">
        <v>31</v>
      </c>
      <c r="C19" s="52">
        <f>'10-K Reports - 2018'!B258</f>
        <v>0.89012911901327196</v>
      </c>
      <c r="D19" s="53">
        <f>'10-K Reports - 2018'!C258</f>
        <v>0</v>
      </c>
      <c r="I19" s="12"/>
    </row>
    <row r="20" spans="1:9" x14ac:dyDescent="0.55000000000000004">
      <c r="A20" s="34">
        <f t="shared" si="0"/>
        <v>15</v>
      </c>
      <c r="B20" s="18" t="s">
        <v>32</v>
      </c>
      <c r="C20" s="52">
        <f>'10-K Reports - 2018'!B273</f>
        <v>0.99695787421794757</v>
      </c>
      <c r="D20" s="53">
        <f>'10-K Reports - 2018'!C273</f>
        <v>0</v>
      </c>
      <c r="I20" s="12"/>
    </row>
    <row r="21" spans="1:9" x14ac:dyDescent="0.55000000000000004">
      <c r="A21" s="34">
        <f t="shared" si="0"/>
        <v>16</v>
      </c>
      <c r="B21" s="18" t="s">
        <v>33</v>
      </c>
      <c r="C21" s="52">
        <f>'10-K Reports - 2018'!B288</f>
        <v>0.71815645052950505</v>
      </c>
      <c r="D21" s="53">
        <f>'10-K Reports - 2018'!C288</f>
        <v>0.28184354947049489</v>
      </c>
      <c r="I21" s="12"/>
    </row>
    <row r="22" spans="1:9" x14ac:dyDescent="0.55000000000000004">
      <c r="A22" s="34">
        <f t="shared" si="0"/>
        <v>17</v>
      </c>
      <c r="B22" s="18" t="s">
        <v>75</v>
      </c>
      <c r="C22" s="52">
        <f>'10-K Reports - 2018'!B299</f>
        <v>0.7091528666228254</v>
      </c>
      <c r="D22" s="53">
        <f>'10-K Reports - 2018'!C299</f>
        <v>0</v>
      </c>
      <c r="I22" s="12"/>
    </row>
    <row r="23" spans="1:9" x14ac:dyDescent="0.55000000000000004">
      <c r="A23" s="34">
        <f t="shared" si="0"/>
        <v>18</v>
      </c>
      <c r="B23" s="18" t="s">
        <v>34</v>
      </c>
      <c r="C23" s="52">
        <f>'10-K Reports - 2018'!B316</f>
        <v>0.7727231925262309</v>
      </c>
      <c r="D23" s="53">
        <f>'10-K Reports - 2018'!C316</f>
        <v>0.22727680747376908</v>
      </c>
      <c r="I23" s="12"/>
    </row>
    <row r="24" spans="1:9" x14ac:dyDescent="0.55000000000000004">
      <c r="A24" s="34">
        <f t="shared" si="0"/>
        <v>19</v>
      </c>
      <c r="B24" s="18" t="s">
        <v>35</v>
      </c>
      <c r="C24" s="52">
        <f>'10-K Reports - 2018'!B331</f>
        <v>1</v>
      </c>
      <c r="D24" s="53">
        <f>'10-K Reports - 2018'!C331</f>
        <v>0</v>
      </c>
      <c r="I24" s="12"/>
    </row>
    <row r="25" spans="1:9" x14ac:dyDescent="0.55000000000000004">
      <c r="A25" s="34">
        <f t="shared" si="0"/>
        <v>20</v>
      </c>
      <c r="B25" s="18" t="s">
        <v>38</v>
      </c>
      <c r="C25" s="52">
        <f>'10-K Reports - 2018'!B376</f>
        <v>0.94717611690575032</v>
      </c>
      <c r="D25" s="53">
        <f>'10-K Reports - 2018'!C376</f>
        <v>0</v>
      </c>
      <c r="I25" s="12"/>
    </row>
    <row r="26" spans="1:9" x14ac:dyDescent="0.55000000000000004">
      <c r="A26" s="34">
        <f t="shared" si="0"/>
        <v>21</v>
      </c>
      <c r="B26" s="18" t="s">
        <v>39</v>
      </c>
      <c r="C26" s="52">
        <f>'10-K Reports'!B361</f>
        <v>1</v>
      </c>
      <c r="D26" s="53">
        <f>'10-K Reports'!B362</f>
        <v>0</v>
      </c>
      <c r="I26" s="12"/>
    </row>
    <row r="27" spans="1:9" x14ac:dyDescent="0.55000000000000004">
      <c r="A27" s="34">
        <f t="shared" si="0"/>
        <v>22</v>
      </c>
      <c r="B27" s="18" t="s">
        <v>40</v>
      </c>
      <c r="C27" s="52">
        <f>'10-K Reports - 2018'!B406</f>
        <v>1</v>
      </c>
      <c r="D27" s="53">
        <f>'10-K Reports - 2018'!C406</f>
        <v>0</v>
      </c>
      <c r="I27" s="12"/>
    </row>
    <row r="28" spans="1:9" x14ac:dyDescent="0.55000000000000004">
      <c r="A28" s="34">
        <f t="shared" si="0"/>
        <v>23</v>
      </c>
      <c r="B28" s="18" t="s">
        <v>41</v>
      </c>
      <c r="C28" s="52">
        <f>'10-K Reports - 2018'!B421</f>
        <v>0.94</v>
      </c>
      <c r="D28" s="53">
        <f>'10-K Reports - 2018'!C421</f>
        <v>0.04</v>
      </c>
      <c r="I28" s="12"/>
    </row>
    <row r="29" spans="1:9" s="34" customFormat="1" x14ac:dyDescent="0.55000000000000004">
      <c r="A29" s="34">
        <f t="shared" si="0"/>
        <v>24</v>
      </c>
      <c r="B29" s="18" t="s">
        <v>77</v>
      </c>
      <c r="C29" s="50">
        <f>'10-K Reports - 2018'!B432</f>
        <v>0.56470481545297901</v>
      </c>
      <c r="D29" s="51">
        <f>'10-K Reports - 2018'!C432</f>
        <v>0.43529518454702093</v>
      </c>
    </row>
    <row r="30" spans="1:9" x14ac:dyDescent="0.55000000000000004">
      <c r="A30" s="34">
        <f t="shared" si="0"/>
        <v>25</v>
      </c>
      <c r="B30" s="18" t="s">
        <v>43</v>
      </c>
      <c r="C30" s="52">
        <f>'10-K Reports - 2018'!B451</f>
        <v>0.64788252819748882</v>
      </c>
      <c r="D30" s="53">
        <f>'10-K Reports - 2018'!C451</f>
        <v>0.13513513513513514</v>
      </c>
      <c r="I30" s="12"/>
    </row>
    <row r="31" spans="1:9" x14ac:dyDescent="0.55000000000000004">
      <c r="A31" s="34">
        <f t="shared" si="0"/>
        <v>26</v>
      </c>
      <c r="B31" s="18" t="s">
        <v>44</v>
      </c>
      <c r="C31" s="50">
        <f>'10-K Reports - 2018'!B475</f>
        <v>0.57708333333333328</v>
      </c>
      <c r="D31" s="51">
        <f>'10-K Reports - 2018'!C475</f>
        <v>0.416015625</v>
      </c>
      <c r="I31" s="12"/>
    </row>
    <row r="32" spans="1:9" ht="15.6" thickBot="1" x14ac:dyDescent="0.6">
      <c r="A32" s="34">
        <f t="shared" si="0"/>
        <v>27</v>
      </c>
      <c r="B32" s="23" t="s">
        <v>45</v>
      </c>
      <c r="C32" s="54">
        <f>'10-K Reports - 2018'!B495</f>
        <v>0.8424200398717171</v>
      </c>
      <c r="D32" s="55">
        <f>'10-K Reports - 2018'!C495</f>
        <v>0.15073242610730692</v>
      </c>
      <c r="I32" s="12"/>
    </row>
    <row r="33" spans="1:9" s="34" customFormat="1" x14ac:dyDescent="0.55000000000000004">
      <c r="B33" s="40"/>
      <c r="C33" s="56"/>
      <c r="D33" s="56"/>
    </row>
    <row r="34" spans="1:9" s="34" customFormat="1" x14ac:dyDescent="0.55000000000000004">
      <c r="B34" s="40"/>
      <c r="C34" s="56"/>
      <c r="D34" s="56"/>
    </row>
    <row r="35" spans="1:9" ht="15.6" thickBot="1" x14ac:dyDescent="0.6">
      <c r="A35" s="3">
        <f>A8+1</f>
        <v>5</v>
      </c>
      <c r="B35" s="21" t="s">
        <v>19</v>
      </c>
      <c r="C35" s="47">
        <f>890656/1396893</f>
        <v>0.63759786898495452</v>
      </c>
      <c r="D35" s="47">
        <f>302037/1396893</f>
        <v>0.21622056950675536</v>
      </c>
      <c r="G35" s="2"/>
      <c r="I35" s="12"/>
    </row>
    <row r="36" spans="1:9" x14ac:dyDescent="0.55000000000000004">
      <c r="A36">
        <f>A32+1</f>
        <v>28</v>
      </c>
      <c r="B36" s="15" t="s">
        <v>20</v>
      </c>
      <c r="C36" s="47">
        <f>711451/1754268</f>
        <v>0.40555433947378622</v>
      </c>
      <c r="D36" s="47">
        <f>1025307/1754268</f>
        <v>0.58446428937881778</v>
      </c>
    </row>
    <row r="37" spans="1:9" x14ac:dyDescent="0.55000000000000004">
      <c r="A37">
        <f>A36+1</f>
        <v>29</v>
      </c>
      <c r="B37" s="18" t="s">
        <v>73</v>
      </c>
      <c r="C37" s="47">
        <f>3232/10589</f>
        <v>0.30522240060440081</v>
      </c>
      <c r="D37" s="47">
        <f>2931/10589</f>
        <v>0.27679667579563699</v>
      </c>
      <c r="I37" s="12"/>
    </row>
    <row r="38" spans="1:9" x14ac:dyDescent="0.55000000000000004">
      <c r="A38" s="3">
        <f>A11+1</f>
        <v>7</v>
      </c>
      <c r="B38" s="18" t="s">
        <v>23</v>
      </c>
      <c r="C38" s="47">
        <f>(7115+2229)/13366</f>
        <v>0.69908723627113567</v>
      </c>
      <c r="D38" s="47">
        <f>(1940/13366)</f>
        <v>0.14514439622923836</v>
      </c>
      <c r="I38" s="12"/>
    </row>
    <row r="39" spans="1:9" x14ac:dyDescent="0.55000000000000004">
      <c r="A39" s="3">
        <f>A38+1</f>
        <v>8</v>
      </c>
      <c r="B39" s="18" t="s">
        <v>24</v>
      </c>
      <c r="C39" s="47">
        <f>5298/14212</f>
        <v>0.37278356318603995</v>
      </c>
      <c r="D39" s="47">
        <f>5557/14212</f>
        <v>0.39100759921193357</v>
      </c>
      <c r="I39" s="12"/>
    </row>
    <row r="40" spans="1:9" x14ac:dyDescent="0.55000000000000004">
      <c r="A40" s="12">
        <f>A37+1</f>
        <v>30</v>
      </c>
      <c r="B40" s="22" t="s">
        <v>69</v>
      </c>
      <c r="C40" s="52">
        <f>'10-K Reports'!B496</f>
        <v>0.48227013808117863</v>
      </c>
      <c r="D40" s="53">
        <f>'10-K Reports'!B497</f>
        <v>3.9754257254480931E-2</v>
      </c>
      <c r="I40" s="12"/>
    </row>
    <row r="41" spans="1:9" s="34" customFormat="1" x14ac:dyDescent="0.55000000000000004">
      <c r="B41" s="22" t="s">
        <v>79</v>
      </c>
      <c r="C41" s="52"/>
      <c r="D41" s="53"/>
    </row>
    <row r="42" spans="1:9" x14ac:dyDescent="0.55000000000000004">
      <c r="A42" s="12">
        <f>A40+1</f>
        <v>31</v>
      </c>
      <c r="B42" s="18" t="s">
        <v>74</v>
      </c>
      <c r="C42" s="52">
        <f>'10-K Reports'!B511</f>
        <v>1</v>
      </c>
      <c r="D42" s="53">
        <f>'10-K Reports'!B512</f>
        <v>0</v>
      </c>
      <c r="I42" s="12"/>
    </row>
    <row r="43" spans="1:9" x14ac:dyDescent="0.55000000000000004">
      <c r="A43" s="12">
        <f>A24+1</f>
        <v>20</v>
      </c>
      <c r="B43" s="18" t="s">
        <v>36</v>
      </c>
      <c r="C43" s="52">
        <f>'10-K Reports - 2018'!B346</f>
        <v>0.49130500727265186</v>
      </c>
      <c r="D43" s="53">
        <f>'10-K Reports - 2018'!C346</f>
        <v>0</v>
      </c>
      <c r="I43" s="12"/>
    </row>
    <row r="44" spans="1:9" x14ac:dyDescent="0.55000000000000004">
      <c r="A44" s="12">
        <f>A43+1</f>
        <v>21</v>
      </c>
      <c r="B44" s="18" t="s">
        <v>37</v>
      </c>
      <c r="C44" s="52">
        <f>'10-K Reports'!B331</f>
        <v>0.76591771228479721</v>
      </c>
      <c r="D44" s="53">
        <f>'10-K Reports'!B332</f>
        <v>0.23408228771520281</v>
      </c>
      <c r="I44" s="12"/>
    </row>
    <row r="45" spans="1:9" x14ac:dyDescent="0.55000000000000004">
      <c r="A45" s="12">
        <f>A22+1</f>
        <v>18</v>
      </c>
      <c r="B45" s="18" t="s">
        <v>76</v>
      </c>
      <c r="C45" s="52">
        <f>'10-K Reports'!B541</f>
        <v>0.43262879788639363</v>
      </c>
      <c r="D45" s="53">
        <f>'10-K Reports'!B542</f>
        <v>0.56962864721485407</v>
      </c>
      <c r="I45" s="12"/>
    </row>
    <row r="46" spans="1:9" x14ac:dyDescent="0.55000000000000004">
      <c r="A46" s="12">
        <f>A28+1</f>
        <v>24</v>
      </c>
      <c r="B46" s="18" t="s">
        <v>42</v>
      </c>
      <c r="C46" s="52">
        <f>'10-K Reports'!B406</f>
        <v>0.60335829362378035</v>
      </c>
      <c r="D46" s="53">
        <f>'10-K Reports'!B407</f>
        <v>0.19832085318810982</v>
      </c>
      <c r="I46" s="12"/>
    </row>
    <row r="47" spans="1:9" ht="15.6" thickBot="1" x14ac:dyDescent="0.6">
      <c r="A47" s="12" t="e">
        <f>#REF!+1</f>
        <v>#REF!</v>
      </c>
      <c r="B47" s="23" t="s">
        <v>78</v>
      </c>
      <c r="C47" s="54">
        <f>'10-K Reports'!B571</f>
        <v>0.21435291461257669</v>
      </c>
      <c r="D47" s="55">
        <f>'10-K Reports'!B572</f>
        <v>0.30583675158995971</v>
      </c>
      <c r="I47" s="12"/>
    </row>
  </sheetData>
  <pageMargins left="0.7" right="0.7" top="0.75" bottom="0.75" header="0.3" footer="0.3"/>
  <pageSetup paperSize="168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101C2-5C27-4536-9A14-D710E2D6EDFA}">
  <dimension ref="A1:BH772"/>
  <sheetViews>
    <sheetView topLeftCell="A498" zoomScaleNormal="100" workbookViewId="0">
      <selection activeCell="B516" sqref="B516"/>
    </sheetView>
  </sheetViews>
  <sheetFormatPr defaultRowHeight="14.4" x14ac:dyDescent="0.55000000000000004"/>
  <cols>
    <col min="1" max="1" width="8.83984375" style="34"/>
    <col min="2" max="2" width="10.5234375" style="34" bestFit="1" customWidth="1"/>
    <col min="3" max="3" width="10.3125" style="34" customWidth="1"/>
    <col min="4" max="7" width="8.83984375" style="34"/>
    <col min="8" max="8" width="33.68359375" style="34" customWidth="1"/>
    <col min="9" max="16384" width="8.83984375" style="34"/>
  </cols>
  <sheetData>
    <row r="1" spans="1:2" x14ac:dyDescent="0.55000000000000004">
      <c r="A1" s="26" t="s">
        <v>65</v>
      </c>
    </row>
    <row r="2" spans="1:2" x14ac:dyDescent="0.55000000000000004">
      <c r="A2" s="34" t="s">
        <v>63</v>
      </c>
      <c r="B2" s="10">
        <f>1059.5/1498.6</f>
        <v>0.70699319364740432</v>
      </c>
    </row>
    <row r="3" spans="1:2" x14ac:dyDescent="0.55000000000000004">
      <c r="A3" s="34" t="s">
        <v>64</v>
      </c>
      <c r="B3" s="10">
        <v>0</v>
      </c>
    </row>
    <row r="4" spans="1:2" x14ac:dyDescent="0.55000000000000004">
      <c r="B4" s="10"/>
    </row>
    <row r="5" spans="1:2" x14ac:dyDescent="0.55000000000000004">
      <c r="B5" s="10"/>
    </row>
    <row r="6" spans="1:2" x14ac:dyDescent="0.55000000000000004">
      <c r="B6" s="10"/>
    </row>
    <row r="7" spans="1:2" x14ac:dyDescent="0.55000000000000004">
      <c r="B7" s="10"/>
    </row>
    <row r="8" spans="1:2" x14ac:dyDescent="0.55000000000000004">
      <c r="A8" s="10"/>
      <c r="B8" s="10"/>
    </row>
    <row r="9" spans="1:2" x14ac:dyDescent="0.55000000000000004">
      <c r="B9" s="10"/>
    </row>
    <row r="10" spans="1:2" x14ac:dyDescent="0.55000000000000004">
      <c r="A10" s="26"/>
      <c r="B10" s="10"/>
    </row>
    <row r="11" spans="1:2" x14ac:dyDescent="0.55000000000000004">
      <c r="B11" s="10"/>
    </row>
    <row r="12" spans="1:2" x14ac:dyDescent="0.55000000000000004">
      <c r="B12" s="10"/>
    </row>
    <row r="13" spans="1:2" x14ac:dyDescent="0.55000000000000004">
      <c r="B13" s="10"/>
    </row>
    <row r="14" spans="1:2" x14ac:dyDescent="0.55000000000000004">
      <c r="B14" s="10"/>
    </row>
    <row r="15" spans="1:2" x14ac:dyDescent="0.55000000000000004">
      <c r="A15" s="26" t="s">
        <v>66</v>
      </c>
      <c r="B15" s="10"/>
    </row>
    <row r="16" spans="1:2" x14ac:dyDescent="0.55000000000000004">
      <c r="A16" s="34" t="s">
        <v>63</v>
      </c>
      <c r="B16" s="10">
        <f>3000.3/3534.5</f>
        <v>0.84886122506719486</v>
      </c>
    </row>
    <row r="17" spans="1:2" x14ac:dyDescent="0.55000000000000004">
      <c r="A17" s="34" t="s">
        <v>64</v>
      </c>
      <c r="B17" s="10">
        <f>446.6/3534.5</f>
        <v>0.12635450558777764</v>
      </c>
    </row>
    <row r="18" spans="1:2" x14ac:dyDescent="0.55000000000000004">
      <c r="B18" s="10"/>
    </row>
    <row r="19" spans="1:2" x14ac:dyDescent="0.55000000000000004">
      <c r="B19" s="10"/>
    </row>
    <row r="20" spans="1:2" x14ac:dyDescent="0.55000000000000004">
      <c r="B20" s="10"/>
    </row>
    <row r="21" spans="1:2" x14ac:dyDescent="0.55000000000000004">
      <c r="B21" s="10"/>
    </row>
    <row r="22" spans="1:2" x14ac:dyDescent="0.55000000000000004">
      <c r="B22" s="10"/>
    </row>
    <row r="23" spans="1:2" x14ac:dyDescent="0.55000000000000004">
      <c r="B23" s="10"/>
    </row>
    <row r="24" spans="1:2" x14ac:dyDescent="0.55000000000000004">
      <c r="B24" s="10"/>
    </row>
    <row r="25" spans="1:2" x14ac:dyDescent="0.55000000000000004">
      <c r="B25" s="10"/>
    </row>
    <row r="26" spans="1:2" x14ac:dyDescent="0.55000000000000004">
      <c r="B26" s="10"/>
    </row>
    <row r="27" spans="1:2" x14ac:dyDescent="0.55000000000000004">
      <c r="B27" s="10"/>
    </row>
    <row r="28" spans="1:2" x14ac:dyDescent="0.55000000000000004">
      <c r="B28" s="10"/>
    </row>
    <row r="29" spans="1:2" x14ac:dyDescent="0.55000000000000004">
      <c r="B29" s="10"/>
    </row>
    <row r="30" spans="1:2" x14ac:dyDescent="0.55000000000000004">
      <c r="A30" s="26" t="s">
        <v>67</v>
      </c>
      <c r="B30" s="10"/>
    </row>
    <row r="31" spans="1:2" x14ac:dyDescent="0.55000000000000004">
      <c r="A31" s="34" t="s">
        <v>63</v>
      </c>
      <c r="B31" s="10">
        <f>5339/6291</f>
        <v>0.84867270704180575</v>
      </c>
    </row>
    <row r="32" spans="1:2" x14ac:dyDescent="0.55000000000000004">
      <c r="A32" s="34" t="s">
        <v>64</v>
      </c>
      <c r="B32" s="10">
        <f>952/6291</f>
        <v>0.15132729295819425</v>
      </c>
    </row>
    <row r="33" spans="1:2" x14ac:dyDescent="0.55000000000000004">
      <c r="B33" s="10"/>
    </row>
    <row r="34" spans="1:2" x14ac:dyDescent="0.55000000000000004">
      <c r="B34" s="10"/>
    </row>
    <row r="35" spans="1:2" x14ac:dyDescent="0.55000000000000004">
      <c r="B35" s="10"/>
    </row>
    <row r="36" spans="1:2" x14ac:dyDescent="0.55000000000000004">
      <c r="B36" s="10"/>
    </row>
    <row r="37" spans="1:2" x14ac:dyDescent="0.55000000000000004">
      <c r="A37" s="2"/>
      <c r="B37" s="10"/>
    </row>
    <row r="38" spans="1:2" x14ac:dyDescent="0.55000000000000004">
      <c r="B38" s="10"/>
    </row>
    <row r="39" spans="1:2" x14ac:dyDescent="0.55000000000000004">
      <c r="B39" s="10"/>
    </row>
    <row r="40" spans="1:2" x14ac:dyDescent="0.55000000000000004">
      <c r="B40" s="10"/>
    </row>
    <row r="41" spans="1:2" x14ac:dyDescent="0.55000000000000004">
      <c r="B41" s="10"/>
    </row>
    <row r="42" spans="1:2" x14ac:dyDescent="0.55000000000000004">
      <c r="B42" s="10"/>
    </row>
    <row r="43" spans="1:2" x14ac:dyDescent="0.55000000000000004">
      <c r="B43" s="10"/>
    </row>
    <row r="44" spans="1:2" x14ac:dyDescent="0.55000000000000004">
      <c r="B44" s="10"/>
    </row>
    <row r="45" spans="1:2" x14ac:dyDescent="0.55000000000000004">
      <c r="A45" s="26" t="s">
        <v>47</v>
      </c>
      <c r="B45" s="10"/>
    </row>
    <row r="46" spans="1:2" x14ac:dyDescent="0.55000000000000004">
      <c r="A46" s="34" t="s">
        <v>63</v>
      </c>
      <c r="B46" s="10">
        <f>(9645.5+4653.1)/16195.7</f>
        <v>0.8828639700661286</v>
      </c>
    </row>
    <row r="47" spans="1:2" x14ac:dyDescent="0.55000000000000004">
      <c r="A47" s="34" t="s">
        <v>64</v>
      </c>
      <c r="B47" s="10">
        <v>0</v>
      </c>
    </row>
    <row r="48" spans="1:2" x14ac:dyDescent="0.55000000000000004">
      <c r="B48" s="10"/>
    </row>
    <row r="49" spans="1:3" x14ac:dyDescent="0.55000000000000004">
      <c r="B49" s="10"/>
    </row>
    <row r="50" spans="1:3" x14ac:dyDescent="0.55000000000000004">
      <c r="B50" s="10"/>
    </row>
    <row r="51" spans="1:3" x14ac:dyDescent="0.55000000000000004">
      <c r="B51" s="10"/>
    </row>
    <row r="52" spans="1:3" x14ac:dyDescent="0.55000000000000004">
      <c r="B52" s="10"/>
    </row>
    <row r="53" spans="1:3" x14ac:dyDescent="0.55000000000000004">
      <c r="A53" s="10"/>
      <c r="B53" s="10"/>
    </row>
    <row r="54" spans="1:3" x14ac:dyDescent="0.55000000000000004">
      <c r="B54" s="10"/>
    </row>
    <row r="55" spans="1:3" x14ac:dyDescent="0.55000000000000004">
      <c r="B55" s="10"/>
    </row>
    <row r="56" spans="1:3" x14ac:dyDescent="0.55000000000000004">
      <c r="B56" s="10"/>
    </row>
    <row r="57" spans="1:3" s="38" customFormat="1" x14ac:dyDescent="0.55000000000000004">
      <c r="B57" s="10"/>
    </row>
    <row r="58" spans="1:3" s="38" customFormat="1" x14ac:dyDescent="0.55000000000000004">
      <c r="B58" s="10"/>
    </row>
    <row r="59" spans="1:3" s="38" customFormat="1" x14ac:dyDescent="0.55000000000000004">
      <c r="A59" s="26" t="s">
        <v>80</v>
      </c>
      <c r="B59" s="38" t="s">
        <v>63</v>
      </c>
      <c r="C59" s="38" t="s">
        <v>64</v>
      </c>
    </row>
    <row r="60" spans="1:3" s="38" customFormat="1" x14ac:dyDescent="0.55000000000000004">
      <c r="B60" s="10">
        <f>3641/6478</f>
        <v>0.56205619018215502</v>
      </c>
      <c r="C60" s="43">
        <f>1473/6478</f>
        <v>0.22738499536894102</v>
      </c>
    </row>
    <row r="61" spans="1:3" s="38" customFormat="1" x14ac:dyDescent="0.55000000000000004">
      <c r="B61" s="10"/>
    </row>
    <row r="62" spans="1:3" s="38" customFormat="1" x14ac:dyDescent="0.55000000000000004">
      <c r="B62" s="10"/>
    </row>
    <row r="63" spans="1:3" s="38" customFormat="1" x14ac:dyDescent="0.55000000000000004">
      <c r="B63" s="10"/>
    </row>
    <row r="64" spans="1:3" s="38" customFormat="1" x14ac:dyDescent="0.55000000000000004">
      <c r="B64" s="10"/>
    </row>
    <row r="65" spans="1:2" s="38" customFormat="1" x14ac:dyDescent="0.55000000000000004">
      <c r="B65" s="10"/>
    </row>
    <row r="66" spans="1:2" s="38" customFormat="1" x14ac:dyDescent="0.55000000000000004">
      <c r="B66" s="10"/>
    </row>
    <row r="67" spans="1:2" s="38" customFormat="1" x14ac:dyDescent="0.55000000000000004">
      <c r="B67" s="10"/>
    </row>
    <row r="68" spans="1:2" s="38" customFormat="1" x14ac:dyDescent="0.55000000000000004">
      <c r="B68" s="10"/>
    </row>
    <row r="69" spans="1:2" s="38" customFormat="1" x14ac:dyDescent="0.55000000000000004">
      <c r="B69" s="10"/>
    </row>
    <row r="70" spans="1:2" s="38" customFormat="1" x14ac:dyDescent="0.55000000000000004">
      <c r="B70" s="10"/>
    </row>
    <row r="71" spans="1:2" s="38" customFormat="1" x14ac:dyDescent="0.55000000000000004">
      <c r="B71" s="10"/>
    </row>
    <row r="72" spans="1:2" s="38" customFormat="1" x14ac:dyDescent="0.55000000000000004">
      <c r="B72" s="10"/>
    </row>
    <row r="73" spans="1:2" s="38" customFormat="1" x14ac:dyDescent="0.55000000000000004">
      <c r="B73" s="10"/>
    </row>
    <row r="74" spans="1:2" x14ac:dyDescent="0.55000000000000004">
      <c r="B74" s="10"/>
    </row>
    <row r="75" spans="1:2" x14ac:dyDescent="0.55000000000000004">
      <c r="B75" s="10"/>
    </row>
    <row r="76" spans="1:2" x14ac:dyDescent="0.55000000000000004">
      <c r="B76" s="10"/>
    </row>
    <row r="77" spans="1:2" x14ac:dyDescent="0.55000000000000004">
      <c r="A77" s="26" t="s">
        <v>46</v>
      </c>
      <c r="B77" s="10"/>
    </row>
    <row r="78" spans="1:2" x14ac:dyDescent="0.55000000000000004">
      <c r="A78" s="34" t="s">
        <v>63</v>
      </c>
      <c r="B78" s="10">
        <f>890656/1396893</f>
        <v>0.63759786898495452</v>
      </c>
    </row>
    <row r="79" spans="1:2" x14ac:dyDescent="0.55000000000000004">
      <c r="A79" s="34" t="s">
        <v>64</v>
      </c>
      <c r="B79" s="10">
        <f>302037/1396893</f>
        <v>0.21622056950675536</v>
      </c>
    </row>
    <row r="80" spans="1:2" x14ac:dyDescent="0.55000000000000004">
      <c r="B80" s="10"/>
    </row>
    <row r="81" spans="1:2" x14ac:dyDescent="0.55000000000000004">
      <c r="B81" s="10"/>
    </row>
    <row r="82" spans="1:2" x14ac:dyDescent="0.55000000000000004">
      <c r="B82" s="10"/>
    </row>
    <row r="83" spans="1:2" x14ac:dyDescent="0.55000000000000004">
      <c r="B83" s="10"/>
    </row>
    <row r="84" spans="1:2" x14ac:dyDescent="0.55000000000000004">
      <c r="B84" s="10"/>
    </row>
    <row r="85" spans="1:2" x14ac:dyDescent="0.55000000000000004">
      <c r="B85" s="10"/>
    </row>
    <row r="86" spans="1:2" x14ac:dyDescent="0.55000000000000004">
      <c r="A86" s="10"/>
      <c r="B86" s="10"/>
    </row>
    <row r="87" spans="1:2" x14ac:dyDescent="0.55000000000000004">
      <c r="B87" s="10"/>
    </row>
    <row r="88" spans="1:2" x14ac:dyDescent="0.55000000000000004">
      <c r="B88" s="10"/>
    </row>
    <row r="89" spans="1:2" x14ac:dyDescent="0.55000000000000004">
      <c r="B89" s="10"/>
    </row>
    <row r="90" spans="1:2" x14ac:dyDescent="0.55000000000000004">
      <c r="B90" s="10"/>
    </row>
    <row r="91" spans="1:2" x14ac:dyDescent="0.55000000000000004">
      <c r="B91" s="10"/>
    </row>
    <row r="92" spans="1:2" x14ac:dyDescent="0.55000000000000004">
      <c r="A92" s="26" t="s">
        <v>50</v>
      </c>
      <c r="B92" s="10"/>
    </row>
    <row r="93" spans="1:2" x14ac:dyDescent="0.55000000000000004">
      <c r="A93" s="34" t="s">
        <v>63</v>
      </c>
      <c r="B93" s="10">
        <f>4561/6873</f>
        <v>0.66361123235850428</v>
      </c>
    </row>
    <row r="94" spans="1:2" x14ac:dyDescent="0.55000000000000004">
      <c r="A94" s="34" t="s">
        <v>64</v>
      </c>
      <c r="B94" s="10">
        <f>1903/6873</f>
        <v>0.27688054706823806</v>
      </c>
    </row>
    <row r="95" spans="1:2" x14ac:dyDescent="0.55000000000000004">
      <c r="B95" s="10"/>
    </row>
    <row r="96" spans="1:2" x14ac:dyDescent="0.55000000000000004">
      <c r="B96" s="10"/>
    </row>
    <row r="97" spans="1:2" x14ac:dyDescent="0.55000000000000004">
      <c r="B97" s="10"/>
    </row>
    <row r="98" spans="1:2" x14ac:dyDescent="0.55000000000000004">
      <c r="B98" s="10"/>
    </row>
    <row r="99" spans="1:2" x14ac:dyDescent="0.55000000000000004">
      <c r="B99" s="10"/>
    </row>
    <row r="100" spans="1:2" x14ac:dyDescent="0.55000000000000004">
      <c r="B100" s="10"/>
    </row>
    <row r="101" spans="1:2" x14ac:dyDescent="0.55000000000000004">
      <c r="B101" s="10"/>
    </row>
    <row r="102" spans="1:2" x14ac:dyDescent="0.55000000000000004">
      <c r="B102" s="10"/>
    </row>
    <row r="103" spans="1:2" x14ac:dyDescent="0.55000000000000004">
      <c r="A103" s="10"/>
      <c r="B103" s="10"/>
    </row>
    <row r="104" spans="1:2" x14ac:dyDescent="0.55000000000000004">
      <c r="B104" s="10"/>
    </row>
    <row r="105" spans="1:2" x14ac:dyDescent="0.55000000000000004">
      <c r="B105" s="10"/>
    </row>
    <row r="106" spans="1:2" x14ac:dyDescent="0.55000000000000004">
      <c r="B106" s="10"/>
    </row>
    <row r="107" spans="1:2" x14ac:dyDescent="0.55000000000000004">
      <c r="A107" s="26" t="s">
        <v>51</v>
      </c>
      <c r="B107" s="10"/>
    </row>
    <row r="108" spans="1:2" x14ac:dyDescent="0.55000000000000004">
      <c r="A108" s="34" t="s">
        <v>63</v>
      </c>
      <c r="B108" s="10">
        <f>8612/12337</f>
        <v>0.69806273810488773</v>
      </c>
    </row>
    <row r="109" spans="1:2" x14ac:dyDescent="0.55000000000000004">
      <c r="A109" s="34" t="s">
        <v>64</v>
      </c>
      <c r="B109" s="10">
        <f>2327/12337</f>
        <v>0.18861959957850369</v>
      </c>
    </row>
    <row r="110" spans="1:2" x14ac:dyDescent="0.55000000000000004">
      <c r="B110" s="10"/>
    </row>
    <row r="111" spans="1:2" x14ac:dyDescent="0.55000000000000004">
      <c r="B111" s="10"/>
    </row>
    <row r="112" spans="1:2" x14ac:dyDescent="0.55000000000000004">
      <c r="B112" s="10"/>
    </row>
    <row r="113" spans="1:2" x14ac:dyDescent="0.55000000000000004">
      <c r="B113" s="10"/>
    </row>
    <row r="114" spans="1:2" x14ac:dyDescent="0.55000000000000004">
      <c r="B114" s="10"/>
    </row>
    <row r="115" spans="1:2" x14ac:dyDescent="0.55000000000000004">
      <c r="B115" s="10"/>
    </row>
    <row r="116" spans="1:2" x14ac:dyDescent="0.55000000000000004">
      <c r="B116" s="10"/>
    </row>
    <row r="117" spans="1:2" x14ac:dyDescent="0.55000000000000004">
      <c r="B117" s="10"/>
    </row>
    <row r="118" spans="1:2" x14ac:dyDescent="0.55000000000000004">
      <c r="B118" s="10"/>
    </row>
    <row r="119" spans="1:2" x14ac:dyDescent="0.55000000000000004">
      <c r="B119" s="10"/>
    </row>
    <row r="120" spans="1:2" x14ac:dyDescent="0.55000000000000004">
      <c r="B120" s="10"/>
    </row>
    <row r="121" spans="1:2" x14ac:dyDescent="0.55000000000000004">
      <c r="B121" s="10"/>
    </row>
    <row r="122" spans="1:2" x14ac:dyDescent="0.55000000000000004">
      <c r="A122" s="26" t="s">
        <v>52</v>
      </c>
      <c r="B122" s="10"/>
    </row>
    <row r="123" spans="1:2" x14ac:dyDescent="0.55000000000000004">
      <c r="A123" s="34" t="s">
        <v>63</v>
      </c>
      <c r="B123" s="10">
        <f>(7115+2229)/13366</f>
        <v>0.69908723627113567</v>
      </c>
    </row>
    <row r="124" spans="1:2" x14ac:dyDescent="0.55000000000000004">
      <c r="A124" s="34" t="s">
        <v>64</v>
      </c>
      <c r="B124" s="10">
        <f>(1940/13366)</f>
        <v>0.14514439622923836</v>
      </c>
    </row>
    <row r="125" spans="1:2" x14ac:dyDescent="0.55000000000000004">
      <c r="B125" s="10"/>
    </row>
    <row r="126" spans="1:2" x14ac:dyDescent="0.55000000000000004">
      <c r="B126" s="10"/>
    </row>
    <row r="127" spans="1:2" x14ac:dyDescent="0.55000000000000004">
      <c r="B127" s="10"/>
    </row>
    <row r="128" spans="1:2" x14ac:dyDescent="0.55000000000000004">
      <c r="B128" s="10"/>
    </row>
    <row r="129" spans="1:2" x14ac:dyDescent="0.55000000000000004">
      <c r="B129" s="10"/>
    </row>
    <row r="130" spans="1:2" x14ac:dyDescent="0.55000000000000004">
      <c r="B130" s="10"/>
    </row>
    <row r="131" spans="1:2" x14ac:dyDescent="0.55000000000000004">
      <c r="B131" s="10"/>
    </row>
    <row r="132" spans="1:2" x14ac:dyDescent="0.55000000000000004">
      <c r="B132" s="10"/>
    </row>
    <row r="133" spans="1:2" x14ac:dyDescent="0.55000000000000004">
      <c r="B133" s="10"/>
    </row>
    <row r="134" spans="1:2" x14ac:dyDescent="0.55000000000000004">
      <c r="B134" s="10"/>
    </row>
    <row r="135" spans="1:2" x14ac:dyDescent="0.55000000000000004">
      <c r="B135" s="10"/>
    </row>
    <row r="136" spans="1:2" x14ac:dyDescent="0.55000000000000004">
      <c r="B136" s="10"/>
    </row>
    <row r="137" spans="1:2" x14ac:dyDescent="0.55000000000000004">
      <c r="A137" s="26" t="s">
        <v>53</v>
      </c>
      <c r="B137" s="10"/>
    </row>
    <row r="138" spans="1:2" x14ac:dyDescent="0.55000000000000004">
      <c r="A138" s="34" t="s">
        <v>63</v>
      </c>
      <c r="B138" s="10">
        <f>5298/14212</f>
        <v>0.37278356318603995</v>
      </c>
    </row>
    <row r="139" spans="1:2" x14ac:dyDescent="0.55000000000000004">
      <c r="A139" s="34" t="s">
        <v>64</v>
      </c>
      <c r="B139" s="10">
        <f>5557/14212</f>
        <v>0.39100759921193357</v>
      </c>
    </row>
    <row r="140" spans="1:2" x14ac:dyDescent="0.55000000000000004">
      <c r="B140" s="10"/>
    </row>
    <row r="141" spans="1:2" x14ac:dyDescent="0.55000000000000004">
      <c r="B141" s="10"/>
    </row>
    <row r="142" spans="1:2" x14ac:dyDescent="0.55000000000000004">
      <c r="B142" s="10"/>
    </row>
    <row r="143" spans="1:2" x14ac:dyDescent="0.55000000000000004">
      <c r="A143" s="10"/>
      <c r="B143" s="10"/>
    </row>
    <row r="144" spans="1:2" x14ac:dyDescent="0.55000000000000004">
      <c r="B144" s="10"/>
    </row>
    <row r="145" spans="1:2" x14ac:dyDescent="0.55000000000000004">
      <c r="B145" s="10"/>
    </row>
    <row r="146" spans="1:2" x14ac:dyDescent="0.55000000000000004">
      <c r="B146" s="10"/>
    </row>
    <row r="147" spans="1:2" x14ac:dyDescent="0.55000000000000004">
      <c r="B147" s="10"/>
    </row>
    <row r="148" spans="1:2" x14ac:dyDescent="0.55000000000000004">
      <c r="B148" s="10"/>
    </row>
    <row r="149" spans="1:2" x14ac:dyDescent="0.55000000000000004">
      <c r="B149" s="10"/>
    </row>
    <row r="150" spans="1:2" x14ac:dyDescent="0.55000000000000004">
      <c r="B150" s="10"/>
    </row>
    <row r="151" spans="1:2" x14ac:dyDescent="0.55000000000000004">
      <c r="B151" s="10"/>
    </row>
    <row r="152" spans="1:2" x14ac:dyDescent="0.55000000000000004">
      <c r="A152" s="26" t="s">
        <v>0</v>
      </c>
      <c r="B152" s="10"/>
    </row>
    <row r="153" spans="1:2" x14ac:dyDescent="0.55000000000000004">
      <c r="A153" s="34" t="s">
        <v>63</v>
      </c>
      <c r="B153" s="10">
        <f>22097/24521</f>
        <v>0.90114595652705842</v>
      </c>
    </row>
    <row r="154" spans="1:2" x14ac:dyDescent="0.55000000000000004">
      <c r="A154" s="34" t="s">
        <v>64</v>
      </c>
      <c r="B154" s="10">
        <f>1773/24521</f>
        <v>7.2305370906569882E-2</v>
      </c>
    </row>
    <row r="155" spans="1:2" x14ac:dyDescent="0.55000000000000004">
      <c r="B155" s="10"/>
    </row>
    <row r="156" spans="1:2" x14ac:dyDescent="0.55000000000000004">
      <c r="B156" s="10"/>
    </row>
    <row r="157" spans="1:2" x14ac:dyDescent="0.55000000000000004">
      <c r="B157" s="10"/>
    </row>
    <row r="158" spans="1:2" x14ac:dyDescent="0.55000000000000004">
      <c r="B158" s="10"/>
    </row>
    <row r="159" spans="1:2" x14ac:dyDescent="0.55000000000000004">
      <c r="B159" s="10"/>
    </row>
    <row r="160" spans="1:2" x14ac:dyDescent="0.55000000000000004">
      <c r="B160" s="10"/>
    </row>
    <row r="161" spans="1:2" x14ac:dyDescent="0.55000000000000004">
      <c r="B161" s="10"/>
    </row>
    <row r="162" spans="1:2" x14ac:dyDescent="0.55000000000000004">
      <c r="B162" s="10"/>
    </row>
    <row r="163" spans="1:2" x14ac:dyDescent="0.55000000000000004">
      <c r="B163" s="10"/>
    </row>
    <row r="164" spans="1:2" x14ac:dyDescent="0.55000000000000004">
      <c r="A164" s="10"/>
      <c r="B164" s="10"/>
    </row>
    <row r="165" spans="1:2" x14ac:dyDescent="0.55000000000000004">
      <c r="B165" s="10"/>
    </row>
    <row r="166" spans="1:2" x14ac:dyDescent="0.55000000000000004">
      <c r="B166" s="10"/>
    </row>
    <row r="167" spans="1:2" x14ac:dyDescent="0.55000000000000004">
      <c r="A167" s="41" t="s">
        <v>68</v>
      </c>
      <c r="B167" s="10"/>
    </row>
    <row r="168" spans="1:2" x14ac:dyDescent="0.55000000000000004">
      <c r="A168" s="34" t="s">
        <v>63</v>
      </c>
      <c r="B168" s="10">
        <v>1</v>
      </c>
    </row>
    <row r="169" spans="1:2" x14ac:dyDescent="0.55000000000000004">
      <c r="A169" s="34" t="s">
        <v>64</v>
      </c>
      <c r="B169" s="10">
        <v>0</v>
      </c>
    </row>
    <row r="170" spans="1:2" x14ac:dyDescent="0.55000000000000004">
      <c r="B170" s="10"/>
    </row>
    <row r="171" spans="1:2" x14ac:dyDescent="0.55000000000000004">
      <c r="B171" s="10"/>
    </row>
    <row r="172" spans="1:2" x14ac:dyDescent="0.55000000000000004">
      <c r="B172" s="10"/>
    </row>
    <row r="173" spans="1:2" x14ac:dyDescent="0.55000000000000004">
      <c r="B173" s="10"/>
    </row>
    <row r="174" spans="1:2" x14ac:dyDescent="0.55000000000000004">
      <c r="A174" s="10"/>
      <c r="B174" s="10"/>
    </row>
    <row r="175" spans="1:2" x14ac:dyDescent="0.55000000000000004">
      <c r="B175" s="10"/>
    </row>
    <row r="176" spans="1:2" x14ac:dyDescent="0.55000000000000004">
      <c r="B176" s="10"/>
    </row>
    <row r="177" spans="1:2" x14ac:dyDescent="0.55000000000000004">
      <c r="B177" s="10"/>
    </row>
    <row r="178" spans="1:2" x14ac:dyDescent="0.55000000000000004">
      <c r="B178" s="10"/>
    </row>
    <row r="179" spans="1:2" x14ac:dyDescent="0.55000000000000004">
      <c r="B179" s="10"/>
    </row>
    <row r="180" spans="1:2" x14ac:dyDescent="0.55000000000000004">
      <c r="B180" s="10"/>
    </row>
    <row r="181" spans="1:2" x14ac:dyDescent="0.55000000000000004">
      <c r="B181" s="10"/>
    </row>
    <row r="182" spans="1:2" x14ac:dyDescent="0.55000000000000004">
      <c r="A182" s="41" t="s">
        <v>55</v>
      </c>
      <c r="B182" s="10"/>
    </row>
    <row r="183" spans="1:2" x14ac:dyDescent="0.55000000000000004">
      <c r="A183" s="34" t="s">
        <v>63</v>
      </c>
      <c r="B183" s="10">
        <v>1</v>
      </c>
    </row>
    <row r="184" spans="1:2" x14ac:dyDescent="0.55000000000000004">
      <c r="A184" s="34" t="s">
        <v>64</v>
      </c>
      <c r="B184" s="10">
        <v>0</v>
      </c>
    </row>
    <row r="185" spans="1:2" x14ac:dyDescent="0.55000000000000004">
      <c r="B185" s="10"/>
    </row>
    <row r="186" spans="1:2" x14ac:dyDescent="0.55000000000000004">
      <c r="B186" s="10"/>
    </row>
    <row r="187" spans="1:2" x14ac:dyDescent="0.55000000000000004">
      <c r="B187" s="10"/>
    </row>
    <row r="188" spans="1:2" x14ac:dyDescent="0.55000000000000004">
      <c r="B188" s="10"/>
    </row>
    <row r="189" spans="1:2" x14ac:dyDescent="0.55000000000000004">
      <c r="B189" s="10"/>
    </row>
    <row r="190" spans="1:2" x14ac:dyDescent="0.55000000000000004">
      <c r="B190" s="10"/>
    </row>
    <row r="191" spans="1:2" x14ac:dyDescent="0.55000000000000004">
      <c r="B191" s="10"/>
    </row>
    <row r="192" spans="1:2" x14ac:dyDescent="0.55000000000000004">
      <c r="A192" s="10"/>
      <c r="B192" s="10"/>
    </row>
    <row r="193" spans="1:2" x14ac:dyDescent="0.55000000000000004">
      <c r="B193" s="10"/>
    </row>
    <row r="194" spans="1:2" x14ac:dyDescent="0.55000000000000004">
      <c r="B194" s="10"/>
    </row>
    <row r="195" spans="1:2" x14ac:dyDescent="0.55000000000000004">
      <c r="B195" s="10"/>
    </row>
    <row r="196" spans="1:2" x14ac:dyDescent="0.55000000000000004">
      <c r="B196" s="10"/>
    </row>
    <row r="197" spans="1:2" x14ac:dyDescent="0.55000000000000004">
      <c r="A197" s="26" t="s">
        <v>54</v>
      </c>
      <c r="B197" s="10"/>
    </row>
    <row r="198" spans="1:2" x14ac:dyDescent="0.55000000000000004">
      <c r="A198" s="34" t="s">
        <v>63</v>
      </c>
      <c r="B198" s="10">
        <f>9384111/11009452</f>
        <v>0.85236858292311002</v>
      </c>
    </row>
    <row r="199" spans="1:2" x14ac:dyDescent="0.55000000000000004">
      <c r="A199" s="34" t="s">
        <v>64</v>
      </c>
      <c r="B199" s="10">
        <f>156436/11009452</f>
        <v>1.4209244928812079E-2</v>
      </c>
    </row>
    <row r="200" spans="1:2" x14ac:dyDescent="0.55000000000000004">
      <c r="B200" s="10"/>
    </row>
    <row r="201" spans="1:2" x14ac:dyDescent="0.55000000000000004">
      <c r="A201" s="10"/>
      <c r="B201" s="10"/>
    </row>
    <row r="202" spans="1:2" x14ac:dyDescent="0.55000000000000004">
      <c r="A202" s="10"/>
      <c r="B202" s="10"/>
    </row>
    <row r="203" spans="1:2" x14ac:dyDescent="0.55000000000000004">
      <c r="A203" s="10"/>
      <c r="B203" s="10"/>
    </row>
    <row r="204" spans="1:2" x14ac:dyDescent="0.55000000000000004">
      <c r="B204" s="10"/>
    </row>
    <row r="205" spans="1:2" x14ac:dyDescent="0.55000000000000004">
      <c r="B205" s="10"/>
    </row>
    <row r="206" spans="1:2" x14ac:dyDescent="0.55000000000000004">
      <c r="B206" s="10"/>
    </row>
    <row r="207" spans="1:2" x14ac:dyDescent="0.55000000000000004">
      <c r="B207" s="10"/>
    </row>
    <row r="208" spans="1:2" x14ac:dyDescent="0.55000000000000004">
      <c r="B208" s="10"/>
    </row>
    <row r="209" spans="1:2" x14ac:dyDescent="0.55000000000000004">
      <c r="B209" s="10"/>
    </row>
    <row r="210" spans="1:2" x14ac:dyDescent="0.55000000000000004">
      <c r="B210" s="10"/>
    </row>
    <row r="211" spans="1:2" x14ac:dyDescent="0.55000000000000004">
      <c r="B211" s="10"/>
    </row>
    <row r="212" spans="1:2" x14ac:dyDescent="0.55000000000000004">
      <c r="A212" s="26" t="s">
        <v>56</v>
      </c>
      <c r="B212" s="10"/>
    </row>
    <row r="213" spans="1:2" x14ac:dyDescent="0.55000000000000004">
      <c r="A213" s="34" t="s">
        <v>63</v>
      </c>
      <c r="B213" s="10">
        <f>(6957.2+1286.3)/(8448.2+1965.8)</f>
        <v>0.79157864413289802</v>
      </c>
    </row>
    <row r="214" spans="1:2" x14ac:dyDescent="0.55000000000000004">
      <c r="A214" s="34" t="s">
        <v>64</v>
      </c>
      <c r="B214" s="10">
        <f>1022.2/(8448.2+1965.8)</f>
        <v>9.8156328019973121E-2</v>
      </c>
    </row>
    <row r="215" spans="1:2" x14ac:dyDescent="0.55000000000000004">
      <c r="B215" s="10"/>
    </row>
    <row r="216" spans="1:2" x14ac:dyDescent="0.55000000000000004">
      <c r="B216" s="10"/>
    </row>
    <row r="217" spans="1:2" x14ac:dyDescent="0.55000000000000004">
      <c r="B217" s="10"/>
    </row>
    <row r="218" spans="1:2" x14ac:dyDescent="0.55000000000000004">
      <c r="B218" s="10"/>
    </row>
    <row r="219" spans="1:2" x14ac:dyDescent="0.55000000000000004">
      <c r="B219" s="10"/>
    </row>
    <row r="220" spans="1:2" x14ac:dyDescent="0.55000000000000004">
      <c r="B220" s="10"/>
    </row>
    <row r="221" spans="1:2" x14ac:dyDescent="0.55000000000000004">
      <c r="B221" s="10"/>
    </row>
    <row r="222" spans="1:2" x14ac:dyDescent="0.55000000000000004">
      <c r="B222" s="10"/>
    </row>
    <row r="223" spans="1:2" x14ac:dyDescent="0.55000000000000004">
      <c r="B223" s="10"/>
    </row>
    <row r="224" spans="1:2" x14ac:dyDescent="0.55000000000000004">
      <c r="B224" s="10"/>
    </row>
    <row r="225" spans="1:2" x14ac:dyDescent="0.55000000000000004">
      <c r="A225" s="10"/>
      <c r="B225" s="10"/>
    </row>
    <row r="226" spans="1:2" x14ac:dyDescent="0.55000000000000004">
      <c r="B226" s="10"/>
    </row>
    <row r="227" spans="1:2" x14ac:dyDescent="0.55000000000000004">
      <c r="A227" s="26" t="s">
        <v>57</v>
      </c>
      <c r="B227" s="10"/>
    </row>
    <row r="228" spans="1:2" x14ac:dyDescent="0.55000000000000004">
      <c r="A228" s="34" t="s">
        <v>63</v>
      </c>
      <c r="B228" s="10">
        <f>19999/35985</f>
        <v>0.55575934417118245</v>
      </c>
    </row>
    <row r="229" spans="1:2" x14ac:dyDescent="0.55000000000000004">
      <c r="A229" s="34" t="s">
        <v>64</v>
      </c>
      <c r="B229" s="10">
        <f>1668/35985</f>
        <v>4.6352646936223429E-2</v>
      </c>
    </row>
    <row r="230" spans="1:2" x14ac:dyDescent="0.55000000000000004">
      <c r="B230" s="10"/>
    </row>
    <row r="231" spans="1:2" x14ac:dyDescent="0.55000000000000004">
      <c r="B231" s="10"/>
    </row>
    <row r="232" spans="1:2" x14ac:dyDescent="0.55000000000000004">
      <c r="B232" s="10"/>
    </row>
    <row r="233" spans="1:2" x14ac:dyDescent="0.55000000000000004">
      <c r="B233" s="10"/>
    </row>
    <row r="234" spans="1:2" x14ac:dyDescent="0.55000000000000004">
      <c r="B234" s="10"/>
    </row>
    <row r="235" spans="1:2" x14ac:dyDescent="0.55000000000000004">
      <c r="B235" s="10"/>
    </row>
    <row r="236" spans="1:2" x14ac:dyDescent="0.55000000000000004">
      <c r="B236" s="10"/>
    </row>
    <row r="237" spans="1:2" x14ac:dyDescent="0.55000000000000004">
      <c r="B237" s="10"/>
    </row>
    <row r="238" spans="1:2" x14ac:dyDescent="0.55000000000000004">
      <c r="B238" s="10"/>
    </row>
    <row r="239" spans="1:2" x14ac:dyDescent="0.55000000000000004">
      <c r="A239" s="10"/>
      <c r="B239" s="10"/>
    </row>
    <row r="240" spans="1:2" x14ac:dyDescent="0.55000000000000004">
      <c r="B240" s="10"/>
    </row>
    <row r="241" spans="1:3" x14ac:dyDescent="0.55000000000000004">
      <c r="B241" s="10"/>
    </row>
    <row r="242" spans="1:3" x14ac:dyDescent="0.55000000000000004">
      <c r="A242" s="26" t="s">
        <v>59</v>
      </c>
      <c r="B242" s="34" t="s">
        <v>63</v>
      </c>
      <c r="C242" s="34" t="s">
        <v>64</v>
      </c>
    </row>
    <row r="243" spans="1:3" x14ac:dyDescent="0.55000000000000004">
      <c r="B243" s="10">
        <f>(8937+1335)/11261</f>
        <v>0.91217476245448892</v>
      </c>
    </row>
    <row r="244" spans="1:3" x14ac:dyDescent="0.55000000000000004">
      <c r="B244" s="10"/>
    </row>
    <row r="245" spans="1:3" x14ac:dyDescent="0.55000000000000004">
      <c r="B245" s="10"/>
    </row>
    <row r="246" spans="1:3" x14ac:dyDescent="0.55000000000000004">
      <c r="B246" s="10"/>
    </row>
    <row r="247" spans="1:3" x14ac:dyDescent="0.55000000000000004">
      <c r="B247" s="10"/>
    </row>
    <row r="248" spans="1:3" x14ac:dyDescent="0.55000000000000004">
      <c r="B248" s="10"/>
    </row>
    <row r="249" spans="1:3" x14ac:dyDescent="0.55000000000000004">
      <c r="B249" s="10"/>
    </row>
    <row r="250" spans="1:3" x14ac:dyDescent="0.55000000000000004">
      <c r="B250" s="10"/>
    </row>
    <row r="251" spans="1:3" x14ac:dyDescent="0.55000000000000004">
      <c r="B251" s="10"/>
    </row>
    <row r="252" spans="1:3" x14ac:dyDescent="0.55000000000000004">
      <c r="B252" s="10"/>
    </row>
    <row r="253" spans="1:3" x14ac:dyDescent="0.55000000000000004">
      <c r="B253" s="10"/>
    </row>
    <row r="254" spans="1:3" x14ac:dyDescent="0.55000000000000004">
      <c r="B254" s="10"/>
    </row>
    <row r="255" spans="1:3" x14ac:dyDescent="0.55000000000000004">
      <c r="B255" s="10"/>
    </row>
    <row r="256" spans="1:3" x14ac:dyDescent="0.55000000000000004">
      <c r="B256" s="10"/>
    </row>
    <row r="257" spans="1:3" x14ac:dyDescent="0.55000000000000004">
      <c r="A257" s="26" t="s">
        <v>61</v>
      </c>
      <c r="B257" s="34" t="s">
        <v>63</v>
      </c>
      <c r="C257" s="34" t="s">
        <v>64</v>
      </c>
    </row>
    <row r="258" spans="1:3" x14ac:dyDescent="0.55000000000000004">
      <c r="A258" s="34" t="s">
        <v>63</v>
      </c>
      <c r="B258" s="10">
        <f>2546525/2860849</f>
        <v>0.89012911901327196</v>
      </c>
      <c r="C258" s="10">
        <v>0</v>
      </c>
    </row>
    <row r="260" spans="1:3" x14ac:dyDescent="0.55000000000000004">
      <c r="B260" s="10"/>
    </row>
    <row r="261" spans="1:3" x14ac:dyDescent="0.55000000000000004">
      <c r="B261" s="10"/>
    </row>
    <row r="262" spans="1:3" x14ac:dyDescent="0.55000000000000004">
      <c r="B262" s="10"/>
    </row>
    <row r="263" spans="1:3" x14ac:dyDescent="0.55000000000000004">
      <c r="B263" s="10"/>
    </row>
    <row r="264" spans="1:3" x14ac:dyDescent="0.55000000000000004">
      <c r="B264" s="10"/>
    </row>
    <row r="265" spans="1:3" x14ac:dyDescent="0.55000000000000004">
      <c r="B265" s="10"/>
    </row>
    <row r="266" spans="1:3" x14ac:dyDescent="0.55000000000000004">
      <c r="B266" s="10"/>
    </row>
    <row r="267" spans="1:3" x14ac:dyDescent="0.55000000000000004">
      <c r="B267" s="10"/>
    </row>
    <row r="268" spans="1:3" x14ac:dyDescent="0.55000000000000004">
      <c r="B268" s="10"/>
    </row>
    <row r="269" spans="1:3" x14ac:dyDescent="0.55000000000000004">
      <c r="B269" s="10"/>
    </row>
    <row r="270" spans="1:3" x14ac:dyDescent="0.55000000000000004">
      <c r="B270" s="10"/>
    </row>
    <row r="271" spans="1:3" x14ac:dyDescent="0.55000000000000004">
      <c r="B271" s="10"/>
    </row>
    <row r="272" spans="1:3" x14ac:dyDescent="0.55000000000000004">
      <c r="A272" s="26" t="s">
        <v>62</v>
      </c>
      <c r="B272" s="34" t="s">
        <v>63</v>
      </c>
      <c r="C272" s="34" t="s">
        <v>64</v>
      </c>
    </row>
    <row r="273" spans="1:3" x14ac:dyDescent="0.55000000000000004">
      <c r="B273" s="10">
        <f>1366582/1370752</f>
        <v>0.99695787421794757</v>
      </c>
      <c r="C273" s="34">
        <v>0</v>
      </c>
    </row>
    <row r="274" spans="1:3" x14ac:dyDescent="0.55000000000000004">
      <c r="B274" s="10"/>
    </row>
    <row r="275" spans="1:3" x14ac:dyDescent="0.55000000000000004">
      <c r="B275" s="10"/>
    </row>
    <row r="276" spans="1:3" x14ac:dyDescent="0.55000000000000004">
      <c r="B276" s="10"/>
    </row>
    <row r="277" spans="1:3" x14ac:dyDescent="0.55000000000000004">
      <c r="B277" s="10"/>
    </row>
    <row r="278" spans="1:3" x14ac:dyDescent="0.55000000000000004">
      <c r="B278" s="10"/>
    </row>
    <row r="279" spans="1:3" x14ac:dyDescent="0.55000000000000004">
      <c r="B279" s="10"/>
    </row>
    <row r="280" spans="1:3" x14ac:dyDescent="0.55000000000000004">
      <c r="B280" s="10"/>
    </row>
    <row r="281" spans="1:3" x14ac:dyDescent="0.55000000000000004">
      <c r="B281" s="10"/>
    </row>
    <row r="282" spans="1:3" x14ac:dyDescent="0.55000000000000004">
      <c r="B282" s="10"/>
    </row>
    <row r="283" spans="1:3" x14ac:dyDescent="0.55000000000000004">
      <c r="B283" s="10"/>
    </row>
    <row r="284" spans="1:3" x14ac:dyDescent="0.55000000000000004">
      <c r="B284" s="10"/>
    </row>
    <row r="285" spans="1:3" x14ac:dyDescent="0.55000000000000004">
      <c r="B285" s="10"/>
    </row>
    <row r="286" spans="1:3" x14ac:dyDescent="0.55000000000000004">
      <c r="B286" s="10"/>
    </row>
    <row r="287" spans="1:3" x14ac:dyDescent="0.55000000000000004">
      <c r="A287" s="26" t="s">
        <v>70</v>
      </c>
      <c r="B287" s="34" t="s">
        <v>63</v>
      </c>
      <c r="C287" s="34" t="s">
        <v>64</v>
      </c>
    </row>
    <row r="288" spans="1:3" x14ac:dyDescent="0.55000000000000004">
      <c r="A288" s="34" t="s">
        <v>63</v>
      </c>
      <c r="B288" s="10">
        <f>402001/559768</f>
        <v>0.71815645052950505</v>
      </c>
      <c r="C288" s="43">
        <f>157767/559768</f>
        <v>0.28184354947049489</v>
      </c>
    </row>
    <row r="289" spans="1:4" x14ac:dyDescent="0.55000000000000004">
      <c r="B289" s="10"/>
    </row>
    <row r="290" spans="1:4" x14ac:dyDescent="0.55000000000000004">
      <c r="B290" s="10"/>
    </row>
    <row r="291" spans="1:4" x14ac:dyDescent="0.55000000000000004">
      <c r="B291" s="10"/>
    </row>
    <row r="292" spans="1:4" x14ac:dyDescent="0.55000000000000004">
      <c r="B292" s="10"/>
    </row>
    <row r="293" spans="1:4" x14ac:dyDescent="0.55000000000000004">
      <c r="B293" s="10"/>
    </row>
    <row r="294" spans="1:4" x14ac:dyDescent="0.55000000000000004">
      <c r="B294" s="10"/>
    </row>
    <row r="295" spans="1:4" x14ac:dyDescent="0.55000000000000004">
      <c r="B295" s="10"/>
    </row>
    <row r="296" spans="1:4" x14ac:dyDescent="0.55000000000000004">
      <c r="B296" s="10"/>
    </row>
    <row r="297" spans="1:4" x14ac:dyDescent="0.55000000000000004">
      <c r="B297" s="10"/>
    </row>
    <row r="298" spans="1:4" x14ac:dyDescent="0.55000000000000004">
      <c r="A298" s="41" t="s">
        <v>1</v>
      </c>
      <c r="B298" s="2" t="s">
        <v>63</v>
      </c>
      <c r="C298" s="2" t="s">
        <v>64</v>
      </c>
      <c r="D298" s="2"/>
    </row>
    <row r="299" spans="1:4" x14ac:dyDescent="0.55000000000000004">
      <c r="A299" s="2"/>
      <c r="B299" s="44">
        <f>11862/16727</f>
        <v>0.7091528666228254</v>
      </c>
      <c r="C299" s="45">
        <v>0</v>
      </c>
      <c r="D299" s="2"/>
    </row>
    <row r="300" spans="1:4" x14ac:dyDescent="0.55000000000000004">
      <c r="A300" s="2"/>
      <c r="B300" s="44"/>
      <c r="C300" s="2"/>
      <c r="D300" s="2"/>
    </row>
    <row r="301" spans="1:4" x14ac:dyDescent="0.55000000000000004">
      <c r="A301" s="2"/>
      <c r="B301" s="44"/>
      <c r="C301" s="2"/>
      <c r="D301" s="2"/>
    </row>
    <row r="302" spans="1:4" x14ac:dyDescent="0.55000000000000004">
      <c r="B302" s="10"/>
    </row>
    <row r="303" spans="1:4" x14ac:dyDescent="0.55000000000000004">
      <c r="B303" s="10"/>
    </row>
    <row r="304" spans="1:4" x14ac:dyDescent="0.55000000000000004">
      <c r="B304" s="10"/>
    </row>
    <row r="305" spans="1:54" x14ac:dyDescent="0.55000000000000004">
      <c r="B305" s="10"/>
    </row>
    <row r="306" spans="1:54" x14ac:dyDescent="0.55000000000000004">
      <c r="B306" s="10"/>
    </row>
    <row r="307" spans="1:54" x14ac:dyDescent="0.55000000000000004">
      <c r="B307" s="10"/>
    </row>
    <row r="308" spans="1:54" x14ac:dyDescent="0.55000000000000004">
      <c r="B308" s="10"/>
    </row>
    <row r="309" spans="1:54" x14ac:dyDescent="0.55000000000000004">
      <c r="B309" s="10"/>
    </row>
    <row r="310" spans="1:54" x14ac:dyDescent="0.55000000000000004">
      <c r="B310" s="10"/>
    </row>
    <row r="311" spans="1:54" x14ac:dyDescent="0.55000000000000004">
      <c r="B311" s="10"/>
    </row>
    <row r="312" spans="1:54" x14ac:dyDescent="0.55000000000000004">
      <c r="B312" s="10"/>
    </row>
    <row r="313" spans="1:54" x14ac:dyDescent="0.55000000000000004">
      <c r="A313" s="10"/>
      <c r="B313" s="10"/>
    </row>
    <row r="314" spans="1:54" x14ac:dyDescent="0.55000000000000004">
      <c r="B314" s="10"/>
    </row>
    <row r="315" spans="1:54" x14ac:dyDescent="0.55000000000000004">
      <c r="A315" s="26" t="s">
        <v>71</v>
      </c>
      <c r="B315" s="2" t="s">
        <v>63</v>
      </c>
      <c r="C315" s="2" t="s">
        <v>64</v>
      </c>
    </row>
    <row r="316" spans="1:54" x14ac:dyDescent="0.55000000000000004">
      <c r="B316" s="10">
        <f>921093/1192009</f>
        <v>0.7727231925262309</v>
      </c>
      <c r="C316" s="43">
        <f>270916/1192009</f>
        <v>0.22727680747376908</v>
      </c>
    </row>
    <row r="317" spans="1:54" x14ac:dyDescent="0.55000000000000004">
      <c r="B317" s="10"/>
    </row>
    <row r="318" spans="1:54" x14ac:dyDescent="0.55000000000000004">
      <c r="B318" s="10"/>
    </row>
    <row r="319" spans="1:54" x14ac:dyDescent="0.55000000000000004">
      <c r="B319" s="10"/>
      <c r="H319" s="60"/>
      <c r="I319" s="58"/>
      <c r="J319" s="58"/>
      <c r="K319" s="58"/>
      <c r="AO319" s="7"/>
      <c r="AW319" s="7"/>
      <c r="BB319" s="7"/>
    </row>
    <row r="320" spans="1:54" x14ac:dyDescent="0.55000000000000004">
      <c r="B320" s="10"/>
      <c r="H320" s="60"/>
      <c r="I320" s="58"/>
      <c r="J320" s="58"/>
      <c r="K320" s="58"/>
      <c r="AO320" s="4"/>
      <c r="AW320" s="4"/>
      <c r="BB320" s="4"/>
    </row>
    <row r="321" spans="1:60" x14ac:dyDescent="0.55000000000000004">
      <c r="B321" s="10"/>
      <c r="H321" s="4"/>
      <c r="I321" s="61"/>
      <c r="J321" s="58"/>
      <c r="K321" s="58"/>
      <c r="Z321" s="60"/>
      <c r="AA321" s="58"/>
      <c r="AB321" s="58"/>
      <c r="AC321" s="58"/>
      <c r="AD321" s="58"/>
      <c r="AE321" s="58"/>
      <c r="AG321" s="7"/>
      <c r="AO321" s="4"/>
      <c r="AW321" s="4"/>
      <c r="BB321" s="4"/>
    </row>
    <row r="322" spans="1:60" x14ac:dyDescent="0.55000000000000004">
      <c r="A322" s="10"/>
      <c r="B322" s="10"/>
      <c r="H322" s="35"/>
      <c r="I322" s="4"/>
      <c r="K322" s="4"/>
      <c r="Z322" s="61"/>
      <c r="AA322" s="58"/>
      <c r="AB322" s="58"/>
      <c r="AC322" s="4"/>
      <c r="AD322" s="60"/>
      <c r="AE322" s="58"/>
      <c r="AG322" s="4"/>
      <c r="AO322" s="4"/>
      <c r="AW322" s="4"/>
      <c r="BB322" s="4"/>
    </row>
    <row r="323" spans="1:60" x14ac:dyDescent="0.55000000000000004">
      <c r="B323" s="10"/>
      <c r="H323" s="35"/>
      <c r="I323" s="59"/>
      <c r="J323" s="58"/>
      <c r="K323" s="4"/>
      <c r="Z323" s="59"/>
      <c r="AA323" s="58"/>
      <c r="AB323" s="4"/>
      <c r="AC323" s="4"/>
      <c r="AD323" s="33"/>
      <c r="AE323" s="4"/>
      <c r="AG323" s="4"/>
      <c r="AO323" s="4"/>
      <c r="AW323" s="4"/>
      <c r="BB323" s="4"/>
    </row>
    <row r="324" spans="1:60" x14ac:dyDescent="0.55000000000000004">
      <c r="B324" s="10"/>
      <c r="H324" s="35"/>
      <c r="I324" s="57"/>
      <c r="J324" s="58"/>
      <c r="K324" s="4"/>
      <c r="Z324" s="57"/>
      <c r="AA324" s="58"/>
      <c r="AB324" s="4"/>
      <c r="AC324" s="4"/>
      <c r="AD324" s="33"/>
      <c r="AE324" s="4"/>
      <c r="AG324" s="4"/>
      <c r="AO324" s="4"/>
      <c r="AP324" s="4"/>
      <c r="AQ324" s="4"/>
      <c r="AR324" s="4"/>
      <c r="AS324" s="4"/>
      <c r="AT324" s="4"/>
      <c r="AU324" s="4"/>
      <c r="AW324" s="4"/>
      <c r="AX324" s="4"/>
      <c r="AY324" s="4"/>
      <c r="AZ324" s="4"/>
      <c r="BB324" s="4"/>
      <c r="BC324" s="4"/>
      <c r="BD324" s="4"/>
      <c r="BE324" s="4"/>
      <c r="BF324" s="4"/>
      <c r="BG324" s="4"/>
      <c r="BH324" s="4"/>
    </row>
    <row r="325" spans="1:60" x14ac:dyDescent="0.55000000000000004">
      <c r="B325" s="10"/>
      <c r="H325" s="35"/>
      <c r="I325" s="57"/>
      <c r="J325" s="58"/>
      <c r="K325" s="4"/>
      <c r="Z325" s="57"/>
      <c r="AA325" s="58"/>
      <c r="AB325" s="4"/>
      <c r="AC325" s="4"/>
      <c r="AD325" s="33"/>
      <c r="AE325" s="4"/>
      <c r="AG325" s="4"/>
      <c r="AO325" s="4"/>
      <c r="AP325" s="35"/>
      <c r="AQ325" s="35"/>
      <c r="AR325" s="35"/>
      <c r="AS325" s="35"/>
      <c r="AT325" s="35"/>
      <c r="AU325" s="35"/>
      <c r="AW325" s="35"/>
      <c r="AX325" s="36"/>
      <c r="AY325" s="36"/>
      <c r="AZ325" s="36"/>
      <c r="BB325" s="35"/>
      <c r="BC325" s="36"/>
      <c r="BD325" s="36"/>
      <c r="BE325" s="36"/>
      <c r="BF325" s="4"/>
      <c r="BG325" s="35"/>
      <c r="BH325" s="35"/>
    </row>
    <row r="326" spans="1:60" x14ac:dyDescent="0.55000000000000004">
      <c r="B326" s="10"/>
      <c r="H326" s="35"/>
      <c r="I326" s="57"/>
      <c r="J326" s="58"/>
      <c r="K326" s="4"/>
      <c r="Z326" s="57"/>
      <c r="AA326" s="58"/>
      <c r="AB326" s="4"/>
      <c r="AC326" s="4"/>
      <c r="AD326" s="33"/>
      <c r="AE326" s="4"/>
      <c r="AG326" s="4"/>
      <c r="AH326" s="4"/>
      <c r="AI326" s="4"/>
      <c r="AJ326" s="4"/>
      <c r="AK326" s="4"/>
      <c r="AL326" s="4"/>
      <c r="AM326" s="4"/>
      <c r="AO326" s="35"/>
      <c r="AP326" s="36"/>
      <c r="AQ326" s="36"/>
      <c r="AR326" s="36"/>
      <c r="AS326" s="4"/>
      <c r="AT326" s="35"/>
      <c r="AU326" s="35"/>
      <c r="AW326" s="35"/>
      <c r="AX326" s="37"/>
      <c r="AY326" s="37"/>
      <c r="AZ326" s="4"/>
      <c r="BB326" s="35"/>
      <c r="BC326" s="37"/>
      <c r="BD326" s="37"/>
      <c r="BE326" s="4"/>
      <c r="BF326" s="4"/>
      <c r="BG326" s="33"/>
      <c r="BH326" s="4"/>
    </row>
    <row r="327" spans="1:60" x14ac:dyDescent="0.55000000000000004">
      <c r="B327" s="10"/>
      <c r="H327" s="35"/>
      <c r="I327" s="57"/>
      <c r="J327" s="58"/>
      <c r="K327" s="4"/>
      <c r="Z327" s="59"/>
      <c r="AA327" s="58"/>
      <c r="AB327" s="4"/>
      <c r="AC327" s="4"/>
      <c r="AD327" s="33"/>
      <c r="AE327" s="35"/>
      <c r="AG327" s="4"/>
      <c r="AH327" s="60"/>
      <c r="AI327" s="58"/>
      <c r="AJ327" s="58"/>
      <c r="AK327" s="58"/>
      <c r="AL327" s="58"/>
      <c r="AM327" s="58"/>
      <c r="AO327" s="35"/>
      <c r="AP327" s="37"/>
      <c r="AQ327" s="37"/>
      <c r="AR327" s="4"/>
      <c r="AS327" s="4"/>
      <c r="AT327" s="33"/>
      <c r="AU327" s="4"/>
      <c r="AW327" s="35"/>
      <c r="AX327" s="33"/>
      <c r="AY327" s="33"/>
      <c r="AZ327" s="4"/>
      <c r="BB327" s="35"/>
      <c r="BC327" s="33"/>
      <c r="BD327" s="33"/>
      <c r="BE327" s="4"/>
      <c r="BF327" s="4"/>
      <c r="BG327" s="33"/>
      <c r="BH327" s="4"/>
    </row>
    <row r="328" spans="1:60" x14ac:dyDescent="0.55000000000000004">
      <c r="B328" s="10"/>
      <c r="H328" s="7"/>
      <c r="I328" s="57"/>
      <c r="J328" s="58"/>
      <c r="K328" s="4"/>
      <c r="AG328" s="35"/>
      <c r="AH328" s="61"/>
      <c r="AI328" s="58"/>
      <c r="AJ328" s="58"/>
      <c r="AK328" s="4"/>
      <c r="AL328" s="60"/>
      <c r="AM328" s="58"/>
      <c r="AO328" s="35"/>
      <c r="AP328" s="33"/>
      <c r="AQ328" s="33"/>
      <c r="AR328" s="4"/>
      <c r="AS328" s="4"/>
      <c r="AT328" s="33"/>
      <c r="AU328" s="4"/>
      <c r="AW328" s="7"/>
      <c r="AX328" s="33"/>
      <c r="AY328" s="33"/>
      <c r="AZ328" s="4"/>
      <c r="BB328" s="35"/>
      <c r="BC328" s="33"/>
      <c r="BD328" s="33"/>
      <c r="BE328" s="4"/>
      <c r="BF328" s="4"/>
      <c r="BG328" s="33"/>
      <c r="BH328" s="4"/>
    </row>
    <row r="329" spans="1:60" x14ac:dyDescent="0.55000000000000004">
      <c r="B329" s="10"/>
      <c r="H329" s="35"/>
      <c r="I329" s="57"/>
      <c r="J329" s="58"/>
      <c r="K329" s="4"/>
      <c r="AG329" s="35"/>
      <c r="AH329" s="59"/>
      <c r="AI329" s="58"/>
      <c r="AJ329" s="4"/>
      <c r="AK329" s="4"/>
      <c r="AL329" s="33"/>
      <c r="AM329" s="4"/>
      <c r="AO329" s="35"/>
      <c r="AP329" s="33"/>
      <c r="AQ329" s="33"/>
      <c r="AR329" s="4"/>
      <c r="AS329" s="4"/>
      <c r="AT329" s="33"/>
      <c r="AU329" s="4"/>
      <c r="AW329" s="7"/>
      <c r="AX329" s="33"/>
      <c r="AY329" s="33"/>
      <c r="AZ329" s="4"/>
      <c r="BB329" s="7"/>
      <c r="BC329" s="37"/>
      <c r="BD329" s="37"/>
      <c r="BE329" s="4"/>
      <c r="BF329" s="4"/>
      <c r="BG329" s="33"/>
      <c r="BH329" s="35"/>
    </row>
    <row r="330" spans="1:60" x14ac:dyDescent="0.55000000000000004">
      <c r="A330" s="41" t="s">
        <v>2</v>
      </c>
      <c r="B330" s="2" t="s">
        <v>63</v>
      </c>
      <c r="C330" s="2" t="s">
        <v>64</v>
      </c>
      <c r="H330" s="7"/>
      <c r="I330" s="57"/>
      <c r="J330" s="58"/>
      <c r="K330" s="4"/>
      <c r="AG330" s="35"/>
      <c r="AH330" s="57"/>
      <c r="AI330" s="58"/>
      <c r="AJ330" s="4"/>
      <c r="AK330" s="4"/>
      <c r="AL330" s="33"/>
      <c r="AM330" s="4"/>
      <c r="AO330" s="35"/>
      <c r="AP330" s="33"/>
      <c r="AQ330" s="33"/>
      <c r="AR330" s="4"/>
      <c r="AS330" s="4"/>
      <c r="AT330" s="33"/>
      <c r="AU330" s="4"/>
      <c r="AW330" s="7"/>
      <c r="AX330" s="37"/>
      <c r="AY330" s="37"/>
      <c r="AZ330" s="4"/>
    </row>
    <row r="331" spans="1:60" x14ac:dyDescent="0.55000000000000004">
      <c r="A331" s="34" t="s">
        <v>63</v>
      </c>
      <c r="B331" s="10">
        <v>1</v>
      </c>
      <c r="C331" s="42">
        <v>0</v>
      </c>
      <c r="H331" s="35"/>
      <c r="I331" s="57"/>
      <c r="J331" s="58"/>
      <c r="K331" s="4"/>
      <c r="AG331" s="35"/>
      <c r="AH331" s="57"/>
      <c r="AI331" s="58"/>
      <c r="AJ331" s="4"/>
      <c r="AK331" s="4"/>
      <c r="AL331" s="33"/>
      <c r="AM331" s="4"/>
      <c r="AO331" s="7"/>
      <c r="AP331" s="37"/>
      <c r="AQ331" s="37"/>
      <c r="AR331" s="4"/>
      <c r="AS331" s="4"/>
      <c r="AT331" s="33"/>
      <c r="AU331" s="35"/>
    </row>
    <row r="332" spans="1:60" x14ac:dyDescent="0.55000000000000004">
      <c r="B332" s="10"/>
      <c r="H332" s="7"/>
      <c r="I332" s="59"/>
      <c r="J332" s="58"/>
      <c r="K332" s="4"/>
      <c r="AG332" s="35"/>
      <c r="AH332" s="57"/>
      <c r="AI332" s="58"/>
      <c r="AJ332" s="4"/>
      <c r="AK332" s="4"/>
      <c r="AL332" s="33"/>
      <c r="AM332" s="4"/>
    </row>
    <row r="333" spans="1:60" x14ac:dyDescent="0.55000000000000004">
      <c r="B333" s="10"/>
      <c r="H333" s="35"/>
      <c r="I333" s="4"/>
      <c r="K333" s="4"/>
      <c r="AG333" s="35"/>
      <c r="AH333" s="33"/>
      <c r="AJ333" s="4"/>
      <c r="AK333" s="4"/>
      <c r="AL333" s="33"/>
      <c r="AM333" s="4"/>
    </row>
    <row r="334" spans="1:60" x14ac:dyDescent="0.55000000000000004">
      <c r="B334" s="10"/>
      <c r="H334" s="35"/>
      <c r="I334" s="4"/>
      <c r="K334" s="4"/>
      <c r="AG334" s="35"/>
      <c r="AH334" s="33"/>
      <c r="AJ334" s="4"/>
      <c r="AK334" s="4"/>
      <c r="AL334" s="33"/>
      <c r="AM334" s="4"/>
    </row>
    <row r="335" spans="1:60" x14ac:dyDescent="0.55000000000000004">
      <c r="B335" s="10"/>
      <c r="H335" s="35"/>
      <c r="I335" s="57"/>
      <c r="J335" s="58"/>
      <c r="K335" s="4"/>
      <c r="AG335" s="35"/>
      <c r="AH335" s="33"/>
      <c r="AJ335" s="4"/>
      <c r="AK335" s="4"/>
      <c r="AL335" s="33"/>
      <c r="AM335" s="4"/>
    </row>
    <row r="336" spans="1:60" x14ac:dyDescent="0.55000000000000004">
      <c r="B336" s="10"/>
      <c r="H336" s="35"/>
      <c r="I336" s="57"/>
      <c r="J336" s="58"/>
      <c r="K336" s="4"/>
      <c r="AG336" s="35"/>
      <c r="AH336" s="33"/>
      <c r="AJ336" s="4"/>
      <c r="AK336" s="4"/>
      <c r="AL336" s="33"/>
      <c r="AM336" s="4"/>
    </row>
    <row r="337" spans="1:39" x14ac:dyDescent="0.55000000000000004">
      <c r="B337" s="10"/>
      <c r="H337" s="35"/>
      <c r="I337" s="57"/>
      <c r="J337" s="58"/>
      <c r="K337" s="4"/>
      <c r="AG337" s="35"/>
      <c r="AH337" s="33"/>
      <c r="AJ337" s="4"/>
      <c r="AK337" s="4"/>
      <c r="AL337" s="33"/>
      <c r="AM337" s="4"/>
    </row>
    <row r="338" spans="1:39" x14ac:dyDescent="0.55000000000000004">
      <c r="B338" s="10"/>
      <c r="H338" s="35"/>
      <c r="I338" s="57"/>
      <c r="J338" s="58"/>
      <c r="K338" s="4"/>
      <c r="AG338" s="35"/>
      <c r="AH338" s="33"/>
      <c r="AJ338" s="4"/>
      <c r="AK338" s="4"/>
      <c r="AL338" s="33"/>
      <c r="AM338" s="4"/>
    </row>
    <row r="339" spans="1:39" x14ac:dyDescent="0.55000000000000004">
      <c r="B339" s="10"/>
      <c r="H339" s="7"/>
      <c r="I339" s="57"/>
      <c r="J339" s="58"/>
      <c r="K339" s="4"/>
      <c r="AG339" s="35"/>
      <c r="AH339" s="33"/>
      <c r="AJ339" s="4"/>
      <c r="AK339" s="4"/>
      <c r="AL339" s="33"/>
      <c r="AM339" s="4"/>
    </row>
    <row r="340" spans="1:39" x14ac:dyDescent="0.55000000000000004">
      <c r="B340" s="10"/>
      <c r="H340" s="35"/>
      <c r="I340" s="57"/>
      <c r="J340" s="58"/>
      <c r="K340" s="4"/>
      <c r="AG340" s="35"/>
      <c r="AH340" s="33"/>
      <c r="AJ340" s="4"/>
      <c r="AK340" s="4"/>
      <c r="AL340" s="33"/>
      <c r="AM340" s="4"/>
    </row>
    <row r="341" spans="1:39" x14ac:dyDescent="0.55000000000000004">
      <c r="B341" s="10"/>
      <c r="H341" s="35"/>
      <c r="I341" s="4"/>
      <c r="K341" s="4"/>
      <c r="AG341" s="35"/>
      <c r="AH341" s="33"/>
      <c r="AJ341" s="4"/>
      <c r="AK341" s="4"/>
      <c r="AL341" s="33"/>
      <c r="AM341" s="4"/>
    </row>
    <row r="342" spans="1:39" x14ac:dyDescent="0.55000000000000004">
      <c r="B342" s="10"/>
      <c r="H342" s="35"/>
      <c r="I342" s="57"/>
      <c r="J342" s="58"/>
      <c r="K342" s="4"/>
      <c r="AG342" s="35"/>
      <c r="AH342" s="33"/>
      <c r="AJ342" s="4"/>
      <c r="AK342" s="4"/>
      <c r="AL342" s="33"/>
      <c r="AM342" s="4"/>
    </row>
    <row r="343" spans="1:39" x14ac:dyDescent="0.55000000000000004">
      <c r="B343" s="10"/>
      <c r="H343" s="35"/>
      <c r="I343" s="57"/>
      <c r="J343" s="58"/>
      <c r="K343" s="4"/>
      <c r="AG343" s="35"/>
      <c r="AH343" s="33"/>
      <c r="AJ343" s="4"/>
      <c r="AK343" s="4"/>
      <c r="AL343" s="33"/>
      <c r="AM343" s="4"/>
    </row>
    <row r="344" spans="1:39" x14ac:dyDescent="0.55000000000000004">
      <c r="B344" s="10"/>
      <c r="H344" s="35"/>
      <c r="I344" s="57"/>
      <c r="J344" s="58"/>
      <c r="K344" s="4"/>
      <c r="AG344" s="35"/>
      <c r="AH344" s="33"/>
      <c r="AJ344" s="4"/>
      <c r="AK344" s="4"/>
      <c r="AL344" s="33"/>
      <c r="AM344" s="4"/>
    </row>
    <row r="345" spans="1:39" x14ac:dyDescent="0.55000000000000004">
      <c r="A345" s="26" t="s">
        <v>3</v>
      </c>
      <c r="B345" s="2" t="s">
        <v>63</v>
      </c>
      <c r="C345" s="2" t="s">
        <v>64</v>
      </c>
      <c r="H345" s="7"/>
      <c r="I345" s="57"/>
      <c r="J345" s="58"/>
      <c r="K345" s="4"/>
      <c r="AG345" s="35"/>
      <c r="AH345" s="33"/>
      <c r="AJ345" s="4"/>
      <c r="AK345" s="4"/>
      <c r="AL345" s="33"/>
      <c r="AM345" s="4"/>
    </row>
    <row r="346" spans="1:39" x14ac:dyDescent="0.55000000000000004">
      <c r="B346" s="10">
        <f>450255/(916447)</f>
        <v>0.49130500727265186</v>
      </c>
      <c r="C346" s="34">
        <v>0</v>
      </c>
      <c r="H346" s="35"/>
      <c r="I346" s="57"/>
      <c r="J346" s="58"/>
      <c r="K346" s="4"/>
      <c r="AG346" s="7"/>
      <c r="AH346" s="59"/>
      <c r="AI346" s="58"/>
      <c r="AJ346" s="4"/>
      <c r="AK346" s="4"/>
      <c r="AL346" s="33"/>
      <c r="AM346" s="35"/>
    </row>
    <row r="347" spans="1:39" x14ac:dyDescent="0.55000000000000004">
      <c r="B347" s="10"/>
      <c r="H347" s="7"/>
      <c r="I347" s="57"/>
      <c r="J347" s="58"/>
      <c r="K347" s="4"/>
    </row>
    <row r="348" spans="1:39" x14ac:dyDescent="0.55000000000000004">
      <c r="B348" s="10"/>
      <c r="C348" s="4" t="s">
        <v>58</v>
      </c>
    </row>
    <row r="349" spans="1:39" x14ac:dyDescent="0.55000000000000004">
      <c r="B349" s="10"/>
      <c r="C349" s="4" t="s">
        <v>58</v>
      </c>
    </row>
    <row r="350" spans="1:39" x14ac:dyDescent="0.55000000000000004">
      <c r="B350" s="10"/>
    </row>
    <row r="351" spans="1:39" x14ac:dyDescent="0.55000000000000004">
      <c r="B351" s="10"/>
    </row>
    <row r="352" spans="1:39" x14ac:dyDescent="0.55000000000000004">
      <c r="B352" s="10"/>
    </row>
    <row r="353" spans="1:3" x14ac:dyDescent="0.55000000000000004">
      <c r="B353" s="10"/>
    </row>
    <row r="354" spans="1:3" x14ac:dyDescent="0.55000000000000004">
      <c r="A354" s="10"/>
      <c r="B354" s="10"/>
    </row>
    <row r="355" spans="1:3" x14ac:dyDescent="0.55000000000000004">
      <c r="B355" s="10"/>
    </row>
    <row r="356" spans="1:3" x14ac:dyDescent="0.55000000000000004">
      <c r="B356" s="10"/>
    </row>
    <row r="357" spans="1:3" x14ac:dyDescent="0.55000000000000004">
      <c r="B357" s="10"/>
    </row>
    <row r="358" spans="1:3" x14ac:dyDescent="0.55000000000000004">
      <c r="B358" s="10"/>
    </row>
    <row r="359" spans="1:3" x14ac:dyDescent="0.55000000000000004">
      <c r="B359" s="10"/>
    </row>
    <row r="360" spans="1:3" x14ac:dyDescent="0.55000000000000004">
      <c r="A360" s="26" t="s">
        <v>72</v>
      </c>
      <c r="B360" s="2" t="s">
        <v>63</v>
      </c>
      <c r="C360" s="2" t="s">
        <v>64</v>
      </c>
    </row>
    <row r="361" spans="1:3" x14ac:dyDescent="0.55000000000000004">
      <c r="B361" s="10">
        <f>13124/17135</f>
        <v>0.76591771228479721</v>
      </c>
    </row>
    <row r="362" spans="1:3" x14ac:dyDescent="0.55000000000000004">
      <c r="B362" s="10"/>
    </row>
    <row r="363" spans="1:3" x14ac:dyDescent="0.55000000000000004">
      <c r="B363" s="10"/>
    </row>
    <row r="364" spans="1:3" x14ac:dyDescent="0.55000000000000004">
      <c r="B364" s="10"/>
    </row>
    <row r="365" spans="1:3" x14ac:dyDescent="0.55000000000000004">
      <c r="B365" s="10"/>
    </row>
    <row r="366" spans="1:3" x14ac:dyDescent="0.55000000000000004">
      <c r="B366" s="10"/>
    </row>
    <row r="367" spans="1:3" x14ac:dyDescent="0.55000000000000004">
      <c r="B367" s="10"/>
    </row>
    <row r="368" spans="1:3" x14ac:dyDescent="0.55000000000000004">
      <c r="B368" s="10"/>
    </row>
    <row r="369" spans="1:3" x14ac:dyDescent="0.55000000000000004">
      <c r="B369" s="10"/>
    </row>
    <row r="370" spans="1:3" x14ac:dyDescent="0.55000000000000004">
      <c r="B370" s="10"/>
    </row>
    <row r="371" spans="1:3" x14ac:dyDescent="0.55000000000000004">
      <c r="A371" s="10"/>
      <c r="B371" s="10"/>
    </row>
    <row r="372" spans="1:3" x14ac:dyDescent="0.55000000000000004">
      <c r="B372" s="10"/>
    </row>
    <row r="373" spans="1:3" x14ac:dyDescent="0.55000000000000004">
      <c r="B373" s="10"/>
    </row>
    <row r="374" spans="1:3" x14ac:dyDescent="0.55000000000000004">
      <c r="B374" s="10"/>
    </row>
    <row r="375" spans="1:3" x14ac:dyDescent="0.55000000000000004">
      <c r="A375" s="41" t="s">
        <v>6</v>
      </c>
      <c r="B375" s="2" t="s">
        <v>63</v>
      </c>
      <c r="C375" s="2" t="s">
        <v>64</v>
      </c>
    </row>
    <row r="376" spans="1:3" x14ac:dyDescent="0.55000000000000004">
      <c r="B376" s="10">
        <f>(1867370+1628891)/3691247</f>
        <v>0.94717611690575032</v>
      </c>
      <c r="C376" s="34">
        <v>0</v>
      </c>
    </row>
    <row r="377" spans="1:3" x14ac:dyDescent="0.55000000000000004">
      <c r="B377" s="10"/>
    </row>
    <row r="378" spans="1:3" x14ac:dyDescent="0.55000000000000004">
      <c r="B378" s="10"/>
    </row>
    <row r="379" spans="1:3" x14ac:dyDescent="0.55000000000000004">
      <c r="B379" s="10"/>
    </row>
    <row r="380" spans="1:3" x14ac:dyDescent="0.55000000000000004">
      <c r="B380" s="10"/>
    </row>
    <row r="381" spans="1:3" x14ac:dyDescent="0.55000000000000004">
      <c r="B381" s="10"/>
    </row>
    <row r="382" spans="1:3" x14ac:dyDescent="0.55000000000000004">
      <c r="B382" s="10"/>
    </row>
    <row r="383" spans="1:3" x14ac:dyDescent="0.55000000000000004">
      <c r="B383" s="10"/>
    </row>
    <row r="384" spans="1:3" x14ac:dyDescent="0.55000000000000004">
      <c r="B384" s="10"/>
    </row>
    <row r="385" spans="1:3" x14ac:dyDescent="0.55000000000000004">
      <c r="B385" s="10"/>
    </row>
    <row r="386" spans="1:3" x14ac:dyDescent="0.55000000000000004">
      <c r="B386" s="10"/>
    </row>
    <row r="387" spans="1:3" x14ac:dyDescent="0.55000000000000004">
      <c r="B387" s="10"/>
    </row>
    <row r="388" spans="1:3" x14ac:dyDescent="0.55000000000000004">
      <c r="B388" s="10"/>
    </row>
    <row r="389" spans="1:3" x14ac:dyDescent="0.55000000000000004">
      <c r="B389" s="10"/>
    </row>
    <row r="390" spans="1:3" x14ac:dyDescent="0.55000000000000004">
      <c r="A390" s="41" t="s">
        <v>5</v>
      </c>
      <c r="B390" s="2" t="s">
        <v>63</v>
      </c>
      <c r="C390" s="2" t="s">
        <v>64</v>
      </c>
    </row>
    <row r="391" spans="1:3" x14ac:dyDescent="0.55000000000000004">
      <c r="B391" s="10">
        <v>1</v>
      </c>
    </row>
    <row r="392" spans="1:3" x14ac:dyDescent="0.55000000000000004">
      <c r="B392" s="10"/>
    </row>
    <row r="393" spans="1:3" x14ac:dyDescent="0.55000000000000004">
      <c r="B393" s="10"/>
    </row>
    <row r="394" spans="1:3" x14ac:dyDescent="0.55000000000000004">
      <c r="B394" s="10"/>
    </row>
    <row r="395" spans="1:3" x14ac:dyDescent="0.55000000000000004">
      <c r="B395" s="10"/>
    </row>
    <row r="396" spans="1:3" x14ac:dyDescent="0.55000000000000004">
      <c r="B396" s="10"/>
    </row>
    <row r="397" spans="1:3" x14ac:dyDescent="0.55000000000000004">
      <c r="B397" s="10"/>
    </row>
    <row r="398" spans="1:3" x14ac:dyDescent="0.55000000000000004">
      <c r="B398" s="10"/>
    </row>
    <row r="399" spans="1:3" x14ac:dyDescent="0.55000000000000004">
      <c r="B399" s="10"/>
    </row>
    <row r="400" spans="1:3" x14ac:dyDescent="0.55000000000000004">
      <c r="B400" s="10"/>
    </row>
    <row r="401" spans="1:3" x14ac:dyDescent="0.55000000000000004">
      <c r="B401" s="10"/>
    </row>
    <row r="402" spans="1:3" x14ac:dyDescent="0.55000000000000004">
      <c r="B402" s="10"/>
    </row>
    <row r="403" spans="1:3" x14ac:dyDescent="0.55000000000000004">
      <c r="B403" s="10"/>
    </row>
    <row r="404" spans="1:3" x14ac:dyDescent="0.55000000000000004">
      <c r="B404" s="10"/>
    </row>
    <row r="405" spans="1:3" x14ac:dyDescent="0.55000000000000004">
      <c r="A405" s="41" t="s">
        <v>7</v>
      </c>
      <c r="B405" s="2" t="s">
        <v>63</v>
      </c>
      <c r="C405" s="2" t="s">
        <v>64</v>
      </c>
    </row>
    <row r="406" spans="1:3" x14ac:dyDescent="0.55000000000000004">
      <c r="B406" s="10">
        <v>1</v>
      </c>
      <c r="C406" s="34">
        <v>0</v>
      </c>
    </row>
    <row r="407" spans="1:3" x14ac:dyDescent="0.55000000000000004">
      <c r="B407" s="10"/>
    </row>
    <row r="408" spans="1:3" x14ac:dyDescent="0.55000000000000004">
      <c r="B408" s="10"/>
    </row>
    <row r="409" spans="1:3" x14ac:dyDescent="0.55000000000000004">
      <c r="B409" s="10"/>
    </row>
    <row r="410" spans="1:3" x14ac:dyDescent="0.55000000000000004">
      <c r="B410" s="10"/>
    </row>
    <row r="411" spans="1:3" x14ac:dyDescent="0.55000000000000004">
      <c r="B411" s="10"/>
    </row>
    <row r="412" spans="1:3" x14ac:dyDescent="0.55000000000000004">
      <c r="B412" s="10"/>
    </row>
    <row r="413" spans="1:3" x14ac:dyDescent="0.55000000000000004">
      <c r="B413" s="10"/>
    </row>
    <row r="414" spans="1:3" x14ac:dyDescent="0.55000000000000004">
      <c r="B414" s="10"/>
    </row>
    <row r="415" spans="1:3" x14ac:dyDescent="0.55000000000000004">
      <c r="B415" s="10"/>
    </row>
    <row r="416" spans="1:3" x14ac:dyDescent="0.55000000000000004">
      <c r="A416" s="10"/>
      <c r="B416" s="10"/>
    </row>
    <row r="417" spans="1:3" x14ac:dyDescent="0.55000000000000004">
      <c r="B417" s="10"/>
    </row>
    <row r="418" spans="1:3" x14ac:dyDescent="0.55000000000000004">
      <c r="B418" s="10"/>
    </row>
    <row r="419" spans="1:3" x14ac:dyDescent="0.55000000000000004">
      <c r="B419" s="10"/>
    </row>
    <row r="420" spans="1:3" x14ac:dyDescent="0.55000000000000004">
      <c r="A420" s="41" t="s">
        <v>4</v>
      </c>
      <c r="B420" s="2" t="s">
        <v>63</v>
      </c>
      <c r="C420" s="2" t="s">
        <v>64</v>
      </c>
    </row>
    <row r="421" spans="1:3" x14ac:dyDescent="0.55000000000000004">
      <c r="B421" s="10">
        <v>0.94</v>
      </c>
      <c r="C421" s="10">
        <v>0.04</v>
      </c>
    </row>
    <row r="422" spans="1:3" x14ac:dyDescent="0.55000000000000004">
      <c r="B422" s="10"/>
    </row>
    <row r="423" spans="1:3" x14ac:dyDescent="0.55000000000000004">
      <c r="B423" s="10"/>
    </row>
    <row r="424" spans="1:3" x14ac:dyDescent="0.55000000000000004">
      <c r="B424" s="10"/>
    </row>
    <row r="425" spans="1:3" x14ac:dyDescent="0.55000000000000004">
      <c r="B425" s="10"/>
    </row>
    <row r="426" spans="1:3" x14ac:dyDescent="0.55000000000000004">
      <c r="B426" s="10"/>
    </row>
    <row r="427" spans="1:3" x14ac:dyDescent="0.55000000000000004">
      <c r="B427" s="10"/>
    </row>
    <row r="428" spans="1:3" x14ac:dyDescent="0.55000000000000004">
      <c r="B428" s="10"/>
    </row>
    <row r="429" spans="1:3" x14ac:dyDescent="0.55000000000000004">
      <c r="B429" s="10"/>
    </row>
    <row r="430" spans="1:3" x14ac:dyDescent="0.55000000000000004">
      <c r="B430" s="10"/>
    </row>
    <row r="431" spans="1:3" x14ac:dyDescent="0.55000000000000004">
      <c r="A431" s="26" t="s">
        <v>10</v>
      </c>
      <c r="B431" s="2" t="s">
        <v>63</v>
      </c>
      <c r="C431" s="2" t="s">
        <v>64</v>
      </c>
    </row>
    <row r="432" spans="1:3" x14ac:dyDescent="0.55000000000000004">
      <c r="B432" s="43">
        <f>6227/11027</f>
        <v>0.56470481545297901</v>
      </c>
      <c r="C432" s="43">
        <f>4800/11027</f>
        <v>0.43529518454702093</v>
      </c>
    </row>
    <row r="433" spans="1:2" x14ac:dyDescent="0.55000000000000004">
      <c r="A433" s="10"/>
      <c r="B433" s="10"/>
    </row>
    <row r="434" spans="1:2" x14ac:dyDescent="0.55000000000000004">
      <c r="B434" s="10"/>
    </row>
    <row r="435" spans="1:2" x14ac:dyDescent="0.55000000000000004">
      <c r="A435" s="26"/>
      <c r="B435" s="10"/>
    </row>
    <row r="436" spans="1:2" x14ac:dyDescent="0.55000000000000004">
      <c r="B436" s="10"/>
    </row>
    <row r="437" spans="1:2" x14ac:dyDescent="0.55000000000000004">
      <c r="B437" s="10"/>
    </row>
    <row r="438" spans="1:2" x14ac:dyDescent="0.55000000000000004">
      <c r="B438" s="10"/>
    </row>
    <row r="439" spans="1:2" x14ac:dyDescent="0.55000000000000004">
      <c r="B439" s="10"/>
    </row>
    <row r="440" spans="1:2" x14ac:dyDescent="0.55000000000000004">
      <c r="B440" s="10"/>
    </row>
    <row r="441" spans="1:2" x14ac:dyDescent="0.55000000000000004">
      <c r="B441" s="10"/>
    </row>
    <row r="442" spans="1:2" x14ac:dyDescent="0.55000000000000004">
      <c r="B442" s="10"/>
    </row>
    <row r="443" spans="1:2" x14ac:dyDescent="0.55000000000000004">
      <c r="B443" s="10"/>
    </row>
    <row r="444" spans="1:2" x14ac:dyDescent="0.55000000000000004">
      <c r="B444" s="10"/>
    </row>
    <row r="445" spans="1:2" x14ac:dyDescent="0.55000000000000004">
      <c r="B445" s="10"/>
    </row>
    <row r="446" spans="1:2" x14ac:dyDescent="0.55000000000000004">
      <c r="B446" s="10"/>
    </row>
    <row r="447" spans="1:2" x14ac:dyDescent="0.55000000000000004">
      <c r="B447" s="10"/>
    </row>
    <row r="448" spans="1:2" x14ac:dyDescent="0.55000000000000004">
      <c r="B448" s="10"/>
    </row>
    <row r="449" spans="1:12" x14ac:dyDescent="0.55000000000000004">
      <c r="B449" s="10"/>
      <c r="L449" s="46"/>
    </row>
    <row r="450" spans="1:12" x14ac:dyDescent="0.55000000000000004">
      <c r="A450" s="26" t="s">
        <v>11</v>
      </c>
      <c r="B450" s="2" t="s">
        <v>63</v>
      </c>
      <c r="C450" s="2" t="s">
        <v>64</v>
      </c>
    </row>
    <row r="451" spans="1:12" x14ac:dyDescent="0.55000000000000004">
      <c r="B451" s="10">
        <f>(6608+5266+3224+124)/23495</f>
        <v>0.64788252819748882</v>
      </c>
      <c r="C451" s="10">
        <f>3175/23495</f>
        <v>0.13513513513513514</v>
      </c>
    </row>
    <row r="452" spans="1:12" x14ac:dyDescent="0.55000000000000004">
      <c r="B452" s="10"/>
    </row>
    <row r="453" spans="1:12" x14ac:dyDescent="0.55000000000000004">
      <c r="B453" s="10"/>
    </row>
    <row r="454" spans="1:12" x14ac:dyDescent="0.55000000000000004">
      <c r="B454" s="10"/>
    </row>
    <row r="455" spans="1:12" x14ac:dyDescent="0.55000000000000004">
      <c r="B455" s="10"/>
    </row>
    <row r="456" spans="1:12" x14ac:dyDescent="0.55000000000000004">
      <c r="B456" s="10"/>
    </row>
    <row r="457" spans="1:12" x14ac:dyDescent="0.55000000000000004">
      <c r="B457" s="10"/>
    </row>
    <row r="458" spans="1:12" x14ac:dyDescent="0.55000000000000004">
      <c r="B458" s="10"/>
    </row>
    <row r="459" spans="1:12" x14ac:dyDescent="0.55000000000000004">
      <c r="B459" s="10"/>
    </row>
    <row r="460" spans="1:12" x14ac:dyDescent="0.55000000000000004">
      <c r="B460" s="10"/>
    </row>
    <row r="461" spans="1:12" x14ac:dyDescent="0.55000000000000004">
      <c r="B461" s="10"/>
    </row>
    <row r="462" spans="1:12" x14ac:dyDescent="0.55000000000000004">
      <c r="B462" s="10"/>
    </row>
    <row r="463" spans="1:12" x14ac:dyDescent="0.55000000000000004">
      <c r="B463" s="10"/>
    </row>
    <row r="464" spans="1:12" x14ac:dyDescent="0.55000000000000004">
      <c r="B464" s="10"/>
    </row>
    <row r="465" spans="1:3" x14ac:dyDescent="0.55000000000000004">
      <c r="B465" s="10"/>
    </row>
    <row r="466" spans="1:3" x14ac:dyDescent="0.55000000000000004">
      <c r="B466" s="10"/>
    </row>
    <row r="467" spans="1:3" x14ac:dyDescent="0.55000000000000004">
      <c r="B467" s="10"/>
    </row>
    <row r="468" spans="1:3" x14ac:dyDescent="0.55000000000000004">
      <c r="B468" s="10"/>
    </row>
    <row r="469" spans="1:3" x14ac:dyDescent="0.55000000000000004">
      <c r="B469" s="10"/>
    </row>
    <row r="470" spans="1:3" x14ac:dyDescent="0.55000000000000004">
      <c r="B470" s="10"/>
    </row>
    <row r="471" spans="1:3" x14ac:dyDescent="0.55000000000000004">
      <c r="B471" s="10"/>
    </row>
    <row r="472" spans="1:3" x14ac:dyDescent="0.55000000000000004">
      <c r="B472" s="10"/>
    </row>
    <row r="473" spans="1:3" x14ac:dyDescent="0.55000000000000004">
      <c r="B473" s="10"/>
    </row>
    <row r="474" spans="1:3" x14ac:dyDescent="0.55000000000000004">
      <c r="A474" s="26" t="s">
        <v>13</v>
      </c>
      <c r="B474" s="2" t="s">
        <v>63</v>
      </c>
      <c r="C474" s="2" t="s">
        <v>64</v>
      </c>
    </row>
    <row r="475" spans="1:3" x14ac:dyDescent="0.55000000000000004">
      <c r="B475" s="10">
        <f>4432/7680</f>
        <v>0.57708333333333328</v>
      </c>
      <c r="C475" s="10">
        <f>3195/7680</f>
        <v>0.416015625</v>
      </c>
    </row>
    <row r="476" spans="1:3" x14ac:dyDescent="0.55000000000000004">
      <c r="B476" s="10"/>
    </row>
    <row r="477" spans="1:3" x14ac:dyDescent="0.55000000000000004">
      <c r="B477" s="10"/>
    </row>
    <row r="478" spans="1:3" x14ac:dyDescent="0.55000000000000004">
      <c r="B478" s="10"/>
    </row>
    <row r="479" spans="1:3" x14ac:dyDescent="0.55000000000000004">
      <c r="B479" s="10"/>
    </row>
    <row r="480" spans="1:3" x14ac:dyDescent="0.55000000000000004">
      <c r="B480" s="10"/>
    </row>
    <row r="481" spans="1:3" x14ac:dyDescent="0.55000000000000004">
      <c r="B481" s="10"/>
    </row>
    <row r="482" spans="1:3" x14ac:dyDescent="0.55000000000000004">
      <c r="B482" s="10"/>
    </row>
    <row r="483" spans="1:3" x14ac:dyDescent="0.55000000000000004">
      <c r="B483" s="10"/>
    </row>
    <row r="484" spans="1:3" x14ac:dyDescent="0.55000000000000004">
      <c r="B484" s="10"/>
    </row>
    <row r="485" spans="1:3" x14ac:dyDescent="0.55000000000000004">
      <c r="B485" s="10"/>
    </row>
    <row r="486" spans="1:3" x14ac:dyDescent="0.55000000000000004">
      <c r="B486" s="10"/>
    </row>
    <row r="487" spans="1:3" x14ac:dyDescent="0.55000000000000004">
      <c r="B487" s="10"/>
    </row>
    <row r="488" spans="1:3" x14ac:dyDescent="0.55000000000000004">
      <c r="B488" s="10"/>
    </row>
    <row r="489" spans="1:3" x14ac:dyDescent="0.55000000000000004">
      <c r="B489" s="10"/>
    </row>
    <row r="490" spans="1:3" x14ac:dyDescent="0.55000000000000004">
      <c r="B490" s="10"/>
    </row>
    <row r="491" spans="1:3" x14ac:dyDescent="0.55000000000000004">
      <c r="B491" s="10"/>
    </row>
    <row r="492" spans="1:3" x14ac:dyDescent="0.55000000000000004">
      <c r="B492" s="10"/>
    </row>
    <row r="493" spans="1:3" x14ac:dyDescent="0.55000000000000004">
      <c r="B493" s="10"/>
    </row>
    <row r="494" spans="1:3" x14ac:dyDescent="0.55000000000000004">
      <c r="A494" s="26" t="s">
        <v>14</v>
      </c>
      <c r="B494" s="2" t="s">
        <v>63</v>
      </c>
      <c r="C494" s="2" t="s">
        <v>64</v>
      </c>
    </row>
    <row r="495" spans="1:3" x14ac:dyDescent="0.55000000000000004">
      <c r="B495" s="10">
        <f>9719/11537</f>
        <v>0.8424200398717171</v>
      </c>
      <c r="C495" s="10">
        <f>1739/11537</f>
        <v>0.15073242610730692</v>
      </c>
    </row>
    <row r="496" spans="1:3" x14ac:dyDescent="0.55000000000000004">
      <c r="B496" s="10"/>
    </row>
    <row r="497" spans="2:13" x14ac:dyDescent="0.55000000000000004">
      <c r="B497" s="10"/>
    </row>
    <row r="498" spans="2:13" x14ac:dyDescent="0.55000000000000004">
      <c r="B498" s="10"/>
    </row>
    <row r="499" spans="2:13" x14ac:dyDescent="0.55000000000000004">
      <c r="B499" s="10"/>
    </row>
    <row r="500" spans="2:13" x14ac:dyDescent="0.55000000000000004">
      <c r="B500" s="10"/>
    </row>
    <row r="501" spans="2:13" x14ac:dyDescent="0.55000000000000004">
      <c r="B501" s="10"/>
    </row>
    <row r="502" spans="2:13" x14ac:dyDescent="0.55000000000000004">
      <c r="B502" s="10"/>
    </row>
    <row r="503" spans="2:13" x14ac:dyDescent="0.55000000000000004">
      <c r="B503" s="10"/>
    </row>
    <row r="504" spans="2:13" x14ac:dyDescent="0.55000000000000004">
      <c r="B504" s="10"/>
    </row>
    <row r="505" spans="2:13" x14ac:dyDescent="0.55000000000000004">
      <c r="B505" s="10"/>
    </row>
    <row r="506" spans="2:13" x14ac:dyDescent="0.55000000000000004">
      <c r="B506" s="10"/>
      <c r="M506" s="34">
        <f ca="1">M506:M508</f>
        <v>0</v>
      </c>
    </row>
    <row r="507" spans="2:13" x14ac:dyDescent="0.55000000000000004">
      <c r="B507" s="10"/>
    </row>
    <row r="508" spans="2:13" x14ac:dyDescent="0.55000000000000004">
      <c r="B508" s="10"/>
    </row>
    <row r="509" spans="2:13" x14ac:dyDescent="0.55000000000000004">
      <c r="B509" s="10"/>
    </row>
    <row r="510" spans="2:13" x14ac:dyDescent="0.55000000000000004">
      <c r="B510" s="10"/>
    </row>
    <row r="511" spans="2:13" x14ac:dyDescent="0.55000000000000004">
      <c r="B511" s="10"/>
    </row>
    <row r="512" spans="2:13" x14ac:dyDescent="0.55000000000000004">
      <c r="B512" s="10"/>
    </row>
    <row r="513" spans="1:2" x14ac:dyDescent="0.55000000000000004">
      <c r="B513" s="10"/>
    </row>
    <row r="514" spans="1:2" x14ac:dyDescent="0.55000000000000004">
      <c r="B514" s="10"/>
    </row>
    <row r="515" spans="1:2" x14ac:dyDescent="0.55000000000000004">
      <c r="A515" s="26" t="s">
        <v>48</v>
      </c>
      <c r="B515" s="10"/>
    </row>
    <row r="516" spans="1:2" x14ac:dyDescent="0.55000000000000004">
      <c r="A516" s="34" t="s">
        <v>63</v>
      </c>
      <c r="B516" s="10">
        <f>711451/1754268</f>
        <v>0.40555433947378622</v>
      </c>
    </row>
    <row r="517" spans="1:2" x14ac:dyDescent="0.55000000000000004">
      <c r="A517" s="34" t="s">
        <v>64</v>
      </c>
      <c r="B517" s="10">
        <f>1025307/1754268</f>
        <v>0.58446428937881778</v>
      </c>
    </row>
    <row r="518" spans="1:2" x14ac:dyDescent="0.55000000000000004">
      <c r="B518" s="10"/>
    </row>
    <row r="519" spans="1:2" x14ac:dyDescent="0.55000000000000004">
      <c r="B519" s="10"/>
    </row>
    <row r="520" spans="1:2" x14ac:dyDescent="0.55000000000000004">
      <c r="B520" s="10"/>
    </row>
    <row r="521" spans="1:2" x14ac:dyDescent="0.55000000000000004">
      <c r="B521" s="10"/>
    </row>
    <row r="522" spans="1:2" x14ac:dyDescent="0.55000000000000004">
      <c r="B522" s="10"/>
    </row>
    <row r="523" spans="1:2" x14ac:dyDescent="0.55000000000000004">
      <c r="A523" s="10"/>
      <c r="B523" s="10"/>
    </row>
    <row r="524" spans="1:2" x14ac:dyDescent="0.55000000000000004">
      <c r="B524" s="10"/>
    </row>
    <row r="525" spans="1:2" x14ac:dyDescent="0.55000000000000004">
      <c r="B525" s="10"/>
    </row>
    <row r="526" spans="1:2" x14ac:dyDescent="0.55000000000000004">
      <c r="B526" s="10"/>
    </row>
    <row r="527" spans="1:2" x14ac:dyDescent="0.55000000000000004">
      <c r="B527" s="10"/>
    </row>
    <row r="528" spans="1:2" x14ac:dyDescent="0.55000000000000004">
      <c r="B528" s="10"/>
    </row>
    <row r="529" spans="1:2" x14ac:dyDescent="0.55000000000000004">
      <c r="B529" s="10"/>
    </row>
    <row r="530" spans="1:2" x14ac:dyDescent="0.55000000000000004">
      <c r="A530" s="26" t="s">
        <v>49</v>
      </c>
      <c r="B530" s="10"/>
    </row>
    <row r="531" spans="1:2" x14ac:dyDescent="0.55000000000000004">
      <c r="A531" s="34" t="s">
        <v>63</v>
      </c>
      <c r="B531" s="10">
        <f>3232/10589</f>
        <v>0.30522240060440081</v>
      </c>
    </row>
    <row r="532" spans="1:2" x14ac:dyDescent="0.55000000000000004">
      <c r="A532" s="34" t="s">
        <v>64</v>
      </c>
      <c r="B532" s="10">
        <f>2931/10589</f>
        <v>0.27679667579563699</v>
      </c>
    </row>
    <row r="533" spans="1:2" x14ac:dyDescent="0.55000000000000004">
      <c r="B533" s="10"/>
    </row>
    <row r="534" spans="1:2" x14ac:dyDescent="0.55000000000000004">
      <c r="B534" s="10"/>
    </row>
    <row r="535" spans="1:2" x14ac:dyDescent="0.55000000000000004">
      <c r="B535" s="10"/>
    </row>
    <row r="536" spans="1:2" x14ac:dyDescent="0.55000000000000004">
      <c r="B536" s="10"/>
    </row>
    <row r="537" spans="1:2" x14ac:dyDescent="0.55000000000000004">
      <c r="B537" s="10"/>
    </row>
    <row r="538" spans="1:2" x14ac:dyDescent="0.55000000000000004">
      <c r="B538" s="10"/>
    </row>
    <row r="539" spans="1:2" x14ac:dyDescent="0.55000000000000004">
      <c r="B539" s="10"/>
    </row>
    <row r="540" spans="1:2" x14ac:dyDescent="0.55000000000000004">
      <c r="B540" s="10"/>
    </row>
    <row r="541" spans="1:2" x14ac:dyDescent="0.55000000000000004">
      <c r="B541" s="10"/>
    </row>
    <row r="542" spans="1:2" x14ac:dyDescent="0.55000000000000004">
      <c r="B542" s="10"/>
    </row>
    <row r="543" spans="1:2" x14ac:dyDescent="0.55000000000000004">
      <c r="B543" s="10"/>
    </row>
    <row r="544" spans="1:2" x14ac:dyDescent="0.55000000000000004">
      <c r="B544" s="10"/>
    </row>
    <row r="545" spans="1:2" x14ac:dyDescent="0.55000000000000004">
      <c r="A545" s="26" t="s">
        <v>57</v>
      </c>
      <c r="B545" s="10"/>
    </row>
    <row r="546" spans="1:2" x14ac:dyDescent="0.55000000000000004">
      <c r="A546" s="34" t="s">
        <v>63</v>
      </c>
      <c r="B546" s="10">
        <f>16171/33531</f>
        <v>0.48227013808117863</v>
      </c>
    </row>
    <row r="547" spans="1:2" x14ac:dyDescent="0.55000000000000004">
      <c r="A547" s="34" t="s">
        <v>64</v>
      </c>
      <c r="B547" s="10">
        <f>1333/33531</f>
        <v>3.9754257254480931E-2</v>
      </c>
    </row>
    <row r="548" spans="1:2" x14ac:dyDescent="0.55000000000000004">
      <c r="B548" s="10"/>
    </row>
    <row r="549" spans="1:2" x14ac:dyDescent="0.55000000000000004">
      <c r="B549" s="10"/>
    </row>
    <row r="550" spans="1:2" x14ac:dyDescent="0.55000000000000004">
      <c r="A550" s="10"/>
      <c r="B550" s="10"/>
    </row>
    <row r="551" spans="1:2" x14ac:dyDescent="0.55000000000000004">
      <c r="B551" s="10"/>
    </row>
    <row r="552" spans="1:2" x14ac:dyDescent="0.55000000000000004">
      <c r="B552" s="10"/>
    </row>
    <row r="553" spans="1:2" x14ac:dyDescent="0.55000000000000004">
      <c r="B553" s="10"/>
    </row>
    <row r="554" spans="1:2" x14ac:dyDescent="0.55000000000000004">
      <c r="B554" s="10"/>
    </row>
    <row r="555" spans="1:2" x14ac:dyDescent="0.55000000000000004">
      <c r="B555" s="10"/>
    </row>
    <row r="556" spans="1:2" x14ac:dyDescent="0.55000000000000004">
      <c r="B556" s="10"/>
    </row>
    <row r="557" spans="1:2" x14ac:dyDescent="0.55000000000000004">
      <c r="B557" s="10"/>
    </row>
    <row r="558" spans="1:2" x14ac:dyDescent="0.55000000000000004">
      <c r="B558" s="10"/>
    </row>
    <row r="559" spans="1:2" x14ac:dyDescent="0.55000000000000004">
      <c r="B559" s="10"/>
    </row>
    <row r="560" spans="1:2" x14ac:dyDescent="0.55000000000000004">
      <c r="B560" s="10"/>
    </row>
    <row r="561" spans="1:2" x14ac:dyDescent="0.55000000000000004">
      <c r="B561" s="10"/>
    </row>
    <row r="562" spans="1:2" x14ac:dyDescent="0.55000000000000004">
      <c r="A562" s="26" t="s">
        <v>8</v>
      </c>
      <c r="B562" s="10"/>
    </row>
    <row r="563" spans="1:2" x14ac:dyDescent="0.55000000000000004">
      <c r="A563" s="34" t="s">
        <v>63</v>
      </c>
      <c r="B563" s="10">
        <f>3930/9084</f>
        <v>0.43262879788639363</v>
      </c>
    </row>
    <row r="564" spans="1:2" x14ac:dyDescent="0.55000000000000004">
      <c r="A564" s="34" t="s">
        <v>64</v>
      </c>
      <c r="B564" s="10">
        <f>(9084-3930)/9048</f>
        <v>0.56962864721485407</v>
      </c>
    </row>
    <row r="565" spans="1:2" x14ac:dyDescent="0.55000000000000004">
      <c r="B565" s="10"/>
    </row>
    <row r="566" spans="1:2" x14ac:dyDescent="0.55000000000000004">
      <c r="B566" s="10"/>
    </row>
    <row r="567" spans="1:2" x14ac:dyDescent="0.55000000000000004">
      <c r="B567" s="10"/>
    </row>
    <row r="568" spans="1:2" x14ac:dyDescent="0.55000000000000004">
      <c r="B568" s="10"/>
    </row>
    <row r="569" spans="1:2" x14ac:dyDescent="0.55000000000000004">
      <c r="B569" s="10"/>
    </row>
    <row r="570" spans="1:2" x14ac:dyDescent="0.55000000000000004">
      <c r="B570" s="10"/>
    </row>
    <row r="571" spans="1:2" x14ac:dyDescent="0.55000000000000004">
      <c r="B571" s="10"/>
    </row>
    <row r="572" spans="1:2" x14ac:dyDescent="0.55000000000000004">
      <c r="B572" s="10"/>
    </row>
    <row r="573" spans="1:2" x14ac:dyDescent="0.55000000000000004">
      <c r="B573" s="10"/>
    </row>
    <row r="574" spans="1:2" x14ac:dyDescent="0.55000000000000004">
      <c r="B574" s="10"/>
    </row>
    <row r="575" spans="1:2" x14ac:dyDescent="0.55000000000000004">
      <c r="B575" s="10"/>
    </row>
    <row r="576" spans="1:2" x14ac:dyDescent="0.55000000000000004">
      <c r="B576" s="10"/>
    </row>
    <row r="579" spans="1:2" x14ac:dyDescent="0.55000000000000004">
      <c r="B579" s="10"/>
    </row>
    <row r="580" spans="1:2" x14ac:dyDescent="0.55000000000000004">
      <c r="B580" s="10"/>
    </row>
    <row r="581" spans="1:2" x14ac:dyDescent="0.55000000000000004">
      <c r="B581" s="10"/>
    </row>
    <row r="582" spans="1:2" x14ac:dyDescent="0.55000000000000004">
      <c r="B582" s="10"/>
    </row>
    <row r="583" spans="1:2" x14ac:dyDescent="0.55000000000000004">
      <c r="B583" s="10"/>
    </row>
    <row r="584" spans="1:2" x14ac:dyDescent="0.55000000000000004">
      <c r="B584" s="10"/>
    </row>
    <row r="585" spans="1:2" x14ac:dyDescent="0.55000000000000004">
      <c r="B585" s="10"/>
    </row>
    <row r="586" spans="1:2" x14ac:dyDescent="0.55000000000000004">
      <c r="B586" s="10"/>
    </row>
    <row r="587" spans="1:2" x14ac:dyDescent="0.55000000000000004">
      <c r="B587" s="10"/>
    </row>
    <row r="588" spans="1:2" x14ac:dyDescent="0.55000000000000004">
      <c r="B588" s="10"/>
    </row>
    <row r="589" spans="1:2" x14ac:dyDescent="0.55000000000000004">
      <c r="B589" s="10"/>
    </row>
    <row r="590" spans="1:2" x14ac:dyDescent="0.55000000000000004">
      <c r="B590" s="10"/>
    </row>
    <row r="591" spans="1:2" x14ac:dyDescent="0.55000000000000004">
      <c r="B591" s="10"/>
    </row>
    <row r="592" spans="1:2" x14ac:dyDescent="0.55000000000000004">
      <c r="A592" s="26" t="s">
        <v>12</v>
      </c>
      <c r="B592" s="10"/>
    </row>
    <row r="593" spans="1:2" x14ac:dyDescent="0.55000000000000004">
      <c r="A593" s="34" t="s">
        <v>63</v>
      </c>
      <c r="B593" s="10">
        <f>569600/2657300</f>
        <v>0.21435291461257669</v>
      </c>
    </row>
    <row r="594" spans="1:2" x14ac:dyDescent="0.55000000000000004">
      <c r="A594" s="34" t="s">
        <v>64</v>
      </c>
      <c r="B594" s="10">
        <f>812700/2657300</f>
        <v>0.30583675158995971</v>
      </c>
    </row>
    <row r="596" spans="1:2" x14ac:dyDescent="0.55000000000000004">
      <c r="A596" s="10"/>
      <c r="B596" s="10"/>
    </row>
    <row r="606" spans="1:2" x14ac:dyDescent="0.55000000000000004">
      <c r="A606" s="10"/>
      <c r="B606" s="10"/>
    </row>
    <row r="607" spans="1:2" x14ac:dyDescent="0.55000000000000004">
      <c r="A607" s="26"/>
    </row>
    <row r="621" spans="1:2" x14ac:dyDescent="0.55000000000000004">
      <c r="A621" s="10"/>
      <c r="B621" s="10"/>
    </row>
    <row r="622" spans="1:2" x14ac:dyDescent="0.55000000000000004">
      <c r="A622" s="26"/>
    </row>
    <row r="637" spans="1:1" x14ac:dyDescent="0.55000000000000004">
      <c r="A637" s="26"/>
    </row>
    <row r="647" spans="1:1" x14ac:dyDescent="0.55000000000000004">
      <c r="A647" s="10"/>
    </row>
    <row r="652" spans="1:1" x14ac:dyDescent="0.55000000000000004">
      <c r="A652" s="26"/>
    </row>
    <row r="666" spans="1:2" x14ac:dyDescent="0.55000000000000004">
      <c r="A666" s="10"/>
      <c r="B666" s="10"/>
    </row>
    <row r="667" spans="1:2" x14ac:dyDescent="0.55000000000000004">
      <c r="A667" s="26"/>
    </row>
    <row r="679" spans="1:5" x14ac:dyDescent="0.55000000000000004">
      <c r="A679" s="10"/>
      <c r="B679" s="10"/>
    </row>
    <row r="680" spans="1:5" x14ac:dyDescent="0.55000000000000004">
      <c r="E680" s="34" t="s">
        <v>13</v>
      </c>
    </row>
    <row r="682" spans="1:5" x14ac:dyDescent="0.55000000000000004">
      <c r="A682" s="26"/>
    </row>
    <row r="697" spans="1:1" x14ac:dyDescent="0.55000000000000004">
      <c r="A697" s="26"/>
    </row>
    <row r="712" spans="1:1" x14ac:dyDescent="0.55000000000000004">
      <c r="A712" s="26"/>
    </row>
    <row r="721" spans="1:5" x14ac:dyDescent="0.55000000000000004">
      <c r="E721" s="34" t="s">
        <v>14</v>
      </c>
    </row>
    <row r="727" spans="1:5" x14ac:dyDescent="0.55000000000000004">
      <c r="A727" s="26"/>
    </row>
    <row r="729" spans="1:5" x14ac:dyDescent="0.55000000000000004">
      <c r="B729" s="10"/>
    </row>
    <row r="742" spans="1:1" x14ac:dyDescent="0.55000000000000004">
      <c r="A742" s="26"/>
    </row>
    <row r="757" spans="1:1" x14ac:dyDescent="0.55000000000000004">
      <c r="A757" s="26"/>
    </row>
    <row r="772" spans="1:1" x14ac:dyDescent="0.55000000000000004">
      <c r="A772" s="26"/>
    </row>
  </sheetData>
  <mergeCells count="41">
    <mergeCell ref="H319:K319"/>
    <mergeCell ref="H320:K320"/>
    <mergeCell ref="I321:K321"/>
    <mergeCell ref="Z321:AE321"/>
    <mergeCell ref="Z322:AB322"/>
    <mergeCell ref="AD322:AE322"/>
    <mergeCell ref="I328:J328"/>
    <mergeCell ref="AH328:AJ328"/>
    <mergeCell ref="AL328:AM328"/>
    <mergeCell ref="I323:J323"/>
    <mergeCell ref="Z323:AA323"/>
    <mergeCell ref="I324:J324"/>
    <mergeCell ref="Z324:AA324"/>
    <mergeCell ref="I325:J325"/>
    <mergeCell ref="Z325:AA325"/>
    <mergeCell ref="I326:J326"/>
    <mergeCell ref="Z326:AA326"/>
    <mergeCell ref="I327:J327"/>
    <mergeCell ref="Z327:AA327"/>
    <mergeCell ref="AH327:AM327"/>
    <mergeCell ref="I338:J338"/>
    <mergeCell ref="I329:J329"/>
    <mergeCell ref="AH329:AI329"/>
    <mergeCell ref="I330:J330"/>
    <mergeCell ref="AH330:AI330"/>
    <mergeCell ref="I331:J331"/>
    <mergeCell ref="AH331:AI331"/>
    <mergeCell ref="I332:J332"/>
    <mergeCell ref="AH332:AI332"/>
    <mergeCell ref="I335:J335"/>
    <mergeCell ref="I336:J336"/>
    <mergeCell ref="I337:J337"/>
    <mergeCell ref="I346:J346"/>
    <mergeCell ref="AH346:AI346"/>
    <mergeCell ref="I347:J347"/>
    <mergeCell ref="I339:J339"/>
    <mergeCell ref="I340:J340"/>
    <mergeCell ref="I342:J342"/>
    <mergeCell ref="I343:J343"/>
    <mergeCell ref="I344:J344"/>
    <mergeCell ref="I345:J345"/>
  </mergeCells>
  <pageMargins left="0.7" right="0.7" top="0.75" bottom="0.75" header="0.3" footer="0.3"/>
  <pageSetup paperSize="168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658BBA-4405-46A6-AAC5-2F517BB7A9CF}">
  <dimension ref="A4:I44"/>
  <sheetViews>
    <sheetView topLeftCell="A28" workbookViewId="0">
      <selection activeCell="B20" sqref="B20"/>
    </sheetView>
  </sheetViews>
  <sheetFormatPr defaultRowHeight="15.3" x14ac:dyDescent="0.55000000000000004"/>
  <cols>
    <col min="1" max="1" width="8.83984375" style="34"/>
    <col min="2" max="2" width="49" style="34" customWidth="1"/>
    <col min="3" max="4" width="8.83984375" style="1"/>
    <col min="5" max="16384" width="8.83984375" style="34"/>
  </cols>
  <sheetData>
    <row r="4" spans="1:7" ht="15.6" thickBot="1" x14ac:dyDescent="0.6">
      <c r="C4" s="1" t="s">
        <v>63</v>
      </c>
      <c r="D4" s="1" t="s">
        <v>64</v>
      </c>
    </row>
    <row r="5" spans="1:7" x14ac:dyDescent="0.55000000000000004">
      <c r="A5" s="34">
        <v>1</v>
      </c>
      <c r="B5" s="15" t="s">
        <v>15</v>
      </c>
      <c r="C5" s="32">
        <f>'10-K Reports'!B2</f>
        <v>0.74952441344324672</v>
      </c>
      <c r="D5" s="17">
        <f>'10-K Reports'!B3</f>
        <v>0</v>
      </c>
    </row>
    <row r="6" spans="1:7" x14ac:dyDescent="0.55000000000000004">
      <c r="A6" s="34">
        <f>A5+1</f>
        <v>2</v>
      </c>
      <c r="B6" s="18" t="s">
        <v>16</v>
      </c>
      <c r="C6" s="14">
        <f>'10-K Reports'!B16</f>
        <v>0.85586304772041866</v>
      </c>
      <c r="D6" s="19">
        <f>'10-K Reports'!B17</f>
        <v>0.11853231624386494</v>
      </c>
    </row>
    <row r="7" spans="1:7" x14ac:dyDescent="0.55000000000000004">
      <c r="A7" s="34">
        <f t="shared" ref="A7:A35" si="0">A6+1</f>
        <v>3</v>
      </c>
      <c r="B7" s="18" t="s">
        <v>17</v>
      </c>
      <c r="C7" s="13">
        <f>'10-K Reports'!B31</f>
        <v>0.85964060223409422</v>
      </c>
      <c r="D7" s="20">
        <f>'10-K Reports'!B32</f>
        <v>0.14035939776590578</v>
      </c>
    </row>
    <row r="8" spans="1:7" x14ac:dyDescent="0.55000000000000004">
      <c r="A8" s="34">
        <f t="shared" si="0"/>
        <v>4</v>
      </c>
      <c r="B8" s="18" t="s">
        <v>18</v>
      </c>
      <c r="C8" s="13">
        <f>'10-K Reports'!B46</f>
        <v>0.87028116875960304</v>
      </c>
      <c r="D8" s="20">
        <f>'10-K Reports'!B47</f>
        <v>0</v>
      </c>
    </row>
    <row r="9" spans="1:7" x14ac:dyDescent="0.55000000000000004">
      <c r="A9" s="34">
        <f t="shared" si="0"/>
        <v>5</v>
      </c>
      <c r="B9" s="21" t="s">
        <v>19</v>
      </c>
      <c r="C9" s="14">
        <f>'10-K Reports'!B61</f>
        <v>0.67803467528488603</v>
      </c>
      <c r="D9" s="19">
        <f>'10-K Reports'!B62</f>
        <v>0.33346471020510249</v>
      </c>
      <c r="G9" s="2"/>
    </row>
    <row r="10" spans="1:7" x14ac:dyDescent="0.55000000000000004">
      <c r="A10" s="34">
        <f t="shared" si="0"/>
        <v>6</v>
      </c>
      <c r="B10" s="18" t="s">
        <v>21</v>
      </c>
      <c r="C10" s="13">
        <f>'10-K Reports'!B76</f>
        <v>0.67567978125474704</v>
      </c>
      <c r="D10" s="20">
        <f>'10-K Reports'!B77</f>
        <v>0.26948199908856146</v>
      </c>
    </row>
    <row r="11" spans="1:7" x14ac:dyDescent="0.55000000000000004">
      <c r="A11" s="34">
        <f t="shared" si="0"/>
        <v>7</v>
      </c>
      <c r="B11" s="18" t="s">
        <v>22</v>
      </c>
      <c r="C11" s="13">
        <f>'10-K Reports'!B91</f>
        <v>0.71586470539350122</v>
      </c>
      <c r="D11" s="20">
        <f>'10-K Reports'!B92</f>
        <v>0.17726252804786835</v>
      </c>
    </row>
    <row r="12" spans="1:7" x14ac:dyDescent="0.55000000000000004">
      <c r="A12" s="34">
        <f t="shared" si="0"/>
        <v>8</v>
      </c>
      <c r="B12" s="18" t="s">
        <v>23</v>
      </c>
      <c r="C12" s="14">
        <f>'10-K Reports'!B106</f>
        <v>0.70014301604957885</v>
      </c>
      <c r="D12" s="19">
        <f>'10-K Reports'!B107</f>
        <v>0.12108692197679961</v>
      </c>
    </row>
    <row r="13" spans="1:7" x14ac:dyDescent="0.55000000000000004">
      <c r="A13" s="34">
        <f t="shared" si="0"/>
        <v>9</v>
      </c>
      <c r="B13" s="18" t="s">
        <v>24</v>
      </c>
      <c r="C13" s="13">
        <f>'10-K Reports'!B121</f>
        <v>0.95339211804930724</v>
      </c>
      <c r="D13" s="20">
        <f>'10-K Reports'!B122</f>
        <v>0</v>
      </c>
    </row>
    <row r="14" spans="1:7" x14ac:dyDescent="0.55000000000000004">
      <c r="A14" s="34">
        <f t="shared" si="0"/>
        <v>10</v>
      </c>
      <c r="B14" s="18" t="s">
        <v>25</v>
      </c>
      <c r="C14" s="13">
        <f>'10-K Reports'!B136</f>
        <v>0.9051983874389985</v>
      </c>
      <c r="D14" s="20">
        <f>'10-K Reports'!B137</f>
        <v>7.7912157861234885E-2</v>
      </c>
    </row>
    <row r="15" spans="1:7" x14ac:dyDescent="0.55000000000000004">
      <c r="A15" s="34">
        <f t="shared" si="0"/>
        <v>11</v>
      </c>
      <c r="B15" s="18" t="s">
        <v>26</v>
      </c>
      <c r="C15" s="13">
        <f>'10-K Reports'!B151</f>
        <v>1</v>
      </c>
      <c r="D15" s="20">
        <f>'10-K Reports'!B152</f>
        <v>0</v>
      </c>
    </row>
    <row r="16" spans="1:7" x14ac:dyDescent="0.55000000000000004">
      <c r="A16" s="34">
        <f t="shared" si="0"/>
        <v>12</v>
      </c>
      <c r="B16" s="18" t="s">
        <v>27</v>
      </c>
      <c r="C16" s="13">
        <f>'10-K Reports'!B166</f>
        <v>1</v>
      </c>
      <c r="D16" s="20">
        <f>'10-K Reports'!B167</f>
        <v>0</v>
      </c>
    </row>
    <row r="17" spans="1:4" x14ac:dyDescent="0.55000000000000004">
      <c r="A17" s="34">
        <f t="shared" si="0"/>
        <v>13</v>
      </c>
      <c r="B17" s="18" t="s">
        <v>28</v>
      </c>
      <c r="C17" s="13">
        <f>'10-K Reports'!B181</f>
        <v>0.83786274047515186</v>
      </c>
      <c r="D17" s="20">
        <f>'10-K Reports'!B182</f>
        <v>0.14959888413732436</v>
      </c>
    </row>
    <row r="18" spans="1:4" x14ac:dyDescent="0.55000000000000004">
      <c r="A18" s="34">
        <f t="shared" si="0"/>
        <v>14</v>
      </c>
      <c r="B18" s="22" t="s">
        <v>29</v>
      </c>
      <c r="C18" s="14">
        <f>'10-K Reports'!B196</f>
        <v>0.88294633642930853</v>
      </c>
      <c r="D18" s="19">
        <f>'10-K Reports'!B197</f>
        <v>0.12220072239422083</v>
      </c>
    </row>
    <row r="19" spans="1:4" x14ac:dyDescent="0.55000000000000004">
      <c r="A19" s="34">
        <f t="shared" si="0"/>
        <v>15</v>
      </c>
      <c r="B19" s="22" t="s">
        <v>69</v>
      </c>
      <c r="C19" s="14">
        <f>'10-K Reports'!B211</f>
        <v>0.44257552712415377</v>
      </c>
      <c r="D19" s="19">
        <f>'10-K Reports'!B212</f>
        <v>3.9754257254480931E-2</v>
      </c>
    </row>
    <row r="20" spans="1:4" x14ac:dyDescent="0.55000000000000004">
      <c r="A20" s="34">
        <f t="shared" si="0"/>
        <v>16</v>
      </c>
      <c r="B20" s="18" t="s">
        <v>30</v>
      </c>
      <c r="C20" s="13">
        <f>'10-K Reports'!B226</f>
        <v>0.78897053577798393</v>
      </c>
      <c r="D20" s="20">
        <f>'10-K Reports'!B227</f>
        <v>0</v>
      </c>
    </row>
    <row r="21" spans="1:4" x14ac:dyDescent="0.55000000000000004">
      <c r="A21" s="34">
        <f t="shared" si="0"/>
        <v>17</v>
      </c>
      <c r="B21" s="18" t="s">
        <v>31</v>
      </c>
      <c r="C21" s="13">
        <f>'10-K Reports'!B241</f>
        <v>0.88337138664710202</v>
      </c>
      <c r="D21" s="20">
        <f>'10-K Reports'!B242</f>
        <v>0</v>
      </c>
    </row>
    <row r="22" spans="1:4" x14ac:dyDescent="0.55000000000000004">
      <c r="A22" s="34">
        <f t="shared" si="0"/>
        <v>18</v>
      </c>
      <c r="B22" s="18" t="s">
        <v>32</v>
      </c>
      <c r="C22" s="13">
        <f>'10-K Reports'!B256</f>
        <v>0.99659648191978278</v>
      </c>
      <c r="D22" s="20">
        <f>'10-K Reports'!B257</f>
        <v>0</v>
      </c>
    </row>
    <row r="23" spans="1:4" x14ac:dyDescent="0.55000000000000004">
      <c r="A23" s="34">
        <f t="shared" si="0"/>
        <v>19</v>
      </c>
      <c r="B23" s="18" t="s">
        <v>33</v>
      </c>
      <c r="C23" s="13">
        <f>'10-K Reports'!B271</f>
        <v>0.73570366844906487</v>
      </c>
      <c r="D23" s="20">
        <f>'10-K Reports'!B272</f>
        <v>0.26429633155093507</v>
      </c>
    </row>
    <row r="24" spans="1:4" x14ac:dyDescent="0.55000000000000004">
      <c r="A24" s="34">
        <f t="shared" si="0"/>
        <v>20</v>
      </c>
      <c r="B24" s="18" t="s">
        <v>34</v>
      </c>
      <c r="C24" s="13">
        <f>'10-K Reports'!B286</f>
        <v>0.7942797927778612</v>
      </c>
      <c r="D24" s="20">
        <f>'10-K Reports'!B287</f>
        <v>0.20572020722213882</v>
      </c>
    </row>
    <row r="25" spans="1:4" x14ac:dyDescent="0.55000000000000004">
      <c r="A25" s="34">
        <f t="shared" si="0"/>
        <v>21</v>
      </c>
      <c r="B25" s="18" t="s">
        <v>35</v>
      </c>
      <c r="C25" s="13">
        <f>'10-K Reports'!B301</f>
        <v>1</v>
      </c>
      <c r="D25" s="20">
        <f>'10-K Reports'!B302</f>
        <v>0</v>
      </c>
    </row>
    <row r="26" spans="1:4" x14ac:dyDescent="0.55000000000000004">
      <c r="A26" s="34">
        <f t="shared" si="0"/>
        <v>22</v>
      </c>
      <c r="B26" s="18" t="s">
        <v>36</v>
      </c>
      <c r="C26" s="13">
        <f>'10-K Reports'!B316</f>
        <v>0.51157473361982697</v>
      </c>
      <c r="D26" s="20">
        <f>'10-K Reports'!B317</f>
        <v>0</v>
      </c>
    </row>
    <row r="27" spans="1:4" x14ac:dyDescent="0.55000000000000004">
      <c r="A27" s="34">
        <f t="shared" si="0"/>
        <v>23</v>
      </c>
      <c r="B27" s="18" t="s">
        <v>37</v>
      </c>
      <c r="C27" s="13">
        <f>'10-K Reports'!B331</f>
        <v>0.76591771228479721</v>
      </c>
      <c r="D27" s="20">
        <f>'10-K Reports'!B332</f>
        <v>0.23408228771520281</v>
      </c>
    </row>
    <row r="28" spans="1:4" x14ac:dyDescent="0.55000000000000004">
      <c r="A28" s="34">
        <f t="shared" si="0"/>
        <v>24</v>
      </c>
      <c r="B28" s="18" t="s">
        <v>38</v>
      </c>
      <c r="C28" s="13">
        <f>'10-K Reports'!B346</f>
        <v>1</v>
      </c>
      <c r="D28" s="20">
        <f>'10-K Reports'!B347</f>
        <v>0</v>
      </c>
    </row>
    <row r="29" spans="1:4" x14ac:dyDescent="0.55000000000000004">
      <c r="A29" s="34">
        <f t="shared" si="0"/>
        <v>25</v>
      </c>
      <c r="B29" s="18" t="s">
        <v>39</v>
      </c>
      <c r="C29" s="13">
        <f>'10-K Reports'!B361</f>
        <v>1</v>
      </c>
      <c r="D29" s="20">
        <f>'10-K Reports'!B362</f>
        <v>0</v>
      </c>
    </row>
    <row r="30" spans="1:4" x14ac:dyDescent="0.55000000000000004">
      <c r="A30" s="34">
        <f t="shared" si="0"/>
        <v>26</v>
      </c>
      <c r="B30" s="18" t="s">
        <v>40</v>
      </c>
      <c r="C30" s="13">
        <f>'10-K Reports'!B376</f>
        <v>1</v>
      </c>
      <c r="D30" s="20">
        <f>'10-K Reports'!B377</f>
        <v>0</v>
      </c>
    </row>
    <row r="31" spans="1:4" x14ac:dyDescent="0.55000000000000004">
      <c r="A31" s="34">
        <f t="shared" si="0"/>
        <v>27</v>
      </c>
      <c r="B31" s="18" t="s">
        <v>41</v>
      </c>
      <c r="C31" s="13">
        <f>'10-K Reports'!B391</f>
        <v>0</v>
      </c>
      <c r="D31" s="20">
        <f>'10-K Reports'!B392</f>
        <v>0</v>
      </c>
    </row>
    <row r="32" spans="1:4" x14ac:dyDescent="0.55000000000000004">
      <c r="A32" s="34">
        <f t="shared" si="0"/>
        <v>28</v>
      </c>
      <c r="B32" s="18" t="s">
        <v>42</v>
      </c>
      <c r="C32" s="13">
        <f>'10-K Reports'!B406</f>
        <v>0.60335829362378035</v>
      </c>
      <c r="D32" s="20">
        <f>'10-K Reports'!B407</f>
        <v>0.19832085318810982</v>
      </c>
    </row>
    <row r="33" spans="1:9" x14ac:dyDescent="0.55000000000000004">
      <c r="A33" s="34">
        <f t="shared" si="0"/>
        <v>29</v>
      </c>
      <c r="B33" s="18" t="s">
        <v>43</v>
      </c>
      <c r="C33" s="13">
        <f>'10-K Reports'!B421</f>
        <v>0.73309886674482216</v>
      </c>
      <c r="D33" s="20">
        <f>'10-K Reports'!B422</f>
        <v>0.16460422908254091</v>
      </c>
    </row>
    <row r="34" spans="1:9" x14ac:dyDescent="0.55000000000000004">
      <c r="A34" s="34">
        <f t="shared" si="0"/>
        <v>30</v>
      </c>
      <c r="B34" s="18" t="s">
        <v>44</v>
      </c>
      <c r="C34" s="14">
        <f>'10-K Reports'!B436</f>
        <v>0.59327217125382259</v>
      </c>
      <c r="D34" s="19">
        <f>'10-K Reports'!B437</f>
        <v>0.39705824671504214</v>
      </c>
    </row>
    <row r="35" spans="1:9" ht="15.6" thickBot="1" x14ac:dyDescent="0.6">
      <c r="A35" s="34">
        <f t="shared" si="0"/>
        <v>31</v>
      </c>
      <c r="B35" s="23" t="s">
        <v>45</v>
      </c>
      <c r="C35" s="24">
        <f>'10-K Reports'!B451</f>
        <v>0.84847421957208002</v>
      </c>
      <c r="D35" s="25">
        <f>'10-K Reports'!B452</f>
        <v>0.14468607506138198</v>
      </c>
    </row>
    <row r="36" spans="1:9" ht="15.6" thickBot="1" x14ac:dyDescent="0.6">
      <c r="B36" s="27"/>
      <c r="C36" s="28"/>
      <c r="D36" s="29"/>
      <c r="I36" s="1"/>
    </row>
    <row r="37" spans="1:9" x14ac:dyDescent="0.55000000000000004">
      <c r="A37" s="34">
        <f>A35+1</f>
        <v>32</v>
      </c>
      <c r="B37" s="15" t="s">
        <v>20</v>
      </c>
      <c r="C37" s="16">
        <f>'10-K Reports'!B466</f>
        <v>0.41061653333460296</v>
      </c>
      <c r="D37" s="17">
        <f>'10-K Reports'!B467</f>
        <v>0.56395534992673779</v>
      </c>
    </row>
    <row r="38" spans="1:9" x14ac:dyDescent="0.55000000000000004">
      <c r="A38" s="34">
        <f>A37+1</f>
        <v>33</v>
      </c>
      <c r="B38" s="18" t="s">
        <v>73</v>
      </c>
      <c r="C38" s="13">
        <f>'10-K Reports'!B481</f>
        <v>0.31173288953609318</v>
      </c>
      <c r="D38" s="20">
        <f>'10-K Reports'!B482</f>
        <v>0.27106303307676305</v>
      </c>
    </row>
    <row r="39" spans="1:9" x14ac:dyDescent="0.55000000000000004">
      <c r="A39" s="34">
        <f t="shared" ref="A39:A44" si="1">A38+1</f>
        <v>34</v>
      </c>
      <c r="B39" s="22" t="s">
        <v>69</v>
      </c>
      <c r="C39" s="13">
        <f>'10-K Reports'!B496</f>
        <v>0.48227013808117863</v>
      </c>
      <c r="D39" s="20">
        <f>'10-K Reports'!B497</f>
        <v>3.9754257254480931E-2</v>
      </c>
    </row>
    <row r="40" spans="1:9" x14ac:dyDescent="0.55000000000000004">
      <c r="A40" s="34">
        <f t="shared" si="1"/>
        <v>35</v>
      </c>
      <c r="B40" s="18" t="s">
        <v>74</v>
      </c>
      <c r="C40" s="13">
        <f>'10-K Reports'!B511</f>
        <v>1</v>
      </c>
      <c r="D40" s="20">
        <f>'10-K Reports'!B512</f>
        <v>0</v>
      </c>
    </row>
    <row r="41" spans="1:9" x14ac:dyDescent="0.55000000000000004">
      <c r="A41" s="34">
        <f t="shared" si="1"/>
        <v>36</v>
      </c>
      <c r="B41" s="18" t="s">
        <v>75</v>
      </c>
      <c r="C41" s="13">
        <f>'10-K Reports'!B526</f>
        <v>0</v>
      </c>
      <c r="D41" s="20">
        <f>'10-K Reports'!B527</f>
        <v>0</v>
      </c>
    </row>
    <row r="42" spans="1:9" x14ac:dyDescent="0.55000000000000004">
      <c r="A42" s="34">
        <f t="shared" si="1"/>
        <v>37</v>
      </c>
      <c r="B42" s="18" t="s">
        <v>76</v>
      </c>
      <c r="C42" s="13">
        <f>'10-K Reports'!B541</f>
        <v>0.43262879788639363</v>
      </c>
      <c r="D42" s="20">
        <f>'10-K Reports'!B542</f>
        <v>0.56962864721485407</v>
      </c>
    </row>
    <row r="43" spans="1:9" s="2" customFormat="1" x14ac:dyDescent="0.55000000000000004">
      <c r="A43" s="34">
        <f t="shared" si="1"/>
        <v>38</v>
      </c>
      <c r="B43" s="18" t="s">
        <v>77</v>
      </c>
      <c r="C43" s="14">
        <f>'10-K Reports'!B556</f>
        <v>0.48318015526010527</v>
      </c>
      <c r="D43" s="19">
        <f>'10-K Reports'!B557</f>
        <v>0.38913179262960651</v>
      </c>
      <c r="I43" s="34"/>
    </row>
    <row r="44" spans="1:9" ht="15.6" thickBot="1" x14ac:dyDescent="0.6">
      <c r="A44" s="34">
        <f t="shared" si="1"/>
        <v>39</v>
      </c>
      <c r="B44" s="23" t="s">
        <v>78</v>
      </c>
      <c r="C44" s="24">
        <f>'10-K Reports'!B571</f>
        <v>0.21435291461257669</v>
      </c>
      <c r="D44" s="25">
        <f>'10-K Reports'!B572</f>
        <v>0.30583675158995971</v>
      </c>
    </row>
  </sheetData>
  <pageMargins left="0.7" right="0.7" top="0.75" bottom="0.75" header="0.3" footer="0.3"/>
  <pageSetup paperSize="168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H752"/>
  <sheetViews>
    <sheetView topLeftCell="A505" zoomScaleNormal="100" workbookViewId="0">
      <selection activeCell="C128" sqref="C127:C128"/>
    </sheetView>
  </sheetViews>
  <sheetFormatPr defaultRowHeight="14.4" x14ac:dyDescent="0.55000000000000004"/>
  <cols>
    <col min="3" max="3" width="18.15625" customWidth="1"/>
    <col min="8" max="8" width="33.68359375" customWidth="1"/>
  </cols>
  <sheetData>
    <row r="1" spans="1:2" x14ac:dyDescent="0.55000000000000004">
      <c r="A1" s="26" t="s">
        <v>65</v>
      </c>
    </row>
    <row r="2" spans="1:2" x14ac:dyDescent="0.55000000000000004">
      <c r="A2" t="s">
        <v>63</v>
      </c>
      <c r="B2" s="10">
        <f>1063.8/1419.3</f>
        <v>0.74952441344324672</v>
      </c>
    </row>
    <row r="3" spans="1:2" x14ac:dyDescent="0.55000000000000004">
      <c r="A3" t="s">
        <v>64</v>
      </c>
      <c r="B3" s="10">
        <v>0</v>
      </c>
    </row>
    <row r="4" spans="1:2" x14ac:dyDescent="0.55000000000000004">
      <c r="B4" s="10"/>
    </row>
    <row r="5" spans="1:2" x14ac:dyDescent="0.55000000000000004">
      <c r="B5" s="10"/>
    </row>
    <row r="6" spans="1:2" x14ac:dyDescent="0.55000000000000004">
      <c r="B6" s="10"/>
    </row>
    <row r="7" spans="1:2" x14ac:dyDescent="0.55000000000000004">
      <c r="B7" s="10"/>
    </row>
    <row r="8" spans="1:2" x14ac:dyDescent="0.55000000000000004">
      <c r="A8" s="10"/>
      <c r="B8" s="10"/>
    </row>
    <row r="9" spans="1:2" x14ac:dyDescent="0.55000000000000004">
      <c r="B9" s="10"/>
    </row>
    <row r="10" spans="1:2" x14ac:dyDescent="0.55000000000000004">
      <c r="A10" s="26"/>
      <c r="B10" s="10"/>
    </row>
    <row r="11" spans="1:2" x14ac:dyDescent="0.55000000000000004">
      <c r="A11" s="12"/>
      <c r="B11" s="10"/>
    </row>
    <row r="12" spans="1:2" x14ac:dyDescent="0.55000000000000004">
      <c r="A12" s="12"/>
      <c r="B12" s="10"/>
    </row>
    <row r="13" spans="1:2" x14ac:dyDescent="0.55000000000000004">
      <c r="B13" s="10"/>
    </row>
    <row r="14" spans="1:2" x14ac:dyDescent="0.55000000000000004">
      <c r="B14" s="10"/>
    </row>
    <row r="15" spans="1:2" x14ac:dyDescent="0.55000000000000004">
      <c r="A15" s="26" t="s">
        <v>66</v>
      </c>
      <c r="B15" s="10"/>
    </row>
    <row r="16" spans="1:2" x14ac:dyDescent="0.55000000000000004">
      <c r="A16" s="12" t="s">
        <v>63</v>
      </c>
      <c r="B16" s="10">
        <f>2894.7/3382.2</f>
        <v>0.85586304772041866</v>
      </c>
    </row>
    <row r="17" spans="1:2" x14ac:dyDescent="0.55000000000000004">
      <c r="A17" s="12" t="s">
        <v>64</v>
      </c>
      <c r="B17" s="10">
        <f>400.9/3382.2</f>
        <v>0.11853231624386494</v>
      </c>
    </row>
    <row r="18" spans="1:2" x14ac:dyDescent="0.55000000000000004">
      <c r="B18" s="10"/>
    </row>
    <row r="19" spans="1:2" x14ac:dyDescent="0.55000000000000004">
      <c r="B19" s="10"/>
    </row>
    <row r="20" spans="1:2" x14ac:dyDescent="0.55000000000000004">
      <c r="B20" s="10"/>
    </row>
    <row r="21" spans="1:2" x14ac:dyDescent="0.55000000000000004">
      <c r="B21" s="10"/>
    </row>
    <row r="22" spans="1:2" x14ac:dyDescent="0.55000000000000004">
      <c r="B22" s="10"/>
    </row>
    <row r="23" spans="1:2" x14ac:dyDescent="0.55000000000000004">
      <c r="B23" s="10"/>
    </row>
    <row r="24" spans="1:2" x14ac:dyDescent="0.55000000000000004">
      <c r="B24" s="10"/>
    </row>
    <row r="25" spans="1:2" x14ac:dyDescent="0.55000000000000004">
      <c r="B25" s="10"/>
    </row>
    <row r="26" spans="1:2" x14ac:dyDescent="0.55000000000000004">
      <c r="B26" s="10"/>
    </row>
    <row r="27" spans="1:2" x14ac:dyDescent="0.55000000000000004">
      <c r="B27" s="10"/>
    </row>
    <row r="28" spans="1:2" x14ac:dyDescent="0.55000000000000004">
      <c r="B28" s="10"/>
    </row>
    <row r="29" spans="1:2" x14ac:dyDescent="0.55000000000000004">
      <c r="B29" s="10"/>
    </row>
    <row r="30" spans="1:2" x14ac:dyDescent="0.55000000000000004">
      <c r="A30" s="26" t="s">
        <v>67</v>
      </c>
      <c r="B30" s="10"/>
    </row>
    <row r="31" spans="1:2" x14ac:dyDescent="0.55000000000000004">
      <c r="A31" s="12" t="s">
        <v>63</v>
      </c>
      <c r="B31" s="10">
        <f>5310/6177</f>
        <v>0.85964060223409422</v>
      </c>
    </row>
    <row r="32" spans="1:2" x14ac:dyDescent="0.55000000000000004">
      <c r="A32" s="12" t="s">
        <v>64</v>
      </c>
      <c r="B32" s="10">
        <f>867/6177</f>
        <v>0.14035939776590578</v>
      </c>
    </row>
    <row r="33" spans="1:2" x14ac:dyDescent="0.55000000000000004">
      <c r="B33" s="10"/>
    </row>
    <row r="34" spans="1:2" x14ac:dyDescent="0.55000000000000004">
      <c r="B34" s="10"/>
    </row>
    <row r="35" spans="1:2" x14ac:dyDescent="0.55000000000000004">
      <c r="B35" s="10"/>
    </row>
    <row r="36" spans="1:2" x14ac:dyDescent="0.55000000000000004">
      <c r="B36" s="10"/>
    </row>
    <row r="37" spans="1:2" x14ac:dyDescent="0.55000000000000004">
      <c r="A37" s="2"/>
      <c r="B37" s="10"/>
    </row>
    <row r="38" spans="1:2" x14ac:dyDescent="0.55000000000000004">
      <c r="B38" s="10"/>
    </row>
    <row r="39" spans="1:2" x14ac:dyDescent="0.55000000000000004">
      <c r="B39" s="10"/>
    </row>
    <row r="40" spans="1:2" x14ac:dyDescent="0.55000000000000004">
      <c r="B40" s="10"/>
    </row>
    <row r="41" spans="1:2" x14ac:dyDescent="0.55000000000000004">
      <c r="B41" s="10"/>
    </row>
    <row r="42" spans="1:2" x14ac:dyDescent="0.55000000000000004">
      <c r="B42" s="10"/>
    </row>
    <row r="43" spans="1:2" x14ac:dyDescent="0.55000000000000004">
      <c r="B43" s="10"/>
    </row>
    <row r="44" spans="1:2" x14ac:dyDescent="0.55000000000000004">
      <c r="B44" s="10"/>
    </row>
    <row r="45" spans="1:2" x14ac:dyDescent="0.55000000000000004">
      <c r="A45" s="26" t="s">
        <v>47</v>
      </c>
      <c r="B45" s="10"/>
    </row>
    <row r="46" spans="1:2" x14ac:dyDescent="0.55000000000000004">
      <c r="A46" s="12" t="s">
        <v>63</v>
      </c>
      <c r="B46" s="10">
        <f>(9095.1+4328.9)/15424.9</f>
        <v>0.87028116875960304</v>
      </c>
    </row>
    <row r="47" spans="1:2" x14ac:dyDescent="0.55000000000000004">
      <c r="A47" s="12" t="s">
        <v>64</v>
      </c>
      <c r="B47" s="10">
        <v>0</v>
      </c>
    </row>
    <row r="48" spans="1:2" x14ac:dyDescent="0.55000000000000004">
      <c r="B48" s="10"/>
    </row>
    <row r="49" spans="1:2" x14ac:dyDescent="0.55000000000000004">
      <c r="B49" s="10"/>
    </row>
    <row r="50" spans="1:2" x14ac:dyDescent="0.55000000000000004">
      <c r="B50" s="10"/>
    </row>
    <row r="51" spans="1:2" x14ac:dyDescent="0.55000000000000004">
      <c r="B51" s="10"/>
    </row>
    <row r="52" spans="1:2" x14ac:dyDescent="0.55000000000000004">
      <c r="B52" s="10"/>
    </row>
    <row r="53" spans="1:2" x14ac:dyDescent="0.55000000000000004">
      <c r="A53" s="10"/>
      <c r="B53" s="10"/>
    </row>
    <row r="54" spans="1:2" x14ac:dyDescent="0.55000000000000004">
      <c r="B54" s="10"/>
    </row>
    <row r="55" spans="1:2" x14ac:dyDescent="0.55000000000000004">
      <c r="B55" s="10"/>
    </row>
    <row r="56" spans="1:2" x14ac:dyDescent="0.55000000000000004">
      <c r="B56" s="10"/>
    </row>
    <row r="57" spans="1:2" x14ac:dyDescent="0.55000000000000004">
      <c r="B57" s="10"/>
    </row>
    <row r="58" spans="1:2" x14ac:dyDescent="0.55000000000000004">
      <c r="B58" s="10"/>
    </row>
    <row r="59" spans="1:2" x14ac:dyDescent="0.55000000000000004">
      <c r="B59" s="10"/>
    </row>
    <row r="60" spans="1:2" x14ac:dyDescent="0.55000000000000004">
      <c r="A60" s="26" t="s">
        <v>46</v>
      </c>
      <c r="B60" s="10"/>
    </row>
    <row r="61" spans="1:2" x14ac:dyDescent="0.55000000000000004">
      <c r="A61" s="12" t="s">
        <v>63</v>
      </c>
      <c r="B61" s="10">
        <f>980390/1445929</f>
        <v>0.67803467528488603</v>
      </c>
    </row>
    <row r="62" spans="1:2" x14ac:dyDescent="0.55000000000000004">
      <c r="A62" s="12" t="s">
        <v>64</v>
      </c>
      <c r="B62" s="10">
        <f>474649/1423386</f>
        <v>0.33346471020510249</v>
      </c>
    </row>
    <row r="63" spans="1:2" x14ac:dyDescent="0.55000000000000004">
      <c r="B63" s="10"/>
    </row>
    <row r="64" spans="1:2" x14ac:dyDescent="0.55000000000000004">
      <c r="B64" s="10"/>
    </row>
    <row r="65" spans="1:2" x14ac:dyDescent="0.55000000000000004">
      <c r="B65" s="10"/>
    </row>
    <row r="66" spans="1:2" x14ac:dyDescent="0.55000000000000004">
      <c r="B66" s="10"/>
    </row>
    <row r="67" spans="1:2" x14ac:dyDescent="0.55000000000000004">
      <c r="B67" s="10"/>
    </row>
    <row r="68" spans="1:2" x14ac:dyDescent="0.55000000000000004">
      <c r="B68" s="10"/>
    </row>
    <row r="69" spans="1:2" x14ac:dyDescent="0.55000000000000004">
      <c r="A69" s="10"/>
      <c r="B69" s="10"/>
    </row>
    <row r="70" spans="1:2" x14ac:dyDescent="0.55000000000000004">
      <c r="B70" s="10"/>
    </row>
    <row r="71" spans="1:2" x14ac:dyDescent="0.55000000000000004">
      <c r="B71" s="10"/>
    </row>
    <row r="72" spans="1:2" x14ac:dyDescent="0.55000000000000004">
      <c r="B72" s="10"/>
    </row>
    <row r="73" spans="1:2" x14ac:dyDescent="0.55000000000000004">
      <c r="B73" s="10"/>
    </row>
    <row r="74" spans="1:2" x14ac:dyDescent="0.55000000000000004">
      <c r="B74" s="10"/>
    </row>
    <row r="75" spans="1:2" x14ac:dyDescent="0.55000000000000004">
      <c r="A75" s="26" t="s">
        <v>50</v>
      </c>
      <c r="B75" s="10"/>
    </row>
    <row r="76" spans="1:2" x14ac:dyDescent="0.55000000000000004">
      <c r="A76" s="12" t="s">
        <v>63</v>
      </c>
      <c r="B76" s="10">
        <f>4448/6583</f>
        <v>0.67567978125474704</v>
      </c>
    </row>
    <row r="77" spans="1:2" x14ac:dyDescent="0.55000000000000004">
      <c r="A77" s="12" t="s">
        <v>64</v>
      </c>
      <c r="B77" s="10">
        <f>1774/6583</f>
        <v>0.26948199908856146</v>
      </c>
    </row>
    <row r="78" spans="1:2" x14ac:dyDescent="0.55000000000000004">
      <c r="B78" s="10"/>
    </row>
    <row r="79" spans="1:2" x14ac:dyDescent="0.55000000000000004">
      <c r="B79" s="10"/>
    </row>
    <row r="80" spans="1:2" x14ac:dyDescent="0.55000000000000004">
      <c r="B80" s="10"/>
    </row>
    <row r="81" spans="1:2" x14ac:dyDescent="0.55000000000000004">
      <c r="B81" s="10"/>
    </row>
    <row r="82" spans="1:2" x14ac:dyDescent="0.55000000000000004">
      <c r="B82" s="10"/>
    </row>
    <row r="83" spans="1:2" x14ac:dyDescent="0.55000000000000004">
      <c r="B83" s="10"/>
    </row>
    <row r="84" spans="1:2" x14ac:dyDescent="0.55000000000000004">
      <c r="B84" s="10"/>
    </row>
    <row r="85" spans="1:2" x14ac:dyDescent="0.55000000000000004">
      <c r="B85" s="10"/>
    </row>
    <row r="86" spans="1:2" x14ac:dyDescent="0.55000000000000004">
      <c r="A86" s="10"/>
      <c r="B86" s="10"/>
    </row>
    <row r="87" spans="1:2" x14ac:dyDescent="0.55000000000000004">
      <c r="B87" s="10"/>
    </row>
    <row r="88" spans="1:2" x14ac:dyDescent="0.55000000000000004">
      <c r="B88" s="10"/>
    </row>
    <row r="89" spans="1:2" x14ac:dyDescent="0.55000000000000004">
      <c r="B89" s="10"/>
    </row>
    <row r="90" spans="1:2" x14ac:dyDescent="0.55000000000000004">
      <c r="A90" s="26" t="s">
        <v>51</v>
      </c>
      <c r="B90" s="10"/>
    </row>
    <row r="91" spans="1:2" x14ac:dyDescent="0.55000000000000004">
      <c r="A91" s="12" t="s">
        <v>63</v>
      </c>
      <c r="B91" s="10">
        <f>(7972+642)/12033</f>
        <v>0.71586470539350122</v>
      </c>
    </row>
    <row r="92" spans="1:2" x14ac:dyDescent="0.55000000000000004">
      <c r="A92" s="12" t="s">
        <v>64</v>
      </c>
      <c r="B92" s="10">
        <f>(1901+232)/12033</f>
        <v>0.17726252804786835</v>
      </c>
    </row>
    <row r="93" spans="1:2" x14ac:dyDescent="0.55000000000000004">
      <c r="B93" s="10"/>
    </row>
    <row r="94" spans="1:2" x14ac:dyDescent="0.55000000000000004">
      <c r="B94" s="10"/>
    </row>
    <row r="95" spans="1:2" x14ac:dyDescent="0.55000000000000004">
      <c r="B95" s="10"/>
    </row>
    <row r="96" spans="1:2" x14ac:dyDescent="0.55000000000000004">
      <c r="B96" s="10"/>
    </row>
    <row r="97" spans="1:2" x14ac:dyDescent="0.55000000000000004">
      <c r="B97" s="10"/>
    </row>
    <row r="98" spans="1:2" x14ac:dyDescent="0.55000000000000004">
      <c r="B98" s="10"/>
    </row>
    <row r="99" spans="1:2" x14ac:dyDescent="0.55000000000000004">
      <c r="B99" s="10"/>
    </row>
    <row r="100" spans="1:2" x14ac:dyDescent="0.55000000000000004">
      <c r="B100" s="10"/>
    </row>
    <row r="101" spans="1:2" x14ac:dyDescent="0.55000000000000004">
      <c r="B101" s="10"/>
    </row>
    <row r="102" spans="1:2" x14ac:dyDescent="0.55000000000000004">
      <c r="B102" s="10"/>
    </row>
    <row r="103" spans="1:2" x14ac:dyDescent="0.55000000000000004">
      <c r="B103" s="10"/>
    </row>
    <row r="104" spans="1:2" x14ac:dyDescent="0.55000000000000004">
      <c r="B104" s="10"/>
    </row>
    <row r="105" spans="1:2" x14ac:dyDescent="0.55000000000000004">
      <c r="A105" s="26" t="s">
        <v>52</v>
      </c>
      <c r="B105" s="10"/>
    </row>
    <row r="106" spans="1:2" x14ac:dyDescent="0.55000000000000004">
      <c r="A106" s="12" t="s">
        <v>63</v>
      </c>
      <c r="B106" s="10">
        <f>(7383+1429)/12586</f>
        <v>0.70014301604957885</v>
      </c>
    </row>
    <row r="107" spans="1:2" x14ac:dyDescent="0.55000000000000004">
      <c r="A107" s="12" t="s">
        <v>64</v>
      </c>
      <c r="B107" s="10">
        <f>(1067+457)/12586</f>
        <v>0.12108692197679961</v>
      </c>
    </row>
    <row r="108" spans="1:2" x14ac:dyDescent="0.55000000000000004">
      <c r="B108" s="10"/>
    </row>
    <row r="109" spans="1:2" x14ac:dyDescent="0.55000000000000004">
      <c r="B109" s="10"/>
    </row>
    <row r="110" spans="1:2" x14ac:dyDescent="0.55000000000000004">
      <c r="B110" s="10"/>
    </row>
    <row r="111" spans="1:2" x14ac:dyDescent="0.55000000000000004">
      <c r="B111" s="10"/>
    </row>
    <row r="112" spans="1:2" x14ac:dyDescent="0.55000000000000004">
      <c r="B112" s="10"/>
    </row>
    <row r="113" spans="1:2" x14ac:dyDescent="0.55000000000000004">
      <c r="B113" s="10"/>
    </row>
    <row r="114" spans="1:2" x14ac:dyDescent="0.55000000000000004">
      <c r="B114" s="10"/>
    </row>
    <row r="115" spans="1:2" x14ac:dyDescent="0.55000000000000004">
      <c r="B115" s="10"/>
    </row>
    <row r="116" spans="1:2" x14ac:dyDescent="0.55000000000000004">
      <c r="B116" s="10"/>
    </row>
    <row r="117" spans="1:2" x14ac:dyDescent="0.55000000000000004">
      <c r="B117" s="10"/>
    </row>
    <row r="118" spans="1:2" x14ac:dyDescent="0.55000000000000004">
      <c r="B118" s="10"/>
    </row>
    <row r="119" spans="1:2" x14ac:dyDescent="0.55000000000000004">
      <c r="B119" s="10"/>
    </row>
    <row r="120" spans="1:2" x14ac:dyDescent="0.55000000000000004">
      <c r="A120" s="26" t="s">
        <v>53</v>
      </c>
      <c r="B120" s="10"/>
    </row>
    <row r="121" spans="1:2" x14ac:dyDescent="0.55000000000000004">
      <c r="A121" s="12" t="s">
        <v>63</v>
      </c>
      <c r="B121" s="10">
        <f>5298/5557</f>
        <v>0.95339211804930724</v>
      </c>
    </row>
    <row r="122" spans="1:2" x14ac:dyDescent="0.55000000000000004">
      <c r="A122" s="12" t="s">
        <v>64</v>
      </c>
      <c r="B122" s="10">
        <f>B127</f>
        <v>0</v>
      </c>
    </row>
    <row r="123" spans="1:2" x14ac:dyDescent="0.55000000000000004">
      <c r="B123" s="10"/>
    </row>
    <row r="124" spans="1:2" x14ac:dyDescent="0.55000000000000004">
      <c r="B124" s="10"/>
    </row>
    <row r="125" spans="1:2" x14ac:dyDescent="0.55000000000000004">
      <c r="B125" s="10"/>
    </row>
    <row r="126" spans="1:2" x14ac:dyDescent="0.55000000000000004">
      <c r="A126" s="10"/>
      <c r="B126" s="10"/>
    </row>
    <row r="127" spans="1:2" x14ac:dyDescent="0.55000000000000004">
      <c r="B127" s="10"/>
    </row>
    <row r="128" spans="1:2" x14ac:dyDescent="0.55000000000000004">
      <c r="B128" s="10"/>
    </row>
    <row r="129" spans="1:2" x14ac:dyDescent="0.55000000000000004">
      <c r="B129" s="10"/>
    </row>
    <row r="130" spans="1:2" x14ac:dyDescent="0.55000000000000004">
      <c r="B130" s="10"/>
    </row>
    <row r="131" spans="1:2" x14ac:dyDescent="0.55000000000000004">
      <c r="B131" s="10"/>
    </row>
    <row r="132" spans="1:2" x14ac:dyDescent="0.55000000000000004">
      <c r="B132" s="10"/>
    </row>
    <row r="133" spans="1:2" x14ac:dyDescent="0.55000000000000004">
      <c r="B133" s="10"/>
    </row>
    <row r="134" spans="1:2" x14ac:dyDescent="0.55000000000000004">
      <c r="B134" s="10"/>
    </row>
    <row r="135" spans="1:2" x14ac:dyDescent="0.55000000000000004">
      <c r="A135" s="26" t="s">
        <v>0</v>
      </c>
      <c r="B135" s="10"/>
    </row>
    <row r="136" spans="1:2" x14ac:dyDescent="0.55000000000000004">
      <c r="A136" s="12" t="s">
        <v>63</v>
      </c>
      <c r="B136" s="10">
        <f>21331/23565</f>
        <v>0.9051983874389985</v>
      </c>
    </row>
    <row r="137" spans="1:2" x14ac:dyDescent="0.55000000000000004">
      <c r="A137" s="12" t="s">
        <v>64</v>
      </c>
      <c r="B137" s="10">
        <f>1836/23565</f>
        <v>7.7912157861234885E-2</v>
      </c>
    </row>
    <row r="138" spans="1:2" x14ac:dyDescent="0.55000000000000004">
      <c r="B138" s="10"/>
    </row>
    <row r="139" spans="1:2" x14ac:dyDescent="0.55000000000000004">
      <c r="B139" s="10"/>
    </row>
    <row r="140" spans="1:2" x14ac:dyDescent="0.55000000000000004">
      <c r="B140" s="10"/>
    </row>
    <row r="141" spans="1:2" x14ac:dyDescent="0.55000000000000004">
      <c r="B141" s="10"/>
    </row>
    <row r="142" spans="1:2" x14ac:dyDescent="0.55000000000000004">
      <c r="B142" s="10"/>
    </row>
    <row r="143" spans="1:2" x14ac:dyDescent="0.55000000000000004">
      <c r="B143" s="10"/>
    </row>
    <row r="144" spans="1:2" x14ac:dyDescent="0.55000000000000004">
      <c r="B144" s="10"/>
    </row>
    <row r="145" spans="1:2" x14ac:dyDescent="0.55000000000000004">
      <c r="B145" s="10"/>
    </row>
    <row r="146" spans="1:2" x14ac:dyDescent="0.55000000000000004">
      <c r="B146" s="10"/>
    </row>
    <row r="147" spans="1:2" x14ac:dyDescent="0.55000000000000004">
      <c r="A147" s="10"/>
      <c r="B147" s="10"/>
    </row>
    <row r="148" spans="1:2" x14ac:dyDescent="0.55000000000000004">
      <c r="B148" s="10"/>
    </row>
    <row r="149" spans="1:2" x14ac:dyDescent="0.55000000000000004">
      <c r="B149" s="10"/>
    </row>
    <row r="150" spans="1:2" x14ac:dyDescent="0.55000000000000004">
      <c r="A150" s="31" t="s">
        <v>68</v>
      </c>
      <c r="B150" s="10"/>
    </row>
    <row r="151" spans="1:2" x14ac:dyDescent="0.55000000000000004">
      <c r="A151" s="12" t="s">
        <v>63</v>
      </c>
      <c r="B151" s="10">
        <v>1</v>
      </c>
    </row>
    <row r="152" spans="1:2" x14ac:dyDescent="0.55000000000000004">
      <c r="A152" s="12" t="s">
        <v>64</v>
      </c>
      <c r="B152" s="10">
        <v>0</v>
      </c>
    </row>
    <row r="153" spans="1:2" x14ac:dyDescent="0.55000000000000004">
      <c r="B153" s="10"/>
    </row>
    <row r="154" spans="1:2" x14ac:dyDescent="0.55000000000000004">
      <c r="B154" s="10"/>
    </row>
    <row r="155" spans="1:2" x14ac:dyDescent="0.55000000000000004">
      <c r="B155" s="10"/>
    </row>
    <row r="156" spans="1:2" x14ac:dyDescent="0.55000000000000004">
      <c r="B156" s="10"/>
    </row>
    <row r="157" spans="1:2" x14ac:dyDescent="0.55000000000000004">
      <c r="A157" s="10"/>
      <c r="B157" s="10"/>
    </row>
    <row r="158" spans="1:2" x14ac:dyDescent="0.55000000000000004">
      <c r="B158" s="10"/>
    </row>
    <row r="159" spans="1:2" x14ac:dyDescent="0.55000000000000004">
      <c r="B159" s="10"/>
    </row>
    <row r="160" spans="1:2" x14ac:dyDescent="0.55000000000000004">
      <c r="B160" s="10"/>
    </row>
    <row r="161" spans="1:2" x14ac:dyDescent="0.55000000000000004">
      <c r="B161" s="10"/>
    </row>
    <row r="162" spans="1:2" x14ac:dyDescent="0.55000000000000004">
      <c r="B162" s="10"/>
    </row>
    <row r="163" spans="1:2" x14ac:dyDescent="0.55000000000000004">
      <c r="B163" s="10"/>
    </row>
    <row r="164" spans="1:2" x14ac:dyDescent="0.55000000000000004">
      <c r="B164" s="10"/>
    </row>
    <row r="165" spans="1:2" x14ac:dyDescent="0.55000000000000004">
      <c r="A165" s="31" t="s">
        <v>55</v>
      </c>
      <c r="B165" s="10"/>
    </row>
    <row r="166" spans="1:2" x14ac:dyDescent="0.55000000000000004">
      <c r="A166" s="12" t="s">
        <v>63</v>
      </c>
      <c r="B166" s="10">
        <v>1</v>
      </c>
    </row>
    <row r="167" spans="1:2" x14ac:dyDescent="0.55000000000000004">
      <c r="A167" s="12" t="s">
        <v>64</v>
      </c>
      <c r="B167" s="10">
        <v>0</v>
      </c>
    </row>
    <row r="168" spans="1:2" x14ac:dyDescent="0.55000000000000004">
      <c r="B168" s="10"/>
    </row>
    <row r="169" spans="1:2" x14ac:dyDescent="0.55000000000000004">
      <c r="B169" s="10"/>
    </row>
    <row r="170" spans="1:2" x14ac:dyDescent="0.55000000000000004">
      <c r="B170" s="10"/>
    </row>
    <row r="171" spans="1:2" x14ac:dyDescent="0.55000000000000004">
      <c r="B171" s="10"/>
    </row>
    <row r="172" spans="1:2" x14ac:dyDescent="0.55000000000000004">
      <c r="B172" s="10"/>
    </row>
    <row r="173" spans="1:2" x14ac:dyDescent="0.55000000000000004">
      <c r="B173" s="10"/>
    </row>
    <row r="174" spans="1:2" x14ac:dyDescent="0.55000000000000004">
      <c r="B174" s="10"/>
    </row>
    <row r="175" spans="1:2" x14ac:dyDescent="0.55000000000000004">
      <c r="A175" s="10"/>
      <c r="B175" s="10"/>
    </row>
    <row r="176" spans="1:2" x14ac:dyDescent="0.55000000000000004">
      <c r="B176" s="10"/>
    </row>
    <row r="177" spans="1:2" x14ac:dyDescent="0.55000000000000004">
      <c r="B177" s="10"/>
    </row>
    <row r="178" spans="1:2" x14ac:dyDescent="0.55000000000000004">
      <c r="B178" s="10"/>
    </row>
    <row r="179" spans="1:2" x14ac:dyDescent="0.55000000000000004">
      <c r="B179" s="10"/>
    </row>
    <row r="180" spans="1:2" x14ac:dyDescent="0.55000000000000004">
      <c r="A180" s="26" t="s">
        <v>54</v>
      </c>
      <c r="B180" s="10"/>
    </row>
    <row r="181" spans="1:2" x14ac:dyDescent="0.55000000000000004">
      <c r="A181" s="12" t="s">
        <v>63</v>
      </c>
      <c r="B181" s="10">
        <f>9278895/11074481</f>
        <v>0.83786274047515186</v>
      </c>
    </row>
    <row r="182" spans="1:2" x14ac:dyDescent="0.55000000000000004">
      <c r="A182" s="12" t="s">
        <v>64</v>
      </c>
      <c r="B182" s="10">
        <f>1656730/11074481</f>
        <v>0.14959888413732436</v>
      </c>
    </row>
    <row r="183" spans="1:2" x14ac:dyDescent="0.55000000000000004">
      <c r="B183" s="10"/>
    </row>
    <row r="184" spans="1:2" x14ac:dyDescent="0.55000000000000004">
      <c r="A184" s="10"/>
      <c r="B184" s="10"/>
    </row>
    <row r="185" spans="1:2" x14ac:dyDescent="0.55000000000000004">
      <c r="A185" s="10"/>
      <c r="B185" s="10"/>
    </row>
    <row r="186" spans="1:2" x14ac:dyDescent="0.55000000000000004">
      <c r="A186" s="10"/>
      <c r="B186" s="10"/>
    </row>
    <row r="187" spans="1:2" x14ac:dyDescent="0.55000000000000004">
      <c r="B187" s="10"/>
    </row>
    <row r="188" spans="1:2" x14ac:dyDescent="0.55000000000000004">
      <c r="B188" s="10"/>
    </row>
    <row r="189" spans="1:2" x14ac:dyDescent="0.55000000000000004">
      <c r="B189" s="10"/>
    </row>
    <row r="190" spans="1:2" x14ac:dyDescent="0.55000000000000004">
      <c r="B190" s="10"/>
    </row>
    <row r="191" spans="1:2" x14ac:dyDescent="0.55000000000000004">
      <c r="B191" s="10"/>
    </row>
    <row r="192" spans="1:2" x14ac:dyDescent="0.55000000000000004">
      <c r="B192" s="10"/>
    </row>
    <row r="193" spans="1:2" x14ac:dyDescent="0.55000000000000004">
      <c r="B193" s="10"/>
    </row>
    <row r="194" spans="1:2" x14ac:dyDescent="0.55000000000000004">
      <c r="B194" s="10"/>
    </row>
    <row r="195" spans="1:2" x14ac:dyDescent="0.55000000000000004">
      <c r="A195" s="26" t="s">
        <v>56</v>
      </c>
      <c r="B195" s="10"/>
    </row>
    <row r="196" spans="1:2" x14ac:dyDescent="0.55000000000000004">
      <c r="A196" s="12" t="s">
        <v>63</v>
      </c>
      <c r="B196" s="10">
        <f>(5542.9+1301.7)/7752</f>
        <v>0.88294633642930853</v>
      </c>
    </row>
    <row r="197" spans="1:2" x14ac:dyDescent="0.55000000000000004">
      <c r="A197" s="12" t="s">
        <v>64</v>
      </c>
      <c r="B197" s="10">
        <f>947.3/7752</f>
        <v>0.12220072239422083</v>
      </c>
    </row>
    <row r="198" spans="1:2" x14ac:dyDescent="0.55000000000000004">
      <c r="B198" s="10"/>
    </row>
    <row r="199" spans="1:2" x14ac:dyDescent="0.55000000000000004">
      <c r="B199" s="10"/>
    </row>
    <row r="200" spans="1:2" x14ac:dyDescent="0.55000000000000004">
      <c r="B200" s="10"/>
    </row>
    <row r="201" spans="1:2" x14ac:dyDescent="0.55000000000000004">
      <c r="B201" s="10"/>
    </row>
    <row r="202" spans="1:2" x14ac:dyDescent="0.55000000000000004">
      <c r="B202" s="10"/>
    </row>
    <row r="203" spans="1:2" x14ac:dyDescent="0.55000000000000004">
      <c r="B203" s="10"/>
    </row>
    <row r="204" spans="1:2" x14ac:dyDescent="0.55000000000000004">
      <c r="B204" s="10"/>
    </row>
    <row r="205" spans="1:2" x14ac:dyDescent="0.55000000000000004">
      <c r="B205" s="10"/>
    </row>
    <row r="206" spans="1:2" x14ac:dyDescent="0.55000000000000004">
      <c r="B206" s="10"/>
    </row>
    <row r="207" spans="1:2" x14ac:dyDescent="0.55000000000000004">
      <c r="B207" s="10"/>
    </row>
    <row r="208" spans="1:2" x14ac:dyDescent="0.55000000000000004">
      <c r="A208" s="10"/>
      <c r="B208" s="10"/>
    </row>
    <row r="209" spans="1:2" x14ac:dyDescent="0.55000000000000004">
      <c r="B209" s="10"/>
    </row>
    <row r="210" spans="1:2" x14ac:dyDescent="0.55000000000000004">
      <c r="A210" s="26" t="s">
        <v>57</v>
      </c>
      <c r="B210" s="10"/>
    </row>
    <row r="211" spans="1:2" x14ac:dyDescent="0.55000000000000004">
      <c r="A211" s="12" t="s">
        <v>63</v>
      </c>
      <c r="B211" s="10">
        <f>14840/33531</f>
        <v>0.44257552712415377</v>
      </c>
    </row>
    <row r="212" spans="1:2" x14ac:dyDescent="0.55000000000000004">
      <c r="A212" s="12" t="s">
        <v>64</v>
      </c>
      <c r="B212" s="10">
        <f>1333/33531</f>
        <v>3.9754257254480931E-2</v>
      </c>
    </row>
    <row r="213" spans="1:2" x14ac:dyDescent="0.55000000000000004">
      <c r="B213" s="10"/>
    </row>
    <row r="214" spans="1:2" x14ac:dyDescent="0.55000000000000004">
      <c r="B214" s="10"/>
    </row>
    <row r="215" spans="1:2" x14ac:dyDescent="0.55000000000000004">
      <c r="B215" s="10"/>
    </row>
    <row r="216" spans="1:2" x14ac:dyDescent="0.55000000000000004">
      <c r="B216" s="10"/>
    </row>
    <row r="217" spans="1:2" x14ac:dyDescent="0.55000000000000004">
      <c r="B217" s="10"/>
    </row>
    <row r="218" spans="1:2" x14ac:dyDescent="0.55000000000000004">
      <c r="B218" s="10"/>
    </row>
    <row r="219" spans="1:2" x14ac:dyDescent="0.55000000000000004">
      <c r="B219" s="10"/>
    </row>
    <row r="220" spans="1:2" x14ac:dyDescent="0.55000000000000004">
      <c r="B220" s="10"/>
    </row>
    <row r="221" spans="1:2" x14ac:dyDescent="0.55000000000000004">
      <c r="B221" s="10"/>
    </row>
    <row r="222" spans="1:2" x14ac:dyDescent="0.55000000000000004">
      <c r="A222" s="10"/>
      <c r="B222" s="10"/>
    </row>
    <row r="223" spans="1:2" x14ac:dyDescent="0.55000000000000004">
      <c r="B223" s="10"/>
    </row>
    <row r="224" spans="1:2" x14ac:dyDescent="0.55000000000000004">
      <c r="B224" s="10"/>
    </row>
    <row r="225" spans="1:2" x14ac:dyDescent="0.55000000000000004">
      <c r="A225" s="26" t="s">
        <v>59</v>
      </c>
      <c r="B225" s="10"/>
    </row>
    <row r="226" spans="1:2" x14ac:dyDescent="0.55000000000000004">
      <c r="A226" s="12" t="s">
        <v>63</v>
      </c>
      <c r="B226" s="10">
        <f>(9734+1325)/14017</f>
        <v>0.78897053577798393</v>
      </c>
    </row>
    <row r="227" spans="1:2" x14ac:dyDescent="0.55000000000000004">
      <c r="A227" s="12" t="s">
        <v>64</v>
      </c>
      <c r="B227" s="10">
        <v>0</v>
      </c>
    </row>
    <row r="228" spans="1:2" x14ac:dyDescent="0.55000000000000004">
      <c r="B228" s="10"/>
    </row>
    <row r="229" spans="1:2" x14ac:dyDescent="0.55000000000000004">
      <c r="B229" s="10"/>
    </row>
    <row r="230" spans="1:2" x14ac:dyDescent="0.55000000000000004">
      <c r="B230" s="10"/>
    </row>
    <row r="231" spans="1:2" x14ac:dyDescent="0.55000000000000004">
      <c r="B231" s="10"/>
    </row>
    <row r="232" spans="1:2" x14ac:dyDescent="0.55000000000000004">
      <c r="B232" s="10"/>
    </row>
    <row r="233" spans="1:2" x14ac:dyDescent="0.55000000000000004">
      <c r="B233" s="10"/>
    </row>
    <row r="234" spans="1:2" x14ac:dyDescent="0.55000000000000004">
      <c r="B234" s="10"/>
    </row>
    <row r="235" spans="1:2" x14ac:dyDescent="0.55000000000000004">
      <c r="B235" s="10"/>
    </row>
    <row r="236" spans="1:2" x14ac:dyDescent="0.55000000000000004">
      <c r="B236" s="10"/>
    </row>
    <row r="237" spans="1:2" x14ac:dyDescent="0.55000000000000004">
      <c r="B237" s="10"/>
    </row>
    <row r="238" spans="1:2" x14ac:dyDescent="0.55000000000000004">
      <c r="B238" s="10"/>
    </row>
    <row r="239" spans="1:2" x14ac:dyDescent="0.55000000000000004">
      <c r="B239" s="10"/>
    </row>
    <row r="240" spans="1:2" x14ac:dyDescent="0.55000000000000004">
      <c r="A240" s="26" t="s">
        <v>61</v>
      </c>
      <c r="B240" s="10"/>
    </row>
    <row r="241" spans="1:2" x14ac:dyDescent="0.55000000000000004">
      <c r="A241" s="12" t="s">
        <v>63</v>
      </c>
      <c r="B241" s="10">
        <f>2257566/2555625</f>
        <v>0.88337138664710202</v>
      </c>
    </row>
    <row r="242" spans="1:2" x14ac:dyDescent="0.55000000000000004">
      <c r="A242" s="12" t="s">
        <v>64</v>
      </c>
      <c r="B242" s="10">
        <v>0</v>
      </c>
    </row>
    <row r="243" spans="1:2" x14ac:dyDescent="0.55000000000000004">
      <c r="B243" s="10"/>
    </row>
    <row r="244" spans="1:2" x14ac:dyDescent="0.55000000000000004">
      <c r="B244" s="10"/>
    </row>
    <row r="245" spans="1:2" x14ac:dyDescent="0.55000000000000004">
      <c r="B245" s="10"/>
    </row>
    <row r="246" spans="1:2" x14ac:dyDescent="0.55000000000000004">
      <c r="B246" s="10"/>
    </row>
    <row r="247" spans="1:2" x14ac:dyDescent="0.55000000000000004">
      <c r="B247" s="10"/>
    </row>
    <row r="248" spans="1:2" x14ac:dyDescent="0.55000000000000004">
      <c r="B248" s="10"/>
    </row>
    <row r="249" spans="1:2" x14ac:dyDescent="0.55000000000000004">
      <c r="B249" s="10"/>
    </row>
    <row r="250" spans="1:2" x14ac:dyDescent="0.55000000000000004">
      <c r="B250" s="10"/>
    </row>
    <row r="251" spans="1:2" x14ac:dyDescent="0.55000000000000004">
      <c r="B251" s="10"/>
    </row>
    <row r="252" spans="1:2" x14ac:dyDescent="0.55000000000000004">
      <c r="B252" s="10"/>
    </row>
    <row r="253" spans="1:2" x14ac:dyDescent="0.55000000000000004">
      <c r="B253" s="10"/>
    </row>
    <row r="254" spans="1:2" x14ac:dyDescent="0.55000000000000004">
      <c r="B254" s="10"/>
    </row>
    <row r="255" spans="1:2" x14ac:dyDescent="0.55000000000000004">
      <c r="A255" s="26" t="s">
        <v>62</v>
      </c>
      <c r="B255" s="10"/>
    </row>
    <row r="256" spans="1:2" x14ac:dyDescent="0.55000000000000004">
      <c r="A256" s="12" t="s">
        <v>63</v>
      </c>
      <c r="B256" s="10">
        <f>1344893/1349486</f>
        <v>0.99659648191978278</v>
      </c>
    </row>
    <row r="257" spans="1:2" x14ac:dyDescent="0.55000000000000004">
      <c r="A257" s="12" t="s">
        <v>64</v>
      </c>
      <c r="B257" s="10">
        <v>0</v>
      </c>
    </row>
    <row r="258" spans="1:2" x14ac:dyDescent="0.55000000000000004">
      <c r="B258" s="10"/>
    </row>
    <row r="259" spans="1:2" x14ac:dyDescent="0.55000000000000004">
      <c r="B259" s="10"/>
    </row>
    <row r="260" spans="1:2" x14ac:dyDescent="0.55000000000000004">
      <c r="B260" s="10"/>
    </row>
    <row r="261" spans="1:2" x14ac:dyDescent="0.55000000000000004">
      <c r="B261" s="10"/>
    </row>
    <row r="262" spans="1:2" x14ac:dyDescent="0.55000000000000004">
      <c r="B262" s="10"/>
    </row>
    <row r="263" spans="1:2" x14ac:dyDescent="0.55000000000000004">
      <c r="B263" s="10"/>
    </row>
    <row r="264" spans="1:2" x14ac:dyDescent="0.55000000000000004">
      <c r="B264" s="10"/>
    </row>
    <row r="265" spans="1:2" x14ac:dyDescent="0.55000000000000004">
      <c r="B265" s="10"/>
    </row>
    <row r="266" spans="1:2" x14ac:dyDescent="0.55000000000000004">
      <c r="B266" s="10"/>
    </row>
    <row r="267" spans="1:2" x14ac:dyDescent="0.55000000000000004">
      <c r="B267" s="10"/>
    </row>
    <row r="268" spans="1:2" x14ac:dyDescent="0.55000000000000004">
      <c r="B268" s="10"/>
    </row>
    <row r="269" spans="1:2" x14ac:dyDescent="0.55000000000000004">
      <c r="B269" s="10"/>
    </row>
    <row r="270" spans="1:2" x14ac:dyDescent="0.55000000000000004">
      <c r="A270" s="26" t="s">
        <v>70</v>
      </c>
      <c r="B270" s="10"/>
    </row>
    <row r="271" spans="1:2" x14ac:dyDescent="0.55000000000000004">
      <c r="A271" s="12" t="s">
        <v>63</v>
      </c>
      <c r="B271" s="10">
        <f>414274/563099</f>
        <v>0.73570366844906487</v>
      </c>
    </row>
    <row r="272" spans="1:2" x14ac:dyDescent="0.55000000000000004">
      <c r="A272" s="12" t="s">
        <v>64</v>
      </c>
      <c r="B272" s="10">
        <f>148825/563099</f>
        <v>0.26429633155093507</v>
      </c>
    </row>
    <row r="273" spans="1:2" x14ac:dyDescent="0.55000000000000004">
      <c r="B273" s="10"/>
    </row>
    <row r="274" spans="1:2" x14ac:dyDescent="0.55000000000000004">
      <c r="B274" s="10"/>
    </row>
    <row r="275" spans="1:2" x14ac:dyDescent="0.55000000000000004">
      <c r="B275" s="10"/>
    </row>
    <row r="276" spans="1:2" x14ac:dyDescent="0.55000000000000004">
      <c r="B276" s="10"/>
    </row>
    <row r="277" spans="1:2" x14ac:dyDescent="0.55000000000000004">
      <c r="B277" s="10"/>
    </row>
    <row r="278" spans="1:2" x14ac:dyDescent="0.55000000000000004">
      <c r="B278" s="10"/>
    </row>
    <row r="279" spans="1:2" x14ac:dyDescent="0.55000000000000004">
      <c r="B279" s="10"/>
    </row>
    <row r="280" spans="1:2" x14ac:dyDescent="0.55000000000000004">
      <c r="B280" s="10"/>
    </row>
    <row r="281" spans="1:2" x14ac:dyDescent="0.55000000000000004">
      <c r="B281" s="10"/>
    </row>
    <row r="282" spans="1:2" x14ac:dyDescent="0.55000000000000004">
      <c r="B282" s="10"/>
    </row>
    <row r="283" spans="1:2" x14ac:dyDescent="0.55000000000000004">
      <c r="A283" s="10"/>
      <c r="B283" s="10"/>
    </row>
    <row r="284" spans="1:2" x14ac:dyDescent="0.55000000000000004">
      <c r="B284" s="10"/>
    </row>
    <row r="285" spans="1:2" x14ac:dyDescent="0.55000000000000004">
      <c r="A285" s="26" t="s">
        <v>71</v>
      </c>
      <c r="B285" s="10"/>
    </row>
    <row r="286" spans="1:2" x14ac:dyDescent="0.55000000000000004">
      <c r="A286" s="12" t="s">
        <v>63</v>
      </c>
      <c r="B286" s="10">
        <f>1037053/1305652</f>
        <v>0.7942797927778612</v>
      </c>
    </row>
    <row r="287" spans="1:2" x14ac:dyDescent="0.55000000000000004">
      <c r="A287" s="12" t="s">
        <v>64</v>
      </c>
      <c r="B287" s="10">
        <f>268599/1305652</f>
        <v>0.20572020722213882</v>
      </c>
    </row>
    <row r="288" spans="1:2" x14ac:dyDescent="0.55000000000000004">
      <c r="B288" s="10"/>
    </row>
    <row r="289" spans="1:60" x14ac:dyDescent="0.55000000000000004">
      <c r="B289" s="10"/>
      <c r="H289" s="60"/>
      <c r="I289" s="58"/>
      <c r="J289" s="58"/>
      <c r="K289" s="58"/>
      <c r="AO289" s="7"/>
      <c r="AW289" s="7"/>
      <c r="BB289" s="7"/>
    </row>
    <row r="290" spans="1:60" x14ac:dyDescent="0.55000000000000004">
      <c r="B290" s="10"/>
      <c r="H290" s="60"/>
      <c r="I290" s="58"/>
      <c r="J290" s="58"/>
      <c r="K290" s="58"/>
      <c r="AO290" s="4"/>
      <c r="AW290" s="4"/>
      <c r="BB290" s="4"/>
    </row>
    <row r="291" spans="1:60" x14ac:dyDescent="0.55000000000000004">
      <c r="B291" s="10"/>
      <c r="H291" s="4"/>
      <c r="I291" s="61"/>
      <c r="J291" s="58"/>
      <c r="K291" s="58"/>
      <c r="Z291" s="60"/>
      <c r="AA291" s="58"/>
      <c r="AB291" s="58"/>
      <c r="AC291" s="58"/>
      <c r="AD291" s="58"/>
      <c r="AE291" s="58"/>
      <c r="AG291" s="7"/>
      <c r="AO291" s="4"/>
      <c r="AW291" s="4"/>
      <c r="BB291" s="4"/>
    </row>
    <row r="292" spans="1:60" x14ac:dyDescent="0.55000000000000004">
      <c r="A292" s="10"/>
      <c r="B292" s="10"/>
      <c r="H292" s="6"/>
      <c r="I292" s="4"/>
      <c r="K292" s="4"/>
      <c r="Z292" s="61"/>
      <c r="AA292" s="58"/>
      <c r="AB292" s="58"/>
      <c r="AC292" s="4"/>
      <c r="AD292" s="60"/>
      <c r="AE292" s="58"/>
      <c r="AG292" s="4"/>
      <c r="AO292" s="4"/>
      <c r="AW292" s="4"/>
      <c r="BB292" s="4"/>
    </row>
    <row r="293" spans="1:60" x14ac:dyDescent="0.55000000000000004">
      <c r="B293" s="10"/>
      <c r="H293" s="6"/>
      <c r="I293" s="59"/>
      <c r="J293" s="58"/>
      <c r="K293" s="4"/>
      <c r="Z293" s="59"/>
      <c r="AA293" s="58"/>
      <c r="AB293" s="4"/>
      <c r="AC293" s="4"/>
      <c r="AD293" s="5"/>
      <c r="AE293" s="4"/>
      <c r="AG293" s="4"/>
      <c r="AO293" s="4"/>
      <c r="AW293" s="4"/>
      <c r="BB293" s="4"/>
    </row>
    <row r="294" spans="1:60" x14ac:dyDescent="0.55000000000000004">
      <c r="B294" s="10"/>
      <c r="H294" s="6"/>
      <c r="I294" s="57"/>
      <c r="J294" s="58"/>
      <c r="K294" s="4"/>
      <c r="Z294" s="57"/>
      <c r="AA294" s="58"/>
      <c r="AB294" s="4"/>
      <c r="AC294" s="4"/>
      <c r="AD294" s="5"/>
      <c r="AE294" s="4"/>
      <c r="AG294" s="4"/>
      <c r="AO294" s="4"/>
      <c r="AP294" s="4"/>
      <c r="AQ294" s="4"/>
      <c r="AR294" s="4"/>
      <c r="AS294" s="4"/>
      <c r="AT294" s="4"/>
      <c r="AU294" s="4"/>
      <c r="AW294" s="4"/>
      <c r="AX294" s="4"/>
      <c r="AY294" s="4"/>
      <c r="AZ294" s="4"/>
      <c r="BB294" s="4"/>
      <c r="BC294" s="4"/>
      <c r="BD294" s="4"/>
      <c r="BE294" s="4"/>
      <c r="BF294" s="4"/>
      <c r="BG294" s="4"/>
      <c r="BH294" s="4"/>
    </row>
    <row r="295" spans="1:60" x14ac:dyDescent="0.55000000000000004">
      <c r="B295" s="10"/>
      <c r="H295" s="6"/>
      <c r="I295" s="57"/>
      <c r="J295" s="58"/>
      <c r="K295" s="4"/>
      <c r="Z295" s="57"/>
      <c r="AA295" s="58"/>
      <c r="AB295" s="4"/>
      <c r="AC295" s="4"/>
      <c r="AD295" s="5"/>
      <c r="AE295" s="4"/>
      <c r="AG295" s="4"/>
      <c r="AO295" s="4"/>
      <c r="AP295" s="6"/>
      <c r="AQ295" s="6"/>
      <c r="AR295" s="6"/>
      <c r="AS295" s="6"/>
      <c r="AT295" s="6"/>
      <c r="AU295" s="6"/>
      <c r="AW295" s="6"/>
      <c r="AX295" s="8"/>
      <c r="AY295" s="8"/>
      <c r="AZ295" s="8"/>
      <c r="BB295" s="6"/>
      <c r="BC295" s="8"/>
      <c r="BD295" s="8"/>
      <c r="BE295" s="8"/>
      <c r="BF295" s="4"/>
      <c r="BG295" s="6"/>
      <c r="BH295" s="6"/>
    </row>
    <row r="296" spans="1:60" x14ac:dyDescent="0.55000000000000004">
      <c r="B296" s="10"/>
      <c r="H296" s="6"/>
      <c r="I296" s="57"/>
      <c r="J296" s="58"/>
      <c r="K296" s="4"/>
      <c r="Z296" s="57"/>
      <c r="AA296" s="58"/>
      <c r="AB296" s="4"/>
      <c r="AC296" s="4"/>
      <c r="AD296" s="5"/>
      <c r="AE296" s="4"/>
      <c r="AG296" s="4"/>
      <c r="AH296" s="4"/>
      <c r="AI296" s="4"/>
      <c r="AJ296" s="4"/>
      <c r="AK296" s="4"/>
      <c r="AL296" s="4"/>
      <c r="AM296" s="4"/>
      <c r="AO296" s="6"/>
      <c r="AP296" s="8"/>
      <c r="AQ296" s="8"/>
      <c r="AR296" s="8"/>
      <c r="AS296" s="4"/>
      <c r="AT296" s="6"/>
      <c r="AU296" s="6"/>
      <c r="AW296" s="6"/>
      <c r="AX296" s="9"/>
      <c r="AY296" s="9"/>
      <c r="AZ296" s="4"/>
      <c r="BB296" s="6"/>
      <c r="BC296" s="9"/>
      <c r="BD296" s="9"/>
      <c r="BE296" s="4"/>
      <c r="BF296" s="4"/>
      <c r="BG296" s="5"/>
      <c r="BH296" s="4"/>
    </row>
    <row r="297" spans="1:60" x14ac:dyDescent="0.55000000000000004">
      <c r="B297" s="10"/>
      <c r="H297" s="6"/>
      <c r="I297" s="57"/>
      <c r="J297" s="58"/>
      <c r="K297" s="4"/>
      <c r="Z297" s="59"/>
      <c r="AA297" s="58"/>
      <c r="AB297" s="4"/>
      <c r="AC297" s="4"/>
      <c r="AD297" s="5"/>
      <c r="AE297" s="6"/>
      <c r="AG297" s="4"/>
      <c r="AH297" s="60"/>
      <c r="AI297" s="58"/>
      <c r="AJ297" s="58"/>
      <c r="AK297" s="58"/>
      <c r="AL297" s="58"/>
      <c r="AM297" s="58"/>
      <c r="AO297" s="6"/>
      <c r="AP297" s="9"/>
      <c r="AQ297" s="9"/>
      <c r="AR297" s="4"/>
      <c r="AS297" s="4"/>
      <c r="AT297" s="5"/>
      <c r="AU297" s="4"/>
      <c r="AW297" s="6"/>
      <c r="AX297" s="5"/>
      <c r="AY297" s="5"/>
      <c r="AZ297" s="4"/>
      <c r="BB297" s="6"/>
      <c r="BC297" s="5"/>
      <c r="BD297" s="5"/>
      <c r="BE297" s="4"/>
      <c r="BF297" s="4"/>
      <c r="BG297" s="5"/>
      <c r="BH297" s="4"/>
    </row>
    <row r="298" spans="1:60" x14ac:dyDescent="0.55000000000000004">
      <c r="B298" s="10"/>
      <c r="H298" s="7"/>
      <c r="I298" s="57"/>
      <c r="J298" s="58"/>
      <c r="K298" s="4"/>
      <c r="AG298" s="6"/>
      <c r="AH298" s="61"/>
      <c r="AI298" s="58"/>
      <c r="AJ298" s="58"/>
      <c r="AK298" s="4"/>
      <c r="AL298" s="60"/>
      <c r="AM298" s="58"/>
      <c r="AO298" s="6"/>
      <c r="AP298" s="5"/>
      <c r="AQ298" s="5"/>
      <c r="AR298" s="4"/>
      <c r="AS298" s="4"/>
      <c r="AT298" s="5"/>
      <c r="AU298" s="4"/>
      <c r="AW298" s="7"/>
      <c r="AX298" s="5"/>
      <c r="AY298" s="5"/>
      <c r="AZ298" s="4"/>
      <c r="BB298" s="6"/>
      <c r="BC298" s="5"/>
      <c r="BD298" s="5"/>
      <c r="BE298" s="4"/>
      <c r="BF298" s="4"/>
      <c r="BG298" s="5"/>
      <c r="BH298" s="4"/>
    </row>
    <row r="299" spans="1:60" x14ac:dyDescent="0.55000000000000004">
      <c r="B299" s="10"/>
      <c r="H299" s="6"/>
      <c r="I299" s="57"/>
      <c r="J299" s="58"/>
      <c r="K299" s="4"/>
      <c r="AG299" s="6"/>
      <c r="AH299" s="59"/>
      <c r="AI299" s="58"/>
      <c r="AJ299" s="4"/>
      <c r="AK299" s="4"/>
      <c r="AL299" s="5"/>
      <c r="AM299" s="4"/>
      <c r="AO299" s="6"/>
      <c r="AP299" s="5"/>
      <c r="AQ299" s="5"/>
      <c r="AR299" s="4"/>
      <c r="AS299" s="4"/>
      <c r="AT299" s="5"/>
      <c r="AU299" s="4"/>
      <c r="AW299" s="7"/>
      <c r="AX299" s="5"/>
      <c r="AY299" s="5"/>
      <c r="AZ299" s="4"/>
      <c r="BB299" s="7"/>
      <c r="BC299" s="9"/>
      <c r="BD299" s="9"/>
      <c r="BE299" s="4"/>
      <c r="BF299" s="4"/>
      <c r="BG299" s="5"/>
      <c r="BH299" s="6"/>
    </row>
    <row r="300" spans="1:60" x14ac:dyDescent="0.55000000000000004">
      <c r="A300" s="31" t="s">
        <v>2</v>
      </c>
      <c r="B300" s="10"/>
      <c r="H300" s="7"/>
      <c r="I300" s="57"/>
      <c r="J300" s="58"/>
      <c r="K300" s="4"/>
      <c r="AG300" s="6"/>
      <c r="AH300" s="57"/>
      <c r="AI300" s="58"/>
      <c r="AJ300" s="4"/>
      <c r="AK300" s="4"/>
      <c r="AL300" s="5"/>
      <c r="AM300" s="4"/>
      <c r="AO300" s="6"/>
      <c r="AP300" s="5"/>
      <c r="AQ300" s="5"/>
      <c r="AR300" s="4"/>
      <c r="AS300" s="4"/>
      <c r="AT300" s="5"/>
      <c r="AU300" s="4"/>
      <c r="AW300" s="7"/>
      <c r="AX300" s="9"/>
      <c r="AY300" s="9"/>
      <c r="AZ300" s="4"/>
    </row>
    <row r="301" spans="1:60" x14ac:dyDescent="0.55000000000000004">
      <c r="A301" s="12" t="s">
        <v>63</v>
      </c>
      <c r="B301" s="10">
        <v>1</v>
      </c>
      <c r="H301" s="6"/>
      <c r="I301" s="57"/>
      <c r="J301" s="58"/>
      <c r="K301" s="4"/>
      <c r="AG301" s="6"/>
      <c r="AH301" s="57"/>
      <c r="AI301" s="58"/>
      <c r="AJ301" s="4"/>
      <c r="AK301" s="4"/>
      <c r="AL301" s="5"/>
      <c r="AM301" s="4"/>
      <c r="AO301" s="7"/>
      <c r="AP301" s="9"/>
      <c r="AQ301" s="9"/>
      <c r="AR301" s="4"/>
      <c r="AS301" s="4"/>
      <c r="AT301" s="5"/>
      <c r="AU301" s="6"/>
    </row>
    <row r="302" spans="1:60" x14ac:dyDescent="0.55000000000000004">
      <c r="A302" s="12" t="s">
        <v>64</v>
      </c>
      <c r="B302" s="10">
        <v>0</v>
      </c>
      <c r="H302" s="7"/>
      <c r="I302" s="59"/>
      <c r="J302" s="58"/>
      <c r="K302" s="4"/>
      <c r="AG302" s="6"/>
      <c r="AH302" s="57"/>
      <c r="AI302" s="58"/>
      <c r="AJ302" s="4"/>
      <c r="AK302" s="4"/>
      <c r="AL302" s="5"/>
      <c r="AM302" s="4"/>
    </row>
    <row r="303" spans="1:60" x14ac:dyDescent="0.55000000000000004">
      <c r="B303" s="10"/>
      <c r="H303" s="6"/>
      <c r="I303" s="4"/>
      <c r="K303" s="4"/>
      <c r="AG303" s="6"/>
      <c r="AH303" s="5"/>
      <c r="AJ303" s="4"/>
      <c r="AK303" s="4"/>
      <c r="AL303" s="5"/>
      <c r="AM303" s="4"/>
    </row>
    <row r="304" spans="1:60" x14ac:dyDescent="0.55000000000000004">
      <c r="B304" s="10"/>
      <c r="H304" s="6"/>
      <c r="I304" s="4"/>
      <c r="K304" s="4"/>
      <c r="AG304" s="6"/>
      <c r="AH304" s="5"/>
      <c r="AJ304" s="4"/>
      <c r="AK304" s="4"/>
      <c r="AL304" s="5"/>
      <c r="AM304" s="4"/>
    </row>
    <row r="305" spans="1:39" x14ac:dyDescent="0.55000000000000004">
      <c r="B305" s="10"/>
      <c r="H305" s="6"/>
      <c r="I305" s="57"/>
      <c r="J305" s="58"/>
      <c r="K305" s="4"/>
      <c r="AG305" s="6"/>
      <c r="AH305" s="5"/>
      <c r="AJ305" s="4"/>
      <c r="AK305" s="4"/>
      <c r="AL305" s="5"/>
      <c r="AM305" s="4"/>
    </row>
    <row r="306" spans="1:39" x14ac:dyDescent="0.55000000000000004">
      <c r="B306" s="10"/>
      <c r="H306" s="6"/>
      <c r="I306" s="57"/>
      <c r="J306" s="58"/>
      <c r="K306" s="4"/>
      <c r="AG306" s="6"/>
      <c r="AH306" s="5"/>
      <c r="AJ306" s="4"/>
      <c r="AK306" s="4"/>
      <c r="AL306" s="5"/>
      <c r="AM306" s="4"/>
    </row>
    <row r="307" spans="1:39" x14ac:dyDescent="0.55000000000000004">
      <c r="B307" s="10"/>
      <c r="H307" s="6"/>
      <c r="I307" s="57"/>
      <c r="J307" s="58"/>
      <c r="K307" s="4"/>
      <c r="AG307" s="6"/>
      <c r="AH307" s="5"/>
      <c r="AJ307" s="4"/>
      <c r="AK307" s="4"/>
      <c r="AL307" s="5"/>
      <c r="AM307" s="4"/>
    </row>
    <row r="308" spans="1:39" x14ac:dyDescent="0.55000000000000004">
      <c r="B308" s="10"/>
      <c r="H308" s="6"/>
      <c r="I308" s="57"/>
      <c r="J308" s="58"/>
      <c r="K308" s="4"/>
      <c r="AG308" s="6"/>
      <c r="AH308" s="5"/>
      <c r="AJ308" s="4"/>
      <c r="AK308" s="4"/>
      <c r="AL308" s="5"/>
      <c r="AM308" s="4"/>
    </row>
    <row r="309" spans="1:39" x14ac:dyDescent="0.55000000000000004">
      <c r="B309" s="10"/>
      <c r="H309" s="7"/>
      <c r="I309" s="57"/>
      <c r="J309" s="58"/>
      <c r="K309" s="4"/>
      <c r="AG309" s="6"/>
      <c r="AH309" s="5"/>
      <c r="AJ309" s="4"/>
      <c r="AK309" s="4"/>
      <c r="AL309" s="5"/>
      <c r="AM309" s="4"/>
    </row>
    <row r="310" spans="1:39" x14ac:dyDescent="0.55000000000000004">
      <c r="B310" s="10"/>
      <c r="H310" s="6"/>
      <c r="I310" s="57"/>
      <c r="J310" s="58"/>
      <c r="K310" s="4"/>
      <c r="AG310" s="6"/>
      <c r="AH310" s="5"/>
      <c r="AJ310" s="4"/>
      <c r="AK310" s="4"/>
      <c r="AL310" s="5"/>
      <c r="AM310" s="4"/>
    </row>
    <row r="311" spans="1:39" x14ac:dyDescent="0.55000000000000004">
      <c r="B311" s="10"/>
      <c r="H311" s="6"/>
      <c r="I311" s="4"/>
      <c r="K311" s="4"/>
      <c r="AG311" s="6"/>
      <c r="AH311" s="5"/>
      <c r="AJ311" s="4"/>
      <c r="AK311" s="4"/>
      <c r="AL311" s="5"/>
      <c r="AM311" s="4"/>
    </row>
    <row r="312" spans="1:39" x14ac:dyDescent="0.55000000000000004">
      <c r="B312" s="10"/>
      <c r="H312" s="6"/>
      <c r="I312" s="57"/>
      <c r="J312" s="58"/>
      <c r="K312" s="4"/>
      <c r="AG312" s="6"/>
      <c r="AH312" s="5"/>
      <c r="AJ312" s="4"/>
      <c r="AK312" s="4"/>
      <c r="AL312" s="5"/>
      <c r="AM312" s="4"/>
    </row>
    <row r="313" spans="1:39" x14ac:dyDescent="0.55000000000000004">
      <c r="B313" s="10"/>
      <c r="H313" s="6"/>
      <c r="I313" s="57"/>
      <c r="J313" s="58"/>
      <c r="K313" s="4"/>
      <c r="AG313" s="6"/>
      <c r="AH313" s="5"/>
      <c r="AJ313" s="4"/>
      <c r="AK313" s="4"/>
      <c r="AL313" s="5"/>
      <c r="AM313" s="4"/>
    </row>
    <row r="314" spans="1:39" x14ac:dyDescent="0.55000000000000004">
      <c r="B314" s="10"/>
      <c r="H314" s="6"/>
      <c r="I314" s="57"/>
      <c r="J314" s="58"/>
      <c r="K314" s="4"/>
      <c r="AG314" s="6"/>
      <c r="AH314" s="5"/>
      <c r="AJ314" s="4"/>
      <c r="AK314" s="4"/>
      <c r="AL314" s="5"/>
      <c r="AM314" s="4"/>
    </row>
    <row r="315" spans="1:39" x14ac:dyDescent="0.55000000000000004">
      <c r="A315" s="26" t="s">
        <v>3</v>
      </c>
      <c r="B315" s="10"/>
      <c r="H315" s="7"/>
      <c r="I315" s="57"/>
      <c r="J315" s="58"/>
      <c r="K315" s="4"/>
      <c r="AG315" s="6"/>
      <c r="AH315" s="5"/>
      <c r="AJ315" s="4"/>
      <c r="AK315" s="4"/>
      <c r="AL315" s="5"/>
      <c r="AM315" s="4"/>
    </row>
    <row r="316" spans="1:39" x14ac:dyDescent="0.55000000000000004">
      <c r="A316" s="12" t="s">
        <v>63</v>
      </c>
      <c r="B316" s="10">
        <f>434506/849350</f>
        <v>0.51157473361982697</v>
      </c>
      <c r="H316" s="6"/>
      <c r="I316" s="57"/>
      <c r="J316" s="58"/>
      <c r="K316" s="4"/>
      <c r="AG316" s="7"/>
      <c r="AH316" s="59"/>
      <c r="AI316" s="58"/>
      <c r="AJ316" s="4"/>
      <c r="AK316" s="4"/>
      <c r="AL316" s="5"/>
      <c r="AM316" s="6"/>
    </row>
    <row r="317" spans="1:39" x14ac:dyDescent="0.55000000000000004">
      <c r="A317" s="12" t="s">
        <v>64</v>
      </c>
      <c r="B317" s="10">
        <v>0</v>
      </c>
      <c r="H317" s="7"/>
      <c r="I317" s="57"/>
      <c r="J317" s="58"/>
      <c r="K317" s="4"/>
    </row>
    <row r="318" spans="1:39" x14ac:dyDescent="0.55000000000000004">
      <c r="B318" s="10"/>
      <c r="C318" s="4" t="s">
        <v>58</v>
      </c>
    </row>
    <row r="319" spans="1:39" x14ac:dyDescent="0.55000000000000004">
      <c r="B319" s="10"/>
      <c r="C319" s="4" t="s">
        <v>58</v>
      </c>
    </row>
    <row r="320" spans="1:39" x14ac:dyDescent="0.55000000000000004">
      <c r="B320" s="10"/>
    </row>
    <row r="321" spans="1:2" x14ac:dyDescent="0.55000000000000004">
      <c r="B321" s="10"/>
    </row>
    <row r="322" spans="1:2" x14ac:dyDescent="0.55000000000000004">
      <c r="B322" s="10"/>
    </row>
    <row r="323" spans="1:2" x14ac:dyDescent="0.55000000000000004">
      <c r="B323" s="10"/>
    </row>
    <row r="324" spans="1:2" x14ac:dyDescent="0.55000000000000004">
      <c r="A324" s="10"/>
      <c r="B324" s="10"/>
    </row>
    <row r="325" spans="1:2" x14ac:dyDescent="0.55000000000000004">
      <c r="B325" s="10"/>
    </row>
    <row r="326" spans="1:2" x14ac:dyDescent="0.55000000000000004">
      <c r="B326" s="10"/>
    </row>
    <row r="327" spans="1:2" x14ac:dyDescent="0.55000000000000004">
      <c r="B327" s="10"/>
    </row>
    <row r="328" spans="1:2" x14ac:dyDescent="0.55000000000000004">
      <c r="B328" s="10"/>
    </row>
    <row r="329" spans="1:2" x14ac:dyDescent="0.55000000000000004">
      <c r="B329" s="10"/>
    </row>
    <row r="330" spans="1:2" x14ac:dyDescent="0.55000000000000004">
      <c r="A330" s="26" t="s">
        <v>72</v>
      </c>
      <c r="B330" s="10"/>
    </row>
    <row r="331" spans="1:2" x14ac:dyDescent="0.55000000000000004">
      <c r="A331" s="12" t="s">
        <v>63</v>
      </c>
      <c r="B331" s="10">
        <f>13124/17135</f>
        <v>0.76591771228479721</v>
      </c>
    </row>
    <row r="332" spans="1:2" x14ac:dyDescent="0.55000000000000004">
      <c r="A332" s="12" t="s">
        <v>64</v>
      </c>
      <c r="B332" s="10">
        <f>4011/17135</f>
        <v>0.23408228771520281</v>
      </c>
    </row>
    <row r="333" spans="1:2" x14ac:dyDescent="0.55000000000000004">
      <c r="B333" s="10"/>
    </row>
    <row r="334" spans="1:2" x14ac:dyDescent="0.55000000000000004">
      <c r="B334" s="10"/>
    </row>
    <row r="335" spans="1:2" x14ac:dyDescent="0.55000000000000004">
      <c r="B335" s="10"/>
    </row>
    <row r="336" spans="1:2" x14ac:dyDescent="0.55000000000000004">
      <c r="B336" s="10"/>
    </row>
    <row r="337" spans="1:2" x14ac:dyDescent="0.55000000000000004">
      <c r="B337" s="10"/>
    </row>
    <row r="338" spans="1:2" x14ac:dyDescent="0.55000000000000004">
      <c r="B338" s="10"/>
    </row>
    <row r="339" spans="1:2" x14ac:dyDescent="0.55000000000000004">
      <c r="B339" s="10"/>
    </row>
    <row r="340" spans="1:2" x14ac:dyDescent="0.55000000000000004">
      <c r="B340" s="10"/>
    </row>
    <row r="341" spans="1:2" x14ac:dyDescent="0.55000000000000004">
      <c r="A341" s="10"/>
      <c r="B341" s="10"/>
    </row>
    <row r="342" spans="1:2" x14ac:dyDescent="0.55000000000000004">
      <c r="B342" s="10"/>
    </row>
    <row r="343" spans="1:2" x14ac:dyDescent="0.55000000000000004">
      <c r="B343" s="10"/>
    </row>
    <row r="344" spans="1:2" x14ac:dyDescent="0.55000000000000004">
      <c r="B344" s="10"/>
    </row>
    <row r="345" spans="1:2" x14ac:dyDescent="0.55000000000000004">
      <c r="A345" s="31" t="s">
        <v>6</v>
      </c>
      <c r="B345" s="10"/>
    </row>
    <row r="346" spans="1:2" x14ac:dyDescent="0.55000000000000004">
      <c r="A346" s="12" t="s">
        <v>63</v>
      </c>
      <c r="B346" s="10">
        <v>1</v>
      </c>
    </row>
    <row r="347" spans="1:2" x14ac:dyDescent="0.55000000000000004">
      <c r="A347" s="12" t="s">
        <v>64</v>
      </c>
      <c r="B347" s="10">
        <v>0</v>
      </c>
    </row>
    <row r="348" spans="1:2" x14ac:dyDescent="0.55000000000000004">
      <c r="B348" s="10"/>
    </row>
    <row r="349" spans="1:2" x14ac:dyDescent="0.55000000000000004">
      <c r="B349" s="10"/>
    </row>
    <row r="350" spans="1:2" x14ac:dyDescent="0.55000000000000004">
      <c r="B350" s="10"/>
    </row>
    <row r="351" spans="1:2" x14ac:dyDescent="0.55000000000000004">
      <c r="B351" s="10"/>
    </row>
    <row r="352" spans="1:2" x14ac:dyDescent="0.55000000000000004">
      <c r="B352" s="10"/>
    </row>
    <row r="353" spans="1:2" x14ac:dyDescent="0.55000000000000004">
      <c r="B353" s="10"/>
    </row>
    <row r="354" spans="1:2" x14ac:dyDescent="0.55000000000000004">
      <c r="B354" s="10"/>
    </row>
    <row r="355" spans="1:2" x14ac:dyDescent="0.55000000000000004">
      <c r="B355" s="10"/>
    </row>
    <row r="356" spans="1:2" x14ac:dyDescent="0.55000000000000004">
      <c r="B356" s="10"/>
    </row>
    <row r="357" spans="1:2" x14ac:dyDescent="0.55000000000000004">
      <c r="B357" s="10"/>
    </row>
    <row r="358" spans="1:2" x14ac:dyDescent="0.55000000000000004">
      <c r="B358" s="10"/>
    </row>
    <row r="359" spans="1:2" x14ac:dyDescent="0.55000000000000004">
      <c r="B359" s="10"/>
    </row>
    <row r="360" spans="1:2" x14ac:dyDescent="0.55000000000000004">
      <c r="A360" s="31" t="s">
        <v>5</v>
      </c>
      <c r="B360" s="10"/>
    </row>
    <row r="361" spans="1:2" x14ac:dyDescent="0.55000000000000004">
      <c r="A361" s="12" t="s">
        <v>63</v>
      </c>
      <c r="B361" s="10">
        <v>1</v>
      </c>
    </row>
    <row r="362" spans="1:2" x14ac:dyDescent="0.55000000000000004">
      <c r="A362" s="12" t="s">
        <v>64</v>
      </c>
      <c r="B362" s="10">
        <v>0</v>
      </c>
    </row>
    <row r="363" spans="1:2" x14ac:dyDescent="0.55000000000000004">
      <c r="B363" s="10"/>
    </row>
    <row r="364" spans="1:2" x14ac:dyDescent="0.55000000000000004">
      <c r="B364" s="10"/>
    </row>
    <row r="365" spans="1:2" x14ac:dyDescent="0.55000000000000004">
      <c r="B365" s="10"/>
    </row>
    <row r="366" spans="1:2" x14ac:dyDescent="0.55000000000000004">
      <c r="B366" s="10"/>
    </row>
    <row r="367" spans="1:2" x14ac:dyDescent="0.55000000000000004">
      <c r="B367" s="10"/>
    </row>
    <row r="368" spans="1:2" x14ac:dyDescent="0.55000000000000004">
      <c r="B368" s="10"/>
    </row>
    <row r="369" spans="1:2" x14ac:dyDescent="0.55000000000000004">
      <c r="B369" s="10"/>
    </row>
    <row r="370" spans="1:2" x14ac:dyDescent="0.55000000000000004">
      <c r="B370" s="10"/>
    </row>
    <row r="371" spans="1:2" x14ac:dyDescent="0.55000000000000004">
      <c r="B371" s="10"/>
    </row>
    <row r="372" spans="1:2" x14ac:dyDescent="0.55000000000000004">
      <c r="B372" s="10"/>
    </row>
    <row r="373" spans="1:2" x14ac:dyDescent="0.55000000000000004">
      <c r="B373" s="10"/>
    </row>
    <row r="374" spans="1:2" x14ac:dyDescent="0.55000000000000004">
      <c r="B374" s="10"/>
    </row>
    <row r="375" spans="1:2" x14ac:dyDescent="0.55000000000000004">
      <c r="A375" s="31" t="s">
        <v>7</v>
      </c>
      <c r="B375" s="10"/>
    </row>
    <row r="376" spans="1:2" x14ac:dyDescent="0.55000000000000004">
      <c r="A376" s="12" t="s">
        <v>63</v>
      </c>
      <c r="B376" s="10">
        <v>1</v>
      </c>
    </row>
    <row r="377" spans="1:2" x14ac:dyDescent="0.55000000000000004">
      <c r="A377" s="12" t="s">
        <v>64</v>
      </c>
      <c r="B377" s="10">
        <v>0</v>
      </c>
    </row>
    <row r="378" spans="1:2" x14ac:dyDescent="0.55000000000000004">
      <c r="B378" s="10"/>
    </row>
    <row r="379" spans="1:2" x14ac:dyDescent="0.55000000000000004">
      <c r="B379" s="10"/>
    </row>
    <row r="380" spans="1:2" x14ac:dyDescent="0.55000000000000004">
      <c r="B380" s="10"/>
    </row>
    <row r="381" spans="1:2" x14ac:dyDescent="0.55000000000000004">
      <c r="B381" s="10"/>
    </row>
    <row r="382" spans="1:2" x14ac:dyDescent="0.55000000000000004">
      <c r="B382" s="10"/>
    </row>
    <row r="383" spans="1:2" x14ac:dyDescent="0.55000000000000004">
      <c r="B383" s="10"/>
    </row>
    <row r="384" spans="1:2" x14ac:dyDescent="0.55000000000000004">
      <c r="B384" s="10"/>
    </row>
    <row r="385" spans="1:2" x14ac:dyDescent="0.55000000000000004">
      <c r="B385" s="10"/>
    </row>
    <row r="386" spans="1:2" x14ac:dyDescent="0.55000000000000004">
      <c r="A386" s="10"/>
      <c r="B386" s="10"/>
    </row>
    <row r="387" spans="1:2" x14ac:dyDescent="0.55000000000000004">
      <c r="B387" s="10"/>
    </row>
    <row r="388" spans="1:2" x14ac:dyDescent="0.55000000000000004">
      <c r="B388" s="10"/>
    </row>
    <row r="389" spans="1:2" x14ac:dyDescent="0.55000000000000004">
      <c r="B389" s="10"/>
    </row>
    <row r="390" spans="1:2" x14ac:dyDescent="0.55000000000000004">
      <c r="A390" s="30" t="s">
        <v>4</v>
      </c>
      <c r="B390" s="10"/>
    </row>
    <row r="391" spans="1:2" x14ac:dyDescent="0.55000000000000004">
      <c r="A391" s="12" t="s">
        <v>63</v>
      </c>
      <c r="B391" s="10"/>
    </row>
    <row r="392" spans="1:2" x14ac:dyDescent="0.55000000000000004">
      <c r="A392" s="12" t="s">
        <v>64</v>
      </c>
      <c r="B392" s="10"/>
    </row>
    <row r="393" spans="1:2" x14ac:dyDescent="0.55000000000000004">
      <c r="B393" s="10"/>
    </row>
    <row r="394" spans="1:2" x14ac:dyDescent="0.55000000000000004">
      <c r="B394" s="10"/>
    </row>
    <row r="395" spans="1:2" x14ac:dyDescent="0.55000000000000004">
      <c r="B395" s="10"/>
    </row>
    <row r="396" spans="1:2" x14ac:dyDescent="0.55000000000000004">
      <c r="B396" s="10"/>
    </row>
    <row r="397" spans="1:2" x14ac:dyDescent="0.55000000000000004">
      <c r="B397" s="10"/>
    </row>
    <row r="398" spans="1:2" x14ac:dyDescent="0.55000000000000004">
      <c r="B398" s="10"/>
    </row>
    <row r="399" spans="1:2" x14ac:dyDescent="0.55000000000000004">
      <c r="B399" s="10"/>
    </row>
    <row r="400" spans="1:2" x14ac:dyDescent="0.55000000000000004">
      <c r="B400" s="10"/>
    </row>
    <row r="401" spans="1:2" x14ac:dyDescent="0.55000000000000004">
      <c r="B401" s="10"/>
    </row>
    <row r="402" spans="1:2" x14ac:dyDescent="0.55000000000000004">
      <c r="B402" s="10"/>
    </row>
    <row r="403" spans="1:2" x14ac:dyDescent="0.55000000000000004">
      <c r="A403" s="10"/>
      <c r="B403" s="10"/>
    </row>
    <row r="404" spans="1:2" x14ac:dyDescent="0.55000000000000004">
      <c r="B404" s="10"/>
    </row>
    <row r="405" spans="1:2" x14ac:dyDescent="0.55000000000000004">
      <c r="A405" s="26" t="s">
        <v>9</v>
      </c>
      <c r="B405" s="10"/>
    </row>
    <row r="406" spans="1:2" x14ac:dyDescent="0.55000000000000004">
      <c r="A406" s="12" t="s">
        <v>63</v>
      </c>
      <c r="B406" s="10">
        <f>2659/4407</f>
        <v>0.60335829362378035</v>
      </c>
    </row>
    <row r="407" spans="1:2" x14ac:dyDescent="0.55000000000000004">
      <c r="A407" s="12" t="s">
        <v>64</v>
      </c>
      <c r="B407" s="10">
        <f>874/4407</f>
        <v>0.19832085318810982</v>
      </c>
    </row>
    <row r="408" spans="1:2" x14ac:dyDescent="0.55000000000000004">
      <c r="B408" s="10"/>
    </row>
    <row r="409" spans="1:2" x14ac:dyDescent="0.55000000000000004">
      <c r="B409" s="10"/>
    </row>
    <row r="410" spans="1:2" x14ac:dyDescent="0.55000000000000004">
      <c r="B410" s="10"/>
    </row>
    <row r="411" spans="1:2" x14ac:dyDescent="0.55000000000000004">
      <c r="B411" s="10"/>
    </row>
    <row r="412" spans="1:2" x14ac:dyDescent="0.55000000000000004">
      <c r="B412" s="10"/>
    </row>
    <row r="413" spans="1:2" x14ac:dyDescent="0.55000000000000004">
      <c r="B413" s="10"/>
    </row>
    <row r="414" spans="1:2" x14ac:dyDescent="0.55000000000000004">
      <c r="B414" s="10"/>
    </row>
    <row r="415" spans="1:2" x14ac:dyDescent="0.55000000000000004">
      <c r="B415" s="10"/>
    </row>
    <row r="416" spans="1:2" x14ac:dyDescent="0.55000000000000004">
      <c r="B416" s="10"/>
    </row>
    <row r="417" spans="1:2" x14ac:dyDescent="0.55000000000000004">
      <c r="B417" s="10"/>
    </row>
    <row r="418" spans="1:2" x14ac:dyDescent="0.55000000000000004">
      <c r="B418" s="10"/>
    </row>
    <row r="419" spans="1:2" x14ac:dyDescent="0.55000000000000004">
      <c r="B419" s="10"/>
    </row>
    <row r="420" spans="1:2" x14ac:dyDescent="0.55000000000000004">
      <c r="A420" s="26" t="s">
        <v>11</v>
      </c>
      <c r="B420" s="10"/>
    </row>
    <row r="421" spans="1:2" x14ac:dyDescent="0.55000000000000004">
      <c r="A421" s="12" t="s">
        <v>63</v>
      </c>
      <c r="B421" s="10">
        <f>16884/23031</f>
        <v>0.73309886674482216</v>
      </c>
    </row>
    <row r="422" spans="1:2" x14ac:dyDescent="0.55000000000000004">
      <c r="A422" s="12" t="s">
        <v>64</v>
      </c>
      <c r="B422" s="10">
        <f>3791/23031</f>
        <v>0.16460422908254091</v>
      </c>
    </row>
    <row r="423" spans="1:2" x14ac:dyDescent="0.55000000000000004">
      <c r="B423" s="10"/>
    </row>
    <row r="424" spans="1:2" x14ac:dyDescent="0.55000000000000004">
      <c r="B424" s="10"/>
    </row>
    <row r="425" spans="1:2" x14ac:dyDescent="0.55000000000000004">
      <c r="B425" s="10"/>
    </row>
    <row r="426" spans="1:2" x14ac:dyDescent="0.55000000000000004">
      <c r="B426" s="10"/>
    </row>
    <row r="427" spans="1:2" x14ac:dyDescent="0.55000000000000004">
      <c r="B427" s="10"/>
    </row>
    <row r="428" spans="1:2" x14ac:dyDescent="0.55000000000000004">
      <c r="B428" s="10"/>
    </row>
    <row r="429" spans="1:2" x14ac:dyDescent="0.55000000000000004">
      <c r="B429" s="10"/>
    </row>
    <row r="430" spans="1:2" x14ac:dyDescent="0.55000000000000004">
      <c r="B430" s="10"/>
    </row>
    <row r="431" spans="1:2" x14ac:dyDescent="0.55000000000000004">
      <c r="B431" s="10"/>
    </row>
    <row r="432" spans="1:2" x14ac:dyDescent="0.55000000000000004">
      <c r="B432" s="10"/>
    </row>
    <row r="433" spans="1:2" x14ac:dyDescent="0.55000000000000004">
      <c r="B433" s="10"/>
    </row>
    <row r="434" spans="1:2" x14ac:dyDescent="0.55000000000000004">
      <c r="B434" s="10"/>
    </row>
    <row r="435" spans="1:2" x14ac:dyDescent="0.55000000000000004">
      <c r="A435" s="26" t="s">
        <v>13</v>
      </c>
      <c r="B435" s="10"/>
    </row>
    <row r="436" spans="1:2" x14ac:dyDescent="0.55000000000000004">
      <c r="A436" s="12" t="s">
        <v>63</v>
      </c>
      <c r="B436" s="10">
        <f>4559/7684.5</f>
        <v>0.59327217125382259</v>
      </c>
    </row>
    <row r="437" spans="1:2" x14ac:dyDescent="0.55000000000000004">
      <c r="A437" s="12" t="s">
        <v>64</v>
      </c>
      <c r="B437" s="10">
        <f>(1355.5+1270.2+411.2)/7648.5</f>
        <v>0.39705824671504214</v>
      </c>
    </row>
    <row r="438" spans="1:2" x14ac:dyDescent="0.55000000000000004">
      <c r="B438" s="10"/>
    </row>
    <row r="439" spans="1:2" x14ac:dyDescent="0.55000000000000004">
      <c r="B439" s="10"/>
    </row>
    <row r="440" spans="1:2" x14ac:dyDescent="0.55000000000000004">
      <c r="B440" s="10"/>
    </row>
    <row r="441" spans="1:2" x14ac:dyDescent="0.55000000000000004">
      <c r="B441" s="10"/>
    </row>
    <row r="442" spans="1:2" x14ac:dyDescent="0.55000000000000004">
      <c r="B442" s="10"/>
    </row>
    <row r="443" spans="1:2" x14ac:dyDescent="0.55000000000000004">
      <c r="B443" s="10"/>
    </row>
    <row r="444" spans="1:2" x14ac:dyDescent="0.55000000000000004">
      <c r="B444" s="10"/>
    </row>
    <row r="445" spans="1:2" x14ac:dyDescent="0.55000000000000004">
      <c r="B445" s="10"/>
    </row>
    <row r="446" spans="1:2" x14ac:dyDescent="0.55000000000000004">
      <c r="B446" s="10"/>
    </row>
    <row r="447" spans="1:2" x14ac:dyDescent="0.55000000000000004">
      <c r="B447" s="10"/>
    </row>
    <row r="448" spans="1:2" x14ac:dyDescent="0.55000000000000004">
      <c r="B448" s="10"/>
    </row>
    <row r="449" spans="1:2" x14ac:dyDescent="0.55000000000000004">
      <c r="B449" s="10"/>
    </row>
    <row r="450" spans="1:2" x14ac:dyDescent="0.55000000000000004">
      <c r="A450" s="26" t="s">
        <v>14</v>
      </c>
      <c r="B450" s="10"/>
    </row>
    <row r="451" spans="1:2" x14ac:dyDescent="0.55000000000000004">
      <c r="A451" s="12" t="s">
        <v>63</v>
      </c>
      <c r="B451" s="10">
        <f>9676/11404</f>
        <v>0.84847421957208002</v>
      </c>
    </row>
    <row r="452" spans="1:2" x14ac:dyDescent="0.55000000000000004">
      <c r="A452" s="12" t="s">
        <v>64</v>
      </c>
      <c r="B452" s="10">
        <f>1650/11404</f>
        <v>0.14468607506138198</v>
      </c>
    </row>
    <row r="453" spans="1:2" x14ac:dyDescent="0.55000000000000004">
      <c r="B453" s="10"/>
    </row>
    <row r="454" spans="1:2" x14ac:dyDescent="0.55000000000000004">
      <c r="B454" s="10"/>
    </row>
    <row r="455" spans="1:2" x14ac:dyDescent="0.55000000000000004">
      <c r="B455" s="10"/>
    </row>
    <row r="456" spans="1:2" x14ac:dyDescent="0.55000000000000004">
      <c r="B456" s="10"/>
    </row>
    <row r="457" spans="1:2" x14ac:dyDescent="0.55000000000000004">
      <c r="B457" s="10"/>
    </row>
    <row r="458" spans="1:2" x14ac:dyDescent="0.55000000000000004">
      <c r="B458" s="10"/>
    </row>
    <row r="459" spans="1:2" x14ac:dyDescent="0.55000000000000004">
      <c r="B459" s="10"/>
    </row>
    <row r="460" spans="1:2" x14ac:dyDescent="0.55000000000000004">
      <c r="B460" s="10"/>
    </row>
    <row r="461" spans="1:2" x14ac:dyDescent="0.55000000000000004">
      <c r="B461" s="10"/>
    </row>
    <row r="462" spans="1:2" x14ac:dyDescent="0.55000000000000004">
      <c r="B462" s="10"/>
    </row>
    <row r="463" spans="1:2" x14ac:dyDescent="0.55000000000000004">
      <c r="B463" s="10"/>
    </row>
    <row r="464" spans="1:2" x14ac:dyDescent="0.55000000000000004">
      <c r="B464" s="10"/>
    </row>
    <row r="465" spans="1:2" x14ac:dyDescent="0.55000000000000004">
      <c r="A465" s="26" t="s">
        <v>48</v>
      </c>
      <c r="B465" s="10"/>
    </row>
    <row r="466" spans="1:2" x14ac:dyDescent="0.55000000000000004">
      <c r="A466" s="12" t="s">
        <v>63</v>
      </c>
      <c r="B466" s="10">
        <f>689945/1680266</f>
        <v>0.41061653333460296</v>
      </c>
    </row>
    <row r="467" spans="1:2" x14ac:dyDescent="0.55000000000000004">
      <c r="A467" s="12" t="s">
        <v>64</v>
      </c>
      <c r="B467" s="10">
        <f>947595/1680266</f>
        <v>0.56395534992673779</v>
      </c>
    </row>
    <row r="468" spans="1:2" x14ac:dyDescent="0.55000000000000004">
      <c r="B468" s="10"/>
    </row>
    <row r="469" spans="1:2" x14ac:dyDescent="0.55000000000000004">
      <c r="B469" s="10"/>
    </row>
    <row r="470" spans="1:2" x14ac:dyDescent="0.55000000000000004">
      <c r="B470" s="10"/>
    </row>
    <row r="471" spans="1:2" x14ac:dyDescent="0.55000000000000004">
      <c r="B471" s="10"/>
    </row>
    <row r="472" spans="1:2" x14ac:dyDescent="0.55000000000000004">
      <c r="B472" s="10"/>
    </row>
    <row r="473" spans="1:2" x14ac:dyDescent="0.55000000000000004">
      <c r="A473" s="10"/>
      <c r="B473" s="10"/>
    </row>
    <row r="474" spans="1:2" x14ac:dyDescent="0.55000000000000004">
      <c r="B474" s="10"/>
    </row>
    <row r="475" spans="1:2" x14ac:dyDescent="0.55000000000000004">
      <c r="B475" s="10"/>
    </row>
    <row r="476" spans="1:2" x14ac:dyDescent="0.55000000000000004">
      <c r="B476" s="10"/>
    </row>
    <row r="477" spans="1:2" x14ac:dyDescent="0.55000000000000004">
      <c r="B477" s="10"/>
    </row>
    <row r="478" spans="1:2" x14ac:dyDescent="0.55000000000000004">
      <c r="B478" s="10"/>
    </row>
    <row r="479" spans="1:2" x14ac:dyDescent="0.55000000000000004">
      <c r="B479" s="10"/>
    </row>
    <row r="480" spans="1:2" x14ac:dyDescent="0.55000000000000004">
      <c r="A480" s="26" t="s">
        <v>49</v>
      </c>
      <c r="B480" s="10"/>
    </row>
    <row r="481" spans="1:2" x14ac:dyDescent="0.55000000000000004">
      <c r="A481" s="12" t="s">
        <v>63</v>
      </c>
      <c r="B481" s="10">
        <f>2997/9614</f>
        <v>0.31173288953609318</v>
      </c>
    </row>
    <row r="482" spans="1:2" x14ac:dyDescent="0.55000000000000004">
      <c r="A482" s="12" t="s">
        <v>64</v>
      </c>
      <c r="B482" s="10">
        <f>2606/9614</f>
        <v>0.27106303307676305</v>
      </c>
    </row>
    <row r="483" spans="1:2" x14ac:dyDescent="0.55000000000000004">
      <c r="B483" s="10"/>
    </row>
    <row r="484" spans="1:2" x14ac:dyDescent="0.55000000000000004">
      <c r="B484" s="10"/>
    </row>
    <row r="485" spans="1:2" x14ac:dyDescent="0.55000000000000004">
      <c r="B485" s="10"/>
    </row>
    <row r="486" spans="1:2" x14ac:dyDescent="0.55000000000000004">
      <c r="B486" s="10"/>
    </row>
    <row r="487" spans="1:2" x14ac:dyDescent="0.55000000000000004">
      <c r="B487" s="10"/>
    </row>
    <row r="488" spans="1:2" x14ac:dyDescent="0.55000000000000004">
      <c r="B488" s="10"/>
    </row>
    <row r="489" spans="1:2" x14ac:dyDescent="0.55000000000000004">
      <c r="B489" s="10"/>
    </row>
    <row r="490" spans="1:2" x14ac:dyDescent="0.55000000000000004">
      <c r="B490" s="10"/>
    </row>
    <row r="491" spans="1:2" x14ac:dyDescent="0.55000000000000004">
      <c r="B491" s="10"/>
    </row>
    <row r="492" spans="1:2" x14ac:dyDescent="0.55000000000000004">
      <c r="B492" s="10"/>
    </row>
    <row r="493" spans="1:2" x14ac:dyDescent="0.55000000000000004">
      <c r="B493" s="10"/>
    </row>
    <row r="494" spans="1:2" x14ac:dyDescent="0.55000000000000004">
      <c r="B494" s="10"/>
    </row>
    <row r="495" spans="1:2" x14ac:dyDescent="0.55000000000000004">
      <c r="A495" s="26" t="s">
        <v>57</v>
      </c>
      <c r="B495" s="10"/>
    </row>
    <row r="496" spans="1:2" x14ac:dyDescent="0.55000000000000004">
      <c r="A496" s="12" t="s">
        <v>63</v>
      </c>
      <c r="B496" s="10">
        <f>16171/33531</f>
        <v>0.48227013808117863</v>
      </c>
    </row>
    <row r="497" spans="1:2" x14ac:dyDescent="0.55000000000000004">
      <c r="A497" s="12" t="s">
        <v>64</v>
      </c>
      <c r="B497" s="10">
        <f>1333/33531</f>
        <v>3.9754257254480931E-2</v>
      </c>
    </row>
    <row r="498" spans="1:2" x14ac:dyDescent="0.55000000000000004">
      <c r="B498" s="10"/>
    </row>
    <row r="499" spans="1:2" x14ac:dyDescent="0.55000000000000004">
      <c r="B499" s="10"/>
    </row>
    <row r="500" spans="1:2" x14ac:dyDescent="0.55000000000000004">
      <c r="A500" s="10"/>
      <c r="B500" s="10"/>
    </row>
    <row r="501" spans="1:2" x14ac:dyDescent="0.55000000000000004">
      <c r="B501" s="10"/>
    </row>
    <row r="502" spans="1:2" x14ac:dyDescent="0.55000000000000004">
      <c r="B502" s="10"/>
    </row>
    <row r="503" spans="1:2" x14ac:dyDescent="0.55000000000000004">
      <c r="B503" s="10"/>
    </row>
    <row r="504" spans="1:2" x14ac:dyDescent="0.55000000000000004">
      <c r="B504" s="10"/>
    </row>
    <row r="505" spans="1:2" x14ac:dyDescent="0.55000000000000004">
      <c r="B505" s="10"/>
    </row>
    <row r="506" spans="1:2" x14ac:dyDescent="0.55000000000000004">
      <c r="B506" s="10"/>
    </row>
    <row r="507" spans="1:2" x14ac:dyDescent="0.55000000000000004">
      <c r="B507" s="10"/>
    </row>
    <row r="508" spans="1:2" x14ac:dyDescent="0.55000000000000004">
      <c r="B508" s="10"/>
    </row>
    <row r="509" spans="1:2" x14ac:dyDescent="0.55000000000000004">
      <c r="B509" s="10"/>
    </row>
    <row r="510" spans="1:2" x14ac:dyDescent="0.55000000000000004">
      <c r="A510" s="31" t="s">
        <v>60</v>
      </c>
      <c r="B510" s="10"/>
    </row>
    <row r="511" spans="1:2" x14ac:dyDescent="0.55000000000000004">
      <c r="A511" s="12" t="s">
        <v>63</v>
      </c>
      <c r="B511" s="10">
        <v>1</v>
      </c>
    </row>
    <row r="512" spans="1:2" x14ac:dyDescent="0.55000000000000004">
      <c r="A512" s="12" t="s">
        <v>64</v>
      </c>
      <c r="B512" s="10">
        <v>0</v>
      </c>
    </row>
    <row r="513" spans="1:2" x14ac:dyDescent="0.55000000000000004">
      <c r="B513" s="10"/>
    </row>
    <row r="514" spans="1:2" x14ac:dyDescent="0.55000000000000004">
      <c r="B514" s="10"/>
    </row>
    <row r="515" spans="1:2" x14ac:dyDescent="0.55000000000000004">
      <c r="B515" s="10"/>
    </row>
    <row r="516" spans="1:2" x14ac:dyDescent="0.55000000000000004">
      <c r="B516" s="10"/>
    </row>
    <row r="517" spans="1:2" x14ac:dyDescent="0.55000000000000004">
      <c r="B517" s="10"/>
    </row>
    <row r="518" spans="1:2" x14ac:dyDescent="0.55000000000000004">
      <c r="B518" s="10"/>
    </row>
    <row r="519" spans="1:2" x14ac:dyDescent="0.55000000000000004">
      <c r="B519" s="10"/>
    </row>
    <row r="520" spans="1:2" x14ac:dyDescent="0.55000000000000004">
      <c r="B520" s="10"/>
    </row>
    <row r="521" spans="1:2" x14ac:dyDescent="0.55000000000000004">
      <c r="B521" s="10"/>
    </row>
    <row r="522" spans="1:2" x14ac:dyDescent="0.55000000000000004">
      <c r="B522" s="10"/>
    </row>
    <row r="523" spans="1:2" x14ac:dyDescent="0.55000000000000004">
      <c r="B523" s="10"/>
    </row>
    <row r="524" spans="1:2" x14ac:dyDescent="0.55000000000000004">
      <c r="B524" s="10"/>
    </row>
    <row r="525" spans="1:2" x14ac:dyDescent="0.55000000000000004">
      <c r="A525" s="30" t="s">
        <v>1</v>
      </c>
      <c r="B525" s="10"/>
    </row>
    <row r="526" spans="1:2" x14ac:dyDescent="0.55000000000000004">
      <c r="A526" s="12" t="s">
        <v>63</v>
      </c>
      <c r="B526" s="10"/>
    </row>
    <row r="527" spans="1:2" x14ac:dyDescent="0.55000000000000004">
      <c r="A527" s="12" t="s">
        <v>64</v>
      </c>
      <c r="B527" s="10"/>
    </row>
    <row r="528" spans="1:2" x14ac:dyDescent="0.55000000000000004">
      <c r="B528" s="10"/>
    </row>
    <row r="529" spans="1:2" x14ac:dyDescent="0.55000000000000004">
      <c r="B529" s="10"/>
    </row>
    <row r="530" spans="1:2" x14ac:dyDescent="0.55000000000000004">
      <c r="B530" s="10"/>
    </row>
    <row r="531" spans="1:2" x14ac:dyDescent="0.55000000000000004">
      <c r="B531" s="10"/>
    </row>
    <row r="532" spans="1:2" x14ac:dyDescent="0.55000000000000004">
      <c r="B532" s="10"/>
    </row>
    <row r="533" spans="1:2" x14ac:dyDescent="0.55000000000000004">
      <c r="B533" s="10"/>
    </row>
    <row r="534" spans="1:2" x14ac:dyDescent="0.55000000000000004">
      <c r="B534" s="10"/>
    </row>
    <row r="535" spans="1:2" x14ac:dyDescent="0.55000000000000004">
      <c r="B535" s="10"/>
    </row>
    <row r="536" spans="1:2" x14ac:dyDescent="0.55000000000000004">
      <c r="B536" s="10"/>
    </row>
    <row r="537" spans="1:2" x14ac:dyDescent="0.55000000000000004">
      <c r="B537" s="10"/>
    </row>
    <row r="538" spans="1:2" x14ac:dyDescent="0.55000000000000004">
      <c r="B538" s="10"/>
    </row>
    <row r="539" spans="1:2" x14ac:dyDescent="0.55000000000000004">
      <c r="B539" s="10"/>
    </row>
    <row r="540" spans="1:2" x14ac:dyDescent="0.55000000000000004">
      <c r="A540" s="26" t="s">
        <v>8</v>
      </c>
      <c r="B540" s="10"/>
    </row>
    <row r="541" spans="1:2" x14ac:dyDescent="0.55000000000000004">
      <c r="A541" s="12" t="s">
        <v>63</v>
      </c>
      <c r="B541" s="10">
        <f>3930/9084</f>
        <v>0.43262879788639363</v>
      </c>
    </row>
    <row r="542" spans="1:2" x14ac:dyDescent="0.55000000000000004">
      <c r="A542" s="12" t="s">
        <v>64</v>
      </c>
      <c r="B542" s="10">
        <f>(9084-3930)/9048</f>
        <v>0.56962864721485407</v>
      </c>
    </row>
    <row r="543" spans="1:2" x14ac:dyDescent="0.55000000000000004">
      <c r="B543" s="10"/>
    </row>
    <row r="544" spans="1:2" x14ac:dyDescent="0.55000000000000004">
      <c r="B544" s="10"/>
    </row>
    <row r="545" spans="1:2" x14ac:dyDescent="0.55000000000000004">
      <c r="B545" s="10"/>
    </row>
    <row r="546" spans="1:2" x14ac:dyDescent="0.55000000000000004">
      <c r="B546" s="10"/>
    </row>
    <row r="547" spans="1:2" x14ac:dyDescent="0.55000000000000004">
      <c r="B547" s="10"/>
    </row>
    <row r="548" spans="1:2" x14ac:dyDescent="0.55000000000000004">
      <c r="B548" s="10"/>
    </row>
    <row r="549" spans="1:2" x14ac:dyDescent="0.55000000000000004">
      <c r="B549" s="10"/>
    </row>
    <row r="550" spans="1:2" x14ac:dyDescent="0.55000000000000004">
      <c r="B550" s="10"/>
    </row>
    <row r="551" spans="1:2" x14ac:dyDescent="0.55000000000000004">
      <c r="B551" s="10"/>
    </row>
    <row r="552" spans="1:2" x14ac:dyDescent="0.55000000000000004">
      <c r="B552" s="10"/>
    </row>
    <row r="553" spans="1:2" x14ac:dyDescent="0.55000000000000004">
      <c r="B553" s="10"/>
    </row>
    <row r="554" spans="1:2" x14ac:dyDescent="0.55000000000000004">
      <c r="B554" s="10"/>
    </row>
    <row r="555" spans="1:2" x14ac:dyDescent="0.55000000000000004">
      <c r="A555" s="26" t="s">
        <v>10</v>
      </c>
      <c r="B555" s="10"/>
    </row>
    <row r="556" spans="1:2" x14ac:dyDescent="0.55000000000000004">
      <c r="A556" s="12" t="s">
        <v>63</v>
      </c>
      <c r="B556" s="10">
        <f>5415/11207</f>
        <v>0.48318015526010527</v>
      </c>
    </row>
    <row r="557" spans="1:2" x14ac:dyDescent="0.55000000000000004">
      <c r="A557" s="12" t="s">
        <v>64</v>
      </c>
      <c r="B557" s="10">
        <f>4361/11207</f>
        <v>0.38913179262960651</v>
      </c>
    </row>
    <row r="558" spans="1:2" x14ac:dyDescent="0.55000000000000004">
      <c r="B558" s="10"/>
    </row>
    <row r="559" spans="1:2" x14ac:dyDescent="0.55000000000000004">
      <c r="B559" s="10"/>
    </row>
    <row r="560" spans="1:2" x14ac:dyDescent="0.55000000000000004">
      <c r="B560" s="10"/>
    </row>
    <row r="561" spans="1:2" x14ac:dyDescent="0.55000000000000004">
      <c r="B561" s="10"/>
    </row>
    <row r="562" spans="1:2" x14ac:dyDescent="0.55000000000000004">
      <c r="B562" s="10"/>
    </row>
    <row r="563" spans="1:2" x14ac:dyDescent="0.55000000000000004">
      <c r="B563" s="10"/>
    </row>
    <row r="564" spans="1:2" x14ac:dyDescent="0.55000000000000004">
      <c r="B564" s="10"/>
    </row>
    <row r="565" spans="1:2" x14ac:dyDescent="0.55000000000000004">
      <c r="B565" s="10"/>
    </row>
    <row r="566" spans="1:2" x14ac:dyDescent="0.55000000000000004">
      <c r="B566" s="10"/>
    </row>
    <row r="567" spans="1:2" x14ac:dyDescent="0.55000000000000004">
      <c r="B567" s="10"/>
    </row>
    <row r="568" spans="1:2" x14ac:dyDescent="0.55000000000000004">
      <c r="B568" s="10"/>
    </row>
    <row r="569" spans="1:2" x14ac:dyDescent="0.55000000000000004">
      <c r="B569" s="10"/>
    </row>
    <row r="570" spans="1:2" x14ac:dyDescent="0.55000000000000004">
      <c r="A570" s="26" t="s">
        <v>12</v>
      </c>
      <c r="B570" s="10"/>
    </row>
    <row r="571" spans="1:2" x14ac:dyDescent="0.55000000000000004">
      <c r="A571" s="12" t="s">
        <v>63</v>
      </c>
      <c r="B571" s="10">
        <f>569600/2657300</f>
        <v>0.21435291461257669</v>
      </c>
    </row>
    <row r="572" spans="1:2" x14ac:dyDescent="0.55000000000000004">
      <c r="A572" s="12" t="s">
        <v>64</v>
      </c>
      <c r="B572" s="10">
        <f>812700/2657300</f>
        <v>0.30583675158995971</v>
      </c>
    </row>
    <row r="574" spans="1:2" x14ac:dyDescent="0.55000000000000004">
      <c r="A574" s="10"/>
      <c r="B574" s="10"/>
    </row>
    <row r="584" spans="1:2" x14ac:dyDescent="0.55000000000000004">
      <c r="A584" s="10"/>
      <c r="B584" s="10"/>
    </row>
    <row r="585" spans="1:2" x14ac:dyDescent="0.55000000000000004">
      <c r="A585" s="26"/>
    </row>
    <row r="586" spans="1:2" x14ac:dyDescent="0.55000000000000004">
      <c r="A586" s="12"/>
    </row>
    <row r="587" spans="1:2" x14ac:dyDescent="0.55000000000000004">
      <c r="A587" s="12"/>
    </row>
    <row r="599" spans="1:2" x14ac:dyDescent="0.55000000000000004">
      <c r="A599" s="10"/>
      <c r="B599" s="10"/>
    </row>
    <row r="600" spans="1:2" x14ac:dyDescent="0.55000000000000004">
      <c r="A600" s="26"/>
    </row>
    <row r="601" spans="1:2" x14ac:dyDescent="0.55000000000000004">
      <c r="A601" s="12"/>
    </row>
    <row r="602" spans="1:2" x14ac:dyDescent="0.55000000000000004">
      <c r="A602" s="12"/>
    </row>
    <row r="615" spans="1:1" x14ac:dyDescent="0.55000000000000004">
      <c r="A615" s="26"/>
    </row>
    <row r="616" spans="1:1" x14ac:dyDescent="0.55000000000000004">
      <c r="A616" s="12"/>
    </row>
    <row r="617" spans="1:1" x14ac:dyDescent="0.55000000000000004">
      <c r="A617" s="12"/>
    </row>
    <row r="625" spans="1:1" x14ac:dyDescent="0.55000000000000004">
      <c r="A625" s="10"/>
    </row>
    <row r="630" spans="1:1" x14ac:dyDescent="0.55000000000000004">
      <c r="A630" s="26"/>
    </row>
    <row r="631" spans="1:1" x14ac:dyDescent="0.55000000000000004">
      <c r="A631" s="12"/>
    </row>
    <row r="632" spans="1:1" x14ac:dyDescent="0.55000000000000004">
      <c r="A632" s="12"/>
    </row>
    <row r="644" spans="1:2" x14ac:dyDescent="0.55000000000000004">
      <c r="A644" s="10"/>
      <c r="B644" s="10"/>
    </row>
    <row r="645" spans="1:2" x14ac:dyDescent="0.55000000000000004">
      <c r="A645" s="26"/>
    </row>
    <row r="646" spans="1:2" x14ac:dyDescent="0.55000000000000004">
      <c r="A646" s="12"/>
    </row>
    <row r="647" spans="1:2" x14ac:dyDescent="0.55000000000000004">
      <c r="A647" s="12"/>
    </row>
    <row r="657" spans="1:5" x14ac:dyDescent="0.55000000000000004">
      <c r="A657" s="10"/>
      <c r="B657" s="10"/>
    </row>
    <row r="658" spans="1:5" x14ac:dyDescent="0.55000000000000004">
      <c r="E658" t="s">
        <v>13</v>
      </c>
    </row>
    <row r="660" spans="1:5" x14ac:dyDescent="0.55000000000000004">
      <c r="A660" s="26"/>
    </row>
    <row r="661" spans="1:5" x14ac:dyDescent="0.55000000000000004">
      <c r="A661" s="12"/>
    </row>
    <row r="662" spans="1:5" x14ac:dyDescent="0.55000000000000004">
      <c r="A662" s="12"/>
    </row>
    <row r="675" spans="1:1" x14ac:dyDescent="0.55000000000000004">
      <c r="A675" s="26"/>
    </row>
    <row r="676" spans="1:1" x14ac:dyDescent="0.55000000000000004">
      <c r="A676" s="12"/>
    </row>
    <row r="677" spans="1:1" x14ac:dyDescent="0.55000000000000004">
      <c r="A677" s="12"/>
    </row>
    <row r="690" spans="1:5" x14ac:dyDescent="0.55000000000000004">
      <c r="A690" s="26"/>
    </row>
    <row r="691" spans="1:5" x14ac:dyDescent="0.55000000000000004">
      <c r="A691" s="12"/>
    </row>
    <row r="692" spans="1:5" x14ac:dyDescent="0.55000000000000004">
      <c r="A692" s="12"/>
    </row>
    <row r="699" spans="1:5" x14ac:dyDescent="0.55000000000000004">
      <c r="E699" t="s">
        <v>14</v>
      </c>
    </row>
    <row r="705" spans="1:2" x14ac:dyDescent="0.55000000000000004">
      <c r="A705" s="26"/>
    </row>
    <row r="706" spans="1:2" x14ac:dyDescent="0.55000000000000004">
      <c r="A706" s="12"/>
    </row>
    <row r="707" spans="1:2" x14ac:dyDescent="0.55000000000000004">
      <c r="A707" s="12"/>
      <c r="B707" s="10"/>
    </row>
    <row r="720" spans="1:2" x14ac:dyDescent="0.55000000000000004">
      <c r="A720" s="26"/>
    </row>
    <row r="721" spans="1:1" x14ac:dyDescent="0.55000000000000004">
      <c r="A721" s="12"/>
    </row>
    <row r="722" spans="1:1" x14ac:dyDescent="0.55000000000000004">
      <c r="A722" s="12"/>
    </row>
    <row r="735" spans="1:1" x14ac:dyDescent="0.55000000000000004">
      <c r="A735" s="26"/>
    </row>
    <row r="736" spans="1:1" x14ac:dyDescent="0.55000000000000004">
      <c r="A736" s="12"/>
    </row>
    <row r="737" spans="1:1" x14ac:dyDescent="0.55000000000000004">
      <c r="A737" s="12"/>
    </row>
    <row r="750" spans="1:1" x14ac:dyDescent="0.55000000000000004">
      <c r="A750" s="26"/>
    </row>
    <row r="751" spans="1:1" x14ac:dyDescent="0.55000000000000004">
      <c r="A751" s="12"/>
    </row>
    <row r="752" spans="1:1" x14ac:dyDescent="0.55000000000000004">
      <c r="A752" s="12"/>
    </row>
  </sheetData>
  <mergeCells count="41">
    <mergeCell ref="Z295:AA295"/>
    <mergeCell ref="Z291:AE291"/>
    <mergeCell ref="Z292:AB292"/>
    <mergeCell ref="AD292:AE292"/>
    <mergeCell ref="Z293:AA293"/>
    <mergeCell ref="Z294:AA294"/>
    <mergeCell ref="AH300:AI300"/>
    <mergeCell ref="AH301:AI301"/>
    <mergeCell ref="AH302:AI302"/>
    <mergeCell ref="AH316:AI316"/>
    <mergeCell ref="Z296:AA296"/>
    <mergeCell ref="Z297:AA297"/>
    <mergeCell ref="AH297:AM297"/>
    <mergeCell ref="AH298:AJ298"/>
    <mergeCell ref="AL298:AM298"/>
    <mergeCell ref="AH299:AI299"/>
    <mergeCell ref="I295:J295"/>
    <mergeCell ref="I296:J296"/>
    <mergeCell ref="I297:J297"/>
    <mergeCell ref="I298:J298"/>
    <mergeCell ref="I315:J315"/>
    <mergeCell ref="I302:J302"/>
    <mergeCell ref="I305:J305"/>
    <mergeCell ref="I306:J306"/>
    <mergeCell ref="I307:J307"/>
    <mergeCell ref="I299:J299"/>
    <mergeCell ref="I300:J300"/>
    <mergeCell ref="I301:J301"/>
    <mergeCell ref="H289:K289"/>
    <mergeCell ref="H290:K290"/>
    <mergeCell ref="I291:K291"/>
    <mergeCell ref="I293:J293"/>
    <mergeCell ref="I294:J294"/>
    <mergeCell ref="I317:J317"/>
    <mergeCell ref="I308:J308"/>
    <mergeCell ref="I309:J309"/>
    <mergeCell ref="I310:J310"/>
    <mergeCell ref="I312:J312"/>
    <mergeCell ref="I313:J313"/>
    <mergeCell ref="I314:J314"/>
    <mergeCell ref="I316:J316"/>
  </mergeCells>
  <pageMargins left="0.7" right="0.7" top="0.75" bottom="0.75" header="0.3" footer="0.3"/>
  <pageSetup paperSize="168" orientation="portrait" horizontalDpi="300" verticalDpi="3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4081C303D597F46A51B1E34376944AC" ma:contentTypeVersion="56" ma:contentTypeDescription="" ma:contentTypeScope="" ma:versionID="e22e9193f40833cf40870f67854ce1a0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IsConfidential xmlns="dc463f71-b30c-4ab2-9473-d307f9d35888">false</IsConfidential>
    <Date1 xmlns="dc463f71-b30c-4ab2-9473-d307f9d35888">2019-12-02T08:00:00+00:00</Date1>
    <DocumentSetType xmlns="dc463f71-b30c-4ab2-9473-d307f9d35888">Workpapers</DocumentSetType>
    <DocketNumber xmlns="dc463f71-b30c-4ab2-9473-d307f9d35888">190529</DocketNumber>
    <Prefix xmlns="dc463f71-b30c-4ab2-9473-d307f9d35888">UE</Prefix>
    <Visibility xmlns="dc463f71-b30c-4ab2-9473-d307f9d35888">Full Visibility</Visibility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2019-06-20T07:00:00+00:00</OpenedDate>
    <SignificantOrder xmlns="dc463f71-b30c-4ab2-9473-d307f9d35888">false</SignificantOrder>
    <Nickname xmlns="http://schemas.microsoft.com/sharepoint/v3" xsi:nil="true"/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40318228-EE54-4D68-B09E-878E805D257C}"/>
</file>

<file path=customXml/itemProps2.xml><?xml version="1.0" encoding="utf-8"?>
<ds:datastoreItem xmlns:ds="http://schemas.openxmlformats.org/officeDocument/2006/customXml" ds:itemID="{70E1E37C-58BB-4A07-A7A8-3FFB8BCF904C}"/>
</file>

<file path=customXml/itemProps3.xml><?xml version="1.0" encoding="utf-8"?>
<ds:datastoreItem xmlns:ds="http://schemas.openxmlformats.org/officeDocument/2006/customXml" ds:itemID="{B38942CB-9C95-4822-B497-A0CDC2EC6376}"/>
</file>

<file path=customXml/itemProps4.xml><?xml version="1.0" encoding="utf-8"?>
<ds:datastoreItem xmlns:ds="http://schemas.openxmlformats.org/officeDocument/2006/customXml" ds:itemID="{C5657FD9-2D38-4A5C-99BA-F91ED7C6405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Percentages - 2018</vt:lpstr>
      <vt:lpstr>10-K Reports - 2018</vt:lpstr>
      <vt:lpstr>Percentages - 2017</vt:lpstr>
      <vt:lpstr>10-K Reports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J. Randall Woolridge</dc:creator>
  <cp:lastModifiedBy>J. Randall Woolridge</cp:lastModifiedBy>
  <dcterms:created xsi:type="dcterms:W3CDTF">2017-03-22T15:41:51Z</dcterms:created>
  <dcterms:modified xsi:type="dcterms:W3CDTF">2019-03-05T04:58:55Z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{5C3F3B95-953C-4BDF-B17E-AA37E13D01A1}</vt:lpwstr>
  </property>
  <property fmtid="{D5CDD505-2E9C-101B-9397-08002B2CF9AE}" pid="3" name="ContentTypeId">
    <vt:lpwstr>0x0101006E56B4D1795A2E4DB2F0B01679ED314A0074081C303D597F46A51B1E34376944AC</vt:lpwstr>
  </property>
  <property fmtid="{D5CDD505-2E9C-101B-9397-08002B2CF9AE}" pid="4" name="_docset_NoMedatataSyncRequired">
    <vt:lpwstr>False</vt:lpwstr>
  </property>
  <property fmtid="{D5CDD505-2E9C-101B-9397-08002B2CF9AE}" pid="5" name="IsEFSEC">
    <vt:bool>false</vt:bool>
  </property>
</Properties>
</file>